
<file path=[Content_Types].xml><?xml version="1.0" encoding="utf-8"?>
<Types xmlns="http://schemas.openxmlformats.org/package/2006/content-types">
  <Default Extension="bin" ContentType="application/vnd.openxmlformats-officedocument.spreadsheetml.printerSettings"/>
  <Default Extension="png" ContentType="image/png"/>
  <Default Extension="jpeg" ContentType="image/jpeg"/>
  <Default Extension="rels" ContentType="application/vnd.openxmlformats-package.relationships+xml"/>
  <Default Extension="xml" ContentType="application/xml"/>
  <Default Extension="vml" ContentType="application/vnd.openxmlformats-officedocument.vmlDrawing"/>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worksheets/sheet15.xml" ContentType="application/vnd.openxmlformats-officedocument.spreadsheetml.worksheet+xml"/>
  <Override PartName="/xl/worksheets/sheet16.xml" ContentType="application/vnd.openxmlformats-officedocument.spreadsheetml.worksheet+xml"/>
  <Override PartName="/xl/worksheets/sheet17.xml" ContentType="application/vnd.openxmlformats-officedocument.spreadsheetml.worksheet+xml"/>
  <Override PartName="/xl/worksheets/sheet18.xml" ContentType="application/vnd.openxmlformats-officedocument.spreadsheetml.worksheet+xml"/>
  <Override PartName="/xl/worksheets/sheet19.xml" ContentType="application/vnd.openxmlformats-officedocument.spreadsheetml.worksheet+xml"/>
  <Override PartName="/xl/worksheets/sheet20.xml" ContentType="application/vnd.openxmlformats-officedocument.spreadsheetml.worksheet+xml"/>
  <Override PartName="/xl/worksheets/sheet21.xml" ContentType="application/vnd.openxmlformats-officedocument.spreadsheetml.worksheet+xml"/>
  <Override PartName="/xl/worksheets/sheet22.xml" ContentType="application/vnd.openxmlformats-officedocument.spreadsheetml.worksheet+xml"/>
  <Override PartName="/xl/worksheets/sheet23.xml" ContentType="application/vnd.openxmlformats-officedocument.spreadsheetml.worksheet+xml"/>
  <Override PartName="/xl/worksheets/sheet24.xml" ContentType="application/vnd.openxmlformats-officedocument.spreadsheetml.worksheet+xml"/>
  <Override PartName="/xl/worksheets/sheet25.xml" ContentType="application/vnd.openxmlformats-officedocument.spreadsheetml.worksheet+xml"/>
  <Override PartName="/xl/worksheets/sheet26.xml" ContentType="application/vnd.openxmlformats-officedocument.spreadsheetml.worksheet+xml"/>
  <Override PartName="/xl/worksheets/sheet27.xml" ContentType="application/vnd.openxmlformats-officedocument.spreadsheetml.worksheet+xml"/>
  <Override PartName="/xl/worksheets/sheet28.xml" ContentType="application/vnd.openxmlformats-officedocument.spreadsheetml.worksheet+xml"/>
  <Override PartName="/xl/worksheets/sheet29.xml" ContentType="application/vnd.openxmlformats-officedocument.spreadsheetml.worksheet+xml"/>
  <Override PartName="/xl/worksheets/sheet30.xml" ContentType="application/vnd.openxmlformats-officedocument.spreadsheetml.worksheet+xml"/>
  <Override PartName="/xl/worksheets/sheet31.xml" ContentType="application/vnd.openxmlformats-officedocument.spreadsheetml.worksheet+xml"/>
  <Override PartName="/xl/worksheets/sheet32.xml" ContentType="application/vnd.openxmlformats-officedocument.spreadsheetml.worksheet+xml"/>
  <Override PartName="/xl/worksheets/sheet33.xml" ContentType="application/vnd.openxmlformats-officedocument.spreadsheetml.worksheet+xml"/>
  <Override PartName="/xl/worksheets/sheet34.xml" ContentType="application/vnd.openxmlformats-officedocument.spreadsheetml.worksheet+xml"/>
  <Override PartName="/xl/worksheets/sheet35.xml" ContentType="application/vnd.openxmlformats-officedocument.spreadsheetml.worksheet+xml"/>
  <Override PartName="/xl/worksheets/sheet36.xml" ContentType="application/vnd.openxmlformats-officedocument.spreadsheetml.worksheet+xml"/>
  <Override PartName="/xl/worksheets/sheet37.xml" ContentType="application/vnd.openxmlformats-officedocument.spreadsheetml.worksheet+xml"/>
  <Override PartName="/xl/worksheets/sheet38.xml" ContentType="application/vnd.openxmlformats-officedocument.spreadsheetml.worksheet+xml"/>
  <Override PartName="/xl/worksheets/sheet39.xml" ContentType="application/vnd.openxmlformats-officedocument.spreadsheetml.worksheet+xml"/>
  <Override PartName="/xl/worksheets/sheet40.xml" ContentType="application/vnd.openxmlformats-officedocument.spreadsheetml.worksheet+xml"/>
  <Override PartName="/xl/worksheets/sheet41.xml" ContentType="application/vnd.openxmlformats-officedocument.spreadsheetml.worksheet+xml"/>
  <Override PartName="/xl/worksheets/sheet42.xml" ContentType="application/vnd.openxmlformats-officedocument.spreadsheetml.worksheet+xml"/>
  <Override PartName="/xl/worksheets/sheet43.xml" ContentType="application/vnd.openxmlformats-officedocument.spreadsheetml.worksheet+xml"/>
  <Override PartName="/xl/worksheets/sheet44.xml" ContentType="application/vnd.openxmlformats-officedocument.spreadsheetml.worksheet+xml"/>
  <Override PartName="/xl/worksheets/sheet45.xml" ContentType="application/vnd.openxmlformats-officedocument.spreadsheetml.worksheet+xml"/>
  <Override PartName="/xl/worksheets/sheet46.xml" ContentType="application/vnd.openxmlformats-officedocument.spreadsheetml.worksheet+xml"/>
  <Override PartName="/xl/worksheets/sheet47.xml" ContentType="application/vnd.openxmlformats-officedocument.spreadsheetml.worksheet+xml"/>
  <Override PartName="/xl/worksheets/sheet48.xml" ContentType="application/vnd.openxmlformats-officedocument.spreadsheetml.worksheet+xml"/>
  <Override PartName="/xl/worksheets/sheet49.xml" ContentType="application/vnd.openxmlformats-officedocument.spreadsheetml.worksheet+xml"/>
  <Override PartName="/xl/externalLinks/externalLink1.xml" ContentType="application/vnd.openxmlformats-officedocument.spreadsheetml.externalLink+xml"/>
  <Override PartName="/xl/externalLinks/externalLink2.xml" ContentType="application/vnd.openxmlformats-officedocument.spreadsheetml.externalLink+xml"/>
  <Override PartName="/xl/externalLinks/externalLink3.xml" ContentType="application/vnd.openxmlformats-officedocument.spreadsheetml.externalLink+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comments1.xml" ContentType="application/vnd.openxmlformats-officedocument.spreadsheetml.comments+xml"/>
  <Override PartName="/xl/comments2.xml" ContentType="application/vnd.openxmlformats-officedocument.spreadsheetml.comments+xml"/>
  <Override PartName="/xl/comments3.xml" ContentType="application/vnd.openxmlformats-officedocument.spreadsheetml.comments+xml"/>
  <Override PartName="/xl/drawings/drawing1.xml" ContentType="application/vnd.openxmlformats-officedocument.drawing+xml"/>
  <Override PartName="/xl/comments4.xml" ContentType="application/vnd.openxmlformats-officedocument.spreadsheetml.comments+xml"/>
  <Override PartName="/xl/comments5.xml" ContentType="application/vnd.openxmlformats-officedocument.spreadsheetml.comments+xml"/>
  <Override PartName="/xl/comments6.xml" ContentType="application/vnd.openxmlformats-officedocument.spreadsheetml.comments+xml"/>
  <Override PartName="/xl/comments7.xml" ContentType="application/vnd.openxmlformats-officedocument.spreadsheetml.comments+xml"/>
  <Override PartName="/xl/comments8.xml" ContentType="application/vnd.openxmlformats-officedocument.spreadsheetml.comments+xml"/>
  <Override PartName="/xl/comments9.xml" ContentType="application/vnd.openxmlformats-officedocument.spreadsheetml.comments+xml"/>
  <Override PartName="/xl/comments10.xml" ContentType="application/vnd.openxmlformats-officedocument.spreadsheetml.comments+xml"/>
  <Override PartName="/xl/comments11.xml" ContentType="application/vnd.openxmlformats-officedocument.spreadsheetml.comments+xml"/>
  <Override PartName="/xl/comments12.xml" ContentType="application/vnd.openxmlformats-officedocument.spreadsheetml.comments+xml"/>
  <Override PartName="/xl/comments13.xml" ContentType="application/vnd.openxmlformats-officedocument.spreadsheetml.comments+xml"/>
  <Override PartName="/xl/comments14.xml" ContentType="application/vnd.openxmlformats-officedocument.spreadsheetml.comments+xml"/>
  <Override PartName="/xl/comments15.xml" ContentType="application/vnd.openxmlformats-officedocument.spreadsheetml.comments+xml"/>
  <Override PartName="/xl/comments16.xml" ContentType="application/vnd.openxmlformats-officedocument.spreadsheetml.comments+xml"/>
  <Override PartName="/xl/comments17.xml" ContentType="application/vnd.openxmlformats-officedocument.spreadsheetml.comments+xml"/>
  <Override PartName="/xl/comments18.xml" ContentType="application/vnd.openxmlformats-officedocument.spreadsheetml.comments+xml"/>
  <Override PartName="/xl/comments19.xml" ContentType="application/vnd.openxmlformats-officedocument.spreadsheetml.comments+xml"/>
  <Override PartName="/xl/comments20.xml" ContentType="application/vnd.openxmlformats-officedocument.spreadsheetml.comments+xml"/>
  <Override PartName="/xl/comments21.xml" ContentType="application/vnd.openxmlformats-officedocument.spreadsheetml.comments+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fileVersion appName="xl" lastEdited="5" lowestEdited="5" rupBuild="9302"/>
  <workbookPr codeName="ThisWorkbook" defaultThemeVersion="124226"/>
  <bookViews>
    <workbookView xWindow="240" yWindow="4110" windowWidth="22290" windowHeight="5565" tabRatio="899" firstSheet="11" activeTab="18"/>
  </bookViews>
  <sheets>
    <sheet name="致函链接" sheetId="72" state="hidden" r:id="rId1"/>
    <sheet name="预评函-封皮" sheetId="48" state="hidden" r:id="rId2"/>
    <sheet name="预评函-1" sheetId="51" state="hidden" r:id="rId3"/>
    <sheet name="预评函-2" sheetId="53" state="hidden" r:id="rId4"/>
    <sheet name="预评函-3" sheetId="52" state="hidden" r:id="rId5"/>
    <sheet name="预评函-4" sheetId="62" state="hidden" r:id="rId6"/>
    <sheet name="预评函-5" sheetId="64" state="hidden" r:id="rId7"/>
    <sheet name="使用说明" sheetId="41" state="hidden" r:id="rId8"/>
    <sheet name="估价师及机构信息" sheetId="49" state="hidden" r:id="rId9"/>
    <sheet name="定义" sheetId="10" state="hidden" r:id="rId10"/>
    <sheet name="常用公式" sheetId="78" state="hidden" r:id="rId11"/>
    <sheet name="项目基本情况" sheetId="4" r:id="rId12"/>
    <sheet name="数据-基础表" sheetId="3" r:id="rId13"/>
    <sheet name="指标" sheetId="80" r:id="rId14"/>
    <sheet name="数据-汇总表" sheetId="6" r:id="rId15"/>
    <sheet name="数据-取费表" sheetId="1" r:id="rId16"/>
    <sheet name="估价对象房地状况" sheetId="20" r:id="rId17"/>
    <sheet name="系统读取表" sheetId="74" r:id="rId18"/>
    <sheet name="结果表" sheetId="9" r:id="rId19"/>
    <sheet name="成本法" sheetId="68" r:id="rId20"/>
    <sheet name="成本法 (元)" sheetId="69" state="hidden" r:id="rId21"/>
    <sheet name="假设开发法" sheetId="12" state="hidden" r:id="rId22"/>
    <sheet name="收益法 (元)" sheetId="67" state="hidden" r:id="rId23"/>
    <sheet name="收益法-酒店模型" sheetId="77" state="hidden" r:id="rId24"/>
    <sheet name="收益法（汇总）" sheetId="70" state="hidden" r:id="rId25"/>
    <sheet name="比较法-住宅" sheetId="21" state="hidden" r:id="rId26"/>
    <sheet name="比较法-商业" sheetId="33" state="hidden" r:id="rId27"/>
    <sheet name="比较法-办公" sheetId="34" state="hidden" r:id="rId28"/>
    <sheet name="比较法-工业" sheetId="37" state="hidden" r:id="rId29"/>
    <sheet name="比较法-车位" sheetId="35" state="hidden" r:id="rId30"/>
    <sheet name="比较法-仓储" sheetId="36" state="hidden" r:id="rId31"/>
    <sheet name="土地比较法-住宅、综合" sheetId="39" state="hidden" r:id="rId32"/>
    <sheet name="土地比较法-工业" sheetId="40" r:id="rId33"/>
    <sheet name="基准地价修正" sheetId="43" r:id="rId34"/>
    <sheet name="土地案例" sheetId="82" r:id="rId35"/>
    <sheet name="典型户型修正" sheetId="31" state="hidden" r:id="rId36"/>
    <sheet name="基准地价（汇总）" sheetId="76" state="hidden" r:id="rId37"/>
    <sheet name="收益法" sheetId="15" r:id="rId38"/>
    <sheet name="修正" sheetId="45" state="hidden" r:id="rId39"/>
    <sheet name="容积率修正" sheetId="46" state="hidden" r:id="rId40"/>
    <sheet name="成本法（废）" sheetId="11" state="hidden" r:id="rId41"/>
    <sheet name="区片价" sheetId="44" state="hidden" r:id="rId42"/>
    <sheet name="因素修正幅度" sheetId="65" state="hidden" r:id="rId43"/>
    <sheet name="区片价（范围）" sheetId="75" state="hidden" r:id="rId44"/>
    <sheet name="地价-分区" sheetId="79" state="hidden" r:id="rId45"/>
    <sheet name="地价" sheetId="71" state="hidden" r:id="rId46"/>
    <sheet name="存贷款利率" sheetId="73" state="hidden" r:id="rId47"/>
    <sheet name="案例" sheetId="83" r:id="rId48"/>
    <sheet name="租赁情况" sheetId="84" r:id="rId49"/>
  </sheets>
  <externalReferences>
    <externalReference r:id="rId50"/>
    <externalReference r:id="rId51"/>
    <externalReference r:id="rId52"/>
  </externalReferences>
  <definedNames>
    <definedName name="_xlnm._FilterDatabase" localSheetId="27" hidden="1">'比较法-办公'!$A$1:$L$50</definedName>
    <definedName name="_xlnm._FilterDatabase" localSheetId="30" hidden="1">'比较法-仓储'!$A$1:$L$37</definedName>
    <definedName name="_xlnm._FilterDatabase" localSheetId="29" hidden="1">'比较法-车位'!$A$1:$L$39</definedName>
    <definedName name="_xlnm._FilterDatabase" localSheetId="28" hidden="1">'比较法-工业'!$A$1:$L$43</definedName>
    <definedName name="_xlnm._FilterDatabase" localSheetId="26" hidden="1">'比较法-商业'!$A$1:$L$49</definedName>
    <definedName name="_xlnm._FilterDatabase" localSheetId="25" hidden="1">'比较法-住宅'!$A$1:$L$49</definedName>
    <definedName name="_xlnm._FilterDatabase" localSheetId="12" hidden="1">'数据-基础表'!$A$12:$AT$587</definedName>
    <definedName name="_xlnm._FilterDatabase" localSheetId="32" hidden="1">'土地比较法-工业'!$A$1:$L$43</definedName>
    <definedName name="_xlnm._FilterDatabase" localSheetId="31" hidden="1">'土地比较法-住宅、综合'!$A$1:$L$48</definedName>
    <definedName name="_xlnm._FilterDatabase" localSheetId="11" hidden="1">项目基本情况!$A$42:$N$42</definedName>
    <definedName name="_xlnm.Print_Area" localSheetId="27">'比较法-办公'!$A$1:$K$55,'比较法-办公'!$A$58:$M$132</definedName>
    <definedName name="_xlnm.Print_Area" localSheetId="30">'比较法-仓储'!$A$1:$K$42,'比较法-仓储'!$A$45:$M$96</definedName>
    <definedName name="_xlnm.Print_Area" localSheetId="29">'比较法-车位'!$A$1:$K$44,'比较法-车位'!$A$47:$M$102</definedName>
    <definedName name="_xlnm.Print_Area" localSheetId="28">'比较法-工业'!$A$1:$K$48,'比较法-工业'!$A$51:$M$113</definedName>
    <definedName name="_xlnm.Print_Area" localSheetId="26">'比较法-商业'!$A$1:$K$54,'比较法-商业'!$A$57:$M$131</definedName>
    <definedName name="_xlnm.Print_Area" localSheetId="25">'比较法-住宅'!$A$1:$K$54,'比较法-住宅'!$A$57:$M$131</definedName>
    <definedName name="_xlnm.Print_Area" localSheetId="19">成本法!$A$1:$G$57</definedName>
    <definedName name="_xlnm.Print_Area" localSheetId="20">'成本法 (元)'!$A$1:$G$57</definedName>
    <definedName name="_xlnm.Print_Area" localSheetId="16">估价对象房地状况!$A$1:$G$24</definedName>
    <definedName name="_xlnm.Print_Area" localSheetId="8">估价师及机构信息!$A$1:$G$22</definedName>
    <definedName name="_xlnm.Print_Area" localSheetId="36">'基准地价（汇总）'!$A$1:$E$13</definedName>
    <definedName name="_xlnm.Print_Area" localSheetId="33">基准地价修正!$A$1:$J$44,基准地价修正!$A$47:$H$101,基准地价修正!$R$1:$V$16</definedName>
    <definedName name="_xlnm.Print_Area" localSheetId="21">假设开发法!$A$1:$K$32</definedName>
    <definedName name="_xlnm.Print_Area" localSheetId="18">结果表!$A$1:$I$127</definedName>
    <definedName name="_xlnm.Print_Area" localSheetId="37">收益法!$A$1:$F$43,收益法!$H$3:$M$29,收益法!$A$46:$F$71,收益法!$I$46:$N$65</definedName>
    <definedName name="_xlnm.Print_Area" localSheetId="22">'收益法 (元)'!$A$1:$F$43,'收益法 (元)'!$H$3:$M$29,'收益法 (元)'!$A$45:$F$71,'收益法 (元)'!$I$46:$N$65</definedName>
    <definedName name="_xlnm.Print_Area" localSheetId="24">'收益法（汇总）'!$A$1:$F$13</definedName>
    <definedName name="_xlnm.Print_Area" localSheetId="14">'数据-汇总表'!$A$1:$P$32</definedName>
    <definedName name="_xlnm.Print_Area" localSheetId="32">'土地比较法-工业'!$A$1:$K$61,'土地比较法-工业'!$A$64:$M$121</definedName>
    <definedName name="_xlnm.Print_Area" localSheetId="31">'土地比较法-住宅、综合'!$A$1:$K$65,'土地比较法-住宅、综合'!$A$68:$M$131</definedName>
    <definedName name="_xlnm.Print_Area" localSheetId="17">系统读取表!$A$1:$I$26</definedName>
    <definedName name="_xlnm.Print_Area" localSheetId="11">项目基本情况!$A$1:$I$38</definedName>
    <definedName name="八级">区片价!$P$1:$P$44</definedName>
    <definedName name="办公层高">'比较法-办公'!$B$119:$M$119</definedName>
    <definedName name="办公朝向">'比较法-办公'!$B$91:$M$91</definedName>
    <definedName name="办公道路级别">'比较法-办公'!$B$87:$M$87</definedName>
    <definedName name="办公公共部分装修">'比较法-办公'!$B$108:$M$108</definedName>
    <definedName name="办公基础设施水平">'比较法-办公'!$B$117:$M$117</definedName>
    <definedName name="办公集聚程度">定义!$M$1:$M$6</definedName>
    <definedName name="办公建筑结构">'比较法-办公'!$B$106:$M$106</definedName>
    <definedName name="办公建筑类型">'比较法-办公'!$B$101:$M$101</definedName>
    <definedName name="办公交易情况">'比较法-办公'!$A$62:$M$62</definedName>
    <definedName name="办公楼层">'比较法-办公'!$B$89:$M$89</definedName>
    <definedName name="办公内部装修">'比较法-办公'!$B$123:$M$123</definedName>
    <definedName name="办公物业管理">'比较法-办公'!$B$115:$M$115</definedName>
    <definedName name="办公用途">'比较法-办公'!$B$64:$M$64</definedName>
    <definedName name="仓储公共部分装修">'比较法-仓储'!$B$77:$M$77</definedName>
    <definedName name="仓储交易情况">'比较法-仓储'!$A$49:$M$49</definedName>
    <definedName name="仓储楼层">'比较法-仓储'!$B$69:$M$69</definedName>
    <definedName name="仓储物业等级">'比较法-仓储'!$B$82:$M$82</definedName>
    <definedName name="仓储用途">'比较法-仓储'!$B$51:$M$51</definedName>
    <definedName name="产业集聚程度">定义!$N$1:$N$6</definedName>
    <definedName name="车位公共部分装修">'比较法-车位'!$B$83:$M$83</definedName>
    <definedName name="车位交易情况">'比较法-车位'!$A$51:$M$51</definedName>
    <definedName name="车位类型">'比较法-车位'!$B$93:$M$93</definedName>
    <definedName name="车位楼层">'比较法-车位'!$B$71:$M$71</definedName>
    <definedName name="车位配套类型">'比较法-车位'!$B$79:$M$79</definedName>
    <definedName name="车位物业等级">'比较法-车位'!$B$88:$M$88</definedName>
    <definedName name="车位用途">'比较法-车位'!$B$53:$M$53</definedName>
    <definedName name="城镇土地纳税等级分级范围">'数据-取费表'!$A$53:$A$63</definedName>
    <definedName name="单价内涵">定义!$V$1:$V$3</definedName>
    <definedName name="地类判定">定义!$H$1:$H$9</definedName>
    <definedName name="二级">区片价!$J$1:$J$21</definedName>
    <definedName name="二级分类">修正!$C$19:$C$51</definedName>
    <definedName name="法定最高年限">定义!$G$1:$G$6</definedName>
    <definedName name="工业公共部分装修">'比较法-工业'!$B$95:$M$95</definedName>
    <definedName name="工业基础设施水平">'比较法-工业'!$B$102:$M$102</definedName>
    <definedName name="工业建筑结构">'比较法-工业'!$B$93:$M$93</definedName>
    <definedName name="工业建筑类型">'比较法-工业'!$B$88:$M$88</definedName>
    <definedName name="工业交易情况">'比较法-工业'!$A$55:$M$55</definedName>
    <definedName name="工业内部装修">'比较法-工业'!$B$104:$M$104</definedName>
    <definedName name="工业物业管理">'比较法-工业'!$B$100:$M$100</definedName>
    <definedName name="工业用途">'比较法-工业'!$B$57:$M$57</definedName>
    <definedName name="公共配套设施">定义!$Q$1:$Q$6</definedName>
    <definedName name="估价范围判定">定义!$D$1:$D$4</definedName>
    <definedName name="估价方法">定义!$B$1:$B$50</definedName>
    <definedName name="环境">定义!$S$1:$S$6</definedName>
    <definedName name="基础设施水平">定义!$R$1:$R$6</definedName>
    <definedName name="季度">基准地价修正!$Q$19:$AD$19</definedName>
    <definedName name="价值类型2">定义!$B$54:$B$56</definedName>
    <definedName name="交通便捷度">定义!$O$1:$O$6</definedName>
    <definedName name="九级">区片价!$Q$1:$Q$51</definedName>
    <definedName name="居住社区成熟度">定义!$K$1:$K$6</definedName>
    <definedName name="类别">定义!$J$1:$J$3</definedName>
    <definedName name="临街状况">定义!$T$1:$T$5</definedName>
    <definedName name="六级">区片价!$N$1:$N$64</definedName>
    <definedName name="内部装修维护情况">定义!$U$1:$U$6</definedName>
    <definedName name="七级">区片价!$O$1:$O$45</definedName>
    <definedName name="七通一平">修正!$A$8:$A$16</definedName>
    <definedName name="区域土地利用方向">定义!$P$1:$P$6</definedName>
    <definedName name="三级">区片价!$K$1:$K$26</definedName>
    <definedName name="商业层高">'比较法-商业'!$B$116:$M$116</definedName>
    <definedName name="商业成新度">'比较法-商业'!$B$109:$M$109</definedName>
    <definedName name="商业繁华度">定义!$L$1:$L$6</definedName>
    <definedName name="商业公共部分装修">'比较法-商业'!$B$107:$M$107</definedName>
    <definedName name="商业基础设施水平">'比较法-商业'!$B$112:$M$112</definedName>
    <definedName name="商业建筑结构">'比较法-商业'!$B$105:$M$105</definedName>
    <definedName name="商业交易情况">'比较法-商业'!$A$61:$M$61</definedName>
    <definedName name="商业街名称">修正!$C$71:$C$138</definedName>
    <definedName name="商业进深比">'比较法-商业'!$B$120:$M$120</definedName>
    <definedName name="商业类型">'比较法-商业'!$B$100:$M$100</definedName>
    <definedName name="商业临街状况">'比较法-商业'!$B$86:$M$86</definedName>
    <definedName name="商业楼层">'比较法-商业'!$B$92:$M$92</definedName>
    <definedName name="商业内部装修">'比较法-商业'!$B$122:$M$122</definedName>
    <definedName name="商业人流量">'比较法-商业'!$B$90:$M$90</definedName>
    <definedName name="商业业态">'比较法-商业'!$B$114:$M$114</definedName>
    <definedName name="商业用途">'比较法-商业'!$B$63:$M$63</definedName>
    <definedName name="十二级">区片价!$T$1:$T$8</definedName>
    <definedName name="十级">区片价!$R$1:$R$32</definedName>
    <definedName name="十一级">区片价!$S$1:$S$21</definedName>
    <definedName name="是否封闭">'比较法-仓储'!$B$89:$M$89</definedName>
    <definedName name="是否直接入户">'比较法-车位'!$B$95:$M$95</definedName>
    <definedName name="四级">区片价!$L$1:$L$33</definedName>
    <definedName name="套工道路等级">'土地比较法-工业'!$B$97:$M$97</definedName>
    <definedName name="套工地质条件">'土地比较法-工业'!$B$114:$M$114</definedName>
    <definedName name="套工工程地质条件">'[1]比较法-工业'!$B$115:$M$115</definedName>
    <definedName name="套工交易情况">'土地比较法-住宅、综合'!$A$72:$M$72</definedName>
    <definedName name="套工开发程度">'[1]比较法-工业'!$B$113:$M$113</definedName>
    <definedName name="套工临街等级">'[1]比较法-工业'!$B$98:$M$98</definedName>
    <definedName name="套工土地级别">'土地比较法-工业'!$B$99:$M$99</definedName>
    <definedName name="套工用途">'土地比较法-工业'!$B$70:$M$70</definedName>
    <definedName name="套工宗地开发程度">'土地比较法-工业'!$B$112:$M$112</definedName>
    <definedName name="套工宗地形状">'土地比较法-工业'!$B$110:$M$110</definedName>
    <definedName name="套综道路等级">'土地比较法-住宅、综合'!$B$105:$M$105</definedName>
    <definedName name="套综工程地质条件">'土地比较法-住宅、综合'!$B$124:$M$124</definedName>
    <definedName name="套综交易情况">'土地比较法-住宅、综合'!$A$72:$M$72</definedName>
    <definedName name="套综临街宽度及深度">'土地比较法-住宅、综合'!$B$120:$M$120</definedName>
    <definedName name="套综土地级别">'土地比较法-住宅、综合'!$B$107:$M$107</definedName>
    <definedName name="套综用途">'土地比较法-住宅、综合'!$B$74:$M$74</definedName>
    <definedName name="套综宗地内开发程度">'土地比较法-住宅、综合'!$B$122:$M$122</definedName>
    <definedName name="套综宗地形状">'土地比较法-住宅、综合'!$B$118:$M$118</definedName>
    <definedName name="土地估价师">估价师及机构信息!$D$3:$D$24</definedName>
    <definedName name="土地级别">定义!$C$1:$C$14</definedName>
    <definedName name="土地利用方向">定义!$P$1:$P$6</definedName>
    <definedName name="土地年限区间">定义!$I$1:$I$16</definedName>
    <definedName name="位置">定义!$E$2:$E$4</definedName>
    <definedName name="五等判定">定义!$W$1:$W$6</definedName>
    <definedName name="五级">区片价!$M$1:$M$41</definedName>
    <definedName name="项目类型" localSheetId="23">'[2]数据-汇总表'!$C$17:$C$26</definedName>
    <definedName name="项目类型">'数据-汇总表'!$C$17:$C$26</definedName>
    <definedName name="写字楼等级">'比较法-办公'!$B$113:$M$113</definedName>
    <definedName name="一级">区片价!$I$1:$I$6</definedName>
    <definedName name="一修多修正项2">典型户型修正!$5:$5</definedName>
    <definedName name="一修多修正项3">典型户型修正!$7:$7</definedName>
    <definedName name="一修多修正项4">典型户型修正!$9:$9</definedName>
    <definedName name="一修多修正项5">典型户型修正!$11:$11</definedName>
    <definedName name="一修多修正项6">典型户型修正!$13:$13</definedName>
    <definedName name="一修多修正项7">典型户型修正!$15:$15</definedName>
    <definedName name="一修多修正项8">典型户型修正!$17:$17</definedName>
    <definedName name="用途类型">[1]定义!$A$1:$A$50</definedName>
    <definedName name="用途明细">定义!$A$1:$A$50</definedName>
    <definedName name="有无电梯">'比较法-仓储'!$B$84:$M$84</definedName>
    <definedName name="主用途">定义!$F$1:$F$12</definedName>
    <definedName name="住宅朝向">'比较法-住宅'!$B$88:$M$88</definedName>
    <definedName name="住宅房型">'比较法-住宅'!$B$118:$M$118</definedName>
    <definedName name="住宅公共部分装修">'比较法-住宅'!$B$109:$M$109</definedName>
    <definedName name="住宅基础设施水平">'比较法-住宅'!$B$116:$M$116</definedName>
    <definedName name="住宅建筑结构">'比较法-住宅'!$B$105:$M$105</definedName>
    <definedName name="住宅建筑类型">'比较法-住宅'!$B$100:$M$100</definedName>
    <definedName name="住宅建筑品质">'比较法-住宅'!$B$107:$M$107</definedName>
    <definedName name="住宅交易情况">'比较法-住宅'!$A$61:$M$61</definedName>
    <definedName name="住宅楼层">'比较法-住宅'!$B$86:$M$86</definedName>
    <definedName name="住宅内部装修">'比较法-住宅'!$B$122:$M$122</definedName>
    <definedName name="住宅物业管理">'比较法-住宅'!$B$114:$M$114</definedName>
    <definedName name="住宅用途">'比较法-住宅'!$B$63:$M$63</definedName>
    <definedName name="住宅主力户型面积">'比较法-住宅'!$B$120:$M$120</definedName>
    <definedName name="注册房地产估价师">估价师及机构信息!$A$3:$A$16</definedName>
  </definedNames>
  <calcPr calcId="144525"/>
</workbook>
</file>

<file path=xl/calcChain.xml><?xml version="1.0" encoding="utf-8"?>
<calcChain xmlns="http://schemas.openxmlformats.org/spreadsheetml/2006/main">
  <c r="V20" i="1" l="1"/>
  <c r="AH6" i="1" s="1"/>
  <c r="W20" i="1"/>
  <c r="C6" i="68" l="1"/>
  <c r="D40" i="43"/>
  <c r="D33" i="43"/>
  <c r="J21" i="9"/>
  <c r="J20" i="9"/>
  <c r="J19" i="9"/>
  <c r="K20" i="3"/>
  <c r="AS19" i="82" l="1"/>
  <c r="AQ19" i="82"/>
  <c r="N18" i="1"/>
  <c r="AU3" i="82" l="1"/>
  <c r="Y6" i="1" l="1"/>
  <c r="J52" i="15"/>
  <c r="J49" i="15"/>
  <c r="B59" i="1"/>
  <c r="B35" i="1"/>
  <c r="B21" i="1"/>
  <c r="E66" i="40"/>
  <c r="F66" i="40"/>
  <c r="G66" i="40"/>
  <c r="H66" i="40"/>
  <c r="I66" i="40" s="1"/>
  <c r="J66" i="40" s="1"/>
  <c r="K66" i="40" s="1"/>
  <c r="L66" i="40" s="1"/>
  <c r="M66" i="40" s="1"/>
  <c r="N66" i="40" s="1"/>
  <c r="O66" i="40" s="1"/>
  <c r="D66" i="40"/>
  <c r="I41" i="40"/>
  <c r="G41" i="40"/>
  <c r="E41" i="40"/>
  <c r="G114" i="40"/>
  <c r="F114" i="40"/>
  <c r="E114" i="40"/>
  <c r="D114" i="40"/>
  <c r="C114" i="40"/>
  <c r="G112" i="40"/>
  <c r="F112" i="40"/>
  <c r="E112" i="40"/>
  <c r="D112" i="40"/>
  <c r="C112" i="40"/>
  <c r="F109" i="40"/>
  <c r="C109" i="40"/>
  <c r="D109" i="40"/>
  <c r="I34" i="40"/>
  <c r="G34" i="40"/>
  <c r="E34" i="40"/>
  <c r="C34" i="40"/>
  <c r="I11" i="40"/>
  <c r="G11" i="40"/>
  <c r="E11" i="40"/>
  <c r="K2" i="82"/>
  <c r="C10" i="40"/>
  <c r="F70" i="40"/>
  <c r="E70" i="40"/>
  <c r="D70" i="40"/>
  <c r="I7" i="40"/>
  <c r="G7" i="40"/>
  <c r="E7" i="40"/>
  <c r="I5" i="40"/>
  <c r="G5" i="40"/>
  <c r="E5" i="40"/>
  <c r="C5" i="40"/>
  <c r="B6" i="78"/>
  <c r="N6" i="1" l="1"/>
  <c r="N20" i="1"/>
  <c r="M30" i="1"/>
  <c r="L26" i="1" l="1"/>
  <c r="N26" i="1" s="1"/>
  <c r="I15" i="3" l="1"/>
  <c r="K15" i="3"/>
  <c r="I19" i="3"/>
  <c r="I18" i="3"/>
  <c r="I17" i="3"/>
  <c r="I16" i="3"/>
  <c r="I14" i="3"/>
  <c r="I13" i="3"/>
  <c r="M4" i="80"/>
  <c r="I13" i="4" l="1"/>
  <c r="C11" i="4"/>
  <c r="D3" i="4"/>
  <c r="I7" i="79" l="1"/>
  <c r="I29" i="79" l="1"/>
  <c r="I28" i="79"/>
  <c r="N28" i="79"/>
  <c r="M28" i="79"/>
  <c r="P28" i="79" s="1"/>
  <c r="L28" i="79"/>
  <c r="N29" i="79"/>
  <c r="M29" i="79"/>
  <c r="L29" i="79"/>
  <c r="P6" i="79"/>
  <c r="O6" i="79"/>
  <c r="N6" i="79"/>
  <c r="M6" i="79"/>
  <c r="L6" i="79"/>
  <c r="K6" i="79"/>
  <c r="O7" i="79"/>
  <c r="N7" i="79"/>
  <c r="M7" i="79"/>
  <c r="P7" i="79" s="1"/>
  <c r="L7" i="79"/>
  <c r="K7" i="79"/>
  <c r="P29" i="79" l="1"/>
  <c r="G14" i="73" l="1"/>
  <c r="F14" i="73"/>
  <c r="E14" i="73"/>
  <c r="E7" i="1" l="1"/>
  <c r="E8" i="1"/>
  <c r="E9" i="1"/>
  <c r="E10" i="1"/>
  <c r="E11" i="1"/>
  <c r="E12" i="1"/>
  <c r="E13" i="1"/>
  <c r="L30" i="79" l="1"/>
  <c r="M30" i="79"/>
  <c r="P30" i="79" s="1"/>
  <c r="N30" i="79"/>
  <c r="L31" i="79"/>
  <c r="M31" i="79"/>
  <c r="P31" i="79" s="1"/>
  <c r="N31" i="79"/>
  <c r="L32" i="79"/>
  <c r="M32" i="79"/>
  <c r="N32" i="79"/>
  <c r="I30" i="79"/>
  <c r="I31" i="79"/>
  <c r="I32" i="79"/>
  <c r="I8" i="79"/>
  <c r="I9" i="79"/>
  <c r="I10" i="79"/>
  <c r="K8" i="79"/>
  <c r="L8" i="79"/>
  <c r="M8" i="79"/>
  <c r="P8" i="79" s="1"/>
  <c r="N8" i="79"/>
  <c r="O8" i="79"/>
  <c r="K9" i="79"/>
  <c r="L9" i="79"/>
  <c r="M9" i="79"/>
  <c r="P9" i="79" s="1"/>
  <c r="N9" i="79"/>
  <c r="O9" i="79"/>
  <c r="K10" i="79"/>
  <c r="L10" i="79"/>
  <c r="M10" i="79"/>
  <c r="P10" i="79" s="1"/>
  <c r="N10" i="79"/>
  <c r="O10" i="79"/>
  <c r="P32" i="79" l="1"/>
  <c r="B10" i="74"/>
  <c r="AH5" i="71" l="1"/>
  <c r="AG5" i="71"/>
  <c r="AE5" i="71"/>
  <c r="AF5" i="71" s="1"/>
  <c r="AD5" i="71"/>
  <c r="AB5" i="71"/>
  <c r="AA5" i="71"/>
  <c r="Y5" i="71"/>
  <c r="Z5" i="71" s="1"/>
  <c r="X5" i="71"/>
  <c r="Q5" i="71"/>
  <c r="P5" i="71"/>
  <c r="O5" i="71"/>
  <c r="N5" i="71"/>
  <c r="AH6" i="71"/>
  <c r="AG6" i="71"/>
  <c r="AE6" i="71"/>
  <c r="AF6" i="71" s="1"/>
  <c r="AD6" i="71"/>
  <c r="AB6" i="71"/>
  <c r="AA6" i="71"/>
  <c r="Y6" i="71"/>
  <c r="Z6" i="71" s="1"/>
  <c r="X6" i="71"/>
  <c r="Q6" i="71"/>
  <c r="P6" i="71"/>
  <c r="O6" i="71"/>
  <c r="N6" i="71"/>
  <c r="AH7" i="71"/>
  <c r="AG7" i="71"/>
  <c r="AE7" i="71"/>
  <c r="AF7" i="71" s="1"/>
  <c r="AD7" i="71"/>
  <c r="AB7" i="71"/>
  <c r="AA7" i="71"/>
  <c r="Y7" i="71"/>
  <c r="Z7" i="71" s="1"/>
  <c r="X7" i="71"/>
  <c r="Q7" i="71"/>
  <c r="P7" i="71"/>
  <c r="O7" i="71"/>
  <c r="N7" i="71"/>
  <c r="B2" i="77"/>
  <c r="B3" i="78"/>
  <c r="C7" i="78" l="1"/>
  <c r="C6" i="78"/>
  <c r="C5" i="78"/>
  <c r="F13" i="1"/>
  <c r="D13" i="1"/>
  <c r="D12" i="1"/>
  <c r="D11" i="1"/>
  <c r="D10" i="1"/>
  <c r="D9" i="1"/>
  <c r="D8" i="1"/>
  <c r="D7" i="1"/>
  <c r="D6" i="1"/>
  <c r="I2" i="43" l="1"/>
  <c r="M1" i="43" s="1"/>
  <c r="F116" i="43" l="1"/>
  <c r="N111" i="43"/>
  <c r="N112" i="43" s="1"/>
  <c r="M111" i="43"/>
  <c r="M112" i="43" s="1"/>
  <c r="L111" i="43"/>
  <c r="L112" i="43" s="1"/>
  <c r="K111" i="43"/>
  <c r="K112" i="43" s="1"/>
  <c r="J111" i="43"/>
  <c r="J112" i="43" s="1"/>
  <c r="I111" i="43"/>
  <c r="I112" i="43" s="1"/>
  <c r="H111" i="43"/>
  <c r="H112" i="43" s="1"/>
  <c r="G111" i="43"/>
  <c r="G112" i="43" s="1"/>
  <c r="F111" i="43"/>
  <c r="F112" i="43" s="1"/>
  <c r="E111" i="43"/>
  <c r="E112" i="43" s="1"/>
  <c r="D111" i="43"/>
  <c r="D112" i="43" s="1"/>
  <c r="C111" i="43"/>
  <c r="C112" i="43" s="1"/>
  <c r="M101" i="43"/>
  <c r="N101" i="43" s="1"/>
  <c r="K101" i="43"/>
  <c r="J101" i="43" s="1"/>
  <c r="M100" i="43"/>
  <c r="N100" i="43" s="1"/>
  <c r="K100" i="43"/>
  <c r="J100" i="43" s="1"/>
  <c r="M99" i="43"/>
  <c r="N99" i="43" s="1"/>
  <c r="K99" i="43"/>
  <c r="J99" i="43" s="1"/>
  <c r="M98" i="43"/>
  <c r="N98" i="43" s="1"/>
  <c r="K98" i="43"/>
  <c r="J98" i="43" s="1"/>
  <c r="M97" i="43"/>
  <c r="N97" i="43" s="1"/>
  <c r="K97" i="43"/>
  <c r="J97" i="43" s="1"/>
  <c r="M96" i="43"/>
  <c r="N96" i="43" s="1"/>
  <c r="K96" i="43"/>
  <c r="J96" i="43" s="1"/>
  <c r="M95" i="43"/>
  <c r="N95" i="43" s="1"/>
  <c r="K95" i="43"/>
  <c r="J95" i="43" s="1"/>
  <c r="M94" i="43"/>
  <c r="N94" i="43" s="1"/>
  <c r="K94" i="43"/>
  <c r="J94" i="43" s="1"/>
  <c r="M93" i="43"/>
  <c r="N93" i="43" s="1"/>
  <c r="K93" i="43"/>
  <c r="J93" i="43" s="1"/>
  <c r="B101" i="43"/>
  <c r="B100" i="43"/>
  <c r="B99" i="43"/>
  <c r="B97" i="43"/>
  <c r="B95" i="43"/>
  <c r="B94" i="43"/>
  <c r="D101" i="43"/>
  <c r="D100" i="43"/>
  <c r="D99" i="43"/>
  <c r="D98" i="43"/>
  <c r="D97" i="43"/>
  <c r="D96" i="43"/>
  <c r="D95" i="43"/>
  <c r="D94" i="43"/>
  <c r="D93" i="43"/>
  <c r="Y10" i="43"/>
  <c r="AJ9" i="43"/>
  <c r="AJ10" i="43" s="1"/>
  <c r="AI9" i="43"/>
  <c r="AI10" i="43" s="1"/>
  <c r="AH9" i="43"/>
  <c r="AH10" i="43" s="1"/>
  <c r="AG9" i="43"/>
  <c r="AG10" i="43" s="1"/>
  <c r="AF9" i="43"/>
  <c r="AF10" i="43" s="1"/>
  <c r="AE9" i="43"/>
  <c r="AE10" i="43" s="1"/>
  <c r="AD9" i="43"/>
  <c r="AD10" i="43" s="1"/>
  <c r="AC9" i="43"/>
  <c r="AC10" i="43" s="1"/>
  <c r="AB9" i="43"/>
  <c r="AB10" i="43" s="1"/>
  <c r="AA9" i="43"/>
  <c r="AA10" i="43" s="1"/>
  <c r="Z9" i="43"/>
  <c r="Z10" i="43" s="1"/>
  <c r="M23" i="43"/>
  <c r="G24" i="43"/>
  <c r="I23" i="43"/>
  <c r="G17" i="43"/>
  <c r="C13" i="43"/>
  <c r="N12" i="43"/>
  <c r="G2" i="43"/>
  <c r="AB40" i="79"/>
  <c r="AA40" i="79"/>
  <c r="Z40" i="79"/>
  <c r="W40" i="79"/>
  <c r="N40" i="79"/>
  <c r="M40" i="79"/>
  <c r="P40" i="79" s="1"/>
  <c r="L40" i="79"/>
  <c r="I40" i="79"/>
  <c r="AD40" i="79" s="1"/>
  <c r="AB39" i="79"/>
  <c r="AA39" i="79"/>
  <c r="Z39" i="79"/>
  <c r="N39" i="79"/>
  <c r="U39" i="79" s="1"/>
  <c r="M39" i="79"/>
  <c r="L39" i="79"/>
  <c r="S39" i="79" s="1"/>
  <c r="I39" i="79"/>
  <c r="AD39" i="79" s="1"/>
  <c r="AB38" i="79"/>
  <c r="AA38" i="79"/>
  <c r="Z38" i="79"/>
  <c r="N38" i="79"/>
  <c r="U38" i="79" s="1"/>
  <c r="M38" i="79"/>
  <c r="L38" i="79"/>
  <c r="S38" i="79" s="1"/>
  <c r="I38" i="79"/>
  <c r="AD38" i="79" s="1"/>
  <c r="AB37" i="79"/>
  <c r="AA37" i="79"/>
  <c r="Z37" i="79"/>
  <c r="N37" i="79"/>
  <c r="U37" i="79" s="1"/>
  <c r="M37" i="79"/>
  <c r="L37" i="79"/>
  <c r="S37" i="79" s="1"/>
  <c r="I37" i="79"/>
  <c r="AD37" i="79" s="1"/>
  <c r="AB36" i="79"/>
  <c r="AA36" i="79"/>
  <c r="Z36" i="79"/>
  <c r="N36" i="79"/>
  <c r="U36" i="79" s="1"/>
  <c r="M36" i="79"/>
  <c r="L36" i="79"/>
  <c r="S36" i="79" s="1"/>
  <c r="I36" i="79"/>
  <c r="AD36" i="79" s="1"/>
  <c r="AB35" i="79"/>
  <c r="AA35" i="79"/>
  <c r="Z35" i="79"/>
  <c r="N35" i="79"/>
  <c r="U35" i="79" s="1"/>
  <c r="M35" i="79"/>
  <c r="L35" i="79"/>
  <c r="S35" i="79" s="1"/>
  <c r="I35" i="79"/>
  <c r="AD35" i="79" s="1"/>
  <c r="AB34" i="79"/>
  <c r="AA34" i="79"/>
  <c r="Z34" i="79"/>
  <c r="N34" i="79"/>
  <c r="U34" i="79" s="1"/>
  <c r="M34" i="79"/>
  <c r="T34" i="79" s="1"/>
  <c r="L34" i="79"/>
  <c r="I34" i="79"/>
  <c r="AD34" i="79" s="1"/>
  <c r="AB33" i="79"/>
  <c r="AA33" i="79"/>
  <c r="Z33" i="79"/>
  <c r="N33" i="79"/>
  <c r="U28" i="79" s="1"/>
  <c r="M33" i="79"/>
  <c r="T28" i="79" s="1"/>
  <c r="W28" i="79" s="1"/>
  <c r="L33" i="79"/>
  <c r="S28" i="79" s="1"/>
  <c r="I33" i="79"/>
  <c r="AB27" i="79"/>
  <c r="AA27" i="79"/>
  <c r="Z27" i="79"/>
  <c r="N27" i="79"/>
  <c r="M27" i="79"/>
  <c r="T27" i="79" s="1"/>
  <c r="L27" i="79"/>
  <c r="I27" i="79"/>
  <c r="AD27" i="79" s="1"/>
  <c r="AA25" i="79"/>
  <c r="AD25" i="79" s="1"/>
  <c r="U25" i="79"/>
  <c r="T25" i="79"/>
  <c r="W25" i="79" s="1"/>
  <c r="N25" i="79"/>
  <c r="M25" i="79"/>
  <c r="P25" i="79" s="1"/>
  <c r="L25" i="79"/>
  <c r="G25" i="79"/>
  <c r="F25" i="79"/>
  <c r="I25" i="79" s="1"/>
  <c r="E25" i="79"/>
  <c r="AC18" i="79"/>
  <c r="AB18" i="79"/>
  <c r="AA18" i="79"/>
  <c r="AD18" i="79" s="1"/>
  <c r="Z18" i="79"/>
  <c r="Y18" i="79"/>
  <c r="W18" i="79"/>
  <c r="P18" i="79"/>
  <c r="O18" i="79"/>
  <c r="N18" i="79"/>
  <c r="M18" i="79"/>
  <c r="L18" i="79"/>
  <c r="K18" i="79"/>
  <c r="I18" i="79"/>
  <c r="AC17" i="79"/>
  <c r="AB17" i="79"/>
  <c r="AA17" i="79"/>
  <c r="AD17" i="79" s="1"/>
  <c r="Z17" i="79"/>
  <c r="Y17" i="79"/>
  <c r="O17" i="79"/>
  <c r="V17" i="79" s="1"/>
  <c r="N17" i="79"/>
  <c r="U17" i="79" s="1"/>
  <c r="M17" i="79"/>
  <c r="L17" i="79"/>
  <c r="S17" i="79" s="1"/>
  <c r="K17" i="79"/>
  <c r="R17" i="79" s="1"/>
  <c r="I17" i="79"/>
  <c r="AD16" i="79"/>
  <c r="AC16" i="79"/>
  <c r="AB16" i="79"/>
  <c r="AA16" i="79"/>
  <c r="Z16" i="79"/>
  <c r="Y16" i="79"/>
  <c r="O16" i="79"/>
  <c r="V16" i="79" s="1"/>
  <c r="N16" i="79"/>
  <c r="U16" i="79" s="1"/>
  <c r="M16" i="79"/>
  <c r="T16" i="79" s="1"/>
  <c r="W16" i="79" s="1"/>
  <c r="L16" i="79"/>
  <c r="S16" i="79" s="1"/>
  <c r="K16" i="79"/>
  <c r="R16" i="79" s="1"/>
  <c r="I16" i="79"/>
  <c r="AC15" i="79"/>
  <c r="AB15" i="79"/>
  <c r="AA15" i="79"/>
  <c r="AD15" i="79" s="1"/>
  <c r="Z15" i="79"/>
  <c r="Y15" i="79"/>
  <c r="O15" i="79"/>
  <c r="V15" i="79" s="1"/>
  <c r="N15" i="79"/>
  <c r="U15" i="79" s="1"/>
  <c r="M15" i="79"/>
  <c r="L15" i="79"/>
  <c r="S15" i="79" s="1"/>
  <c r="K15" i="79"/>
  <c r="R15" i="79" s="1"/>
  <c r="I15" i="79"/>
  <c r="AD14" i="79"/>
  <c r="AC14" i="79"/>
  <c r="AB14" i="79"/>
  <c r="AA14" i="79"/>
  <c r="Z14" i="79"/>
  <c r="Y14" i="79"/>
  <c r="O14" i="79"/>
  <c r="V14" i="79" s="1"/>
  <c r="N14" i="79"/>
  <c r="U14" i="79" s="1"/>
  <c r="M14" i="79"/>
  <c r="T14" i="79" s="1"/>
  <c r="W14" i="79" s="1"/>
  <c r="L14" i="79"/>
  <c r="S14" i="79" s="1"/>
  <c r="K14" i="79"/>
  <c r="R14" i="79" s="1"/>
  <c r="I14" i="79"/>
  <c r="AC13" i="79"/>
  <c r="AB13" i="79"/>
  <c r="AA13" i="79"/>
  <c r="AD13" i="79" s="1"/>
  <c r="Z13" i="79"/>
  <c r="Y13" i="79"/>
  <c r="O13" i="79"/>
  <c r="V13" i="79" s="1"/>
  <c r="N13" i="79"/>
  <c r="U13" i="79" s="1"/>
  <c r="M13" i="79"/>
  <c r="L13" i="79"/>
  <c r="S13" i="79" s="1"/>
  <c r="K13" i="79"/>
  <c r="R13" i="79" s="1"/>
  <c r="I13" i="79"/>
  <c r="AC12" i="79"/>
  <c r="AB12" i="79"/>
  <c r="AA12" i="79"/>
  <c r="AD12" i="79" s="1"/>
  <c r="Z12" i="79"/>
  <c r="Y12" i="79"/>
  <c r="O12" i="79"/>
  <c r="V12" i="79" s="1"/>
  <c r="N12" i="79"/>
  <c r="U12" i="79" s="1"/>
  <c r="M12" i="79"/>
  <c r="T12" i="79" s="1"/>
  <c r="W12" i="79" s="1"/>
  <c r="L12" i="79"/>
  <c r="S12" i="79" s="1"/>
  <c r="K12" i="79"/>
  <c r="R12" i="79" s="1"/>
  <c r="I12" i="79"/>
  <c r="AC11" i="79"/>
  <c r="AB11" i="79"/>
  <c r="AA11" i="79"/>
  <c r="AD11" i="79" s="1"/>
  <c r="Z11" i="79"/>
  <c r="Y11" i="79"/>
  <c r="O11" i="79"/>
  <c r="N11" i="79"/>
  <c r="U3" i="79" s="1"/>
  <c r="M11" i="79"/>
  <c r="L11" i="79"/>
  <c r="K11" i="79"/>
  <c r="I11" i="79"/>
  <c r="AC5" i="79"/>
  <c r="AC3" i="79" s="1"/>
  <c r="AB5" i="79"/>
  <c r="AB3" i="79" s="1"/>
  <c r="AA5" i="79"/>
  <c r="AD5" i="79" s="1"/>
  <c r="Z5" i="79"/>
  <c r="Z3" i="79" s="1"/>
  <c r="Y5" i="79"/>
  <c r="Y3" i="79" s="1"/>
  <c r="O5" i="79"/>
  <c r="O3" i="79" s="1"/>
  <c r="N5" i="79"/>
  <c r="M5" i="79"/>
  <c r="P5" i="79" s="1"/>
  <c r="L5" i="79"/>
  <c r="K5" i="79"/>
  <c r="K3" i="79" s="1"/>
  <c r="I5" i="79"/>
  <c r="V3" i="79"/>
  <c r="S3" i="79"/>
  <c r="N3" i="79"/>
  <c r="L3" i="79"/>
  <c r="H3" i="79"/>
  <c r="G3" i="79"/>
  <c r="F3" i="79"/>
  <c r="I3" i="79" s="1"/>
  <c r="E3" i="79"/>
  <c r="D3" i="79"/>
  <c r="T371" i="46"/>
  <c r="S371" i="46"/>
  <c r="R371" i="46"/>
  <c r="U279" i="46"/>
  <c r="T279" i="46"/>
  <c r="S279" i="46"/>
  <c r="R279" i="46"/>
  <c r="T187" i="46"/>
  <c r="S187" i="46"/>
  <c r="R187" i="46"/>
  <c r="T95" i="46"/>
  <c r="S95" i="46"/>
  <c r="R95" i="46"/>
  <c r="T3" i="46"/>
  <c r="S3" i="46"/>
  <c r="R3" i="46"/>
  <c r="M17" i="45"/>
  <c r="L17" i="45"/>
  <c r="K17" i="45"/>
  <c r="J17" i="45"/>
  <c r="I17" i="45"/>
  <c r="H17" i="45"/>
  <c r="G17" i="45"/>
  <c r="F17" i="45"/>
  <c r="E17" i="45"/>
  <c r="D17" i="45"/>
  <c r="C17" i="45"/>
  <c r="B17" i="45"/>
  <c r="I15" i="4"/>
  <c r="F10" i="1" s="1"/>
  <c r="I24" i="43" s="1"/>
  <c r="K47" i="78"/>
  <c r="K46" i="78"/>
  <c r="K45" i="78"/>
  <c r="K41" i="78"/>
  <c r="K40" i="78"/>
  <c r="K39" i="78"/>
  <c r="K38" i="78"/>
  <c r="K37" i="78"/>
  <c r="K36" i="78"/>
  <c r="K35" i="78"/>
  <c r="K23" i="78"/>
  <c r="K24" i="78"/>
  <c r="K25" i="78"/>
  <c r="K26" i="78"/>
  <c r="K27" i="78"/>
  <c r="K28" i="78"/>
  <c r="K29" i="78"/>
  <c r="K30" i="78"/>
  <c r="K22" i="78"/>
  <c r="S27" i="79" l="1"/>
  <c r="M3" i="79"/>
  <c r="P3" i="79" s="1"/>
  <c r="T3" i="79"/>
  <c r="W3" i="79" s="1"/>
  <c r="U27" i="79"/>
  <c r="AD33" i="79"/>
  <c r="T32" i="79"/>
  <c r="T30" i="79"/>
  <c r="T33" i="79"/>
  <c r="T31" i="79"/>
  <c r="T29" i="79"/>
  <c r="W29" i="79" s="1"/>
  <c r="S34" i="79"/>
  <c r="T35" i="79"/>
  <c r="W35" i="79" s="1"/>
  <c r="T37" i="79"/>
  <c r="W37" i="79" s="1"/>
  <c r="T39" i="79"/>
  <c r="W39" i="79" s="1"/>
  <c r="S33" i="79"/>
  <c r="S31" i="79"/>
  <c r="S32" i="79"/>
  <c r="S30" i="79"/>
  <c r="S29" i="79"/>
  <c r="U33" i="79"/>
  <c r="U31" i="79"/>
  <c r="U32" i="79"/>
  <c r="U30" i="79"/>
  <c r="U29" i="79"/>
  <c r="T36" i="79"/>
  <c r="W36" i="79" s="1"/>
  <c r="T38" i="79"/>
  <c r="W38" i="79" s="1"/>
  <c r="S7" i="79"/>
  <c r="S10" i="79"/>
  <c r="S11" i="79"/>
  <c r="S6" i="79"/>
  <c r="U7" i="79"/>
  <c r="U10" i="79"/>
  <c r="U11" i="79"/>
  <c r="U6" i="79"/>
  <c r="P15" i="79"/>
  <c r="T15" i="79"/>
  <c r="W15" i="79" s="1"/>
  <c r="R7" i="79"/>
  <c r="R10" i="79"/>
  <c r="R11" i="79"/>
  <c r="R6" i="79"/>
  <c r="T7" i="79"/>
  <c r="W7" i="79" s="1"/>
  <c r="T10" i="79"/>
  <c r="W10" i="79" s="1"/>
  <c r="T11" i="79"/>
  <c r="W11" i="79" s="1"/>
  <c r="T6" i="79"/>
  <c r="W6" i="79" s="1"/>
  <c r="V7" i="79"/>
  <c r="V10" i="79"/>
  <c r="V11" i="79"/>
  <c r="V6" i="79"/>
  <c r="P13" i="79"/>
  <c r="T13" i="79"/>
  <c r="W13" i="79" s="1"/>
  <c r="P17" i="79"/>
  <c r="T17" i="79"/>
  <c r="W17" i="79" s="1"/>
  <c r="AA3" i="79"/>
  <c r="AD3" i="79" s="1"/>
  <c r="W30" i="79"/>
  <c r="W32" i="79"/>
  <c r="W31" i="79"/>
  <c r="W27" i="79"/>
  <c r="AB25" i="79"/>
  <c r="R8" i="79"/>
  <c r="R5" i="79"/>
  <c r="R9" i="79"/>
  <c r="P11" i="79"/>
  <c r="T9" i="79"/>
  <c r="W9" i="79" s="1"/>
  <c r="T8" i="79"/>
  <c r="W8" i="79" s="1"/>
  <c r="T5" i="79"/>
  <c r="W5" i="79" s="1"/>
  <c r="V8" i="79"/>
  <c r="V5" i="79"/>
  <c r="V9" i="79"/>
  <c r="S9" i="79"/>
  <c r="S5" i="79"/>
  <c r="S8" i="79"/>
  <c r="U9" i="79"/>
  <c r="U5" i="79"/>
  <c r="U8" i="79"/>
  <c r="S25" i="79"/>
  <c r="P14" i="79"/>
  <c r="P16" i="79"/>
  <c r="R3" i="79"/>
  <c r="Z25" i="79"/>
  <c r="W34" i="79"/>
  <c r="W33" i="79"/>
  <c r="P12" i="79"/>
  <c r="C27" i="43"/>
  <c r="S6" i="43"/>
  <c r="S5" i="43"/>
  <c r="S4" i="43"/>
  <c r="S2" i="43"/>
  <c r="E93" i="43"/>
  <c r="B91" i="43" s="1"/>
  <c r="N21" i="43"/>
  <c r="S3" i="43"/>
  <c r="H116" i="43"/>
  <c r="F37" i="43"/>
  <c r="F38" i="43"/>
  <c r="F39" i="43"/>
  <c r="F40" i="43"/>
  <c r="F41" i="43"/>
  <c r="F42" i="43"/>
  <c r="N1" i="43"/>
  <c r="M2" i="43"/>
  <c r="N2" i="43"/>
  <c r="M3" i="43"/>
  <c r="N3" i="43"/>
  <c r="M4" i="43"/>
  <c r="N4" i="43"/>
  <c r="M5" i="43"/>
  <c r="N5" i="43"/>
  <c r="N10" i="43"/>
  <c r="N11" i="43"/>
  <c r="M6" i="43"/>
  <c r="N6" i="43"/>
  <c r="M7" i="43"/>
  <c r="N7" i="43"/>
  <c r="M8" i="43"/>
  <c r="N8" i="43"/>
  <c r="M9" i="43"/>
  <c r="N9" i="43"/>
  <c r="M10" i="43"/>
  <c r="M11" i="43"/>
  <c r="M12" i="43"/>
  <c r="C21" i="43"/>
  <c r="E21" i="43"/>
  <c r="I21" i="43"/>
  <c r="K21" i="43"/>
  <c r="M21" i="43"/>
  <c r="O21" i="43"/>
  <c r="D21" i="43"/>
  <c r="H21" i="43"/>
  <c r="J21" i="43"/>
  <c r="L21" i="43"/>
  <c r="G18" i="43"/>
  <c r="P27" i="79"/>
  <c r="P34" i="79"/>
  <c r="P36" i="79"/>
  <c r="P38" i="79"/>
  <c r="P33" i="79"/>
  <c r="P35" i="79"/>
  <c r="P37" i="79"/>
  <c r="P39" i="79"/>
  <c r="E25" i="78"/>
  <c r="E24" i="78"/>
  <c r="F23" i="78"/>
  <c r="F24" i="78" s="1"/>
  <c r="F25" i="78" s="1"/>
  <c r="E23" i="78"/>
  <c r="E22" i="78"/>
  <c r="G22" i="78" s="1"/>
  <c r="F12" i="78"/>
  <c r="C15" i="78" s="1"/>
  <c r="F11" i="78"/>
  <c r="D7" i="78"/>
  <c r="D6" i="78"/>
  <c r="D5" i="78"/>
  <c r="F93" i="43" l="1"/>
  <c r="H94" i="43" s="1"/>
  <c r="C18" i="78"/>
  <c r="G23" i="78"/>
  <c r="G24" i="78"/>
  <c r="G25" i="78"/>
  <c r="B15" i="78"/>
  <c r="B18" i="78"/>
  <c r="G16" i="73"/>
  <c r="F16" i="73"/>
  <c r="E16" i="73"/>
  <c r="H101" i="43" l="1"/>
  <c r="H95" i="43"/>
  <c r="H93" i="43"/>
  <c r="H97" i="43"/>
  <c r="H96" i="43"/>
  <c r="H98" i="43"/>
  <c r="H100" i="43"/>
  <c r="H99" i="43"/>
  <c r="G17" i="73"/>
  <c r="F17" i="73"/>
  <c r="E17" i="73"/>
  <c r="G18" i="73" l="1"/>
  <c r="F18" i="73"/>
  <c r="E18" i="73"/>
  <c r="G13" i="73" l="1"/>
  <c r="F13" i="73"/>
  <c r="E13" i="73"/>
  <c r="AH8" i="71" l="1"/>
  <c r="AG8" i="71"/>
  <c r="AE8" i="71"/>
  <c r="AF8" i="71" s="1"/>
  <c r="AD8" i="71"/>
  <c r="Q8" i="71"/>
  <c r="P8" i="71"/>
  <c r="O8" i="71"/>
  <c r="N8" i="71"/>
  <c r="R43" i="77" l="1"/>
  <c r="R40" i="77"/>
  <c r="R41" i="77" s="1"/>
  <c r="F36" i="77"/>
  <c r="R34" i="77"/>
  <c r="R33" i="77"/>
  <c r="C30" i="77"/>
  <c r="R27" i="77"/>
  <c r="M24" i="77"/>
  <c r="R23" i="77"/>
  <c r="D23" i="77"/>
  <c r="D38" i="77" s="1"/>
  <c r="D39" i="77" s="1"/>
  <c r="C23" i="77"/>
  <c r="R22" i="77"/>
  <c r="R21" i="77"/>
  <c r="N19" i="77"/>
  <c r="R18" i="77"/>
  <c r="D18" i="77"/>
  <c r="R17" i="77"/>
  <c r="D17" i="77"/>
  <c r="R16" i="77"/>
  <c r="D16" i="77"/>
  <c r="D15" i="77"/>
  <c r="N14" i="77"/>
  <c r="M14" i="77"/>
  <c r="D14" i="77"/>
  <c r="R13" i="77"/>
  <c r="R12" i="77"/>
  <c r="D12" i="77"/>
  <c r="R11" i="77"/>
  <c r="D11" i="77"/>
  <c r="E11" i="77" s="1"/>
  <c r="E7" i="77" s="1"/>
  <c r="C27" i="77" s="1"/>
  <c r="R10" i="77"/>
  <c r="D10" i="77"/>
  <c r="R9" i="77"/>
  <c r="D9" i="77"/>
  <c r="R8" i="77"/>
  <c r="R7" i="77"/>
  <c r="D7" i="77"/>
  <c r="C26" i="77" s="1"/>
  <c r="R4" i="77"/>
  <c r="R3" i="77"/>
  <c r="R14" i="77" l="1"/>
  <c r="R24" i="77" s="1"/>
  <c r="R25" i="77"/>
  <c r="C32" i="77"/>
  <c r="C38" i="77" s="1"/>
  <c r="C39" i="77" s="1"/>
  <c r="D29" i="77"/>
  <c r="D32" i="77"/>
  <c r="E23" i="77"/>
  <c r="D26" i="77"/>
  <c r="C29" i="77"/>
  <c r="R35" i="77"/>
  <c r="U34" i="77" s="1"/>
  <c r="AH9" i="71"/>
  <c r="AG9" i="71"/>
  <c r="AE9" i="71"/>
  <c r="AF9" i="71" s="1"/>
  <c r="AD9" i="71"/>
  <c r="Q9" i="71"/>
  <c r="P9" i="71"/>
  <c r="O9" i="71"/>
  <c r="N9" i="71"/>
  <c r="R19" i="77" l="1"/>
  <c r="R5" i="77" s="1"/>
  <c r="U5" i="77" s="1"/>
  <c r="E26" i="77"/>
  <c r="E38" i="77"/>
  <c r="E39" i="77" s="1"/>
  <c r="C40" i="77" s="1"/>
  <c r="E29" i="77"/>
  <c r="E32" i="77" s="1"/>
  <c r="AH10" i="71"/>
  <c r="AG10" i="71"/>
  <c r="AE10" i="71"/>
  <c r="AF10" i="71" s="1"/>
  <c r="AD10" i="71"/>
  <c r="Q10" i="71"/>
  <c r="AB9" i="71" s="1"/>
  <c r="P10" i="71"/>
  <c r="AA9" i="71" s="1"/>
  <c r="O10" i="71"/>
  <c r="Y9" i="71" s="1"/>
  <c r="Z9" i="71" s="1"/>
  <c r="N10" i="71"/>
  <c r="X9" i="71" s="1"/>
  <c r="B3" i="77" l="1"/>
  <c r="C41" i="77"/>
  <c r="V12" i="71"/>
  <c r="U12" i="71"/>
  <c r="T12" i="71"/>
  <c r="S12" i="71"/>
  <c r="E24" i="43" l="1"/>
  <c r="Q32" i="43" l="1"/>
  <c r="P32" i="43"/>
  <c r="O32" i="43"/>
  <c r="N32" i="43"/>
  <c r="M32" i="43"/>
  <c r="AH11" i="71"/>
  <c r="AG11" i="71"/>
  <c r="AE11" i="71"/>
  <c r="AF11" i="71" s="1"/>
  <c r="AD11" i="71"/>
  <c r="Q11" i="71"/>
  <c r="AB10" i="71" s="1"/>
  <c r="P11" i="71"/>
  <c r="AA10" i="71" s="1"/>
  <c r="O11" i="71"/>
  <c r="Y10" i="71" s="1"/>
  <c r="Z10" i="71" s="1"/>
  <c r="N11" i="71"/>
  <c r="X10" i="71" s="1"/>
  <c r="AH12" i="71" l="1"/>
  <c r="AG12" i="71"/>
  <c r="AE12" i="71"/>
  <c r="AF12" i="71" s="1"/>
  <c r="AD12" i="71"/>
  <c r="Q12" i="71"/>
  <c r="P12" i="71"/>
  <c r="O12" i="71"/>
  <c r="N12" i="71"/>
  <c r="AH13" i="71" l="1"/>
  <c r="AG13" i="71"/>
  <c r="AE13" i="71"/>
  <c r="AF13" i="71" s="1"/>
  <c r="AD13" i="71"/>
  <c r="Q13" i="71"/>
  <c r="AB12" i="71" s="1"/>
  <c r="P13" i="71"/>
  <c r="AA12" i="71" s="1"/>
  <c r="O13" i="71"/>
  <c r="Y12" i="71" s="1"/>
  <c r="Z12" i="71" s="1"/>
  <c r="N13" i="71"/>
  <c r="X12" i="71" s="1"/>
  <c r="AB11" i="71" l="1"/>
  <c r="AA11" i="71"/>
  <c r="Y11" i="71"/>
  <c r="Z11" i="71" s="1"/>
  <c r="X11" i="71"/>
  <c r="H16" i="49" l="1"/>
  <c r="D16" i="49"/>
  <c r="D15" i="49"/>
  <c r="B2" i="49"/>
  <c r="F15" i="49" s="1"/>
  <c r="H15" i="49" s="1"/>
  <c r="B5" i="49" l="1"/>
  <c r="D5" i="49" s="1"/>
  <c r="B7" i="49"/>
  <c r="D7" i="49" s="1"/>
  <c r="B9" i="49"/>
  <c r="D9" i="49" s="1"/>
  <c r="B11" i="49"/>
  <c r="D11" i="49" s="1"/>
  <c r="B13" i="49"/>
  <c r="D13" i="49" s="1"/>
  <c r="B4" i="49"/>
  <c r="D4" i="49" s="1"/>
  <c r="B6" i="49"/>
  <c r="D6" i="49" s="1"/>
  <c r="B8" i="49"/>
  <c r="D8" i="49" s="1"/>
  <c r="B10" i="49"/>
  <c r="D10" i="49" s="1"/>
  <c r="B12" i="49"/>
  <c r="D12" i="49" s="1"/>
  <c r="B14" i="49"/>
  <c r="D14" i="49" s="1"/>
  <c r="F4" i="49"/>
  <c r="H4" i="49" s="1"/>
  <c r="F5" i="49"/>
  <c r="H5" i="49" s="1"/>
  <c r="F6" i="49"/>
  <c r="H6" i="49" s="1"/>
  <c r="F7" i="49"/>
  <c r="H7" i="49" s="1"/>
  <c r="F8" i="49"/>
  <c r="H8" i="49" s="1"/>
  <c r="F9" i="49"/>
  <c r="H9" i="49" s="1"/>
  <c r="F10" i="49"/>
  <c r="H10" i="49" s="1"/>
  <c r="F11" i="49"/>
  <c r="H11" i="49" s="1"/>
  <c r="F12" i="49"/>
  <c r="H12" i="49" s="1"/>
  <c r="F13" i="49"/>
  <c r="H13" i="49" s="1"/>
  <c r="F14" i="49"/>
  <c r="H14" i="49" s="1"/>
  <c r="K42" i="40" l="1"/>
  <c r="K47" i="39"/>
  <c r="K36" i="36"/>
  <c r="E59" i="9"/>
  <c r="K38" i="35" l="1"/>
  <c r="K42" i="37"/>
  <c r="K49" i="34"/>
  <c r="K48" i="33"/>
  <c r="K48" i="21"/>
  <c r="H104" i="9"/>
  <c r="F59" i="9"/>
  <c r="AH14" i="71" l="1"/>
  <c r="AG14" i="71"/>
  <c r="AE14" i="71"/>
  <c r="AF14" i="71" s="1"/>
  <c r="AD14" i="71"/>
  <c r="Q14" i="71"/>
  <c r="AB13" i="71" s="1"/>
  <c r="P14" i="71"/>
  <c r="AA13" i="71" s="1"/>
  <c r="O14" i="71"/>
  <c r="Y13" i="71" s="1"/>
  <c r="Z13" i="71" s="1"/>
  <c r="N14" i="71"/>
  <c r="X13" i="71" s="1"/>
  <c r="V16" i="71" l="1"/>
  <c r="U16" i="71"/>
  <c r="T16" i="71"/>
  <c r="S16" i="71"/>
  <c r="AH15" i="71" l="1"/>
  <c r="AG15" i="71"/>
  <c r="AE15" i="71"/>
  <c r="AF15" i="71" s="1"/>
  <c r="AD15" i="71"/>
  <c r="Q15" i="71"/>
  <c r="AB14" i="71" s="1"/>
  <c r="P15" i="71"/>
  <c r="AA14" i="71" s="1"/>
  <c r="O15" i="71"/>
  <c r="Y14" i="71" s="1"/>
  <c r="Z14" i="71" s="1"/>
  <c r="N15" i="71"/>
  <c r="X14" i="71" s="1"/>
  <c r="AB18" i="71" l="1"/>
  <c r="Q17" i="71"/>
  <c r="AB17" i="71"/>
  <c r="P17" i="71"/>
  <c r="AA17" i="71"/>
  <c r="O17" i="71"/>
  <c r="Y17" i="71"/>
  <c r="Z17" i="71" s="1"/>
  <c r="N17" i="71"/>
  <c r="X17" i="71"/>
  <c r="AH16" i="71"/>
  <c r="AG16" i="71"/>
  <c r="AE16" i="71"/>
  <c r="AF16" i="71"/>
  <c r="AD16" i="71"/>
  <c r="Q16" i="71"/>
  <c r="AB15" i="71" s="1"/>
  <c r="P16" i="71"/>
  <c r="AA15" i="71" s="1"/>
  <c r="O16" i="71"/>
  <c r="N16" i="71"/>
  <c r="X15" i="71" s="1"/>
  <c r="F17" i="71"/>
  <c r="E17" i="71"/>
  <c r="E16" i="71"/>
  <c r="E15" i="71" s="1"/>
  <c r="E14" i="71" s="1"/>
  <c r="E13" i="71" s="1"/>
  <c r="E12" i="71" s="1"/>
  <c r="E11" i="71" s="1"/>
  <c r="E10" i="71" s="1"/>
  <c r="E9" i="71" s="1"/>
  <c r="E8" i="71" s="1"/>
  <c r="E7" i="71" s="1"/>
  <c r="E6" i="71" s="1"/>
  <c r="E5" i="71" s="1"/>
  <c r="C17" i="71"/>
  <c r="C16" i="71"/>
  <c r="C15" i="71" s="1"/>
  <c r="B17" i="71"/>
  <c r="AH17" i="71"/>
  <c r="AG17" i="71"/>
  <c r="AE17" i="71"/>
  <c r="AF17" i="71"/>
  <c r="AD17" i="71"/>
  <c r="Q18" i="71"/>
  <c r="Q19" i="71"/>
  <c r="P18" i="71"/>
  <c r="P19" i="71"/>
  <c r="O18" i="71"/>
  <c r="O19" i="71"/>
  <c r="N18" i="71"/>
  <c r="N19" i="71"/>
  <c r="F19" i="71"/>
  <c r="F18" i="71"/>
  <c r="E19" i="71"/>
  <c r="E18" i="71"/>
  <c r="C19" i="71"/>
  <c r="C18" i="71"/>
  <c r="D17" i="71"/>
  <c r="B19" i="71"/>
  <c r="B18" i="71"/>
  <c r="AH18" i="71"/>
  <c r="AG18" i="71"/>
  <c r="AE18" i="71"/>
  <c r="AF18" i="71"/>
  <c r="AD18" i="71"/>
  <c r="F24" i="12"/>
  <c r="F7" i="69"/>
  <c r="F7" i="68"/>
  <c r="AH19" i="71"/>
  <c r="AG19" i="71"/>
  <c r="AE19" i="71"/>
  <c r="AF19" i="71"/>
  <c r="AD19" i="71"/>
  <c r="AA18" i="71"/>
  <c r="Y18" i="71"/>
  <c r="X18" i="71"/>
  <c r="AD20" i="71"/>
  <c r="AH20" i="71"/>
  <c r="AG20" i="71"/>
  <c r="AE20" i="71"/>
  <c r="AF20" i="71"/>
  <c r="Q20" i="71"/>
  <c r="P20" i="71"/>
  <c r="O20" i="71"/>
  <c r="N20" i="71"/>
  <c r="L3" i="71"/>
  <c r="AH3" i="71" s="1"/>
  <c r="K3" i="71"/>
  <c r="AG3" i="71" s="1"/>
  <c r="J3" i="71"/>
  <c r="AE3" i="71" s="1"/>
  <c r="I3" i="71"/>
  <c r="AH21" i="71"/>
  <c r="AG21" i="71"/>
  <c r="AE21" i="71"/>
  <c r="AF21" i="71"/>
  <c r="AD21" i="71"/>
  <c r="Q21" i="71"/>
  <c r="Q22" i="71"/>
  <c r="P21" i="71"/>
  <c r="P22" i="71"/>
  <c r="AA21" i="71"/>
  <c r="O21" i="71"/>
  <c r="O22" i="71"/>
  <c r="N21" i="71"/>
  <c r="N22" i="71"/>
  <c r="X21" i="71"/>
  <c r="N23" i="71"/>
  <c r="AH22" i="71"/>
  <c r="AG22" i="71"/>
  <c r="AE22" i="71"/>
  <c r="AF22" i="71"/>
  <c r="AD22" i="71"/>
  <c r="Q23" i="71"/>
  <c r="AB21" i="71"/>
  <c r="P23" i="71"/>
  <c r="AA22" i="71"/>
  <c r="O23" i="71"/>
  <c r="Y21" i="71"/>
  <c r="Z21" i="71"/>
  <c r="D25" i="71"/>
  <c r="AH23" i="71"/>
  <c r="AG23" i="71"/>
  <c r="AE23" i="71"/>
  <c r="AF23" i="71"/>
  <c r="AD23" i="71"/>
  <c r="AD24" i="71"/>
  <c r="AG24" i="71"/>
  <c r="AH24" i="71"/>
  <c r="AE24" i="71"/>
  <c r="AF24" i="71"/>
  <c r="N24" i="71"/>
  <c r="X22" i="71"/>
  <c r="Q24" i="71"/>
  <c r="AB23" i="71"/>
  <c r="P24" i="71"/>
  <c r="AA23" i="71"/>
  <c r="O24" i="71"/>
  <c r="Y22" i="71"/>
  <c r="Z22" i="71"/>
  <c r="Y23" i="71"/>
  <c r="Z23" i="71"/>
  <c r="C24" i="71"/>
  <c r="C23" i="71"/>
  <c r="Q25" i="71"/>
  <c r="F24" i="71"/>
  <c r="F23" i="71"/>
  <c r="F22" i="71"/>
  <c r="P25" i="71"/>
  <c r="E24" i="71"/>
  <c r="E23" i="71"/>
  <c r="E22" i="71"/>
  <c r="O25" i="71"/>
  <c r="N25" i="71"/>
  <c r="B24" i="71"/>
  <c r="B23" i="71"/>
  <c r="B22" i="71"/>
  <c r="B21" i="71"/>
  <c r="B20" i="71"/>
  <c r="V24" i="71"/>
  <c r="AB24" i="71"/>
  <c r="Y24" i="71"/>
  <c r="Z24" i="71"/>
  <c r="X24" i="71"/>
  <c r="AA24" i="71"/>
  <c r="A2" i="53"/>
  <c r="K59" i="67"/>
  <c r="P61" i="67" s="1"/>
  <c r="K59" i="15"/>
  <c r="P74" i="15" s="1"/>
  <c r="D115" i="39"/>
  <c r="E115" i="39"/>
  <c r="F115" i="39"/>
  <c r="G115" i="39"/>
  <c r="H115" i="39"/>
  <c r="I115" i="39"/>
  <c r="J115" i="39"/>
  <c r="K115" i="39"/>
  <c r="L115" i="39"/>
  <c r="M115" i="39"/>
  <c r="C115" i="39"/>
  <c r="A21" i="62"/>
  <c r="B67" i="72" s="1"/>
  <c r="A20" i="62"/>
  <c r="A22" i="51"/>
  <c r="A21" i="51"/>
  <c r="A20" i="51"/>
  <c r="A14" i="62"/>
  <c r="A13" i="62"/>
  <c r="B59" i="72"/>
  <c r="A19" i="62"/>
  <c r="A12" i="62"/>
  <c r="B58" i="72" s="1"/>
  <c r="A120" i="9"/>
  <c r="H2" i="52"/>
  <c r="A1" i="52"/>
  <c r="A3" i="53"/>
  <c r="Q26" i="71"/>
  <c r="P26" i="71"/>
  <c r="O26" i="71"/>
  <c r="N26" i="71"/>
  <c r="A15" i="51"/>
  <c r="B12" i="72" s="1"/>
  <c r="C76" i="9"/>
  <c r="I107" i="40"/>
  <c r="K6" i="4"/>
  <c r="M56" i="9" s="1"/>
  <c r="B22" i="31"/>
  <c r="N56" i="9"/>
  <c r="K56" i="9"/>
  <c r="E15" i="74"/>
  <c r="F15" i="74"/>
  <c r="E16" i="74"/>
  <c r="F16" i="74"/>
  <c r="E17" i="74"/>
  <c r="F17" i="74"/>
  <c r="E18" i="74"/>
  <c r="F18" i="74"/>
  <c r="E19" i="74"/>
  <c r="F19" i="74"/>
  <c r="E20" i="74"/>
  <c r="F20" i="74"/>
  <c r="E21" i="74"/>
  <c r="F21" i="74"/>
  <c r="E22" i="74"/>
  <c r="F22" i="74"/>
  <c r="E23" i="74"/>
  <c r="F23" i="74"/>
  <c r="B3" i="74"/>
  <c r="C91" i="9"/>
  <c r="B8" i="72"/>
  <c r="O27" i="71"/>
  <c r="P27" i="71"/>
  <c r="Q27" i="71"/>
  <c r="N27" i="71"/>
  <c r="AD25" i="71"/>
  <c r="AE25" i="71"/>
  <c r="AF25" i="71"/>
  <c r="AG25" i="71"/>
  <c r="AH25" i="71"/>
  <c r="AD26" i="71"/>
  <c r="AE26" i="71"/>
  <c r="AF26" i="71"/>
  <c r="AG26" i="71"/>
  <c r="AH26" i="71"/>
  <c r="AD27" i="71"/>
  <c r="AE27" i="71"/>
  <c r="AF27" i="71"/>
  <c r="AG27" i="71"/>
  <c r="AH27" i="71"/>
  <c r="AD28" i="71"/>
  <c r="AE28" i="71"/>
  <c r="AF28" i="71"/>
  <c r="AG28" i="71"/>
  <c r="AH28" i="71"/>
  <c r="AD29" i="71"/>
  <c r="AE29" i="71"/>
  <c r="AF29" i="71"/>
  <c r="AG29" i="71"/>
  <c r="AH29" i="71"/>
  <c r="AD30" i="71"/>
  <c r="AE30" i="71"/>
  <c r="AF30" i="71"/>
  <c r="AG30" i="71"/>
  <c r="AH30" i="71"/>
  <c r="AD31" i="71"/>
  <c r="AE31" i="71"/>
  <c r="AF31" i="71"/>
  <c r="AG31" i="71"/>
  <c r="AH31" i="71"/>
  <c r="AD32" i="71"/>
  <c r="AE32" i="71"/>
  <c r="AF32" i="71"/>
  <c r="AG32" i="71"/>
  <c r="AH32" i="71"/>
  <c r="AD33" i="71"/>
  <c r="AE33" i="71"/>
  <c r="AF33" i="71"/>
  <c r="AG33" i="71"/>
  <c r="AH33" i="71"/>
  <c r="AD34" i="71"/>
  <c r="AE34" i="71"/>
  <c r="AF34" i="71"/>
  <c r="AG34" i="71"/>
  <c r="AH34" i="71"/>
  <c r="AD35" i="71"/>
  <c r="AE35" i="71"/>
  <c r="AF35" i="71"/>
  <c r="AG35" i="71"/>
  <c r="AH35" i="71"/>
  <c r="AD36" i="71"/>
  <c r="AE36" i="71"/>
  <c r="AF36" i="71"/>
  <c r="AG36" i="71"/>
  <c r="AH36" i="71"/>
  <c r="AD37" i="71"/>
  <c r="AE37" i="71"/>
  <c r="AF37" i="71"/>
  <c r="AG37" i="71"/>
  <c r="AH37" i="71"/>
  <c r="AD38" i="71"/>
  <c r="AE38" i="71"/>
  <c r="AF38" i="71"/>
  <c r="AG38" i="71"/>
  <c r="AH38" i="71"/>
  <c r="AH39" i="71"/>
  <c r="AG39" i="71"/>
  <c r="AE39" i="71"/>
  <c r="AF39" i="71"/>
  <c r="AD39" i="71"/>
  <c r="AD40" i="71"/>
  <c r="AE40" i="71"/>
  <c r="AF40" i="71"/>
  <c r="AG40" i="71"/>
  <c r="AH40" i="71"/>
  <c r="S2" i="31"/>
  <c r="M2" i="31"/>
  <c r="N2" i="31"/>
  <c r="O2" i="31"/>
  <c r="P2" i="31"/>
  <c r="Q2" i="31"/>
  <c r="R2" i="31"/>
  <c r="C1" i="73"/>
  <c r="L1" i="73" s="1"/>
  <c r="B74" i="72"/>
  <c r="K49" i="9"/>
  <c r="E107" i="9"/>
  <c r="A122" i="9" s="1"/>
  <c r="A8" i="52" s="1"/>
  <c r="B54" i="72" s="1"/>
  <c r="E111" i="9"/>
  <c r="A126" i="9" s="1"/>
  <c r="A12" i="52" s="1"/>
  <c r="B56" i="72" s="1"/>
  <c r="E109" i="9"/>
  <c r="A124" i="9" s="1"/>
  <c r="A10" i="52" s="1"/>
  <c r="B55" i="72" s="1"/>
  <c r="B44" i="72"/>
  <c r="B42" i="72"/>
  <c r="B69" i="72"/>
  <c r="B68" i="72"/>
  <c r="B63" i="72"/>
  <c r="B62" i="72"/>
  <c r="B16" i="72"/>
  <c r="B65" i="72"/>
  <c r="B60" i="72"/>
  <c r="B66" i="72"/>
  <c r="B10" i="72"/>
  <c r="C53" i="10"/>
  <c r="B51" i="10"/>
  <c r="B19" i="72"/>
  <c r="A18" i="51"/>
  <c r="B13" i="72" s="1"/>
  <c r="B49" i="48"/>
  <c r="B5" i="72" s="1"/>
  <c r="D89" i="71"/>
  <c r="F88" i="71"/>
  <c r="E88" i="71"/>
  <c r="E87" i="71"/>
  <c r="E86" i="71"/>
  <c r="C88" i="71"/>
  <c r="D88" i="71"/>
  <c r="B88" i="71"/>
  <c r="F87" i="71"/>
  <c r="F86" i="71"/>
  <c r="B87" i="71"/>
  <c r="B86" i="71"/>
  <c r="D85" i="71"/>
  <c r="F84" i="71"/>
  <c r="E84" i="71"/>
  <c r="E83" i="71"/>
  <c r="E82" i="71"/>
  <c r="C84" i="71"/>
  <c r="D84" i="71"/>
  <c r="B84" i="71"/>
  <c r="F83" i="71"/>
  <c r="F82" i="71"/>
  <c r="B83" i="71"/>
  <c r="B82" i="71"/>
  <c r="D81" i="71"/>
  <c r="Q80" i="71"/>
  <c r="P80" i="71"/>
  <c r="O80" i="71"/>
  <c r="N80" i="71"/>
  <c r="F80" i="71"/>
  <c r="V80" i="71"/>
  <c r="E80" i="71"/>
  <c r="U80" i="71"/>
  <c r="C80" i="71"/>
  <c r="T80" i="71"/>
  <c r="B80" i="71"/>
  <c r="S80" i="71"/>
  <c r="Q79" i="71"/>
  <c r="P79" i="71"/>
  <c r="O79" i="71"/>
  <c r="N79" i="71"/>
  <c r="F79" i="71"/>
  <c r="F78" i="71"/>
  <c r="B79" i="71"/>
  <c r="B78" i="71"/>
  <c r="Q78" i="71"/>
  <c r="P78" i="71"/>
  <c r="O78" i="71"/>
  <c r="N78" i="71"/>
  <c r="Q77" i="71"/>
  <c r="P77" i="71"/>
  <c r="O77" i="71"/>
  <c r="N77" i="71"/>
  <c r="D77" i="71"/>
  <c r="Q76" i="71"/>
  <c r="P76" i="71"/>
  <c r="O76" i="71"/>
  <c r="N76" i="71"/>
  <c r="F76" i="71"/>
  <c r="V76" i="71"/>
  <c r="E76" i="71"/>
  <c r="U76" i="71"/>
  <c r="C76" i="71"/>
  <c r="T76" i="71"/>
  <c r="B76" i="71"/>
  <c r="S76" i="71"/>
  <c r="Q75" i="71"/>
  <c r="P75" i="71"/>
  <c r="O75" i="71"/>
  <c r="N75" i="71"/>
  <c r="F75" i="71"/>
  <c r="F74" i="71"/>
  <c r="B75" i="71"/>
  <c r="B74" i="71"/>
  <c r="Q74" i="71"/>
  <c r="P74" i="71"/>
  <c r="O74" i="71"/>
  <c r="N74" i="71"/>
  <c r="Q73" i="71"/>
  <c r="P73" i="71"/>
  <c r="O73" i="71"/>
  <c r="N73" i="71"/>
  <c r="D73" i="71"/>
  <c r="Q72" i="71"/>
  <c r="P72" i="71"/>
  <c r="O72" i="71"/>
  <c r="N72" i="71"/>
  <c r="F72" i="71"/>
  <c r="V72" i="71"/>
  <c r="E72" i="71"/>
  <c r="U72" i="71"/>
  <c r="C72" i="71"/>
  <c r="T72" i="71"/>
  <c r="B72" i="71"/>
  <c r="S72" i="71"/>
  <c r="Q71" i="71"/>
  <c r="P71" i="71"/>
  <c r="O71" i="71"/>
  <c r="N71" i="71"/>
  <c r="F71" i="71"/>
  <c r="F70" i="71"/>
  <c r="B71" i="71"/>
  <c r="B70" i="71"/>
  <c r="Q70" i="71"/>
  <c r="P70" i="71"/>
  <c r="O70" i="71"/>
  <c r="N70" i="71"/>
  <c r="Q69" i="71"/>
  <c r="P69" i="71"/>
  <c r="O69" i="71"/>
  <c r="N69" i="71"/>
  <c r="D69" i="71"/>
  <c r="F68" i="71"/>
  <c r="V68" i="71"/>
  <c r="E68" i="71"/>
  <c r="P68" i="71"/>
  <c r="C68" i="71"/>
  <c r="B68" i="71"/>
  <c r="S68" i="71"/>
  <c r="F67" i="71"/>
  <c r="F66" i="71"/>
  <c r="Q66" i="71"/>
  <c r="B67" i="71"/>
  <c r="D65" i="71"/>
  <c r="Q64" i="71"/>
  <c r="P64" i="71"/>
  <c r="O64" i="71"/>
  <c r="N64" i="71"/>
  <c r="Q63" i="71"/>
  <c r="P63" i="71"/>
  <c r="O63" i="71"/>
  <c r="N63" i="71"/>
  <c r="Q62" i="71"/>
  <c r="P62" i="71"/>
  <c r="O62" i="71"/>
  <c r="N62" i="71"/>
  <c r="Q61" i="71"/>
  <c r="F62" i="71"/>
  <c r="F63" i="71"/>
  <c r="F64" i="71"/>
  <c r="V64" i="71"/>
  <c r="P61" i="71"/>
  <c r="E62" i="71"/>
  <c r="O61" i="71"/>
  <c r="C62" i="71"/>
  <c r="N61" i="71"/>
  <c r="B62" i="71"/>
  <c r="B63" i="71"/>
  <c r="B64" i="71"/>
  <c r="S64" i="71"/>
  <c r="D61" i="71"/>
  <c r="Q60" i="71"/>
  <c r="P60" i="71"/>
  <c r="O60" i="71"/>
  <c r="N60" i="71"/>
  <c r="Q59" i="71"/>
  <c r="P59" i="71"/>
  <c r="O59" i="71"/>
  <c r="N59" i="71"/>
  <c r="Q58" i="71"/>
  <c r="P58" i="71"/>
  <c r="O58" i="71"/>
  <c r="N58" i="71"/>
  <c r="Q57" i="71"/>
  <c r="F58" i="71"/>
  <c r="F59" i="71"/>
  <c r="F60" i="71"/>
  <c r="V60" i="71"/>
  <c r="P57" i="71"/>
  <c r="E58" i="71"/>
  <c r="O57" i="71"/>
  <c r="C58" i="71"/>
  <c r="N57" i="71"/>
  <c r="B58" i="71"/>
  <c r="B59" i="71"/>
  <c r="B60" i="71"/>
  <c r="S60" i="71"/>
  <c r="D57" i="71"/>
  <c r="Q56" i="71"/>
  <c r="P56" i="71"/>
  <c r="O56" i="71"/>
  <c r="N56" i="71"/>
  <c r="Q55" i="71"/>
  <c r="P55" i="71"/>
  <c r="O55" i="71"/>
  <c r="N55" i="71"/>
  <c r="Q54" i="71"/>
  <c r="P54" i="71"/>
  <c r="O54" i="71"/>
  <c r="N54" i="71"/>
  <c r="C54" i="71"/>
  <c r="Q53" i="71"/>
  <c r="F54" i="71"/>
  <c r="F55" i="71"/>
  <c r="F56" i="71"/>
  <c r="V56" i="71"/>
  <c r="P53" i="71"/>
  <c r="E54" i="71"/>
  <c r="O53" i="71"/>
  <c r="N53" i="71"/>
  <c r="B54" i="71"/>
  <c r="B55" i="71"/>
  <c r="B56" i="71"/>
  <c r="S56" i="71"/>
  <c r="D53" i="71"/>
  <c r="Q52" i="71"/>
  <c r="P52" i="71"/>
  <c r="O52" i="71"/>
  <c r="N52" i="71"/>
  <c r="Q51" i="71"/>
  <c r="P51" i="71"/>
  <c r="O51" i="71"/>
  <c r="N51" i="71"/>
  <c r="Q50" i="71"/>
  <c r="P50" i="71"/>
  <c r="O50" i="71"/>
  <c r="N50" i="71"/>
  <c r="Q49" i="71"/>
  <c r="F50" i="71"/>
  <c r="P49" i="71"/>
  <c r="E50" i="71"/>
  <c r="E51" i="71"/>
  <c r="E52" i="71"/>
  <c r="U52" i="71"/>
  <c r="O49" i="71"/>
  <c r="C50" i="71"/>
  <c r="N49" i="71"/>
  <c r="B50" i="71"/>
  <c r="B51" i="71"/>
  <c r="B52" i="71"/>
  <c r="S52" i="71"/>
  <c r="D49" i="71"/>
  <c r="T48" i="71"/>
  <c r="Q48" i="71"/>
  <c r="P48" i="71"/>
  <c r="O48" i="71"/>
  <c r="N48" i="71"/>
  <c r="D48" i="71"/>
  <c r="Q47" i="71"/>
  <c r="P47" i="71"/>
  <c r="O47" i="71"/>
  <c r="N47" i="71"/>
  <c r="Q46" i="71"/>
  <c r="P46" i="71"/>
  <c r="O46" i="71"/>
  <c r="N46" i="71"/>
  <c r="F46" i="71"/>
  <c r="F47" i="71"/>
  <c r="F48" i="71"/>
  <c r="V48" i="71"/>
  <c r="Q45" i="71"/>
  <c r="P45" i="71"/>
  <c r="E46" i="71"/>
  <c r="E47" i="71"/>
  <c r="E48" i="71"/>
  <c r="U48" i="71"/>
  <c r="O45" i="71"/>
  <c r="C46" i="71"/>
  <c r="N45" i="71"/>
  <c r="B46" i="71"/>
  <c r="B47" i="71"/>
  <c r="B48" i="71"/>
  <c r="S48" i="71"/>
  <c r="D45" i="71"/>
  <c r="Q44" i="71"/>
  <c r="P44" i="71"/>
  <c r="O44" i="71"/>
  <c r="N44" i="71"/>
  <c r="Q43" i="71"/>
  <c r="P43" i="71"/>
  <c r="O43" i="71"/>
  <c r="N43" i="71"/>
  <c r="Q42" i="71"/>
  <c r="P42" i="71"/>
  <c r="O42" i="71"/>
  <c r="N42" i="71"/>
  <c r="F42" i="71"/>
  <c r="F43" i="71"/>
  <c r="F44" i="71"/>
  <c r="V44" i="71"/>
  <c r="Q41" i="71"/>
  <c r="P41" i="71"/>
  <c r="E42" i="71"/>
  <c r="E43" i="71"/>
  <c r="E44" i="71"/>
  <c r="U44" i="71"/>
  <c r="O41" i="71"/>
  <c r="C42" i="71"/>
  <c r="N41" i="71"/>
  <c r="B42" i="71"/>
  <c r="B43" i="71"/>
  <c r="B44" i="71"/>
  <c r="S44" i="71"/>
  <c r="D41" i="71"/>
  <c r="Q40" i="71"/>
  <c r="P40" i="71"/>
  <c r="O40" i="71"/>
  <c r="N40" i="71"/>
  <c r="AB39" i="71"/>
  <c r="Q39" i="71"/>
  <c r="P39" i="71"/>
  <c r="AA39" i="71"/>
  <c r="O39" i="71"/>
  <c r="Y39" i="71"/>
  <c r="Z39" i="71"/>
  <c r="N39" i="71"/>
  <c r="X39" i="71"/>
  <c r="Q38" i="71"/>
  <c r="AB38" i="71"/>
  <c r="P38" i="71"/>
  <c r="O38" i="71"/>
  <c r="Y38" i="71"/>
  <c r="Z38" i="71"/>
  <c r="N38" i="71"/>
  <c r="F38" i="71"/>
  <c r="F39" i="71"/>
  <c r="F40" i="71"/>
  <c r="V40" i="71"/>
  <c r="Q37" i="71"/>
  <c r="P37" i="71"/>
  <c r="O37" i="71"/>
  <c r="N37" i="71"/>
  <c r="D37" i="71"/>
  <c r="Q36" i="71"/>
  <c r="AB36" i="71"/>
  <c r="P36" i="71"/>
  <c r="O36" i="71"/>
  <c r="Y36" i="71"/>
  <c r="Z36" i="71"/>
  <c r="N36" i="71"/>
  <c r="Q35" i="71"/>
  <c r="AB35" i="71"/>
  <c r="P35" i="71"/>
  <c r="O35" i="71"/>
  <c r="Y35" i="71"/>
  <c r="Z35" i="71"/>
  <c r="N35" i="71"/>
  <c r="Q34" i="71"/>
  <c r="AB34" i="71"/>
  <c r="P34" i="71"/>
  <c r="O34" i="71"/>
  <c r="Y34" i="71"/>
  <c r="Z34" i="71"/>
  <c r="N34" i="71"/>
  <c r="F34" i="71"/>
  <c r="F35" i="71"/>
  <c r="F36" i="71"/>
  <c r="V36" i="71"/>
  <c r="Q33" i="71"/>
  <c r="P33" i="71"/>
  <c r="O33" i="71"/>
  <c r="N33" i="71"/>
  <c r="D33" i="71"/>
  <c r="Q32" i="71"/>
  <c r="AB32" i="71"/>
  <c r="P32" i="71"/>
  <c r="O32" i="71"/>
  <c r="Y32" i="71"/>
  <c r="Z32" i="71"/>
  <c r="N32" i="71"/>
  <c r="Q31" i="71"/>
  <c r="AB31" i="71"/>
  <c r="P31" i="71"/>
  <c r="O31" i="71"/>
  <c r="Y31" i="71"/>
  <c r="Z31" i="71"/>
  <c r="N31" i="71"/>
  <c r="Q30" i="71"/>
  <c r="AB30" i="71"/>
  <c r="P30" i="71"/>
  <c r="O30" i="71"/>
  <c r="Y30" i="71"/>
  <c r="Z30" i="71"/>
  <c r="N30" i="71"/>
  <c r="F30" i="71"/>
  <c r="F31" i="71"/>
  <c r="F32" i="71"/>
  <c r="V32" i="71"/>
  <c r="Q29" i="71"/>
  <c r="P29" i="71"/>
  <c r="O29" i="71"/>
  <c r="N29" i="71"/>
  <c r="D29" i="71"/>
  <c r="O28" i="71"/>
  <c r="N28" i="71"/>
  <c r="B30" i="71"/>
  <c r="B31" i="71"/>
  <c r="B32" i="71"/>
  <c r="S32" i="71"/>
  <c r="X29" i="71"/>
  <c r="E30" i="71"/>
  <c r="E31" i="71"/>
  <c r="E32" i="71"/>
  <c r="U32" i="71"/>
  <c r="AA29" i="71"/>
  <c r="B34" i="71"/>
  <c r="B35" i="71"/>
  <c r="B36" i="71"/>
  <c r="S36" i="71"/>
  <c r="X33" i="71"/>
  <c r="B38" i="71"/>
  <c r="B39" i="71"/>
  <c r="B40" i="71"/>
  <c r="S40" i="71"/>
  <c r="X37" i="71"/>
  <c r="E38" i="71"/>
  <c r="E39" i="71"/>
  <c r="E40" i="71"/>
  <c r="U40" i="71"/>
  <c r="AA37" i="71"/>
  <c r="N68" i="71"/>
  <c r="E34" i="71"/>
  <c r="E35" i="71"/>
  <c r="E36" i="71"/>
  <c r="U36" i="71"/>
  <c r="AA33" i="71"/>
  <c r="C30" i="71"/>
  <c r="Y29" i="71"/>
  <c r="Z29" i="71"/>
  <c r="AB29" i="71"/>
  <c r="X30" i="71"/>
  <c r="AA30" i="71"/>
  <c r="X31" i="71"/>
  <c r="AA31" i="71"/>
  <c r="X32" i="71"/>
  <c r="AA32" i="71"/>
  <c r="C34" i="71"/>
  <c r="C35" i="71"/>
  <c r="Y33" i="71"/>
  <c r="Z33" i="71"/>
  <c r="AB33" i="71"/>
  <c r="X34" i="71"/>
  <c r="AA34" i="71"/>
  <c r="X35" i="71"/>
  <c r="AA35" i="71"/>
  <c r="X36" i="71"/>
  <c r="AA36" i="71"/>
  <c r="C38" i="71"/>
  <c r="Y37" i="71"/>
  <c r="Z37" i="71"/>
  <c r="AB37" i="71"/>
  <c r="X38" i="71"/>
  <c r="AA38" i="71"/>
  <c r="F51" i="71"/>
  <c r="F52" i="71"/>
  <c r="V52" i="71"/>
  <c r="C28" i="71"/>
  <c r="Y25" i="71"/>
  <c r="Z25" i="71"/>
  <c r="Y26" i="71"/>
  <c r="Z26" i="71"/>
  <c r="Y27" i="71"/>
  <c r="Z27" i="71"/>
  <c r="Y28" i="71"/>
  <c r="Z28" i="71"/>
  <c r="B28" i="71"/>
  <c r="B27" i="71"/>
  <c r="B26" i="71"/>
  <c r="X25" i="71"/>
  <c r="X26" i="71"/>
  <c r="X27" i="71"/>
  <c r="X28" i="71"/>
  <c r="C31" i="71"/>
  <c r="D30" i="71"/>
  <c r="D34" i="71"/>
  <c r="C39" i="71"/>
  <c r="D38" i="71"/>
  <c r="C43" i="71"/>
  <c r="D42" i="71"/>
  <c r="C47" i="71"/>
  <c r="D47" i="71"/>
  <c r="D46" i="71"/>
  <c r="C51" i="71"/>
  <c r="D50" i="71"/>
  <c r="P28" i="71"/>
  <c r="E55" i="71"/>
  <c r="E56" i="71"/>
  <c r="U56" i="71"/>
  <c r="E59" i="71"/>
  <c r="E60" i="71"/>
  <c r="U60" i="71"/>
  <c r="E63" i="71"/>
  <c r="E64" i="71"/>
  <c r="U64" i="71"/>
  <c r="Q65" i="71"/>
  <c r="U68" i="71"/>
  <c r="E67" i="71"/>
  <c r="Q28" i="71"/>
  <c r="C55" i="71"/>
  <c r="D54" i="71"/>
  <c r="C59" i="71"/>
  <c r="D58" i="71"/>
  <c r="C63" i="71"/>
  <c r="D62" i="71"/>
  <c r="N67" i="71"/>
  <c r="B66" i="71"/>
  <c r="Q67" i="71"/>
  <c r="T68" i="71"/>
  <c r="O68" i="71"/>
  <c r="D68" i="71"/>
  <c r="C67" i="71"/>
  <c r="Q68" i="71"/>
  <c r="C71" i="71"/>
  <c r="E71" i="71"/>
  <c r="E70" i="71"/>
  <c r="D72" i="71"/>
  <c r="C75" i="71"/>
  <c r="E75" i="71"/>
  <c r="E74" i="71"/>
  <c r="D76" i="71"/>
  <c r="C79" i="71"/>
  <c r="E79" i="71"/>
  <c r="E78" i="71"/>
  <c r="D80" i="71"/>
  <c r="C83" i="71"/>
  <c r="C87" i="71"/>
  <c r="T28" i="71"/>
  <c r="C27" i="71"/>
  <c r="S28" i="71"/>
  <c r="F28" i="71"/>
  <c r="F27" i="71"/>
  <c r="F26" i="71"/>
  <c r="AB25" i="71"/>
  <c r="AB26" i="71"/>
  <c r="AB27" i="71"/>
  <c r="AB28" i="71"/>
  <c r="E28" i="71"/>
  <c r="E27" i="71"/>
  <c r="E26" i="71"/>
  <c r="AA3" i="71"/>
  <c r="AA25" i="71"/>
  <c r="AA26" i="71"/>
  <c r="AA27" i="71"/>
  <c r="AA28" i="71"/>
  <c r="D28" i="71"/>
  <c r="U28" i="71"/>
  <c r="C66" i="71"/>
  <c r="O67" i="71"/>
  <c r="D67" i="71"/>
  <c r="C64" i="71"/>
  <c r="D63" i="71"/>
  <c r="D83" i="71"/>
  <c r="C82" i="71"/>
  <c r="D82" i="71"/>
  <c r="D75" i="71"/>
  <c r="C74" i="71"/>
  <c r="D74" i="71"/>
  <c r="N65" i="71"/>
  <c r="N66" i="71"/>
  <c r="D87" i="71"/>
  <c r="C86" i="71"/>
  <c r="D86" i="71"/>
  <c r="D79" i="71"/>
  <c r="C78" i="71"/>
  <c r="D78" i="71"/>
  <c r="D71" i="71"/>
  <c r="C70" i="71"/>
  <c r="D70" i="71"/>
  <c r="C60" i="71"/>
  <c r="D59" i="71"/>
  <c r="C56" i="71"/>
  <c r="D55" i="71"/>
  <c r="P67" i="71"/>
  <c r="E66" i="71"/>
  <c r="C52" i="71"/>
  <c r="D51" i="71"/>
  <c r="C44" i="71"/>
  <c r="D43" i="71"/>
  <c r="C40" i="71"/>
  <c r="D39" i="71"/>
  <c r="C36" i="71"/>
  <c r="D35" i="71"/>
  <c r="C32" i="71"/>
  <c r="D31" i="71"/>
  <c r="C26" i="71"/>
  <c r="D26" i="71"/>
  <c r="D27" i="71"/>
  <c r="V28" i="71"/>
  <c r="P65" i="71"/>
  <c r="P66" i="71"/>
  <c r="O66" i="71"/>
  <c r="D66" i="71"/>
  <c r="O65" i="71"/>
  <c r="T32" i="71"/>
  <c r="D32" i="71"/>
  <c r="T36" i="71"/>
  <c r="D36" i="71"/>
  <c r="T40" i="71"/>
  <c r="D40" i="71"/>
  <c r="T44" i="71"/>
  <c r="D44" i="71"/>
  <c r="T52" i="71"/>
  <c r="D52" i="71"/>
  <c r="T56" i="71"/>
  <c r="D56" i="71"/>
  <c r="T60" i="71"/>
  <c r="D60" i="71"/>
  <c r="T64" i="71"/>
  <c r="D64" i="71"/>
  <c r="O27" i="6"/>
  <c r="N27" i="6"/>
  <c r="P20" i="6"/>
  <c r="P21" i="6"/>
  <c r="P22" i="6"/>
  <c r="P23" i="6"/>
  <c r="P24" i="6"/>
  <c r="P25" i="6"/>
  <c r="P26" i="6"/>
  <c r="P19" i="6"/>
  <c r="AP8" i="1"/>
  <c r="AP9" i="1"/>
  <c r="AP10" i="1"/>
  <c r="AP11" i="1"/>
  <c r="AP12" i="1"/>
  <c r="AP13" i="1"/>
  <c r="L21" i="6"/>
  <c r="L22" i="6"/>
  <c r="L23" i="6"/>
  <c r="L24" i="6"/>
  <c r="L25" i="6"/>
  <c r="L26" i="6"/>
  <c r="P27" i="6"/>
  <c r="A7" i="70"/>
  <c r="A8" i="70"/>
  <c r="A9" i="70"/>
  <c r="A10" i="70"/>
  <c r="A11" i="70"/>
  <c r="A12" i="70"/>
  <c r="A13" i="70"/>
  <c r="E13" i="70"/>
  <c r="A6" i="70"/>
  <c r="Q25" i="40"/>
  <c r="Z25" i="40"/>
  <c r="D94" i="40"/>
  <c r="E94" i="40" s="1"/>
  <c r="F94" i="40" s="1"/>
  <c r="G94" i="40" s="1"/>
  <c r="F25" i="40"/>
  <c r="AA25" i="40" s="1"/>
  <c r="Q29" i="39"/>
  <c r="Z29" i="39" s="1"/>
  <c r="D102" i="39"/>
  <c r="E102" i="39" s="1"/>
  <c r="F102" i="39" s="1"/>
  <c r="G102" i="39" s="1"/>
  <c r="F29" i="39"/>
  <c r="AA29" i="39" s="1"/>
  <c r="Q18" i="36"/>
  <c r="Z18" i="36"/>
  <c r="D66" i="36"/>
  <c r="E66" i="36"/>
  <c r="F66" i="36"/>
  <c r="H18" i="36"/>
  <c r="AB18" i="36"/>
  <c r="F18" i="36"/>
  <c r="AA18" i="36"/>
  <c r="C18" i="36"/>
  <c r="Z18" i="35"/>
  <c r="Q18" i="35"/>
  <c r="D68" i="35"/>
  <c r="E68" i="35"/>
  <c r="F18" i="35"/>
  <c r="AA18" i="35"/>
  <c r="C18" i="35"/>
  <c r="Z21" i="37"/>
  <c r="Q21" i="37"/>
  <c r="D77" i="37"/>
  <c r="E77" i="37"/>
  <c r="C21" i="37"/>
  <c r="Z21" i="34"/>
  <c r="Q21" i="34"/>
  <c r="D84" i="34"/>
  <c r="E84" i="34"/>
  <c r="F21" i="34"/>
  <c r="AA21" i="34"/>
  <c r="C21" i="34"/>
  <c r="Z21" i="33"/>
  <c r="Q21" i="33"/>
  <c r="D83" i="33"/>
  <c r="E83" i="33"/>
  <c r="C21" i="33"/>
  <c r="C21" i="21"/>
  <c r="Q21" i="21"/>
  <c r="Z21" i="21"/>
  <c r="H19" i="21"/>
  <c r="D83" i="21"/>
  <c r="F21" i="21"/>
  <c r="AA21" i="21"/>
  <c r="D81" i="21"/>
  <c r="G20" i="20"/>
  <c r="B88" i="43" s="1"/>
  <c r="C22" i="20"/>
  <c r="B77" i="43"/>
  <c r="B57" i="43"/>
  <c r="B68" i="43"/>
  <c r="C25" i="40"/>
  <c r="C29" i="39"/>
  <c r="S18" i="36"/>
  <c r="U18" i="36"/>
  <c r="S21" i="34"/>
  <c r="H25" i="40"/>
  <c r="AB25" i="40" s="1"/>
  <c r="J25" i="40"/>
  <c r="AC25" i="40" s="1"/>
  <c r="H29" i="39"/>
  <c r="AB29" i="39" s="1"/>
  <c r="J29" i="39"/>
  <c r="AC29" i="39" s="1"/>
  <c r="G66" i="36"/>
  <c r="J18" i="36"/>
  <c r="F68" i="35"/>
  <c r="H18" i="35"/>
  <c r="S18" i="35"/>
  <c r="G68" i="35"/>
  <c r="J18" i="35"/>
  <c r="F77" i="37"/>
  <c r="H21" i="37"/>
  <c r="F21" i="37"/>
  <c r="F84" i="34"/>
  <c r="H21" i="34"/>
  <c r="F83" i="33"/>
  <c r="H21" i="33"/>
  <c r="F21" i="33"/>
  <c r="E83" i="21"/>
  <c r="S21" i="21"/>
  <c r="H1" i="69"/>
  <c r="U29" i="39"/>
  <c r="W29" i="39"/>
  <c r="AC18" i="36"/>
  <c r="W18" i="36"/>
  <c r="AB21" i="37"/>
  <c r="U21" i="37"/>
  <c r="AA21" i="37"/>
  <c r="S21" i="37"/>
  <c r="AB21" i="34"/>
  <c r="U21" i="34"/>
  <c r="U21" i="33"/>
  <c r="AB21" i="33"/>
  <c r="AA21" i="33"/>
  <c r="S21" i="33"/>
  <c r="AB18" i="35"/>
  <c r="U18" i="35"/>
  <c r="AC18" i="35"/>
  <c r="W18" i="35"/>
  <c r="G77" i="37"/>
  <c r="J21" i="37"/>
  <c r="G84" i="34"/>
  <c r="J21" i="34"/>
  <c r="G83" i="33"/>
  <c r="J21" i="33"/>
  <c r="F83" i="21"/>
  <c r="H21" i="21"/>
  <c r="F38" i="69"/>
  <c r="E37" i="69"/>
  <c r="F36" i="69"/>
  <c r="F35" i="69"/>
  <c r="F21" i="69"/>
  <c r="F40" i="69" s="1"/>
  <c r="F20" i="69"/>
  <c r="F39" i="69" s="1"/>
  <c r="E10" i="69"/>
  <c r="E9" i="69"/>
  <c r="C7" i="69"/>
  <c r="AC21" i="37"/>
  <c r="W21" i="37"/>
  <c r="AC21" i="34"/>
  <c r="W21" i="34"/>
  <c r="AC21" i="33"/>
  <c r="W21" i="33"/>
  <c r="AB21" i="21"/>
  <c r="U21" i="21"/>
  <c r="G83" i="21"/>
  <c r="J21" i="21"/>
  <c r="F38" i="68"/>
  <c r="E37" i="68"/>
  <c r="F36" i="68"/>
  <c r="F35" i="68"/>
  <c r="F21" i="68"/>
  <c r="F40" i="68" s="1"/>
  <c r="F20" i="68"/>
  <c r="F39" i="68" s="1"/>
  <c r="E10" i="68"/>
  <c r="E9" i="68"/>
  <c r="W21" i="21"/>
  <c r="AC21" i="21"/>
  <c r="C40" i="68"/>
  <c r="Q72" i="67"/>
  <c r="Q59" i="67"/>
  <c r="Q58" i="67"/>
  <c r="Q51" i="67"/>
  <c r="J50" i="67"/>
  <c r="M47" i="67"/>
  <c r="D46" i="67"/>
  <c r="F33" i="67"/>
  <c r="F61" i="67" s="1"/>
  <c r="F23" i="67"/>
  <c r="D24" i="67" s="1"/>
  <c r="F21" i="67"/>
  <c r="F20" i="67"/>
  <c r="M19" i="67"/>
  <c r="F18" i="67"/>
  <c r="F17" i="67"/>
  <c r="F15" i="67"/>
  <c r="S2" i="4"/>
  <c r="C51" i="10" s="1"/>
  <c r="A13" i="51" s="1"/>
  <c r="B11" i="72" s="1"/>
  <c r="S1" i="4"/>
  <c r="B1" i="4"/>
  <c r="B50" i="43"/>
  <c r="B86" i="43"/>
  <c r="B85" i="43"/>
  <c r="B74" i="43"/>
  <c r="B63" i="43"/>
  <c r="B52" i="43"/>
  <c r="M90" i="43"/>
  <c r="N90" i="43" s="1"/>
  <c r="K90" i="43"/>
  <c r="D90" i="43" s="1"/>
  <c r="M89" i="43"/>
  <c r="N89" i="43" s="1"/>
  <c r="K89" i="43"/>
  <c r="D89" i="43" s="1"/>
  <c r="M88" i="43"/>
  <c r="N88" i="43" s="1"/>
  <c r="K88" i="43"/>
  <c r="D88" i="43" s="1"/>
  <c r="M87" i="43"/>
  <c r="N87" i="43" s="1"/>
  <c r="K87" i="43"/>
  <c r="D87" i="43" s="1"/>
  <c r="M86" i="43"/>
  <c r="N86" i="43" s="1"/>
  <c r="K86" i="43"/>
  <c r="D86" i="43" s="1"/>
  <c r="M85" i="43"/>
  <c r="N85" i="43" s="1"/>
  <c r="K85" i="43"/>
  <c r="D85" i="43" s="1"/>
  <c r="M84" i="43"/>
  <c r="N84" i="43" s="1"/>
  <c r="K84" i="43"/>
  <c r="D84" i="43" s="1"/>
  <c r="M83" i="43"/>
  <c r="N83" i="43" s="1"/>
  <c r="K83" i="43"/>
  <c r="J83" i="43" s="1"/>
  <c r="M80" i="43"/>
  <c r="N80" i="43" s="1"/>
  <c r="K80" i="43"/>
  <c r="J80" i="43" s="1"/>
  <c r="M79" i="43"/>
  <c r="N79" i="43" s="1"/>
  <c r="K79" i="43"/>
  <c r="J79" i="43" s="1"/>
  <c r="M78" i="43"/>
  <c r="N78" i="43" s="1"/>
  <c r="K78" i="43"/>
  <c r="J78" i="43" s="1"/>
  <c r="D78" i="43"/>
  <c r="M77" i="43"/>
  <c r="N77" i="43" s="1"/>
  <c r="K77" i="43"/>
  <c r="J77" i="43" s="1"/>
  <c r="D77" i="43" s="1"/>
  <c r="M76" i="43"/>
  <c r="N76" i="43" s="1"/>
  <c r="K76" i="43"/>
  <c r="J76" i="43" s="1"/>
  <c r="M75" i="43"/>
  <c r="N75" i="43" s="1"/>
  <c r="K75" i="43"/>
  <c r="J75" i="43" s="1"/>
  <c r="M74" i="43"/>
  <c r="N74" i="43" s="1"/>
  <c r="K74" i="43"/>
  <c r="J74" i="43" s="1"/>
  <c r="M73" i="43"/>
  <c r="N73" i="43" s="1"/>
  <c r="K73" i="43"/>
  <c r="J73" i="43" s="1"/>
  <c r="M72" i="43"/>
  <c r="N72" i="43" s="1"/>
  <c r="K72" i="43"/>
  <c r="J72" i="43" s="1"/>
  <c r="M69" i="43"/>
  <c r="N69" i="43" s="1"/>
  <c r="K69" i="43"/>
  <c r="J69" i="43" s="1"/>
  <c r="M68" i="43"/>
  <c r="N68" i="43" s="1"/>
  <c r="K68" i="43"/>
  <c r="J68" i="43" s="1"/>
  <c r="D68" i="43" s="1"/>
  <c r="M67" i="43"/>
  <c r="N67" i="43" s="1"/>
  <c r="K67" i="43"/>
  <c r="J67" i="43" s="1"/>
  <c r="M66" i="43"/>
  <c r="N66" i="43" s="1"/>
  <c r="K66" i="43"/>
  <c r="J66" i="43" s="1"/>
  <c r="M65" i="43"/>
  <c r="N65" i="43" s="1"/>
  <c r="K65" i="43"/>
  <c r="J65" i="43" s="1"/>
  <c r="M64" i="43"/>
  <c r="N64" i="43" s="1"/>
  <c r="K64" i="43"/>
  <c r="J64" i="43" s="1"/>
  <c r="M63" i="43"/>
  <c r="N63" i="43" s="1"/>
  <c r="K63" i="43"/>
  <c r="J63" i="43" s="1"/>
  <c r="M62" i="43"/>
  <c r="N62" i="43" s="1"/>
  <c r="K62" i="43"/>
  <c r="J62" i="43" s="1"/>
  <c r="M61" i="43"/>
  <c r="N61" i="43" s="1"/>
  <c r="K61" i="43"/>
  <c r="J61" i="43" s="1"/>
  <c r="M58" i="43"/>
  <c r="N58" i="43" s="1"/>
  <c r="K58" i="43"/>
  <c r="J58" i="43" s="1"/>
  <c r="D58" i="43"/>
  <c r="M57" i="43"/>
  <c r="N57" i="43" s="1"/>
  <c r="K57" i="43"/>
  <c r="J57" i="43" s="1"/>
  <c r="D57" i="43" s="1"/>
  <c r="M56" i="43"/>
  <c r="N56" i="43" s="1"/>
  <c r="K56" i="43"/>
  <c r="J56" i="43" s="1"/>
  <c r="D56" i="43"/>
  <c r="M55" i="43"/>
  <c r="N55" i="43" s="1"/>
  <c r="K55" i="43"/>
  <c r="J55" i="43" s="1"/>
  <c r="D55" i="43"/>
  <c r="M54" i="43"/>
  <c r="N54" i="43" s="1"/>
  <c r="K54" i="43"/>
  <c r="J54" i="43" s="1"/>
  <c r="D54" i="43"/>
  <c r="M53" i="43"/>
  <c r="N53" i="43" s="1"/>
  <c r="K53" i="43"/>
  <c r="J53" i="43"/>
  <c r="D53" i="43"/>
  <c r="M52" i="43"/>
  <c r="N52" i="43" s="1"/>
  <c r="K52" i="43"/>
  <c r="J52" i="43" s="1"/>
  <c r="D52" i="43"/>
  <c r="M51" i="43"/>
  <c r="N51" i="43" s="1"/>
  <c r="K51" i="43"/>
  <c r="J51" i="43" s="1"/>
  <c r="D51" i="43"/>
  <c r="M50" i="43"/>
  <c r="N50" i="43" s="1"/>
  <c r="K50" i="43"/>
  <c r="J50" i="43" s="1"/>
  <c r="D50" i="43"/>
  <c r="Q72" i="15"/>
  <c r="Q58" i="15"/>
  <c r="Q51" i="15"/>
  <c r="Q59" i="15"/>
  <c r="AE13" i="1"/>
  <c r="M47" i="15"/>
  <c r="AG13" i="1"/>
  <c r="J50" i="15"/>
  <c r="J51" i="15" s="1"/>
  <c r="D12" i="31"/>
  <c r="E12" i="31"/>
  <c r="F12" i="31"/>
  <c r="G12" i="31"/>
  <c r="H12" i="31"/>
  <c r="I12" i="31"/>
  <c r="J12" i="31"/>
  <c r="K12" i="31"/>
  <c r="L12" i="31"/>
  <c r="M12" i="31"/>
  <c r="N12" i="31"/>
  <c r="O12" i="31"/>
  <c r="P12" i="31"/>
  <c r="Q12" i="31"/>
  <c r="R12" i="31"/>
  <c r="S12" i="31"/>
  <c r="D10" i="31"/>
  <c r="E10" i="31"/>
  <c r="F10" i="31"/>
  <c r="G10" i="31"/>
  <c r="H10" i="31"/>
  <c r="I10" i="31"/>
  <c r="J10" i="31"/>
  <c r="K10" i="31"/>
  <c r="L10" i="31"/>
  <c r="M10" i="31"/>
  <c r="N10" i="31"/>
  <c r="O10" i="31"/>
  <c r="P10" i="31"/>
  <c r="Q10" i="31"/>
  <c r="R10" i="31"/>
  <c r="S10" i="31"/>
  <c r="D8" i="31"/>
  <c r="E8" i="31"/>
  <c r="F8" i="31"/>
  <c r="G8" i="31"/>
  <c r="H8" i="31"/>
  <c r="I8" i="31"/>
  <c r="J8" i="31"/>
  <c r="K8" i="31"/>
  <c r="L8" i="31"/>
  <c r="M8" i="31"/>
  <c r="N8" i="31"/>
  <c r="O8" i="31"/>
  <c r="P8" i="31"/>
  <c r="Q8" i="31"/>
  <c r="R8" i="31"/>
  <c r="S8" i="31"/>
  <c r="D6" i="31"/>
  <c r="E6" i="31"/>
  <c r="F6" i="31"/>
  <c r="G6" i="31"/>
  <c r="H6" i="31"/>
  <c r="I6" i="31"/>
  <c r="J6" i="31"/>
  <c r="K6" i="31"/>
  <c r="L6" i="31"/>
  <c r="M6" i="31"/>
  <c r="N6" i="31"/>
  <c r="O6" i="31"/>
  <c r="P6" i="31"/>
  <c r="Q6" i="31"/>
  <c r="R6" i="31"/>
  <c r="S6" i="31"/>
  <c r="B2" i="1"/>
  <c r="E15" i="4"/>
  <c r="F8" i="1" s="1"/>
  <c r="A7" i="1"/>
  <c r="B7" i="1" s="1"/>
  <c r="A8" i="1"/>
  <c r="B8" i="1" s="1"/>
  <c r="A9" i="1"/>
  <c r="A10" i="1"/>
  <c r="A11" i="1"/>
  <c r="B11" i="1" s="1"/>
  <c r="A12" i="1"/>
  <c r="A13" i="1"/>
  <c r="A6" i="1"/>
  <c r="F3" i="35"/>
  <c r="B13" i="1"/>
  <c r="K13" i="1"/>
  <c r="M13" i="1" s="1"/>
  <c r="O13" i="1" s="1"/>
  <c r="P13" i="1" s="1"/>
  <c r="G79" i="36"/>
  <c r="G85" i="35"/>
  <c r="G97" i="37"/>
  <c r="G110" i="34"/>
  <c r="G111" i="21"/>
  <c r="G109" i="33"/>
  <c r="D23" i="31"/>
  <c r="L2" i="31"/>
  <c r="K2" i="31"/>
  <c r="J2" i="31"/>
  <c r="I2" i="31"/>
  <c r="H2" i="31"/>
  <c r="G2" i="31"/>
  <c r="F2" i="31"/>
  <c r="E2" i="31"/>
  <c r="D2" i="31"/>
  <c r="C2" i="31"/>
  <c r="D46" i="15"/>
  <c r="BT112" i="3"/>
  <c r="BS112" i="3"/>
  <c r="BR112" i="3"/>
  <c r="BQ112" i="3"/>
  <c r="BP112" i="3"/>
  <c r="BO112" i="3"/>
  <c r="BN112" i="3"/>
  <c r="BM112" i="3"/>
  <c r="BL112" i="3"/>
  <c r="BK112" i="3"/>
  <c r="BJ112" i="3"/>
  <c r="BI112" i="3"/>
  <c r="BH112" i="3"/>
  <c r="BG112" i="3"/>
  <c r="BF112" i="3"/>
  <c r="BE112" i="3"/>
  <c r="BD112" i="3"/>
  <c r="BC112" i="3"/>
  <c r="BB112" i="3"/>
  <c r="BA112" i="3"/>
  <c r="AZ112" i="3"/>
  <c r="AX112" i="3"/>
  <c r="AW112" i="3"/>
  <c r="AV112" i="3"/>
  <c r="AC112" i="3"/>
  <c r="H112" i="3"/>
  <c r="G112" i="3"/>
  <c r="BT111" i="3"/>
  <c r="BS111" i="3"/>
  <c r="BR111" i="3"/>
  <c r="BQ111" i="3"/>
  <c r="BP111" i="3"/>
  <c r="BO111" i="3"/>
  <c r="BN111" i="3"/>
  <c r="BM111" i="3"/>
  <c r="BL111" i="3"/>
  <c r="BK111" i="3"/>
  <c r="BJ111" i="3"/>
  <c r="BI111" i="3"/>
  <c r="BH111" i="3"/>
  <c r="BG111" i="3"/>
  <c r="BF111" i="3"/>
  <c r="BE111" i="3"/>
  <c r="BD111" i="3"/>
  <c r="BC111" i="3"/>
  <c r="BB111" i="3"/>
  <c r="BA111" i="3"/>
  <c r="AX111" i="3"/>
  <c r="AW111" i="3"/>
  <c r="AV111" i="3"/>
  <c r="AC111" i="3"/>
  <c r="H111" i="3"/>
  <c r="G111" i="3"/>
  <c r="BT110" i="3"/>
  <c r="BS110" i="3"/>
  <c r="BR110" i="3"/>
  <c r="BQ110" i="3"/>
  <c r="BP110" i="3"/>
  <c r="BO110" i="3"/>
  <c r="BN110" i="3"/>
  <c r="BM110" i="3"/>
  <c r="BL110" i="3"/>
  <c r="BK110" i="3"/>
  <c r="BJ110" i="3"/>
  <c r="BI110" i="3"/>
  <c r="BH110" i="3"/>
  <c r="BG110" i="3"/>
  <c r="BF110" i="3"/>
  <c r="BE110" i="3"/>
  <c r="BD110" i="3"/>
  <c r="BC110" i="3"/>
  <c r="BB110" i="3"/>
  <c r="BA110" i="3"/>
  <c r="AX110" i="3"/>
  <c r="AW110" i="3"/>
  <c r="AV110" i="3"/>
  <c r="AC110" i="3"/>
  <c r="H110" i="3"/>
  <c r="G110" i="3"/>
  <c r="BT109" i="3"/>
  <c r="BS109" i="3"/>
  <c r="BR109" i="3"/>
  <c r="BQ109" i="3"/>
  <c r="BP109" i="3"/>
  <c r="BO109" i="3"/>
  <c r="BN109" i="3"/>
  <c r="BM109" i="3"/>
  <c r="BL109" i="3"/>
  <c r="BK109" i="3"/>
  <c r="BJ109" i="3"/>
  <c r="BI109" i="3"/>
  <c r="BH109" i="3"/>
  <c r="BG109" i="3"/>
  <c r="BF109" i="3"/>
  <c r="BE109" i="3"/>
  <c r="BD109" i="3"/>
  <c r="BC109" i="3"/>
  <c r="BB109" i="3"/>
  <c r="BA109" i="3"/>
  <c r="AX109" i="3"/>
  <c r="AW109" i="3"/>
  <c r="AV109" i="3"/>
  <c r="AC109" i="3"/>
  <c r="H109" i="3"/>
  <c r="G109" i="3"/>
  <c r="BT108" i="3"/>
  <c r="BS108" i="3"/>
  <c r="BR108" i="3"/>
  <c r="BQ108" i="3"/>
  <c r="BP108" i="3"/>
  <c r="BO108" i="3"/>
  <c r="BN108" i="3"/>
  <c r="BM108" i="3"/>
  <c r="BL108" i="3"/>
  <c r="BK108" i="3"/>
  <c r="BJ108" i="3"/>
  <c r="BI108" i="3"/>
  <c r="BH108" i="3"/>
  <c r="BG108" i="3"/>
  <c r="BF108" i="3"/>
  <c r="BE108" i="3"/>
  <c r="BD108" i="3"/>
  <c r="BC108" i="3"/>
  <c r="BB108" i="3"/>
  <c r="BA108" i="3"/>
  <c r="AZ108" i="3"/>
  <c r="AX108" i="3"/>
  <c r="AW108" i="3"/>
  <c r="AV108" i="3"/>
  <c r="AC108" i="3"/>
  <c r="H108" i="3"/>
  <c r="G108" i="3"/>
  <c r="BT107" i="3"/>
  <c r="BS107" i="3"/>
  <c r="BR107" i="3"/>
  <c r="BQ107" i="3"/>
  <c r="BP107" i="3"/>
  <c r="BO107" i="3"/>
  <c r="BN107" i="3"/>
  <c r="BM107" i="3"/>
  <c r="BL107" i="3"/>
  <c r="BK107" i="3"/>
  <c r="BJ107" i="3"/>
  <c r="BI107" i="3"/>
  <c r="BH107" i="3"/>
  <c r="BG107" i="3"/>
  <c r="BF107" i="3"/>
  <c r="BE107" i="3"/>
  <c r="BD107" i="3"/>
  <c r="BC107" i="3"/>
  <c r="BB107" i="3"/>
  <c r="BA107" i="3"/>
  <c r="AX107" i="3"/>
  <c r="AW107" i="3"/>
  <c r="AV107" i="3"/>
  <c r="AC107" i="3"/>
  <c r="H107" i="3"/>
  <c r="G107" i="3"/>
  <c r="BT106" i="3"/>
  <c r="BS106" i="3"/>
  <c r="BR106" i="3"/>
  <c r="BQ106" i="3"/>
  <c r="BP106" i="3"/>
  <c r="BO106" i="3"/>
  <c r="BN106" i="3"/>
  <c r="BM106" i="3"/>
  <c r="BL106" i="3"/>
  <c r="BK106" i="3"/>
  <c r="BJ106" i="3"/>
  <c r="BI106" i="3"/>
  <c r="BH106" i="3"/>
  <c r="BG106" i="3"/>
  <c r="BF106" i="3"/>
  <c r="BE106" i="3"/>
  <c r="BD106" i="3"/>
  <c r="BC106" i="3"/>
  <c r="BB106" i="3"/>
  <c r="BA106" i="3"/>
  <c r="AZ106" i="3"/>
  <c r="AX106" i="3"/>
  <c r="AW106" i="3"/>
  <c r="AV106" i="3"/>
  <c r="AC106" i="3"/>
  <c r="H106" i="3"/>
  <c r="G106" i="3"/>
  <c r="BT105" i="3"/>
  <c r="BS105" i="3"/>
  <c r="BR105" i="3"/>
  <c r="BQ105" i="3"/>
  <c r="BP105" i="3"/>
  <c r="BO105" i="3"/>
  <c r="BN105" i="3"/>
  <c r="BM105" i="3"/>
  <c r="BL105" i="3"/>
  <c r="BK105" i="3"/>
  <c r="BJ105" i="3"/>
  <c r="BI105" i="3"/>
  <c r="BH105" i="3"/>
  <c r="BG105" i="3"/>
  <c r="BF105" i="3"/>
  <c r="BE105" i="3"/>
  <c r="BD105" i="3"/>
  <c r="BC105" i="3"/>
  <c r="BB105" i="3"/>
  <c r="BA105" i="3"/>
  <c r="AX105" i="3"/>
  <c r="AW105" i="3"/>
  <c r="AV105" i="3"/>
  <c r="AC105" i="3"/>
  <c r="H105" i="3"/>
  <c r="G105" i="3"/>
  <c r="BT104" i="3"/>
  <c r="BS104" i="3"/>
  <c r="BR104" i="3"/>
  <c r="BQ104" i="3"/>
  <c r="BP104" i="3"/>
  <c r="BO104" i="3"/>
  <c r="BN104" i="3"/>
  <c r="BM104" i="3"/>
  <c r="BL104" i="3"/>
  <c r="BK104" i="3"/>
  <c r="BJ104" i="3"/>
  <c r="BI104" i="3"/>
  <c r="BH104" i="3"/>
  <c r="BG104" i="3"/>
  <c r="BF104" i="3"/>
  <c r="BE104" i="3"/>
  <c r="BD104" i="3"/>
  <c r="BC104" i="3"/>
  <c r="BB104" i="3"/>
  <c r="BA104" i="3"/>
  <c r="AZ104" i="3"/>
  <c r="AX104" i="3"/>
  <c r="AW104" i="3"/>
  <c r="AV104" i="3"/>
  <c r="AC104" i="3"/>
  <c r="H104" i="3"/>
  <c r="G104" i="3"/>
  <c r="BT103" i="3"/>
  <c r="BS103" i="3"/>
  <c r="BR103" i="3"/>
  <c r="BQ103" i="3"/>
  <c r="BP103" i="3"/>
  <c r="BO103" i="3"/>
  <c r="BN103" i="3"/>
  <c r="BM103" i="3"/>
  <c r="BL103" i="3"/>
  <c r="BK103" i="3"/>
  <c r="BJ103" i="3"/>
  <c r="BI103" i="3"/>
  <c r="BH103" i="3"/>
  <c r="BG103" i="3"/>
  <c r="BF103" i="3"/>
  <c r="BE103" i="3"/>
  <c r="BD103" i="3"/>
  <c r="BC103" i="3"/>
  <c r="BB103" i="3"/>
  <c r="BA103" i="3"/>
  <c r="AZ103" i="3"/>
  <c r="AX103" i="3"/>
  <c r="AW103" i="3"/>
  <c r="AV103" i="3"/>
  <c r="AC103" i="3"/>
  <c r="H103" i="3"/>
  <c r="G103" i="3"/>
  <c r="BT102" i="3"/>
  <c r="BS102" i="3"/>
  <c r="BR102" i="3"/>
  <c r="BQ102" i="3"/>
  <c r="BP102" i="3"/>
  <c r="BO102" i="3"/>
  <c r="BN102" i="3"/>
  <c r="BM102" i="3"/>
  <c r="BL102" i="3"/>
  <c r="BK102" i="3"/>
  <c r="BJ102" i="3"/>
  <c r="BI102" i="3"/>
  <c r="BH102" i="3"/>
  <c r="BG102" i="3"/>
  <c r="BF102" i="3"/>
  <c r="BE102" i="3"/>
  <c r="BD102" i="3"/>
  <c r="BC102" i="3"/>
  <c r="BB102" i="3"/>
  <c r="BA102" i="3"/>
  <c r="AX102" i="3"/>
  <c r="AW102" i="3"/>
  <c r="AV102" i="3"/>
  <c r="AC102" i="3"/>
  <c r="H102" i="3"/>
  <c r="G102" i="3"/>
  <c r="BT101" i="3"/>
  <c r="BS101" i="3"/>
  <c r="BR101" i="3"/>
  <c r="BQ101" i="3"/>
  <c r="BP101" i="3"/>
  <c r="BO101" i="3"/>
  <c r="BN101" i="3"/>
  <c r="BM101" i="3"/>
  <c r="BL101" i="3"/>
  <c r="BK101" i="3"/>
  <c r="BJ101" i="3"/>
  <c r="BI101" i="3"/>
  <c r="BH101" i="3"/>
  <c r="BG101" i="3"/>
  <c r="BF101" i="3"/>
  <c r="BE101" i="3"/>
  <c r="BD101" i="3"/>
  <c r="BC101" i="3"/>
  <c r="BB101" i="3"/>
  <c r="BA101" i="3"/>
  <c r="AX101" i="3"/>
  <c r="AW101" i="3"/>
  <c r="AV101" i="3"/>
  <c r="AC101" i="3"/>
  <c r="H101" i="3"/>
  <c r="G101" i="3"/>
  <c r="BT100" i="3"/>
  <c r="BS100" i="3"/>
  <c r="BR100" i="3"/>
  <c r="BQ100" i="3"/>
  <c r="BP100" i="3"/>
  <c r="BO100" i="3"/>
  <c r="BN100" i="3"/>
  <c r="BM100" i="3"/>
  <c r="BL100" i="3"/>
  <c r="BK100" i="3"/>
  <c r="BJ100" i="3"/>
  <c r="BI100" i="3"/>
  <c r="BH100" i="3"/>
  <c r="BG100" i="3"/>
  <c r="BF100" i="3"/>
  <c r="BE100" i="3"/>
  <c r="BD100" i="3"/>
  <c r="BC100" i="3"/>
  <c r="BB100" i="3"/>
  <c r="BA100" i="3"/>
  <c r="AZ100" i="3"/>
  <c r="AX100" i="3"/>
  <c r="AW100" i="3"/>
  <c r="AV100" i="3"/>
  <c r="AC100" i="3"/>
  <c r="H100" i="3"/>
  <c r="G100" i="3"/>
  <c r="BT99" i="3"/>
  <c r="BS99" i="3"/>
  <c r="BR99" i="3"/>
  <c r="BQ99" i="3"/>
  <c r="BP99" i="3"/>
  <c r="BO99" i="3"/>
  <c r="BN99" i="3"/>
  <c r="BM99" i="3"/>
  <c r="BL99" i="3"/>
  <c r="BK99" i="3"/>
  <c r="BJ99" i="3"/>
  <c r="BI99" i="3"/>
  <c r="BH99" i="3"/>
  <c r="BG99" i="3"/>
  <c r="BF99" i="3"/>
  <c r="BE99" i="3"/>
  <c r="BD99" i="3"/>
  <c r="BC99" i="3"/>
  <c r="BB99" i="3"/>
  <c r="BA99" i="3"/>
  <c r="AZ99" i="3"/>
  <c r="AX99" i="3"/>
  <c r="AW99" i="3"/>
  <c r="AV99" i="3"/>
  <c r="AC99" i="3"/>
  <c r="H99" i="3"/>
  <c r="G99" i="3"/>
  <c r="BT98" i="3"/>
  <c r="BS98" i="3"/>
  <c r="BR98" i="3"/>
  <c r="BQ98" i="3"/>
  <c r="BP98" i="3"/>
  <c r="BO98" i="3"/>
  <c r="BN98" i="3"/>
  <c r="BM98" i="3"/>
  <c r="BL98" i="3"/>
  <c r="BK98" i="3"/>
  <c r="BJ98" i="3"/>
  <c r="BI98" i="3"/>
  <c r="BH98" i="3"/>
  <c r="BG98" i="3"/>
  <c r="BF98" i="3"/>
  <c r="BE98" i="3"/>
  <c r="BD98" i="3"/>
  <c r="BC98" i="3"/>
  <c r="BB98" i="3"/>
  <c r="BA98" i="3"/>
  <c r="AZ98" i="3"/>
  <c r="AX98" i="3"/>
  <c r="AW98" i="3"/>
  <c r="AV98" i="3"/>
  <c r="AC98" i="3"/>
  <c r="H98" i="3"/>
  <c r="G98" i="3"/>
  <c r="BT97" i="3"/>
  <c r="BS97" i="3"/>
  <c r="BR97" i="3"/>
  <c r="BQ97" i="3"/>
  <c r="BP97" i="3"/>
  <c r="BO97" i="3"/>
  <c r="BN97" i="3"/>
  <c r="BM97" i="3"/>
  <c r="BL97" i="3"/>
  <c r="BK97" i="3"/>
  <c r="BJ97" i="3"/>
  <c r="BI97" i="3"/>
  <c r="BH97" i="3"/>
  <c r="BG97" i="3"/>
  <c r="BF97" i="3"/>
  <c r="BE97" i="3"/>
  <c r="BD97" i="3"/>
  <c r="BC97" i="3"/>
  <c r="BB97" i="3"/>
  <c r="BA97" i="3"/>
  <c r="AX97" i="3"/>
  <c r="AW97" i="3"/>
  <c r="AV97" i="3"/>
  <c r="AC97" i="3"/>
  <c r="H97" i="3"/>
  <c r="G97" i="3"/>
  <c r="BT96" i="3"/>
  <c r="BS96" i="3"/>
  <c r="BR96" i="3"/>
  <c r="BQ96" i="3"/>
  <c r="BP96" i="3"/>
  <c r="BO96" i="3"/>
  <c r="BN96" i="3"/>
  <c r="BM96" i="3"/>
  <c r="BL96" i="3"/>
  <c r="BK96" i="3"/>
  <c r="BJ96" i="3"/>
  <c r="BI96" i="3"/>
  <c r="BH96" i="3"/>
  <c r="BG96" i="3"/>
  <c r="BF96" i="3"/>
  <c r="BE96" i="3"/>
  <c r="BD96" i="3"/>
  <c r="BC96" i="3"/>
  <c r="BB96" i="3"/>
  <c r="BA96" i="3"/>
  <c r="AZ96" i="3"/>
  <c r="AX96" i="3"/>
  <c r="AW96" i="3"/>
  <c r="AV96" i="3"/>
  <c r="AC96" i="3"/>
  <c r="H96" i="3"/>
  <c r="G96" i="3"/>
  <c r="BT95" i="3"/>
  <c r="BS95" i="3"/>
  <c r="BR95" i="3"/>
  <c r="BQ95" i="3"/>
  <c r="BP95" i="3"/>
  <c r="BO95" i="3"/>
  <c r="BN95" i="3"/>
  <c r="BM95" i="3"/>
  <c r="BL95" i="3"/>
  <c r="BK95" i="3"/>
  <c r="BJ95" i="3"/>
  <c r="BI95" i="3"/>
  <c r="BH95" i="3"/>
  <c r="BG95" i="3"/>
  <c r="BF95" i="3"/>
  <c r="BE95" i="3"/>
  <c r="BD95" i="3"/>
  <c r="BC95" i="3"/>
  <c r="BB95" i="3"/>
  <c r="BA95" i="3"/>
  <c r="AZ95" i="3"/>
  <c r="AX95" i="3"/>
  <c r="AW95" i="3"/>
  <c r="AV95" i="3"/>
  <c r="AC95" i="3"/>
  <c r="H95" i="3"/>
  <c r="G95" i="3"/>
  <c r="BT94" i="3"/>
  <c r="BS94" i="3"/>
  <c r="BR94" i="3"/>
  <c r="BQ94" i="3"/>
  <c r="BP94" i="3"/>
  <c r="BO94" i="3"/>
  <c r="BN94" i="3"/>
  <c r="BM94" i="3"/>
  <c r="BL94" i="3"/>
  <c r="BK94" i="3"/>
  <c r="BJ94" i="3"/>
  <c r="BI94" i="3"/>
  <c r="BH94" i="3"/>
  <c r="BG94" i="3"/>
  <c r="BF94" i="3"/>
  <c r="BE94" i="3"/>
  <c r="BD94" i="3"/>
  <c r="BC94" i="3"/>
  <c r="BB94" i="3"/>
  <c r="BA94" i="3"/>
  <c r="AX94" i="3"/>
  <c r="AW94" i="3"/>
  <c r="AV94" i="3"/>
  <c r="AC94" i="3"/>
  <c r="H94" i="3"/>
  <c r="G94" i="3"/>
  <c r="BT93" i="3"/>
  <c r="BS93" i="3"/>
  <c r="BR93" i="3"/>
  <c r="BQ93" i="3"/>
  <c r="BP93" i="3"/>
  <c r="BO93" i="3"/>
  <c r="BN93" i="3"/>
  <c r="BM93" i="3"/>
  <c r="BL93" i="3"/>
  <c r="BK93" i="3"/>
  <c r="BJ93" i="3"/>
  <c r="BI93" i="3"/>
  <c r="BH93" i="3"/>
  <c r="BG93" i="3"/>
  <c r="BF93" i="3"/>
  <c r="BE93" i="3"/>
  <c r="BD93" i="3"/>
  <c r="BC93" i="3"/>
  <c r="BB93" i="3"/>
  <c r="BA93" i="3"/>
  <c r="AX93" i="3"/>
  <c r="AW93" i="3"/>
  <c r="AV93" i="3"/>
  <c r="AC93" i="3"/>
  <c r="H93" i="3"/>
  <c r="G93" i="3"/>
  <c r="BT92" i="3"/>
  <c r="BS92" i="3"/>
  <c r="BR92" i="3"/>
  <c r="BQ92" i="3"/>
  <c r="BP92" i="3"/>
  <c r="BO92" i="3"/>
  <c r="BN92" i="3"/>
  <c r="BM92" i="3"/>
  <c r="BL92" i="3"/>
  <c r="BK92" i="3"/>
  <c r="BJ92" i="3"/>
  <c r="BI92" i="3"/>
  <c r="BH92" i="3"/>
  <c r="BG92" i="3"/>
  <c r="BF92" i="3"/>
  <c r="BE92" i="3"/>
  <c r="BD92" i="3"/>
  <c r="BC92" i="3"/>
  <c r="BB92" i="3"/>
  <c r="BA92" i="3"/>
  <c r="AZ92" i="3"/>
  <c r="AX92" i="3"/>
  <c r="AW92" i="3"/>
  <c r="AV92" i="3"/>
  <c r="AC92" i="3"/>
  <c r="H92" i="3"/>
  <c r="G92" i="3"/>
  <c r="BT91" i="3"/>
  <c r="BS91" i="3"/>
  <c r="BR91" i="3"/>
  <c r="BQ91" i="3"/>
  <c r="BP91" i="3"/>
  <c r="BO91" i="3"/>
  <c r="BN91" i="3"/>
  <c r="BM91" i="3"/>
  <c r="BL91" i="3"/>
  <c r="BK91" i="3"/>
  <c r="BJ91" i="3"/>
  <c r="BI91" i="3"/>
  <c r="BH91" i="3"/>
  <c r="BG91" i="3"/>
  <c r="BF91" i="3"/>
  <c r="BE91" i="3"/>
  <c r="BD91" i="3"/>
  <c r="BC91" i="3"/>
  <c r="BB91" i="3"/>
  <c r="BA91" i="3"/>
  <c r="AZ91" i="3"/>
  <c r="AX91" i="3"/>
  <c r="AW91" i="3"/>
  <c r="AV91" i="3"/>
  <c r="AC91" i="3"/>
  <c r="H91" i="3"/>
  <c r="G91" i="3"/>
  <c r="BT90" i="3"/>
  <c r="BS90" i="3"/>
  <c r="BR90" i="3"/>
  <c r="BQ90" i="3"/>
  <c r="BP90" i="3"/>
  <c r="BO90" i="3"/>
  <c r="BN90" i="3"/>
  <c r="BM90" i="3"/>
  <c r="BL90" i="3"/>
  <c r="BK90" i="3"/>
  <c r="BJ90" i="3"/>
  <c r="BI90" i="3"/>
  <c r="BH90" i="3"/>
  <c r="BG90" i="3"/>
  <c r="BF90" i="3"/>
  <c r="BE90" i="3"/>
  <c r="BD90" i="3"/>
  <c r="BC90" i="3"/>
  <c r="BB90" i="3"/>
  <c r="BA90" i="3"/>
  <c r="AZ90" i="3"/>
  <c r="AX90" i="3"/>
  <c r="AW90" i="3"/>
  <c r="AV90" i="3"/>
  <c r="AC90" i="3"/>
  <c r="H90" i="3"/>
  <c r="G90" i="3"/>
  <c r="BT89" i="3"/>
  <c r="BS89" i="3"/>
  <c r="BR89" i="3"/>
  <c r="BQ89" i="3"/>
  <c r="BP89" i="3"/>
  <c r="BO89" i="3"/>
  <c r="BN89" i="3"/>
  <c r="BM89" i="3"/>
  <c r="BL89" i="3"/>
  <c r="BK89" i="3"/>
  <c r="BJ89" i="3"/>
  <c r="BI89" i="3"/>
  <c r="BH89" i="3"/>
  <c r="BG89" i="3"/>
  <c r="BF89" i="3"/>
  <c r="BE89" i="3"/>
  <c r="BD89" i="3"/>
  <c r="BC89" i="3"/>
  <c r="BB89" i="3"/>
  <c r="BA89" i="3"/>
  <c r="AX89" i="3"/>
  <c r="AW89" i="3"/>
  <c r="AV89" i="3"/>
  <c r="AC89" i="3"/>
  <c r="H89" i="3"/>
  <c r="G89" i="3"/>
  <c r="BT88" i="3"/>
  <c r="BS88" i="3"/>
  <c r="BR88" i="3"/>
  <c r="BQ88" i="3"/>
  <c r="BP88" i="3"/>
  <c r="BO88" i="3"/>
  <c r="BN88" i="3"/>
  <c r="BM88" i="3"/>
  <c r="BL88" i="3"/>
  <c r="BK88" i="3"/>
  <c r="BJ88" i="3"/>
  <c r="BI88" i="3"/>
  <c r="BH88" i="3"/>
  <c r="BG88" i="3"/>
  <c r="BF88" i="3"/>
  <c r="BE88" i="3"/>
  <c r="BD88" i="3"/>
  <c r="BC88" i="3"/>
  <c r="BB88" i="3"/>
  <c r="BA88" i="3"/>
  <c r="AX88" i="3"/>
  <c r="AW88" i="3"/>
  <c r="AV88" i="3"/>
  <c r="AC88" i="3"/>
  <c r="H88" i="3"/>
  <c r="G88" i="3"/>
  <c r="BT87" i="3"/>
  <c r="BS87" i="3"/>
  <c r="BR87" i="3"/>
  <c r="BQ87" i="3"/>
  <c r="BP87" i="3"/>
  <c r="BO87" i="3"/>
  <c r="BN87" i="3"/>
  <c r="BM87" i="3"/>
  <c r="BL87" i="3"/>
  <c r="BK87" i="3"/>
  <c r="BJ87" i="3"/>
  <c r="BI87" i="3"/>
  <c r="BH87" i="3"/>
  <c r="BG87" i="3"/>
  <c r="BF87" i="3"/>
  <c r="BE87" i="3"/>
  <c r="BD87" i="3"/>
  <c r="BC87" i="3"/>
  <c r="BB87" i="3"/>
  <c r="BA87" i="3"/>
  <c r="AZ87" i="3"/>
  <c r="AX87" i="3"/>
  <c r="AW87" i="3"/>
  <c r="AV87" i="3"/>
  <c r="AC87" i="3"/>
  <c r="H87" i="3"/>
  <c r="G87" i="3"/>
  <c r="BT86" i="3"/>
  <c r="BS86" i="3"/>
  <c r="BR86" i="3"/>
  <c r="BQ86" i="3"/>
  <c r="BP86" i="3"/>
  <c r="BO86" i="3"/>
  <c r="BN86" i="3"/>
  <c r="BM86" i="3"/>
  <c r="BL86" i="3"/>
  <c r="BK86" i="3"/>
  <c r="BJ86" i="3"/>
  <c r="BI86" i="3"/>
  <c r="BH86" i="3"/>
  <c r="BG86" i="3"/>
  <c r="BF86" i="3"/>
  <c r="BE86" i="3"/>
  <c r="BD86" i="3"/>
  <c r="BC86" i="3"/>
  <c r="BB86" i="3"/>
  <c r="BA86" i="3"/>
  <c r="AX86" i="3"/>
  <c r="AW86" i="3"/>
  <c r="AV86" i="3"/>
  <c r="AC86" i="3"/>
  <c r="H86" i="3"/>
  <c r="G86" i="3"/>
  <c r="BT85" i="3"/>
  <c r="BS85" i="3"/>
  <c r="BR85" i="3"/>
  <c r="BQ85" i="3"/>
  <c r="BP85" i="3"/>
  <c r="BO85" i="3"/>
  <c r="BN85" i="3"/>
  <c r="BM85" i="3"/>
  <c r="BL85" i="3"/>
  <c r="BK85" i="3"/>
  <c r="BJ85" i="3"/>
  <c r="BI85" i="3"/>
  <c r="BH85" i="3"/>
  <c r="BG85" i="3"/>
  <c r="BF85" i="3"/>
  <c r="BE85" i="3"/>
  <c r="BD85" i="3"/>
  <c r="BC85" i="3"/>
  <c r="BB85" i="3"/>
  <c r="BA85" i="3"/>
  <c r="AX85" i="3"/>
  <c r="AW85" i="3"/>
  <c r="AV85" i="3"/>
  <c r="AC85" i="3"/>
  <c r="H85" i="3"/>
  <c r="G85" i="3"/>
  <c r="BT84" i="3"/>
  <c r="BS84" i="3"/>
  <c r="BR84" i="3"/>
  <c r="BQ84" i="3"/>
  <c r="BP84" i="3"/>
  <c r="BO84" i="3"/>
  <c r="BN84" i="3"/>
  <c r="BM84" i="3"/>
  <c r="BL84" i="3"/>
  <c r="BK84" i="3"/>
  <c r="BJ84" i="3"/>
  <c r="BI84" i="3"/>
  <c r="BH84" i="3"/>
  <c r="BG84" i="3"/>
  <c r="BF84" i="3"/>
  <c r="BE84" i="3"/>
  <c r="BD84" i="3"/>
  <c r="BC84" i="3"/>
  <c r="BB84" i="3"/>
  <c r="BA84" i="3"/>
  <c r="AX84" i="3"/>
  <c r="AW84" i="3"/>
  <c r="AV84" i="3"/>
  <c r="AC84" i="3"/>
  <c r="H84" i="3"/>
  <c r="G84" i="3"/>
  <c r="BT83" i="3"/>
  <c r="BS83" i="3"/>
  <c r="BR83" i="3"/>
  <c r="BQ83" i="3"/>
  <c r="BP83" i="3"/>
  <c r="BO83" i="3"/>
  <c r="BN83" i="3"/>
  <c r="BM83" i="3"/>
  <c r="BL83" i="3"/>
  <c r="BK83" i="3"/>
  <c r="BJ83" i="3"/>
  <c r="BI83" i="3"/>
  <c r="BH83" i="3"/>
  <c r="BG83" i="3"/>
  <c r="BF83" i="3"/>
  <c r="BE83" i="3"/>
  <c r="BD83" i="3"/>
  <c r="BC83" i="3"/>
  <c r="BB83" i="3"/>
  <c r="BA83" i="3"/>
  <c r="AX83" i="3"/>
  <c r="AW83" i="3"/>
  <c r="AV83" i="3"/>
  <c r="AC83" i="3"/>
  <c r="H83" i="3"/>
  <c r="G83" i="3"/>
  <c r="BT82" i="3"/>
  <c r="BS82" i="3"/>
  <c r="BR82" i="3"/>
  <c r="BQ82" i="3"/>
  <c r="BP82" i="3"/>
  <c r="BO82" i="3"/>
  <c r="BN82" i="3"/>
  <c r="BM82" i="3"/>
  <c r="BL82" i="3"/>
  <c r="BK82" i="3"/>
  <c r="BJ82" i="3"/>
  <c r="BI82" i="3"/>
  <c r="BH82" i="3"/>
  <c r="BG82" i="3"/>
  <c r="BF82" i="3"/>
  <c r="BE82" i="3"/>
  <c r="BD82" i="3"/>
  <c r="BC82" i="3"/>
  <c r="BB82" i="3"/>
  <c r="BA82" i="3"/>
  <c r="AX82" i="3"/>
  <c r="AW82" i="3"/>
  <c r="AV82" i="3"/>
  <c r="AC82" i="3"/>
  <c r="H82" i="3"/>
  <c r="G82" i="3"/>
  <c r="BT81" i="3"/>
  <c r="BS81" i="3"/>
  <c r="BR81" i="3"/>
  <c r="BQ81" i="3"/>
  <c r="BP81" i="3"/>
  <c r="BO81" i="3"/>
  <c r="BN81" i="3"/>
  <c r="BM81" i="3"/>
  <c r="BL81" i="3"/>
  <c r="BK81" i="3"/>
  <c r="BJ81" i="3"/>
  <c r="BI81" i="3"/>
  <c r="BH81" i="3"/>
  <c r="BG81" i="3"/>
  <c r="BF81" i="3"/>
  <c r="BE81" i="3"/>
  <c r="BD81" i="3"/>
  <c r="BC81" i="3"/>
  <c r="BB81" i="3"/>
  <c r="BA81" i="3"/>
  <c r="AZ81" i="3"/>
  <c r="AX81" i="3"/>
  <c r="AW81" i="3"/>
  <c r="AV81" i="3"/>
  <c r="AC81" i="3"/>
  <c r="H81" i="3"/>
  <c r="G81" i="3"/>
  <c r="BT80" i="3"/>
  <c r="BS80" i="3"/>
  <c r="BR80" i="3"/>
  <c r="BQ80" i="3"/>
  <c r="BP80" i="3"/>
  <c r="BO80" i="3"/>
  <c r="BN80" i="3"/>
  <c r="BM80" i="3"/>
  <c r="BL80" i="3"/>
  <c r="BK80" i="3"/>
  <c r="BJ80" i="3"/>
  <c r="BI80" i="3"/>
  <c r="BH80" i="3"/>
  <c r="BG80" i="3"/>
  <c r="BF80" i="3"/>
  <c r="BE80" i="3"/>
  <c r="BD80" i="3"/>
  <c r="BC80" i="3"/>
  <c r="BB80" i="3"/>
  <c r="BA80" i="3"/>
  <c r="AX80" i="3"/>
  <c r="AW80" i="3"/>
  <c r="AV80" i="3"/>
  <c r="AC80" i="3"/>
  <c r="H80" i="3"/>
  <c r="G80" i="3"/>
  <c r="BT79" i="3"/>
  <c r="BS79" i="3"/>
  <c r="BR79" i="3"/>
  <c r="BQ79" i="3"/>
  <c r="BP79" i="3"/>
  <c r="BO79" i="3"/>
  <c r="BN79" i="3"/>
  <c r="BM79" i="3"/>
  <c r="BL79" i="3"/>
  <c r="BK79" i="3"/>
  <c r="BJ79" i="3"/>
  <c r="BI79" i="3"/>
  <c r="BH79" i="3"/>
  <c r="BG79" i="3"/>
  <c r="BF79" i="3"/>
  <c r="BE79" i="3"/>
  <c r="BD79" i="3"/>
  <c r="BC79" i="3"/>
  <c r="BB79" i="3"/>
  <c r="BA79" i="3"/>
  <c r="AX79" i="3"/>
  <c r="AW79" i="3"/>
  <c r="AV79" i="3"/>
  <c r="AC79" i="3"/>
  <c r="H79" i="3"/>
  <c r="G79" i="3"/>
  <c r="BT78" i="3"/>
  <c r="BS78" i="3"/>
  <c r="BR78" i="3"/>
  <c r="BQ78" i="3"/>
  <c r="BP78" i="3"/>
  <c r="BO78" i="3"/>
  <c r="BN78" i="3"/>
  <c r="BM78" i="3"/>
  <c r="BL78" i="3"/>
  <c r="BK78" i="3"/>
  <c r="BJ78" i="3"/>
  <c r="BI78" i="3"/>
  <c r="BH78" i="3"/>
  <c r="BG78" i="3"/>
  <c r="BF78" i="3"/>
  <c r="BE78" i="3"/>
  <c r="BD78" i="3"/>
  <c r="BC78" i="3"/>
  <c r="BB78" i="3"/>
  <c r="BA78" i="3"/>
  <c r="AZ78" i="3"/>
  <c r="AX78" i="3"/>
  <c r="AW78" i="3"/>
  <c r="AV78" i="3"/>
  <c r="AC78" i="3"/>
  <c r="H78" i="3"/>
  <c r="G78" i="3"/>
  <c r="BT77" i="3"/>
  <c r="BS77" i="3"/>
  <c r="BR77" i="3"/>
  <c r="BQ77" i="3"/>
  <c r="BP77" i="3"/>
  <c r="BO77" i="3"/>
  <c r="BN77" i="3"/>
  <c r="BM77" i="3"/>
  <c r="BL77" i="3"/>
  <c r="BK77" i="3"/>
  <c r="BJ77" i="3"/>
  <c r="BI77" i="3"/>
  <c r="BH77" i="3"/>
  <c r="BG77" i="3"/>
  <c r="BF77" i="3"/>
  <c r="BE77" i="3"/>
  <c r="BD77" i="3"/>
  <c r="BC77" i="3"/>
  <c r="BB77" i="3"/>
  <c r="BA77" i="3"/>
  <c r="AX77" i="3"/>
  <c r="AW77" i="3"/>
  <c r="AV77" i="3"/>
  <c r="AC77" i="3"/>
  <c r="H77" i="3"/>
  <c r="G77" i="3"/>
  <c r="BT76" i="3"/>
  <c r="BS76" i="3"/>
  <c r="BR76" i="3"/>
  <c r="BQ76" i="3"/>
  <c r="BP76" i="3"/>
  <c r="BO76" i="3"/>
  <c r="BN76" i="3"/>
  <c r="BM76" i="3"/>
  <c r="BL76" i="3"/>
  <c r="BK76" i="3"/>
  <c r="BJ76" i="3"/>
  <c r="BI76" i="3"/>
  <c r="BH76" i="3"/>
  <c r="BG76" i="3"/>
  <c r="BF76" i="3"/>
  <c r="BE76" i="3"/>
  <c r="BD76" i="3"/>
  <c r="BC76" i="3"/>
  <c r="BB76" i="3"/>
  <c r="BA76" i="3"/>
  <c r="AZ76" i="3"/>
  <c r="AX76" i="3"/>
  <c r="AW76" i="3"/>
  <c r="AV76" i="3"/>
  <c r="AC76" i="3"/>
  <c r="H76" i="3"/>
  <c r="G76" i="3"/>
  <c r="BT75" i="3"/>
  <c r="BS75" i="3"/>
  <c r="BR75" i="3"/>
  <c r="BQ75" i="3"/>
  <c r="BP75" i="3"/>
  <c r="BO75" i="3"/>
  <c r="BN75" i="3"/>
  <c r="BM75" i="3"/>
  <c r="BL75" i="3"/>
  <c r="BK75" i="3"/>
  <c r="BJ75" i="3"/>
  <c r="BI75" i="3"/>
  <c r="BH75" i="3"/>
  <c r="BG75" i="3"/>
  <c r="BF75" i="3"/>
  <c r="BE75" i="3"/>
  <c r="BD75" i="3"/>
  <c r="BC75" i="3"/>
  <c r="BB75" i="3"/>
  <c r="BA75" i="3"/>
  <c r="AX75" i="3"/>
  <c r="AW75" i="3"/>
  <c r="AV75" i="3"/>
  <c r="AC75" i="3"/>
  <c r="H75" i="3"/>
  <c r="G75" i="3"/>
  <c r="BT74" i="3"/>
  <c r="BS74" i="3"/>
  <c r="BR74" i="3"/>
  <c r="BQ74" i="3"/>
  <c r="BP74" i="3"/>
  <c r="BO74" i="3"/>
  <c r="BN74" i="3"/>
  <c r="BM74" i="3"/>
  <c r="BL74" i="3"/>
  <c r="BK74" i="3"/>
  <c r="BJ74" i="3"/>
  <c r="BI74" i="3"/>
  <c r="BH74" i="3"/>
  <c r="BG74" i="3"/>
  <c r="BF74" i="3"/>
  <c r="BE74" i="3"/>
  <c r="BD74" i="3"/>
  <c r="BC74" i="3"/>
  <c r="BB74" i="3"/>
  <c r="BA74" i="3"/>
  <c r="AX74" i="3"/>
  <c r="AW74" i="3"/>
  <c r="AV74" i="3"/>
  <c r="AC74" i="3"/>
  <c r="H74" i="3"/>
  <c r="G74" i="3"/>
  <c r="BT73" i="3"/>
  <c r="BS73" i="3"/>
  <c r="BR73" i="3"/>
  <c r="BQ73" i="3"/>
  <c r="BP73" i="3"/>
  <c r="BO73" i="3"/>
  <c r="BN73" i="3"/>
  <c r="BM73" i="3"/>
  <c r="BL73" i="3"/>
  <c r="BK73" i="3"/>
  <c r="BJ73" i="3"/>
  <c r="BI73" i="3"/>
  <c r="BH73" i="3"/>
  <c r="BG73" i="3"/>
  <c r="BF73" i="3"/>
  <c r="BE73" i="3"/>
  <c r="BD73" i="3"/>
  <c r="BC73" i="3"/>
  <c r="BB73" i="3"/>
  <c r="BA73" i="3"/>
  <c r="AZ73" i="3"/>
  <c r="AX73" i="3"/>
  <c r="AW73" i="3"/>
  <c r="AV73" i="3"/>
  <c r="AC73" i="3"/>
  <c r="H73" i="3"/>
  <c r="G73" i="3"/>
  <c r="BT72" i="3"/>
  <c r="BS72" i="3"/>
  <c r="BR72" i="3"/>
  <c r="BQ72" i="3"/>
  <c r="BP72" i="3"/>
  <c r="BO72" i="3"/>
  <c r="BN72" i="3"/>
  <c r="BM72" i="3"/>
  <c r="BL72" i="3"/>
  <c r="BK72" i="3"/>
  <c r="BJ72" i="3"/>
  <c r="BI72" i="3"/>
  <c r="BH72" i="3"/>
  <c r="BG72" i="3"/>
  <c r="BF72" i="3"/>
  <c r="BE72" i="3"/>
  <c r="BD72" i="3"/>
  <c r="BC72" i="3"/>
  <c r="BB72" i="3"/>
  <c r="BA72" i="3"/>
  <c r="AX72" i="3"/>
  <c r="AW72" i="3"/>
  <c r="AV72" i="3"/>
  <c r="AC72" i="3"/>
  <c r="H72" i="3"/>
  <c r="G72" i="3"/>
  <c r="BT71" i="3"/>
  <c r="BS71" i="3"/>
  <c r="BR71" i="3"/>
  <c r="BQ71" i="3"/>
  <c r="BP71" i="3"/>
  <c r="BO71" i="3"/>
  <c r="BN71" i="3"/>
  <c r="BM71" i="3"/>
  <c r="BL71" i="3"/>
  <c r="BK71" i="3"/>
  <c r="BJ71" i="3"/>
  <c r="BI71" i="3"/>
  <c r="BH71" i="3"/>
  <c r="BG71" i="3"/>
  <c r="BF71" i="3"/>
  <c r="BE71" i="3"/>
  <c r="BD71" i="3"/>
  <c r="BC71" i="3"/>
  <c r="BB71" i="3"/>
  <c r="BA71" i="3"/>
  <c r="AX71" i="3"/>
  <c r="AW71" i="3"/>
  <c r="AV71" i="3"/>
  <c r="AC71" i="3"/>
  <c r="H71" i="3"/>
  <c r="G71" i="3"/>
  <c r="BT70" i="3"/>
  <c r="BS70" i="3"/>
  <c r="BR70" i="3"/>
  <c r="BQ70" i="3"/>
  <c r="BP70" i="3"/>
  <c r="BO70" i="3"/>
  <c r="BN70" i="3"/>
  <c r="BM70" i="3"/>
  <c r="BL70" i="3"/>
  <c r="BK70" i="3"/>
  <c r="BJ70" i="3"/>
  <c r="BI70" i="3"/>
  <c r="BH70" i="3"/>
  <c r="BG70" i="3"/>
  <c r="BF70" i="3"/>
  <c r="BE70" i="3"/>
  <c r="BD70" i="3"/>
  <c r="BC70" i="3"/>
  <c r="BB70" i="3"/>
  <c r="BA70" i="3"/>
  <c r="AZ70" i="3"/>
  <c r="AX70" i="3"/>
  <c r="AW70" i="3"/>
  <c r="AV70" i="3"/>
  <c r="AC70" i="3"/>
  <c r="H70" i="3"/>
  <c r="G70" i="3"/>
  <c r="BT69" i="3"/>
  <c r="BS69" i="3"/>
  <c r="BR69" i="3"/>
  <c r="BQ69" i="3"/>
  <c r="BP69" i="3"/>
  <c r="BO69" i="3"/>
  <c r="BN69" i="3"/>
  <c r="BM69" i="3"/>
  <c r="BL69" i="3"/>
  <c r="BK69" i="3"/>
  <c r="BJ69" i="3"/>
  <c r="BI69" i="3"/>
  <c r="BH69" i="3"/>
  <c r="BG69" i="3"/>
  <c r="BF69" i="3"/>
  <c r="BE69" i="3"/>
  <c r="BD69" i="3"/>
  <c r="BC69" i="3"/>
  <c r="BB69" i="3"/>
  <c r="BA69" i="3"/>
  <c r="AX69" i="3"/>
  <c r="AW69" i="3"/>
  <c r="AV69" i="3"/>
  <c r="AC69" i="3"/>
  <c r="H69" i="3"/>
  <c r="G69" i="3"/>
  <c r="BT68" i="3"/>
  <c r="BS68" i="3"/>
  <c r="BR68" i="3"/>
  <c r="BQ68" i="3"/>
  <c r="BP68" i="3"/>
  <c r="BO68" i="3"/>
  <c r="BN68" i="3"/>
  <c r="BM68" i="3"/>
  <c r="BL68" i="3"/>
  <c r="BK68" i="3"/>
  <c r="BJ68" i="3"/>
  <c r="BI68" i="3"/>
  <c r="BH68" i="3"/>
  <c r="BG68" i="3"/>
  <c r="BF68" i="3"/>
  <c r="BE68" i="3"/>
  <c r="BD68" i="3"/>
  <c r="BC68" i="3"/>
  <c r="BB68" i="3"/>
  <c r="BA68" i="3"/>
  <c r="AZ68" i="3"/>
  <c r="AX68" i="3"/>
  <c r="AW68" i="3"/>
  <c r="AV68" i="3"/>
  <c r="AC68" i="3"/>
  <c r="H68" i="3"/>
  <c r="G68" i="3"/>
  <c r="BT67" i="3"/>
  <c r="BS67" i="3"/>
  <c r="BR67" i="3"/>
  <c r="BQ67" i="3"/>
  <c r="BP67" i="3"/>
  <c r="BO67" i="3"/>
  <c r="BN67" i="3"/>
  <c r="BM67" i="3"/>
  <c r="BL67" i="3"/>
  <c r="BK67" i="3"/>
  <c r="BJ67" i="3"/>
  <c r="BI67" i="3"/>
  <c r="BH67" i="3"/>
  <c r="BG67" i="3"/>
  <c r="BF67" i="3"/>
  <c r="BE67" i="3"/>
  <c r="BD67" i="3"/>
  <c r="BC67" i="3"/>
  <c r="BB67" i="3"/>
  <c r="BA67" i="3"/>
  <c r="AX67" i="3"/>
  <c r="AW67" i="3"/>
  <c r="AV67" i="3"/>
  <c r="AC67" i="3"/>
  <c r="H67" i="3"/>
  <c r="G67" i="3"/>
  <c r="BT66" i="3"/>
  <c r="BS66" i="3"/>
  <c r="BR66" i="3"/>
  <c r="BQ66" i="3"/>
  <c r="BP66" i="3"/>
  <c r="BO66" i="3"/>
  <c r="BN66" i="3"/>
  <c r="BM66" i="3"/>
  <c r="BL66" i="3"/>
  <c r="BK66" i="3"/>
  <c r="BJ66" i="3"/>
  <c r="BI66" i="3"/>
  <c r="BH66" i="3"/>
  <c r="BG66" i="3"/>
  <c r="BF66" i="3"/>
  <c r="BE66" i="3"/>
  <c r="BD66" i="3"/>
  <c r="BC66" i="3"/>
  <c r="BB66" i="3"/>
  <c r="BA66" i="3"/>
  <c r="AX66" i="3"/>
  <c r="AW66" i="3"/>
  <c r="AV66" i="3"/>
  <c r="AC66" i="3"/>
  <c r="H66" i="3"/>
  <c r="G66" i="3"/>
  <c r="BT65" i="3"/>
  <c r="BS65" i="3"/>
  <c r="BR65" i="3"/>
  <c r="BQ65" i="3"/>
  <c r="BP65" i="3"/>
  <c r="BO65" i="3"/>
  <c r="BN65" i="3"/>
  <c r="BM65" i="3"/>
  <c r="BL65" i="3"/>
  <c r="BK65" i="3"/>
  <c r="BJ65" i="3"/>
  <c r="BI65" i="3"/>
  <c r="BH65" i="3"/>
  <c r="BG65" i="3"/>
  <c r="BF65" i="3"/>
  <c r="BE65" i="3"/>
  <c r="BD65" i="3"/>
  <c r="BC65" i="3"/>
  <c r="BB65" i="3"/>
  <c r="BA65" i="3"/>
  <c r="AZ65" i="3"/>
  <c r="AX65" i="3"/>
  <c r="AW65" i="3"/>
  <c r="AV65" i="3"/>
  <c r="AC65" i="3"/>
  <c r="H65" i="3"/>
  <c r="G65" i="3"/>
  <c r="BT64" i="3"/>
  <c r="BS64" i="3"/>
  <c r="BR64" i="3"/>
  <c r="BQ64" i="3"/>
  <c r="BP64" i="3"/>
  <c r="BO64" i="3"/>
  <c r="BN64" i="3"/>
  <c r="BM64" i="3"/>
  <c r="BL64" i="3"/>
  <c r="BK64" i="3"/>
  <c r="BJ64" i="3"/>
  <c r="BI64" i="3"/>
  <c r="BH64" i="3"/>
  <c r="BG64" i="3"/>
  <c r="BF64" i="3"/>
  <c r="BE64" i="3"/>
  <c r="BD64" i="3"/>
  <c r="BC64" i="3"/>
  <c r="BB64" i="3"/>
  <c r="BA64" i="3"/>
  <c r="AZ64" i="3"/>
  <c r="AX64" i="3"/>
  <c r="AW64" i="3"/>
  <c r="AV64" i="3"/>
  <c r="AC64" i="3"/>
  <c r="H64" i="3"/>
  <c r="G64" i="3"/>
  <c r="BT63" i="3"/>
  <c r="BS63" i="3"/>
  <c r="BR63" i="3"/>
  <c r="BQ63" i="3"/>
  <c r="BP63" i="3"/>
  <c r="BO63" i="3"/>
  <c r="BN63" i="3"/>
  <c r="BM63" i="3"/>
  <c r="BL63" i="3"/>
  <c r="BK63" i="3"/>
  <c r="BJ63" i="3"/>
  <c r="BI63" i="3"/>
  <c r="BH63" i="3"/>
  <c r="BG63" i="3"/>
  <c r="BF63" i="3"/>
  <c r="BE63" i="3"/>
  <c r="BD63" i="3"/>
  <c r="BC63" i="3"/>
  <c r="BB63" i="3"/>
  <c r="BA63" i="3"/>
  <c r="AX63" i="3"/>
  <c r="AW63" i="3"/>
  <c r="AV63" i="3"/>
  <c r="AC63" i="3"/>
  <c r="H63" i="3"/>
  <c r="G63" i="3"/>
  <c r="BT62" i="3"/>
  <c r="BS62" i="3"/>
  <c r="BR62" i="3"/>
  <c r="BQ62" i="3"/>
  <c r="BP62" i="3"/>
  <c r="BO62" i="3"/>
  <c r="BN62" i="3"/>
  <c r="BM62" i="3"/>
  <c r="BL62" i="3"/>
  <c r="BK62" i="3"/>
  <c r="BJ62" i="3"/>
  <c r="BI62" i="3"/>
  <c r="BH62" i="3"/>
  <c r="BG62" i="3"/>
  <c r="BF62" i="3"/>
  <c r="BE62" i="3"/>
  <c r="BD62" i="3"/>
  <c r="BC62" i="3"/>
  <c r="BB62" i="3"/>
  <c r="BA62" i="3"/>
  <c r="AZ62" i="3"/>
  <c r="AX62" i="3"/>
  <c r="AW62" i="3"/>
  <c r="AV62" i="3"/>
  <c r="AC62" i="3"/>
  <c r="H62" i="3"/>
  <c r="G62" i="3"/>
  <c r="BT61" i="3"/>
  <c r="BS61" i="3"/>
  <c r="BR61" i="3"/>
  <c r="BQ61" i="3"/>
  <c r="BP61" i="3"/>
  <c r="BO61" i="3"/>
  <c r="BN61" i="3"/>
  <c r="BM61" i="3"/>
  <c r="BL61" i="3"/>
  <c r="BK61" i="3"/>
  <c r="BJ61" i="3"/>
  <c r="BI61" i="3"/>
  <c r="BH61" i="3"/>
  <c r="BG61" i="3"/>
  <c r="BF61" i="3"/>
  <c r="BE61" i="3"/>
  <c r="BD61" i="3"/>
  <c r="BC61" i="3"/>
  <c r="BB61" i="3"/>
  <c r="BA61" i="3"/>
  <c r="AX61" i="3"/>
  <c r="AW61" i="3"/>
  <c r="AV61" i="3"/>
  <c r="AC61" i="3"/>
  <c r="H61" i="3"/>
  <c r="G61" i="3"/>
  <c r="BT60" i="3"/>
  <c r="BS60" i="3"/>
  <c r="BR60" i="3"/>
  <c r="BQ60" i="3"/>
  <c r="BP60" i="3"/>
  <c r="BO60" i="3"/>
  <c r="BN60" i="3"/>
  <c r="BM60" i="3"/>
  <c r="BL60" i="3"/>
  <c r="BK60" i="3"/>
  <c r="BJ60" i="3"/>
  <c r="BI60" i="3"/>
  <c r="BH60" i="3"/>
  <c r="BG60" i="3"/>
  <c r="BF60" i="3"/>
  <c r="BE60" i="3"/>
  <c r="BD60" i="3"/>
  <c r="BC60" i="3"/>
  <c r="BB60" i="3"/>
  <c r="BA60" i="3"/>
  <c r="AZ60" i="3"/>
  <c r="AX60" i="3"/>
  <c r="AW60" i="3"/>
  <c r="AV60" i="3"/>
  <c r="AC60" i="3"/>
  <c r="H60" i="3"/>
  <c r="G60" i="3"/>
  <c r="BT59" i="3"/>
  <c r="BS59" i="3"/>
  <c r="BR59" i="3"/>
  <c r="BQ59" i="3"/>
  <c r="BP59" i="3"/>
  <c r="BO59" i="3"/>
  <c r="BN59" i="3"/>
  <c r="BM59" i="3"/>
  <c r="BL59" i="3"/>
  <c r="BK59" i="3"/>
  <c r="BJ59" i="3"/>
  <c r="BI59" i="3"/>
  <c r="BH59" i="3"/>
  <c r="BG59" i="3"/>
  <c r="BF59" i="3"/>
  <c r="BE59" i="3"/>
  <c r="BD59" i="3"/>
  <c r="BC59" i="3"/>
  <c r="BB59" i="3"/>
  <c r="BA59" i="3"/>
  <c r="AX59" i="3"/>
  <c r="AW59" i="3"/>
  <c r="AV59" i="3"/>
  <c r="AC59" i="3"/>
  <c r="H59" i="3"/>
  <c r="G59" i="3"/>
  <c r="BT58" i="3"/>
  <c r="BS58" i="3"/>
  <c r="BR58" i="3"/>
  <c r="BQ58" i="3"/>
  <c r="BP58" i="3"/>
  <c r="BO58" i="3"/>
  <c r="BN58" i="3"/>
  <c r="BM58" i="3"/>
  <c r="BL58" i="3"/>
  <c r="BK58" i="3"/>
  <c r="BJ58" i="3"/>
  <c r="BI58" i="3"/>
  <c r="BH58" i="3"/>
  <c r="BG58" i="3"/>
  <c r="BF58" i="3"/>
  <c r="BE58" i="3"/>
  <c r="BD58" i="3"/>
  <c r="BC58" i="3"/>
  <c r="BB58" i="3"/>
  <c r="BA58" i="3"/>
  <c r="AX58" i="3"/>
  <c r="AW58" i="3"/>
  <c r="AV58" i="3"/>
  <c r="AC58" i="3"/>
  <c r="H58" i="3"/>
  <c r="G58" i="3"/>
  <c r="BT57" i="3"/>
  <c r="BS57" i="3"/>
  <c r="BR57" i="3"/>
  <c r="BQ57" i="3"/>
  <c r="BP57" i="3"/>
  <c r="BO57" i="3"/>
  <c r="BN57" i="3"/>
  <c r="BM57" i="3"/>
  <c r="BL57" i="3"/>
  <c r="BK57" i="3"/>
  <c r="BJ57" i="3"/>
  <c r="BI57" i="3"/>
  <c r="BH57" i="3"/>
  <c r="BG57" i="3"/>
  <c r="BF57" i="3"/>
  <c r="BE57" i="3"/>
  <c r="BD57" i="3"/>
  <c r="BC57" i="3"/>
  <c r="BB57" i="3"/>
  <c r="BA57" i="3"/>
  <c r="AZ57" i="3"/>
  <c r="AX57" i="3"/>
  <c r="AW57" i="3"/>
  <c r="AV57" i="3"/>
  <c r="AC57" i="3"/>
  <c r="H57" i="3"/>
  <c r="G57" i="3"/>
  <c r="BT56" i="3"/>
  <c r="BS56" i="3"/>
  <c r="BR56" i="3"/>
  <c r="BQ56" i="3"/>
  <c r="BP56" i="3"/>
  <c r="BO56" i="3"/>
  <c r="BN56" i="3"/>
  <c r="BM56" i="3"/>
  <c r="BL56" i="3"/>
  <c r="BK56" i="3"/>
  <c r="BJ56" i="3"/>
  <c r="BI56" i="3"/>
  <c r="BH56" i="3"/>
  <c r="BG56" i="3"/>
  <c r="BF56" i="3"/>
  <c r="BE56" i="3"/>
  <c r="BD56" i="3"/>
  <c r="BC56" i="3"/>
  <c r="BB56" i="3"/>
  <c r="BA56" i="3"/>
  <c r="AZ56" i="3"/>
  <c r="AX56" i="3"/>
  <c r="AW56" i="3"/>
  <c r="AV56" i="3"/>
  <c r="AC56" i="3"/>
  <c r="H56" i="3"/>
  <c r="G56" i="3"/>
  <c r="BT55" i="3"/>
  <c r="BS55" i="3"/>
  <c r="BR55" i="3"/>
  <c r="BQ55" i="3"/>
  <c r="BP55" i="3"/>
  <c r="BO55" i="3"/>
  <c r="BN55" i="3"/>
  <c r="BM55" i="3"/>
  <c r="BL55" i="3"/>
  <c r="BK55" i="3"/>
  <c r="BJ55" i="3"/>
  <c r="BI55" i="3"/>
  <c r="BH55" i="3"/>
  <c r="BG55" i="3"/>
  <c r="BF55" i="3"/>
  <c r="BE55" i="3"/>
  <c r="BD55" i="3"/>
  <c r="BC55" i="3"/>
  <c r="BB55" i="3"/>
  <c r="BA55" i="3"/>
  <c r="AX55" i="3"/>
  <c r="AW55" i="3"/>
  <c r="AV55" i="3"/>
  <c r="AC55" i="3"/>
  <c r="H55" i="3"/>
  <c r="G55" i="3"/>
  <c r="BT54" i="3"/>
  <c r="BS54" i="3"/>
  <c r="BR54" i="3"/>
  <c r="BQ54" i="3"/>
  <c r="BP54" i="3"/>
  <c r="BO54" i="3"/>
  <c r="BN54" i="3"/>
  <c r="BM54" i="3"/>
  <c r="BL54" i="3"/>
  <c r="BK54" i="3"/>
  <c r="BJ54" i="3"/>
  <c r="BI54" i="3"/>
  <c r="BH54" i="3"/>
  <c r="BG54" i="3"/>
  <c r="BF54" i="3"/>
  <c r="BE54" i="3"/>
  <c r="BD54" i="3"/>
  <c r="BC54" i="3"/>
  <c r="BB54" i="3"/>
  <c r="BA54" i="3"/>
  <c r="AZ54" i="3"/>
  <c r="AX54" i="3"/>
  <c r="AW54" i="3"/>
  <c r="AV54" i="3"/>
  <c r="AC54" i="3"/>
  <c r="H54" i="3"/>
  <c r="G54" i="3"/>
  <c r="BT53" i="3"/>
  <c r="BS53" i="3"/>
  <c r="BR53" i="3"/>
  <c r="BQ53" i="3"/>
  <c r="BP53" i="3"/>
  <c r="BO53" i="3"/>
  <c r="BN53" i="3"/>
  <c r="BM53" i="3"/>
  <c r="BL53" i="3"/>
  <c r="BK53" i="3"/>
  <c r="BJ53" i="3"/>
  <c r="BI53" i="3"/>
  <c r="BH53" i="3"/>
  <c r="BG53" i="3"/>
  <c r="BF53" i="3"/>
  <c r="BE53" i="3"/>
  <c r="BD53" i="3"/>
  <c r="BC53" i="3"/>
  <c r="BB53" i="3"/>
  <c r="BA53" i="3"/>
  <c r="AX53" i="3"/>
  <c r="AW53" i="3"/>
  <c r="AV53" i="3"/>
  <c r="AC53" i="3"/>
  <c r="H53" i="3"/>
  <c r="G53" i="3"/>
  <c r="BT52" i="3"/>
  <c r="BS52" i="3"/>
  <c r="BR52" i="3"/>
  <c r="BQ52" i="3"/>
  <c r="BP52" i="3"/>
  <c r="BO52" i="3"/>
  <c r="BN52" i="3"/>
  <c r="BM52" i="3"/>
  <c r="BL52" i="3"/>
  <c r="BK52" i="3"/>
  <c r="BJ52" i="3"/>
  <c r="BI52" i="3"/>
  <c r="BH52" i="3"/>
  <c r="BG52" i="3"/>
  <c r="BF52" i="3"/>
  <c r="BE52" i="3"/>
  <c r="BD52" i="3"/>
  <c r="BC52" i="3"/>
  <c r="BB52" i="3"/>
  <c r="BA52" i="3"/>
  <c r="AZ52" i="3"/>
  <c r="AX52" i="3"/>
  <c r="AW52" i="3"/>
  <c r="AV52" i="3"/>
  <c r="AC52" i="3"/>
  <c r="H52" i="3"/>
  <c r="G52" i="3"/>
  <c r="BT51" i="3"/>
  <c r="BS51" i="3"/>
  <c r="BR51" i="3"/>
  <c r="BQ51" i="3"/>
  <c r="BP51" i="3"/>
  <c r="BO51" i="3"/>
  <c r="BN51" i="3"/>
  <c r="BM51" i="3"/>
  <c r="BL51" i="3"/>
  <c r="BK51" i="3"/>
  <c r="BJ51" i="3"/>
  <c r="BI51" i="3"/>
  <c r="BH51" i="3"/>
  <c r="BG51" i="3"/>
  <c r="BF51" i="3"/>
  <c r="BE51" i="3"/>
  <c r="BD51" i="3"/>
  <c r="BC51" i="3"/>
  <c r="BB51" i="3"/>
  <c r="BA51" i="3"/>
  <c r="AX51" i="3"/>
  <c r="AW51" i="3"/>
  <c r="AV51" i="3"/>
  <c r="AC51" i="3"/>
  <c r="H51" i="3"/>
  <c r="G51" i="3"/>
  <c r="BT50" i="3"/>
  <c r="BS50" i="3"/>
  <c r="BR50" i="3"/>
  <c r="BQ50" i="3"/>
  <c r="BP50" i="3"/>
  <c r="BO50" i="3"/>
  <c r="BN50" i="3"/>
  <c r="BM50" i="3"/>
  <c r="BL50" i="3"/>
  <c r="BK50" i="3"/>
  <c r="BJ50" i="3"/>
  <c r="BI50" i="3"/>
  <c r="BH50" i="3"/>
  <c r="BG50" i="3"/>
  <c r="BF50" i="3"/>
  <c r="BE50" i="3"/>
  <c r="BD50" i="3"/>
  <c r="BC50" i="3"/>
  <c r="BB50" i="3"/>
  <c r="BA50" i="3"/>
  <c r="AX50" i="3"/>
  <c r="AW50" i="3"/>
  <c r="AV50" i="3"/>
  <c r="AC50" i="3"/>
  <c r="H50" i="3"/>
  <c r="G50" i="3"/>
  <c r="BT49" i="3"/>
  <c r="BS49" i="3"/>
  <c r="BR49" i="3"/>
  <c r="BQ49" i="3"/>
  <c r="BP49" i="3"/>
  <c r="BO49" i="3"/>
  <c r="BN49" i="3"/>
  <c r="BM49" i="3"/>
  <c r="BL49" i="3"/>
  <c r="BK49" i="3"/>
  <c r="BJ49" i="3"/>
  <c r="BI49" i="3"/>
  <c r="BH49" i="3"/>
  <c r="BG49" i="3"/>
  <c r="BF49" i="3"/>
  <c r="BE49" i="3"/>
  <c r="BD49" i="3"/>
  <c r="BC49" i="3"/>
  <c r="BB49" i="3"/>
  <c r="BA49" i="3"/>
  <c r="AZ49" i="3"/>
  <c r="AX49" i="3"/>
  <c r="AW49" i="3"/>
  <c r="AV49" i="3"/>
  <c r="AC49" i="3"/>
  <c r="H49" i="3"/>
  <c r="G49" i="3"/>
  <c r="BT48" i="3"/>
  <c r="BS48" i="3"/>
  <c r="BR48" i="3"/>
  <c r="BQ48" i="3"/>
  <c r="BP48" i="3"/>
  <c r="BO48" i="3"/>
  <c r="BN48" i="3"/>
  <c r="BM48" i="3"/>
  <c r="BL48" i="3"/>
  <c r="BK48" i="3"/>
  <c r="BJ48" i="3"/>
  <c r="BI48" i="3"/>
  <c r="BH48" i="3"/>
  <c r="BG48" i="3"/>
  <c r="BF48" i="3"/>
  <c r="BE48" i="3"/>
  <c r="BD48" i="3"/>
  <c r="BC48" i="3"/>
  <c r="BB48" i="3"/>
  <c r="BA48" i="3"/>
  <c r="AZ48" i="3"/>
  <c r="AX48" i="3"/>
  <c r="AW48" i="3"/>
  <c r="AV48" i="3"/>
  <c r="AC48" i="3"/>
  <c r="H48" i="3"/>
  <c r="G48" i="3"/>
  <c r="BT47" i="3"/>
  <c r="BS47" i="3"/>
  <c r="BR47" i="3"/>
  <c r="BQ47" i="3"/>
  <c r="BP47" i="3"/>
  <c r="BO47" i="3"/>
  <c r="BN47" i="3"/>
  <c r="BM47" i="3"/>
  <c r="BL47" i="3"/>
  <c r="BK47" i="3"/>
  <c r="BJ47" i="3"/>
  <c r="BI47" i="3"/>
  <c r="BH47" i="3"/>
  <c r="BG47" i="3"/>
  <c r="BF47" i="3"/>
  <c r="BE47" i="3"/>
  <c r="BD47" i="3"/>
  <c r="BC47" i="3"/>
  <c r="BB47" i="3"/>
  <c r="BA47" i="3"/>
  <c r="AX47" i="3"/>
  <c r="AW47" i="3"/>
  <c r="AV47" i="3"/>
  <c r="AC47" i="3"/>
  <c r="H47" i="3"/>
  <c r="G47" i="3"/>
  <c r="BT46" i="3"/>
  <c r="BS46" i="3"/>
  <c r="BR46" i="3"/>
  <c r="BQ46" i="3"/>
  <c r="BP46" i="3"/>
  <c r="BO46" i="3"/>
  <c r="BN46" i="3"/>
  <c r="BM46" i="3"/>
  <c r="BL46" i="3"/>
  <c r="BK46" i="3"/>
  <c r="BJ46" i="3"/>
  <c r="BI46" i="3"/>
  <c r="BH46" i="3"/>
  <c r="BG46" i="3"/>
  <c r="BF46" i="3"/>
  <c r="BE46" i="3"/>
  <c r="BD46" i="3"/>
  <c r="BC46" i="3"/>
  <c r="BB46" i="3"/>
  <c r="BA46" i="3"/>
  <c r="AZ46" i="3"/>
  <c r="AX46" i="3"/>
  <c r="AW46" i="3"/>
  <c r="AV46" i="3"/>
  <c r="AC46" i="3"/>
  <c r="H46" i="3"/>
  <c r="G46" i="3"/>
  <c r="BT45" i="3"/>
  <c r="BS45" i="3"/>
  <c r="BR45" i="3"/>
  <c r="BQ45" i="3"/>
  <c r="BP45" i="3"/>
  <c r="BO45" i="3"/>
  <c r="BN45" i="3"/>
  <c r="BM45" i="3"/>
  <c r="BL45" i="3"/>
  <c r="BK45" i="3"/>
  <c r="BJ45" i="3"/>
  <c r="BI45" i="3"/>
  <c r="BH45" i="3"/>
  <c r="BG45" i="3"/>
  <c r="BF45" i="3"/>
  <c r="BE45" i="3"/>
  <c r="BD45" i="3"/>
  <c r="BC45" i="3"/>
  <c r="BB45" i="3"/>
  <c r="BA45" i="3"/>
  <c r="AX45" i="3"/>
  <c r="AW45" i="3"/>
  <c r="AV45" i="3"/>
  <c r="AC45" i="3"/>
  <c r="H45" i="3"/>
  <c r="G45" i="3"/>
  <c r="BT44" i="3"/>
  <c r="BS44" i="3"/>
  <c r="BR44" i="3"/>
  <c r="BQ44" i="3"/>
  <c r="BP44" i="3"/>
  <c r="BO44" i="3"/>
  <c r="BN44" i="3"/>
  <c r="BM44" i="3"/>
  <c r="BL44" i="3"/>
  <c r="BK44" i="3"/>
  <c r="BJ44" i="3"/>
  <c r="BI44" i="3"/>
  <c r="BH44" i="3"/>
  <c r="BG44" i="3"/>
  <c r="BF44" i="3"/>
  <c r="BE44" i="3"/>
  <c r="BD44" i="3"/>
  <c r="BC44" i="3"/>
  <c r="BB44" i="3"/>
  <c r="BA44" i="3"/>
  <c r="AZ44" i="3"/>
  <c r="AX44" i="3"/>
  <c r="AW44" i="3"/>
  <c r="AV44" i="3"/>
  <c r="AC44" i="3"/>
  <c r="H44" i="3"/>
  <c r="G44" i="3"/>
  <c r="BT43" i="3"/>
  <c r="BS43" i="3"/>
  <c r="BR43" i="3"/>
  <c r="BQ43" i="3"/>
  <c r="BP43" i="3"/>
  <c r="BO43" i="3"/>
  <c r="BN43" i="3"/>
  <c r="BM43" i="3"/>
  <c r="BL43" i="3"/>
  <c r="BK43" i="3"/>
  <c r="BJ43" i="3"/>
  <c r="BI43" i="3"/>
  <c r="BH43" i="3"/>
  <c r="BG43" i="3"/>
  <c r="BF43" i="3"/>
  <c r="BE43" i="3"/>
  <c r="BD43" i="3"/>
  <c r="BC43" i="3"/>
  <c r="BB43" i="3"/>
  <c r="BA43" i="3"/>
  <c r="AX43" i="3"/>
  <c r="AW43" i="3"/>
  <c r="AV43" i="3"/>
  <c r="AC43" i="3"/>
  <c r="H43" i="3"/>
  <c r="G43" i="3"/>
  <c r="BT42" i="3"/>
  <c r="BS42" i="3"/>
  <c r="BR42" i="3"/>
  <c r="BQ42" i="3"/>
  <c r="BP42" i="3"/>
  <c r="BO42" i="3"/>
  <c r="BN42" i="3"/>
  <c r="BM42" i="3"/>
  <c r="BL42" i="3"/>
  <c r="BK42" i="3"/>
  <c r="BJ42" i="3"/>
  <c r="BI42" i="3"/>
  <c r="BH42" i="3"/>
  <c r="BG42" i="3"/>
  <c r="BF42" i="3"/>
  <c r="BE42" i="3"/>
  <c r="BD42" i="3"/>
  <c r="BC42" i="3"/>
  <c r="BB42" i="3"/>
  <c r="BA42" i="3"/>
  <c r="AX42" i="3"/>
  <c r="AW42" i="3"/>
  <c r="AV42" i="3"/>
  <c r="AC42" i="3"/>
  <c r="H42" i="3"/>
  <c r="G42" i="3"/>
  <c r="BT41" i="3"/>
  <c r="BS41" i="3"/>
  <c r="BR41" i="3"/>
  <c r="BQ41" i="3"/>
  <c r="BP41" i="3"/>
  <c r="BO41" i="3"/>
  <c r="BN41" i="3"/>
  <c r="BM41" i="3"/>
  <c r="BL41" i="3"/>
  <c r="BK41" i="3"/>
  <c r="BJ41" i="3"/>
  <c r="BI41" i="3"/>
  <c r="BH41" i="3"/>
  <c r="BG41" i="3"/>
  <c r="BF41" i="3"/>
  <c r="BE41" i="3"/>
  <c r="BD41" i="3"/>
  <c r="BC41" i="3"/>
  <c r="BB41" i="3"/>
  <c r="BA41" i="3"/>
  <c r="AX41" i="3"/>
  <c r="AW41" i="3"/>
  <c r="AV41" i="3"/>
  <c r="AC41" i="3"/>
  <c r="H41" i="3"/>
  <c r="G41" i="3"/>
  <c r="BT40" i="3"/>
  <c r="BS40" i="3"/>
  <c r="BR40" i="3"/>
  <c r="BQ40" i="3"/>
  <c r="BP40" i="3"/>
  <c r="BO40" i="3"/>
  <c r="BN40" i="3"/>
  <c r="BM40" i="3"/>
  <c r="BL40" i="3"/>
  <c r="BK40" i="3"/>
  <c r="BJ40" i="3"/>
  <c r="BI40" i="3"/>
  <c r="BH40" i="3"/>
  <c r="BG40" i="3"/>
  <c r="BF40" i="3"/>
  <c r="BE40" i="3"/>
  <c r="BD40" i="3"/>
  <c r="BC40" i="3"/>
  <c r="BB40" i="3"/>
  <c r="BA40" i="3"/>
  <c r="AZ40" i="3"/>
  <c r="AX40" i="3"/>
  <c r="AW40" i="3"/>
  <c r="AV40" i="3"/>
  <c r="AC40" i="3"/>
  <c r="H40" i="3"/>
  <c r="G40" i="3"/>
  <c r="BT39" i="3"/>
  <c r="BS39" i="3"/>
  <c r="BR39" i="3"/>
  <c r="BQ39" i="3"/>
  <c r="BP39" i="3"/>
  <c r="BO39" i="3"/>
  <c r="BN39" i="3"/>
  <c r="BM39" i="3"/>
  <c r="BL39" i="3"/>
  <c r="BK39" i="3"/>
  <c r="BJ39" i="3"/>
  <c r="BI39" i="3"/>
  <c r="BH39" i="3"/>
  <c r="BG39" i="3"/>
  <c r="BF39" i="3"/>
  <c r="BE39" i="3"/>
  <c r="BD39" i="3"/>
  <c r="BC39" i="3"/>
  <c r="BB39" i="3"/>
  <c r="BA39" i="3"/>
  <c r="AX39" i="3"/>
  <c r="AW39" i="3"/>
  <c r="AV39" i="3"/>
  <c r="AC39" i="3"/>
  <c r="H39" i="3"/>
  <c r="G39" i="3"/>
  <c r="BT38" i="3"/>
  <c r="BS38" i="3"/>
  <c r="BR38" i="3"/>
  <c r="BQ38" i="3"/>
  <c r="BP38" i="3"/>
  <c r="BO38" i="3"/>
  <c r="BN38" i="3"/>
  <c r="BM38" i="3"/>
  <c r="BL38" i="3"/>
  <c r="BK38" i="3"/>
  <c r="BJ38" i="3"/>
  <c r="BI38" i="3"/>
  <c r="BH38" i="3"/>
  <c r="BG38" i="3"/>
  <c r="BF38" i="3"/>
  <c r="BE38" i="3"/>
  <c r="BD38" i="3"/>
  <c r="BC38" i="3"/>
  <c r="BB38" i="3"/>
  <c r="BA38" i="3"/>
  <c r="AZ38" i="3"/>
  <c r="AX38" i="3"/>
  <c r="AW38" i="3"/>
  <c r="AV38" i="3"/>
  <c r="AC38" i="3"/>
  <c r="H38" i="3"/>
  <c r="G38" i="3"/>
  <c r="BT37" i="3"/>
  <c r="BS37" i="3"/>
  <c r="BR37" i="3"/>
  <c r="BQ37" i="3"/>
  <c r="BP37" i="3"/>
  <c r="BO37" i="3"/>
  <c r="BN37" i="3"/>
  <c r="BM37" i="3"/>
  <c r="BL37" i="3"/>
  <c r="BK37" i="3"/>
  <c r="BJ37" i="3"/>
  <c r="BI37" i="3"/>
  <c r="BH37" i="3"/>
  <c r="BG37" i="3"/>
  <c r="BF37" i="3"/>
  <c r="BE37" i="3"/>
  <c r="BD37" i="3"/>
  <c r="BC37" i="3"/>
  <c r="BB37" i="3"/>
  <c r="BA37" i="3"/>
  <c r="AX37" i="3"/>
  <c r="AW37" i="3"/>
  <c r="AV37" i="3"/>
  <c r="AC37" i="3"/>
  <c r="H37" i="3"/>
  <c r="G37" i="3"/>
  <c r="BT36" i="3"/>
  <c r="BS36" i="3"/>
  <c r="BR36" i="3"/>
  <c r="BQ36" i="3"/>
  <c r="BP36" i="3"/>
  <c r="BO36" i="3"/>
  <c r="BN36" i="3"/>
  <c r="BM36" i="3"/>
  <c r="BL36" i="3"/>
  <c r="BK36" i="3"/>
  <c r="BJ36" i="3"/>
  <c r="BI36" i="3"/>
  <c r="BH36" i="3"/>
  <c r="BG36" i="3"/>
  <c r="BF36" i="3"/>
  <c r="BE36" i="3"/>
  <c r="BD36" i="3"/>
  <c r="BC36" i="3"/>
  <c r="BB36" i="3"/>
  <c r="BA36" i="3"/>
  <c r="AZ36" i="3"/>
  <c r="AX36" i="3"/>
  <c r="AW36" i="3"/>
  <c r="AV36" i="3"/>
  <c r="AC36" i="3"/>
  <c r="H36" i="3"/>
  <c r="G36" i="3"/>
  <c r="BT35" i="3"/>
  <c r="BS35" i="3"/>
  <c r="BR35" i="3"/>
  <c r="BQ35" i="3"/>
  <c r="BP35" i="3"/>
  <c r="BO35" i="3"/>
  <c r="BN35" i="3"/>
  <c r="BM35" i="3"/>
  <c r="BL35" i="3"/>
  <c r="BK35" i="3"/>
  <c r="BJ35" i="3"/>
  <c r="BI35" i="3"/>
  <c r="BH35" i="3"/>
  <c r="BG35" i="3"/>
  <c r="BF35" i="3"/>
  <c r="BE35" i="3"/>
  <c r="BD35" i="3"/>
  <c r="BC35" i="3"/>
  <c r="BB35" i="3"/>
  <c r="BA35" i="3"/>
  <c r="AX35" i="3"/>
  <c r="AW35" i="3"/>
  <c r="AV35" i="3"/>
  <c r="AC35" i="3"/>
  <c r="H35" i="3"/>
  <c r="G35" i="3"/>
  <c r="BT34" i="3"/>
  <c r="BS34" i="3"/>
  <c r="BR34" i="3"/>
  <c r="BQ34" i="3"/>
  <c r="BP34" i="3"/>
  <c r="BO34" i="3"/>
  <c r="BN34" i="3"/>
  <c r="BM34" i="3"/>
  <c r="BL34" i="3"/>
  <c r="BK34" i="3"/>
  <c r="BJ34" i="3"/>
  <c r="BI34" i="3"/>
  <c r="BH34" i="3"/>
  <c r="BG34" i="3"/>
  <c r="BF34" i="3"/>
  <c r="BE34" i="3"/>
  <c r="BD34" i="3"/>
  <c r="BC34" i="3"/>
  <c r="BB34" i="3"/>
  <c r="BA34" i="3"/>
  <c r="AZ34" i="3"/>
  <c r="AX34" i="3"/>
  <c r="AW34" i="3"/>
  <c r="AV34" i="3"/>
  <c r="AC34" i="3"/>
  <c r="H34" i="3"/>
  <c r="G34" i="3"/>
  <c r="BT33" i="3"/>
  <c r="BS33" i="3"/>
  <c r="BR33" i="3"/>
  <c r="BQ33" i="3"/>
  <c r="BP33" i="3"/>
  <c r="BO33" i="3"/>
  <c r="BN33" i="3"/>
  <c r="BM33" i="3"/>
  <c r="BL33" i="3"/>
  <c r="BK33" i="3"/>
  <c r="BJ33" i="3"/>
  <c r="BI33" i="3"/>
  <c r="BH33" i="3"/>
  <c r="BG33" i="3"/>
  <c r="BF33" i="3"/>
  <c r="BE33" i="3"/>
  <c r="BD33" i="3"/>
  <c r="BC33" i="3"/>
  <c r="BB33" i="3"/>
  <c r="BA33" i="3"/>
  <c r="AX33" i="3"/>
  <c r="AW33" i="3"/>
  <c r="AV33" i="3"/>
  <c r="AC33" i="3"/>
  <c r="H33" i="3"/>
  <c r="G33" i="3"/>
  <c r="BT32" i="3"/>
  <c r="BS32" i="3"/>
  <c r="BR32" i="3"/>
  <c r="BQ32" i="3"/>
  <c r="BP32" i="3"/>
  <c r="BO32" i="3"/>
  <c r="BN32" i="3"/>
  <c r="BM32" i="3"/>
  <c r="BL32" i="3"/>
  <c r="BK32" i="3"/>
  <c r="BJ32" i="3"/>
  <c r="BI32" i="3"/>
  <c r="BH32" i="3"/>
  <c r="BG32" i="3"/>
  <c r="BF32" i="3"/>
  <c r="BE32" i="3"/>
  <c r="BD32" i="3"/>
  <c r="BC32" i="3"/>
  <c r="BB32" i="3"/>
  <c r="BA32" i="3"/>
  <c r="AX32" i="3"/>
  <c r="AW32" i="3"/>
  <c r="AV32" i="3"/>
  <c r="AC32" i="3"/>
  <c r="H32" i="3"/>
  <c r="G32" i="3"/>
  <c r="BT31" i="3"/>
  <c r="BS31" i="3"/>
  <c r="BR31" i="3"/>
  <c r="BQ31" i="3"/>
  <c r="BP31" i="3"/>
  <c r="BO31" i="3"/>
  <c r="BN31" i="3"/>
  <c r="BM31" i="3"/>
  <c r="BL31" i="3"/>
  <c r="BK31" i="3"/>
  <c r="BJ31" i="3"/>
  <c r="BI31" i="3"/>
  <c r="BH31" i="3"/>
  <c r="BG31" i="3"/>
  <c r="BF31" i="3"/>
  <c r="BE31" i="3"/>
  <c r="BD31" i="3"/>
  <c r="BC31" i="3"/>
  <c r="BB31" i="3"/>
  <c r="BA31" i="3"/>
  <c r="AX31" i="3"/>
  <c r="AW31" i="3"/>
  <c r="AV31" i="3"/>
  <c r="AC31" i="3"/>
  <c r="H31" i="3"/>
  <c r="G31" i="3"/>
  <c r="BT30" i="3"/>
  <c r="BS30" i="3"/>
  <c r="BR30" i="3"/>
  <c r="BQ30" i="3"/>
  <c r="BP30" i="3"/>
  <c r="BO30" i="3"/>
  <c r="BN30" i="3"/>
  <c r="BM30" i="3"/>
  <c r="BL30" i="3"/>
  <c r="BK30" i="3"/>
  <c r="BJ30" i="3"/>
  <c r="BI30" i="3"/>
  <c r="BH30" i="3"/>
  <c r="BG30" i="3"/>
  <c r="BF30" i="3"/>
  <c r="BE30" i="3"/>
  <c r="BD30" i="3"/>
  <c r="BC30" i="3"/>
  <c r="BB30" i="3"/>
  <c r="BA30" i="3"/>
  <c r="AZ30" i="3"/>
  <c r="AX30" i="3"/>
  <c r="AW30" i="3"/>
  <c r="AV30" i="3"/>
  <c r="AC30" i="3"/>
  <c r="H30" i="3"/>
  <c r="G30" i="3"/>
  <c r="BT29" i="3"/>
  <c r="BS29" i="3"/>
  <c r="BR29" i="3"/>
  <c r="BQ29" i="3"/>
  <c r="BP29" i="3"/>
  <c r="BO29" i="3"/>
  <c r="BN29" i="3"/>
  <c r="BM29" i="3"/>
  <c r="BL29" i="3"/>
  <c r="BK29" i="3"/>
  <c r="BJ29" i="3"/>
  <c r="BI29" i="3"/>
  <c r="BH29" i="3"/>
  <c r="BG29" i="3"/>
  <c r="BF29" i="3"/>
  <c r="BE29" i="3"/>
  <c r="BD29" i="3"/>
  <c r="BC29" i="3"/>
  <c r="BB29" i="3"/>
  <c r="BA29" i="3"/>
  <c r="AX29" i="3"/>
  <c r="AW29" i="3"/>
  <c r="AV29" i="3"/>
  <c r="AC29" i="3"/>
  <c r="H29" i="3"/>
  <c r="G29" i="3"/>
  <c r="BT28" i="3"/>
  <c r="BS28" i="3"/>
  <c r="BR28" i="3"/>
  <c r="BQ28" i="3"/>
  <c r="BP28" i="3"/>
  <c r="BO28" i="3"/>
  <c r="BN28" i="3"/>
  <c r="BM28" i="3"/>
  <c r="BL28" i="3"/>
  <c r="BK28" i="3"/>
  <c r="BJ28" i="3"/>
  <c r="BI28" i="3"/>
  <c r="BH28" i="3"/>
  <c r="BG28" i="3"/>
  <c r="BF28" i="3"/>
  <c r="BE28" i="3"/>
  <c r="BD28" i="3"/>
  <c r="BC28" i="3"/>
  <c r="BB28" i="3"/>
  <c r="BA28" i="3"/>
  <c r="AX28" i="3"/>
  <c r="AW28" i="3"/>
  <c r="AV28" i="3"/>
  <c r="AC28" i="3"/>
  <c r="H28" i="3"/>
  <c r="G28" i="3"/>
  <c r="BT27" i="3"/>
  <c r="BS27" i="3"/>
  <c r="BR27" i="3"/>
  <c r="BQ27" i="3"/>
  <c r="BP27" i="3"/>
  <c r="BO27" i="3"/>
  <c r="BN27" i="3"/>
  <c r="BM27" i="3"/>
  <c r="BL27" i="3"/>
  <c r="BK27" i="3"/>
  <c r="BJ27" i="3"/>
  <c r="BI27" i="3"/>
  <c r="BH27" i="3"/>
  <c r="BG27" i="3"/>
  <c r="BF27" i="3"/>
  <c r="BE27" i="3"/>
  <c r="BD27" i="3"/>
  <c r="BC27" i="3"/>
  <c r="BB27" i="3"/>
  <c r="BA27" i="3"/>
  <c r="AZ27" i="3"/>
  <c r="AX27" i="3"/>
  <c r="AW27" i="3"/>
  <c r="AV27" i="3"/>
  <c r="AC27" i="3"/>
  <c r="H27" i="3"/>
  <c r="G27" i="3"/>
  <c r="BT26" i="3"/>
  <c r="BS26" i="3"/>
  <c r="BR26" i="3"/>
  <c r="BQ26" i="3"/>
  <c r="BP26" i="3"/>
  <c r="BO26" i="3"/>
  <c r="BN26" i="3"/>
  <c r="BM26" i="3"/>
  <c r="BL26" i="3"/>
  <c r="BK26" i="3"/>
  <c r="BJ26" i="3"/>
  <c r="BI26" i="3"/>
  <c r="BH26" i="3"/>
  <c r="BG26" i="3"/>
  <c r="BF26" i="3"/>
  <c r="BE26" i="3"/>
  <c r="BD26" i="3"/>
  <c r="BC26" i="3"/>
  <c r="BB26" i="3"/>
  <c r="BA26" i="3"/>
  <c r="AX26" i="3"/>
  <c r="AW26" i="3"/>
  <c r="AV26" i="3"/>
  <c r="AC26" i="3"/>
  <c r="H26" i="3"/>
  <c r="G26" i="3"/>
  <c r="BT25" i="3"/>
  <c r="BS25" i="3"/>
  <c r="BR25" i="3"/>
  <c r="BQ25" i="3"/>
  <c r="BP25" i="3"/>
  <c r="BO25" i="3"/>
  <c r="BN25" i="3"/>
  <c r="BM25" i="3"/>
  <c r="BL25" i="3"/>
  <c r="BK25" i="3"/>
  <c r="BJ25" i="3"/>
  <c r="BI25" i="3"/>
  <c r="BH25" i="3"/>
  <c r="BG25" i="3"/>
  <c r="BF25" i="3"/>
  <c r="BE25" i="3"/>
  <c r="BD25" i="3"/>
  <c r="BC25" i="3"/>
  <c r="BB25" i="3"/>
  <c r="BA25" i="3"/>
  <c r="AZ25" i="3"/>
  <c r="AX25" i="3"/>
  <c r="AW25" i="3"/>
  <c r="AV25" i="3"/>
  <c r="AC25" i="3"/>
  <c r="H25" i="3"/>
  <c r="G25" i="3"/>
  <c r="BT24" i="3"/>
  <c r="BS24" i="3"/>
  <c r="BR24" i="3"/>
  <c r="BQ24" i="3"/>
  <c r="BP24" i="3"/>
  <c r="BO24" i="3"/>
  <c r="BN24" i="3"/>
  <c r="BM24" i="3"/>
  <c r="BL24" i="3"/>
  <c r="BK24" i="3"/>
  <c r="BJ24" i="3"/>
  <c r="BI24" i="3"/>
  <c r="BH24" i="3"/>
  <c r="BG24" i="3"/>
  <c r="BF24" i="3"/>
  <c r="BE24" i="3"/>
  <c r="BD24" i="3"/>
  <c r="BC24" i="3"/>
  <c r="BB24" i="3"/>
  <c r="BA24" i="3"/>
  <c r="AX24" i="3"/>
  <c r="AW24" i="3"/>
  <c r="AV24" i="3"/>
  <c r="AC24" i="3"/>
  <c r="H24" i="3"/>
  <c r="G24" i="3"/>
  <c r="BT23" i="3"/>
  <c r="BS23" i="3"/>
  <c r="BR23" i="3"/>
  <c r="BQ23" i="3"/>
  <c r="BP23" i="3"/>
  <c r="BO23" i="3"/>
  <c r="BN23" i="3"/>
  <c r="BM23" i="3"/>
  <c r="BL23" i="3"/>
  <c r="BK23" i="3"/>
  <c r="BJ23" i="3"/>
  <c r="BI23" i="3"/>
  <c r="BH23" i="3"/>
  <c r="BG23" i="3"/>
  <c r="BF23" i="3"/>
  <c r="BE23" i="3"/>
  <c r="BD23" i="3"/>
  <c r="BC23" i="3"/>
  <c r="BB23" i="3"/>
  <c r="BA23" i="3"/>
  <c r="AZ23" i="3"/>
  <c r="AX23" i="3"/>
  <c r="AW23" i="3"/>
  <c r="AV23" i="3"/>
  <c r="AC23" i="3"/>
  <c r="H23" i="3"/>
  <c r="G23" i="3"/>
  <c r="BT22" i="3"/>
  <c r="BS22" i="3"/>
  <c r="BR22" i="3"/>
  <c r="BQ22" i="3"/>
  <c r="BP22" i="3"/>
  <c r="BO22" i="3"/>
  <c r="BN22" i="3"/>
  <c r="BM22" i="3"/>
  <c r="BL22" i="3"/>
  <c r="BK22" i="3"/>
  <c r="BJ22" i="3"/>
  <c r="BI22" i="3"/>
  <c r="BH22" i="3"/>
  <c r="BG22" i="3"/>
  <c r="BF22" i="3"/>
  <c r="BE22" i="3"/>
  <c r="BD22" i="3"/>
  <c r="BC22" i="3"/>
  <c r="BB22" i="3"/>
  <c r="BA22" i="3"/>
  <c r="AZ22" i="3"/>
  <c r="AX22" i="3"/>
  <c r="AW22" i="3"/>
  <c r="AV22" i="3"/>
  <c r="AC22" i="3"/>
  <c r="H22" i="3"/>
  <c r="G22" i="3"/>
  <c r="BT21" i="3"/>
  <c r="BS21" i="3"/>
  <c r="BR21" i="3"/>
  <c r="BQ21" i="3"/>
  <c r="BP21" i="3"/>
  <c r="BO21" i="3"/>
  <c r="BN21" i="3"/>
  <c r="BM21" i="3"/>
  <c r="BL21" i="3"/>
  <c r="BK21" i="3"/>
  <c r="BJ21" i="3"/>
  <c r="BI21" i="3"/>
  <c r="BH21" i="3"/>
  <c r="BG21" i="3"/>
  <c r="BF21" i="3"/>
  <c r="BE21" i="3"/>
  <c r="BD21" i="3"/>
  <c r="BC21" i="3"/>
  <c r="BB21" i="3"/>
  <c r="BA21" i="3"/>
  <c r="AX21" i="3"/>
  <c r="AW21" i="3"/>
  <c r="AV21" i="3"/>
  <c r="AC21" i="3"/>
  <c r="H21" i="3"/>
  <c r="G21" i="3"/>
  <c r="BT20" i="3"/>
  <c r="BS20" i="3"/>
  <c r="BR20" i="3"/>
  <c r="BQ20" i="3"/>
  <c r="BP20" i="3"/>
  <c r="BO20" i="3"/>
  <c r="BN20" i="3"/>
  <c r="BM20" i="3"/>
  <c r="BL20" i="3"/>
  <c r="BK20" i="3"/>
  <c r="BJ20" i="3"/>
  <c r="BI20" i="3"/>
  <c r="BH20" i="3"/>
  <c r="BG20" i="3"/>
  <c r="BF20" i="3"/>
  <c r="BE20" i="3"/>
  <c r="BD20" i="3"/>
  <c r="BC20" i="3"/>
  <c r="BC5" i="3" s="1"/>
  <c r="G19" i="6" s="1"/>
  <c r="G27" i="6" s="1"/>
  <c r="BB20" i="3"/>
  <c r="AX20" i="3"/>
  <c r="AW20" i="3"/>
  <c r="AV20" i="3"/>
  <c r="AC20" i="3"/>
  <c r="H20" i="3"/>
  <c r="G20" i="3" s="1"/>
  <c r="BT19" i="3"/>
  <c r="BS19" i="3"/>
  <c r="BR19" i="3"/>
  <c r="BQ19" i="3"/>
  <c r="BP19" i="3"/>
  <c r="BO19" i="3"/>
  <c r="BN19" i="3"/>
  <c r="BM19" i="3"/>
  <c r="BK19" i="3"/>
  <c r="BJ19" i="3"/>
  <c r="BI19" i="3"/>
  <c r="BH19" i="3"/>
  <c r="BG19" i="3"/>
  <c r="BF19" i="3"/>
  <c r="BE19" i="3"/>
  <c r="BD19" i="3"/>
  <c r="BC19" i="3"/>
  <c r="BB19" i="3"/>
  <c r="AX19" i="3"/>
  <c r="AW19" i="3"/>
  <c r="AV19" i="3"/>
  <c r="AC19" i="3"/>
  <c r="H19" i="3"/>
  <c r="G19" i="3"/>
  <c r="BT18" i="3"/>
  <c r="BS18" i="3"/>
  <c r="BR18" i="3"/>
  <c r="BQ18" i="3"/>
  <c r="BP18" i="3"/>
  <c r="BO18" i="3"/>
  <c r="BN18" i="3"/>
  <c r="BM18" i="3"/>
  <c r="BL18" i="3" s="1"/>
  <c r="BK18" i="3"/>
  <c r="BJ18" i="3"/>
  <c r="BI18" i="3"/>
  <c r="BH18" i="3"/>
  <c r="BG18" i="3"/>
  <c r="BF18" i="3"/>
  <c r="BE18" i="3"/>
  <c r="BD18" i="3"/>
  <c r="BC18" i="3"/>
  <c r="BB18" i="3"/>
  <c r="AX18" i="3"/>
  <c r="AW18" i="3"/>
  <c r="AV18" i="3"/>
  <c r="AC18" i="3"/>
  <c r="H18" i="3"/>
  <c r="G18" i="3" s="1"/>
  <c r="BT207" i="3"/>
  <c r="BS207" i="3"/>
  <c r="BR207" i="3"/>
  <c r="BQ207" i="3"/>
  <c r="BP207" i="3"/>
  <c r="BO207" i="3"/>
  <c r="BN207" i="3"/>
  <c r="BM207" i="3"/>
  <c r="BL207" i="3"/>
  <c r="BK207" i="3"/>
  <c r="BJ207" i="3"/>
  <c r="BI207" i="3"/>
  <c r="BH207" i="3"/>
  <c r="BG207" i="3"/>
  <c r="BF207" i="3"/>
  <c r="BE207" i="3"/>
  <c r="BD207" i="3"/>
  <c r="BC207" i="3"/>
  <c r="BB207" i="3"/>
  <c r="BA207" i="3"/>
  <c r="AZ207" i="3"/>
  <c r="AX207" i="3"/>
  <c r="AW207" i="3"/>
  <c r="AV207" i="3"/>
  <c r="AC207" i="3"/>
  <c r="H207" i="3"/>
  <c r="G207" i="3"/>
  <c r="BT206" i="3"/>
  <c r="BS206" i="3"/>
  <c r="BR206" i="3"/>
  <c r="BQ206" i="3"/>
  <c r="BP206" i="3"/>
  <c r="BO206" i="3"/>
  <c r="BN206" i="3"/>
  <c r="BM206" i="3"/>
  <c r="BL206" i="3"/>
  <c r="BK206" i="3"/>
  <c r="BJ206" i="3"/>
  <c r="BI206" i="3"/>
  <c r="BH206" i="3"/>
  <c r="BG206" i="3"/>
  <c r="BF206" i="3"/>
  <c r="BE206" i="3"/>
  <c r="BD206" i="3"/>
  <c r="BC206" i="3"/>
  <c r="BB206" i="3"/>
  <c r="BA206" i="3"/>
  <c r="AX206" i="3"/>
  <c r="AW206" i="3"/>
  <c r="AV206" i="3"/>
  <c r="AC206" i="3"/>
  <c r="H206" i="3"/>
  <c r="G206" i="3"/>
  <c r="BT205" i="3"/>
  <c r="BS205" i="3"/>
  <c r="BR205" i="3"/>
  <c r="BQ205" i="3"/>
  <c r="BP205" i="3"/>
  <c r="BO205" i="3"/>
  <c r="BN205" i="3"/>
  <c r="BM205" i="3"/>
  <c r="BL205" i="3"/>
  <c r="BK205" i="3"/>
  <c r="BJ205" i="3"/>
  <c r="BI205" i="3"/>
  <c r="BH205" i="3"/>
  <c r="BG205" i="3"/>
  <c r="BF205" i="3"/>
  <c r="BE205" i="3"/>
  <c r="BD205" i="3"/>
  <c r="BC205" i="3"/>
  <c r="BB205" i="3"/>
  <c r="BA205" i="3"/>
  <c r="AZ205" i="3"/>
  <c r="AX205" i="3"/>
  <c r="AW205" i="3"/>
  <c r="AV205" i="3"/>
  <c r="AC205" i="3"/>
  <c r="H205" i="3"/>
  <c r="G205" i="3"/>
  <c r="BT204" i="3"/>
  <c r="BS204" i="3"/>
  <c r="BR204" i="3"/>
  <c r="BQ204" i="3"/>
  <c r="BP204" i="3"/>
  <c r="BO204" i="3"/>
  <c r="BN204" i="3"/>
  <c r="BM204" i="3"/>
  <c r="BK204" i="3"/>
  <c r="BJ204" i="3"/>
  <c r="BI204" i="3"/>
  <c r="BH204" i="3"/>
  <c r="BG204" i="3"/>
  <c r="BF204" i="3"/>
  <c r="BE204" i="3"/>
  <c r="BD204" i="3"/>
  <c r="BC204" i="3"/>
  <c r="BB204" i="3"/>
  <c r="BA204" i="3"/>
  <c r="AX204" i="3"/>
  <c r="AW204" i="3"/>
  <c r="AV204" i="3"/>
  <c r="AC204" i="3"/>
  <c r="H204" i="3"/>
  <c r="G204" i="3"/>
  <c r="BT203" i="3"/>
  <c r="BS203" i="3"/>
  <c r="BR203" i="3"/>
  <c r="BQ203" i="3"/>
  <c r="BP203" i="3"/>
  <c r="BO203" i="3"/>
  <c r="BN203" i="3"/>
  <c r="BM203" i="3"/>
  <c r="BL203" i="3"/>
  <c r="BK203" i="3"/>
  <c r="BJ203" i="3"/>
  <c r="BI203" i="3"/>
  <c r="BH203" i="3"/>
  <c r="BG203" i="3"/>
  <c r="BF203" i="3"/>
  <c r="BE203" i="3"/>
  <c r="BD203" i="3"/>
  <c r="BC203" i="3"/>
  <c r="BB203" i="3"/>
  <c r="AX203" i="3"/>
  <c r="AW203" i="3"/>
  <c r="AV203" i="3"/>
  <c r="AC203" i="3"/>
  <c r="H203" i="3"/>
  <c r="G203" i="3"/>
  <c r="BT202" i="3"/>
  <c r="BS202" i="3"/>
  <c r="BR202" i="3"/>
  <c r="BQ202" i="3"/>
  <c r="BP202" i="3"/>
  <c r="BO202" i="3"/>
  <c r="BN202" i="3"/>
  <c r="BM202" i="3"/>
  <c r="BL202" i="3"/>
  <c r="BK202" i="3"/>
  <c r="BJ202" i="3"/>
  <c r="BI202" i="3"/>
  <c r="BH202" i="3"/>
  <c r="BG202" i="3"/>
  <c r="BF202" i="3"/>
  <c r="BE202" i="3"/>
  <c r="BD202" i="3"/>
  <c r="BC202" i="3"/>
  <c r="BB202" i="3"/>
  <c r="BA202" i="3"/>
  <c r="AX202" i="3"/>
  <c r="AW202" i="3"/>
  <c r="AV202" i="3"/>
  <c r="AC202" i="3"/>
  <c r="H202" i="3"/>
  <c r="G202" i="3"/>
  <c r="BT201" i="3"/>
  <c r="BS201" i="3"/>
  <c r="BR201" i="3"/>
  <c r="BQ201" i="3"/>
  <c r="BP201" i="3"/>
  <c r="BO201" i="3"/>
  <c r="BN201" i="3"/>
  <c r="BM201" i="3"/>
  <c r="BL201" i="3"/>
  <c r="BK201" i="3"/>
  <c r="BJ201" i="3"/>
  <c r="BI201" i="3"/>
  <c r="BH201" i="3"/>
  <c r="BG201" i="3"/>
  <c r="BF201" i="3"/>
  <c r="BE201" i="3"/>
  <c r="BD201" i="3"/>
  <c r="BC201" i="3"/>
  <c r="BB201" i="3"/>
  <c r="BA201" i="3"/>
  <c r="AZ201" i="3"/>
  <c r="AX201" i="3"/>
  <c r="AW201" i="3"/>
  <c r="AV201" i="3"/>
  <c r="AC201" i="3"/>
  <c r="H201" i="3"/>
  <c r="BT200" i="3"/>
  <c r="BS200" i="3"/>
  <c r="BR200" i="3"/>
  <c r="BQ200" i="3"/>
  <c r="BP200" i="3"/>
  <c r="BO200" i="3"/>
  <c r="BN200" i="3"/>
  <c r="BM200" i="3"/>
  <c r="BK200" i="3"/>
  <c r="BJ200" i="3"/>
  <c r="BI200" i="3"/>
  <c r="BH200" i="3"/>
  <c r="BG200" i="3"/>
  <c r="BF200" i="3"/>
  <c r="BE200" i="3"/>
  <c r="BD200" i="3"/>
  <c r="BC200" i="3"/>
  <c r="BB200" i="3"/>
  <c r="BA200" i="3"/>
  <c r="AX200" i="3"/>
  <c r="AW200" i="3"/>
  <c r="AV200" i="3"/>
  <c r="AC200" i="3"/>
  <c r="H200" i="3"/>
  <c r="G200" i="3"/>
  <c r="BT199" i="3"/>
  <c r="BS199" i="3"/>
  <c r="BR199" i="3"/>
  <c r="BQ199" i="3"/>
  <c r="BP199" i="3"/>
  <c r="BO199" i="3"/>
  <c r="BN199" i="3"/>
  <c r="BM199" i="3"/>
  <c r="BL199" i="3"/>
  <c r="BK199" i="3"/>
  <c r="BJ199" i="3"/>
  <c r="BI199" i="3"/>
  <c r="BH199" i="3"/>
  <c r="BG199" i="3"/>
  <c r="BF199" i="3"/>
  <c r="BE199" i="3"/>
  <c r="BD199" i="3"/>
  <c r="BC199" i="3"/>
  <c r="BB199" i="3"/>
  <c r="AX199" i="3"/>
  <c r="AW199" i="3"/>
  <c r="AV199" i="3"/>
  <c r="AC199" i="3"/>
  <c r="H199" i="3"/>
  <c r="G199" i="3"/>
  <c r="BT198" i="3"/>
  <c r="BS198" i="3"/>
  <c r="BR198" i="3"/>
  <c r="BQ198" i="3"/>
  <c r="BP198" i="3"/>
  <c r="BO198" i="3"/>
  <c r="BN198" i="3"/>
  <c r="BM198" i="3"/>
  <c r="BL198" i="3"/>
  <c r="BK198" i="3"/>
  <c r="BJ198" i="3"/>
  <c r="BI198" i="3"/>
  <c r="BH198" i="3"/>
  <c r="BG198" i="3"/>
  <c r="BF198" i="3"/>
  <c r="BE198" i="3"/>
  <c r="BD198" i="3"/>
  <c r="BC198" i="3"/>
  <c r="BB198" i="3"/>
  <c r="BA198" i="3"/>
  <c r="AX198" i="3"/>
  <c r="AW198" i="3"/>
  <c r="AV198" i="3"/>
  <c r="AC198" i="3"/>
  <c r="H198" i="3"/>
  <c r="G198" i="3"/>
  <c r="BT197" i="3"/>
  <c r="BS197" i="3"/>
  <c r="BR197" i="3"/>
  <c r="BQ197" i="3"/>
  <c r="BP197" i="3"/>
  <c r="BO197" i="3"/>
  <c r="BN197" i="3"/>
  <c r="BM197" i="3"/>
  <c r="BL197" i="3"/>
  <c r="BK197" i="3"/>
  <c r="BJ197" i="3"/>
  <c r="BI197" i="3"/>
  <c r="BH197" i="3"/>
  <c r="BG197" i="3"/>
  <c r="BF197" i="3"/>
  <c r="BE197" i="3"/>
  <c r="BD197" i="3"/>
  <c r="BC197" i="3"/>
  <c r="BB197" i="3"/>
  <c r="BA197" i="3"/>
  <c r="AX197" i="3"/>
  <c r="AW197" i="3"/>
  <c r="AV197" i="3"/>
  <c r="AC197" i="3"/>
  <c r="H197" i="3"/>
  <c r="BT196" i="3"/>
  <c r="BS196" i="3"/>
  <c r="BR196" i="3"/>
  <c r="BQ196" i="3"/>
  <c r="BP196" i="3"/>
  <c r="BO196" i="3"/>
  <c r="BN196" i="3"/>
  <c r="BM196" i="3"/>
  <c r="BK196" i="3"/>
  <c r="BJ196" i="3"/>
  <c r="BI196" i="3"/>
  <c r="BH196" i="3"/>
  <c r="BG196" i="3"/>
  <c r="BF196" i="3"/>
  <c r="BE196" i="3"/>
  <c r="BD196" i="3"/>
  <c r="BC196" i="3"/>
  <c r="BB196" i="3"/>
  <c r="BA196" i="3"/>
  <c r="AX196" i="3"/>
  <c r="AW196" i="3"/>
  <c r="AV196" i="3"/>
  <c r="AC196" i="3"/>
  <c r="H196" i="3"/>
  <c r="G196" i="3"/>
  <c r="BT195" i="3"/>
  <c r="BS195" i="3"/>
  <c r="BR195" i="3"/>
  <c r="BQ195" i="3"/>
  <c r="BP195" i="3"/>
  <c r="BO195" i="3"/>
  <c r="BN195" i="3"/>
  <c r="BM195" i="3"/>
  <c r="BL195" i="3"/>
  <c r="BK195" i="3"/>
  <c r="BJ195" i="3"/>
  <c r="BI195" i="3"/>
  <c r="BH195" i="3"/>
  <c r="BG195" i="3"/>
  <c r="BF195" i="3"/>
  <c r="BE195" i="3"/>
  <c r="BD195" i="3"/>
  <c r="BC195" i="3"/>
  <c r="BB195" i="3"/>
  <c r="AX195" i="3"/>
  <c r="AW195" i="3"/>
  <c r="AV195" i="3"/>
  <c r="AC195" i="3"/>
  <c r="H195" i="3"/>
  <c r="G195" i="3"/>
  <c r="BT194" i="3"/>
  <c r="BS194" i="3"/>
  <c r="BR194" i="3"/>
  <c r="BQ194" i="3"/>
  <c r="BP194" i="3"/>
  <c r="BO194" i="3"/>
  <c r="BN194" i="3"/>
  <c r="BM194" i="3"/>
  <c r="BL194" i="3"/>
  <c r="BK194" i="3"/>
  <c r="BJ194" i="3"/>
  <c r="BI194" i="3"/>
  <c r="BH194" i="3"/>
  <c r="BG194" i="3"/>
  <c r="BF194" i="3"/>
  <c r="BE194" i="3"/>
  <c r="BD194" i="3"/>
  <c r="BC194" i="3"/>
  <c r="BB194" i="3"/>
  <c r="BA194" i="3"/>
  <c r="AX194" i="3"/>
  <c r="AW194" i="3"/>
  <c r="AV194" i="3"/>
  <c r="AC194" i="3"/>
  <c r="H194" i="3"/>
  <c r="G194" i="3"/>
  <c r="BT193" i="3"/>
  <c r="BS193" i="3"/>
  <c r="BR193" i="3"/>
  <c r="BQ193" i="3"/>
  <c r="BP193" i="3"/>
  <c r="BO193" i="3"/>
  <c r="BN193" i="3"/>
  <c r="BM193" i="3"/>
  <c r="BL193" i="3"/>
  <c r="BK193" i="3"/>
  <c r="BJ193" i="3"/>
  <c r="BI193" i="3"/>
  <c r="BH193" i="3"/>
  <c r="BG193" i="3"/>
  <c r="BF193" i="3"/>
  <c r="BE193" i="3"/>
  <c r="BD193" i="3"/>
  <c r="BC193" i="3"/>
  <c r="BB193" i="3"/>
  <c r="BA193" i="3"/>
  <c r="AZ193" i="3"/>
  <c r="AX193" i="3"/>
  <c r="AW193" i="3"/>
  <c r="AV193" i="3"/>
  <c r="AC193" i="3"/>
  <c r="H193" i="3"/>
  <c r="BT192" i="3"/>
  <c r="BS192" i="3"/>
  <c r="BR192" i="3"/>
  <c r="BQ192" i="3"/>
  <c r="BP192" i="3"/>
  <c r="BO192" i="3"/>
  <c r="BN192" i="3"/>
  <c r="BM192" i="3"/>
  <c r="BK192" i="3"/>
  <c r="BJ192" i="3"/>
  <c r="BI192" i="3"/>
  <c r="BH192" i="3"/>
  <c r="BG192" i="3"/>
  <c r="BF192" i="3"/>
  <c r="BE192" i="3"/>
  <c r="BD192" i="3"/>
  <c r="BC192" i="3"/>
  <c r="BB192" i="3"/>
  <c r="BA192" i="3"/>
  <c r="AX192" i="3"/>
  <c r="AW192" i="3"/>
  <c r="AV192" i="3"/>
  <c r="AC192" i="3"/>
  <c r="H192" i="3"/>
  <c r="G192" i="3"/>
  <c r="BT191" i="3"/>
  <c r="BS191" i="3"/>
  <c r="BR191" i="3"/>
  <c r="BQ191" i="3"/>
  <c r="BP191" i="3"/>
  <c r="BO191" i="3"/>
  <c r="BN191" i="3"/>
  <c r="BM191" i="3"/>
  <c r="BL191" i="3"/>
  <c r="BK191" i="3"/>
  <c r="BJ191" i="3"/>
  <c r="BI191" i="3"/>
  <c r="BH191" i="3"/>
  <c r="BG191" i="3"/>
  <c r="BF191" i="3"/>
  <c r="BE191" i="3"/>
  <c r="BD191" i="3"/>
  <c r="BC191" i="3"/>
  <c r="BB191" i="3"/>
  <c r="AX191" i="3"/>
  <c r="AW191" i="3"/>
  <c r="AV191" i="3"/>
  <c r="AC191" i="3"/>
  <c r="H191" i="3"/>
  <c r="G191" i="3"/>
  <c r="BT190" i="3"/>
  <c r="BS190" i="3"/>
  <c r="BR190" i="3"/>
  <c r="BQ190" i="3"/>
  <c r="BP190" i="3"/>
  <c r="BO190" i="3"/>
  <c r="BN190" i="3"/>
  <c r="BM190" i="3"/>
  <c r="BL190" i="3"/>
  <c r="BK190" i="3"/>
  <c r="BJ190" i="3"/>
  <c r="BI190" i="3"/>
  <c r="BH190" i="3"/>
  <c r="BG190" i="3"/>
  <c r="BF190" i="3"/>
  <c r="BE190" i="3"/>
  <c r="BD190" i="3"/>
  <c r="BC190" i="3"/>
  <c r="BB190" i="3"/>
  <c r="BA190" i="3"/>
  <c r="AX190" i="3"/>
  <c r="AW190" i="3"/>
  <c r="AV190" i="3"/>
  <c r="AC190" i="3"/>
  <c r="H190" i="3"/>
  <c r="G190" i="3"/>
  <c r="BT189" i="3"/>
  <c r="BS189" i="3"/>
  <c r="BR189" i="3"/>
  <c r="BQ189" i="3"/>
  <c r="BP189" i="3"/>
  <c r="BO189" i="3"/>
  <c r="BN189" i="3"/>
  <c r="BM189" i="3"/>
  <c r="BL189" i="3"/>
  <c r="BK189" i="3"/>
  <c r="BJ189" i="3"/>
  <c r="BI189" i="3"/>
  <c r="BH189" i="3"/>
  <c r="BG189" i="3"/>
  <c r="BF189" i="3"/>
  <c r="BE189" i="3"/>
  <c r="BD189" i="3"/>
  <c r="BC189" i="3"/>
  <c r="BB189" i="3"/>
  <c r="BA189" i="3"/>
  <c r="AX189" i="3"/>
  <c r="AW189" i="3"/>
  <c r="AV189" i="3"/>
  <c r="AC189" i="3"/>
  <c r="H189" i="3"/>
  <c r="BT188" i="3"/>
  <c r="BS188" i="3"/>
  <c r="BR188" i="3"/>
  <c r="BQ188" i="3"/>
  <c r="BP188" i="3"/>
  <c r="BO188" i="3"/>
  <c r="BN188" i="3"/>
  <c r="BM188" i="3"/>
  <c r="BK188" i="3"/>
  <c r="BJ188" i="3"/>
  <c r="BI188" i="3"/>
  <c r="BH188" i="3"/>
  <c r="BG188" i="3"/>
  <c r="BF188" i="3"/>
  <c r="BE188" i="3"/>
  <c r="BD188" i="3"/>
  <c r="BC188" i="3"/>
  <c r="BB188" i="3"/>
  <c r="BA188" i="3"/>
  <c r="AX188" i="3"/>
  <c r="AW188" i="3"/>
  <c r="AV188" i="3"/>
  <c r="AC188" i="3"/>
  <c r="H188" i="3"/>
  <c r="G188" i="3"/>
  <c r="BT187" i="3"/>
  <c r="BS187" i="3"/>
  <c r="BR187" i="3"/>
  <c r="BQ187" i="3"/>
  <c r="BP187" i="3"/>
  <c r="BO187" i="3"/>
  <c r="BN187" i="3"/>
  <c r="BM187" i="3"/>
  <c r="BL187" i="3"/>
  <c r="BK187" i="3"/>
  <c r="BJ187" i="3"/>
  <c r="BI187" i="3"/>
  <c r="BH187" i="3"/>
  <c r="BG187" i="3"/>
  <c r="BF187" i="3"/>
  <c r="BE187" i="3"/>
  <c r="BD187" i="3"/>
  <c r="BC187" i="3"/>
  <c r="BB187" i="3"/>
  <c r="AX187" i="3"/>
  <c r="AW187" i="3"/>
  <c r="AV187" i="3"/>
  <c r="AC187" i="3"/>
  <c r="H187" i="3"/>
  <c r="G187" i="3"/>
  <c r="BT186" i="3"/>
  <c r="BS186" i="3"/>
  <c r="BR186" i="3"/>
  <c r="BQ186" i="3"/>
  <c r="BP186" i="3"/>
  <c r="BO186" i="3"/>
  <c r="BN186" i="3"/>
  <c r="BM186" i="3"/>
  <c r="BL186" i="3"/>
  <c r="BK186" i="3"/>
  <c r="BJ186" i="3"/>
  <c r="BI186" i="3"/>
  <c r="BH186" i="3"/>
  <c r="BG186" i="3"/>
  <c r="BF186" i="3"/>
  <c r="BE186" i="3"/>
  <c r="BD186" i="3"/>
  <c r="BC186" i="3"/>
  <c r="BB186" i="3"/>
  <c r="BA186" i="3"/>
  <c r="AX186" i="3"/>
  <c r="AW186" i="3"/>
  <c r="AV186" i="3"/>
  <c r="AC186" i="3"/>
  <c r="H186" i="3"/>
  <c r="G186" i="3"/>
  <c r="BT185" i="3"/>
  <c r="BS185" i="3"/>
  <c r="BR185" i="3"/>
  <c r="BQ185" i="3"/>
  <c r="BP185" i="3"/>
  <c r="BO185" i="3"/>
  <c r="BN185" i="3"/>
  <c r="BM185" i="3"/>
  <c r="BL185" i="3"/>
  <c r="BK185" i="3"/>
  <c r="BJ185" i="3"/>
  <c r="BI185" i="3"/>
  <c r="BH185" i="3"/>
  <c r="BG185" i="3"/>
  <c r="BF185" i="3"/>
  <c r="BE185" i="3"/>
  <c r="BD185" i="3"/>
  <c r="BC185" i="3"/>
  <c r="BB185" i="3"/>
  <c r="BA185" i="3"/>
  <c r="AZ185" i="3"/>
  <c r="AX185" i="3"/>
  <c r="AW185" i="3"/>
  <c r="AV185" i="3"/>
  <c r="AC185" i="3"/>
  <c r="H185" i="3"/>
  <c r="BT184" i="3"/>
  <c r="BS184" i="3"/>
  <c r="BR184" i="3"/>
  <c r="BQ184" i="3"/>
  <c r="BP184" i="3"/>
  <c r="BO184" i="3"/>
  <c r="BN184" i="3"/>
  <c r="BM184" i="3"/>
  <c r="BK184" i="3"/>
  <c r="BJ184" i="3"/>
  <c r="BI184" i="3"/>
  <c r="BH184" i="3"/>
  <c r="BG184" i="3"/>
  <c r="BF184" i="3"/>
  <c r="BE184" i="3"/>
  <c r="BD184" i="3"/>
  <c r="BC184" i="3"/>
  <c r="BB184" i="3"/>
  <c r="BA184" i="3"/>
  <c r="AX184" i="3"/>
  <c r="AW184" i="3"/>
  <c r="AV184" i="3"/>
  <c r="AC184" i="3"/>
  <c r="H184" i="3"/>
  <c r="G184" i="3"/>
  <c r="BT183" i="3"/>
  <c r="BS183" i="3"/>
  <c r="BR183" i="3"/>
  <c r="BQ183" i="3"/>
  <c r="BP183" i="3"/>
  <c r="BO183" i="3"/>
  <c r="BN183" i="3"/>
  <c r="BM183" i="3"/>
  <c r="BL183" i="3"/>
  <c r="BK183" i="3"/>
  <c r="BJ183" i="3"/>
  <c r="BI183" i="3"/>
  <c r="BH183" i="3"/>
  <c r="BG183" i="3"/>
  <c r="BF183" i="3"/>
  <c r="BE183" i="3"/>
  <c r="BD183" i="3"/>
  <c r="BC183" i="3"/>
  <c r="BB183" i="3"/>
  <c r="AX183" i="3"/>
  <c r="AW183" i="3"/>
  <c r="AV183" i="3"/>
  <c r="AC183" i="3"/>
  <c r="H183" i="3"/>
  <c r="G183" i="3"/>
  <c r="BT182" i="3"/>
  <c r="BS182" i="3"/>
  <c r="BR182" i="3"/>
  <c r="BQ182" i="3"/>
  <c r="BP182" i="3"/>
  <c r="BO182" i="3"/>
  <c r="BN182" i="3"/>
  <c r="BM182" i="3"/>
  <c r="BL182" i="3"/>
  <c r="BK182" i="3"/>
  <c r="BJ182" i="3"/>
  <c r="BI182" i="3"/>
  <c r="BH182" i="3"/>
  <c r="BG182" i="3"/>
  <c r="BF182" i="3"/>
  <c r="BE182" i="3"/>
  <c r="BD182" i="3"/>
  <c r="BC182" i="3"/>
  <c r="BB182" i="3"/>
  <c r="BA182" i="3"/>
  <c r="AX182" i="3"/>
  <c r="AW182" i="3"/>
  <c r="AV182" i="3"/>
  <c r="AC182" i="3"/>
  <c r="H182" i="3"/>
  <c r="G182" i="3"/>
  <c r="BT181" i="3"/>
  <c r="BS181" i="3"/>
  <c r="BR181" i="3"/>
  <c r="BQ181" i="3"/>
  <c r="BP181" i="3"/>
  <c r="BO181" i="3"/>
  <c r="BN181" i="3"/>
  <c r="BM181" i="3"/>
  <c r="BL181" i="3"/>
  <c r="BK181" i="3"/>
  <c r="BJ181" i="3"/>
  <c r="BI181" i="3"/>
  <c r="BH181" i="3"/>
  <c r="BG181" i="3"/>
  <c r="BF181" i="3"/>
  <c r="BE181" i="3"/>
  <c r="BD181" i="3"/>
  <c r="BC181" i="3"/>
  <c r="BB181" i="3"/>
  <c r="BA181" i="3"/>
  <c r="AX181" i="3"/>
  <c r="AW181" i="3"/>
  <c r="AV181" i="3"/>
  <c r="AC181" i="3"/>
  <c r="H181" i="3"/>
  <c r="BT180" i="3"/>
  <c r="BS180" i="3"/>
  <c r="BR180" i="3"/>
  <c r="BQ180" i="3"/>
  <c r="BP180" i="3"/>
  <c r="BO180" i="3"/>
  <c r="BN180" i="3"/>
  <c r="BM180" i="3"/>
  <c r="BK180" i="3"/>
  <c r="BJ180" i="3"/>
  <c r="BI180" i="3"/>
  <c r="BH180" i="3"/>
  <c r="BG180" i="3"/>
  <c r="BF180" i="3"/>
  <c r="BE180" i="3"/>
  <c r="BD180" i="3"/>
  <c r="BC180" i="3"/>
  <c r="BB180" i="3"/>
  <c r="BA180" i="3"/>
  <c r="AX180" i="3"/>
  <c r="AW180" i="3"/>
  <c r="AV180" i="3"/>
  <c r="AC180" i="3"/>
  <c r="H180" i="3"/>
  <c r="G180" i="3"/>
  <c r="BT179" i="3"/>
  <c r="BS179" i="3"/>
  <c r="BR179" i="3"/>
  <c r="BQ179" i="3"/>
  <c r="BP179" i="3"/>
  <c r="BO179" i="3"/>
  <c r="BN179" i="3"/>
  <c r="BM179" i="3"/>
  <c r="BL179" i="3"/>
  <c r="BK179" i="3"/>
  <c r="BJ179" i="3"/>
  <c r="BI179" i="3"/>
  <c r="BH179" i="3"/>
  <c r="BG179" i="3"/>
  <c r="BF179" i="3"/>
  <c r="BE179" i="3"/>
  <c r="BD179" i="3"/>
  <c r="BC179" i="3"/>
  <c r="BB179" i="3"/>
  <c r="AX179" i="3"/>
  <c r="AW179" i="3"/>
  <c r="AV179" i="3"/>
  <c r="AC179" i="3"/>
  <c r="H179" i="3"/>
  <c r="G179" i="3"/>
  <c r="BT178" i="3"/>
  <c r="BS178" i="3"/>
  <c r="BR178" i="3"/>
  <c r="BQ178" i="3"/>
  <c r="BP178" i="3"/>
  <c r="BO178" i="3"/>
  <c r="BN178" i="3"/>
  <c r="BM178" i="3"/>
  <c r="BL178" i="3"/>
  <c r="BK178" i="3"/>
  <c r="BJ178" i="3"/>
  <c r="BI178" i="3"/>
  <c r="BH178" i="3"/>
  <c r="BG178" i="3"/>
  <c r="BF178" i="3"/>
  <c r="BE178" i="3"/>
  <c r="BD178" i="3"/>
  <c r="BC178" i="3"/>
  <c r="BB178" i="3"/>
  <c r="BA178" i="3"/>
  <c r="AX178" i="3"/>
  <c r="AW178" i="3"/>
  <c r="AV178" i="3"/>
  <c r="AC178" i="3"/>
  <c r="H178" i="3"/>
  <c r="G178" i="3"/>
  <c r="BT177" i="3"/>
  <c r="BS177" i="3"/>
  <c r="BR177" i="3"/>
  <c r="BQ177" i="3"/>
  <c r="BP177" i="3"/>
  <c r="BO177" i="3"/>
  <c r="BN177" i="3"/>
  <c r="BM177" i="3"/>
  <c r="BL177" i="3"/>
  <c r="BK177" i="3"/>
  <c r="BJ177" i="3"/>
  <c r="BI177" i="3"/>
  <c r="BH177" i="3"/>
  <c r="BG177" i="3"/>
  <c r="BF177" i="3"/>
  <c r="BE177" i="3"/>
  <c r="BD177" i="3"/>
  <c r="BC177" i="3"/>
  <c r="BB177" i="3"/>
  <c r="BA177" i="3"/>
  <c r="AZ177" i="3"/>
  <c r="AX177" i="3"/>
  <c r="AW177" i="3"/>
  <c r="AV177" i="3"/>
  <c r="AC177" i="3"/>
  <c r="H177" i="3"/>
  <c r="BT176" i="3"/>
  <c r="BS176" i="3"/>
  <c r="BR176" i="3"/>
  <c r="BQ176" i="3"/>
  <c r="BP176" i="3"/>
  <c r="BO176" i="3"/>
  <c r="BN176" i="3"/>
  <c r="BM176" i="3"/>
  <c r="BK176" i="3"/>
  <c r="BJ176" i="3"/>
  <c r="BI176" i="3"/>
  <c r="BH176" i="3"/>
  <c r="BG176" i="3"/>
  <c r="BF176" i="3"/>
  <c r="BE176" i="3"/>
  <c r="BD176" i="3"/>
  <c r="BC176" i="3"/>
  <c r="BB176" i="3"/>
  <c r="BA176" i="3"/>
  <c r="AX176" i="3"/>
  <c r="AW176" i="3"/>
  <c r="AV176" i="3"/>
  <c r="AC176" i="3"/>
  <c r="H176" i="3"/>
  <c r="G176" i="3"/>
  <c r="BT175" i="3"/>
  <c r="BS175" i="3"/>
  <c r="BR175" i="3"/>
  <c r="BQ175" i="3"/>
  <c r="BP175" i="3"/>
  <c r="BO175" i="3"/>
  <c r="BN175" i="3"/>
  <c r="BM175" i="3"/>
  <c r="BL175" i="3"/>
  <c r="BK175" i="3"/>
  <c r="BJ175" i="3"/>
  <c r="BI175" i="3"/>
  <c r="BH175" i="3"/>
  <c r="BG175" i="3"/>
  <c r="BF175" i="3"/>
  <c r="BE175" i="3"/>
  <c r="BD175" i="3"/>
  <c r="BC175" i="3"/>
  <c r="BB175" i="3"/>
  <c r="AX175" i="3"/>
  <c r="AW175" i="3"/>
  <c r="AV175" i="3"/>
  <c r="AC175" i="3"/>
  <c r="H175" i="3"/>
  <c r="G175" i="3"/>
  <c r="BT174" i="3"/>
  <c r="BS174" i="3"/>
  <c r="BR174" i="3"/>
  <c r="BQ174" i="3"/>
  <c r="BP174" i="3"/>
  <c r="BO174" i="3"/>
  <c r="BN174" i="3"/>
  <c r="BM174" i="3"/>
  <c r="BL174" i="3"/>
  <c r="BK174" i="3"/>
  <c r="BJ174" i="3"/>
  <c r="BI174" i="3"/>
  <c r="BH174" i="3"/>
  <c r="BG174" i="3"/>
  <c r="BF174" i="3"/>
  <c r="BE174" i="3"/>
  <c r="BD174" i="3"/>
  <c r="BC174" i="3"/>
  <c r="BB174" i="3"/>
  <c r="BA174" i="3"/>
  <c r="AX174" i="3"/>
  <c r="AW174" i="3"/>
  <c r="AV174" i="3"/>
  <c r="AC174" i="3"/>
  <c r="H174" i="3"/>
  <c r="G174" i="3"/>
  <c r="BT173" i="3"/>
  <c r="BS173" i="3"/>
  <c r="BR173" i="3"/>
  <c r="BQ173" i="3"/>
  <c r="BP173" i="3"/>
  <c r="BO173" i="3"/>
  <c r="BN173" i="3"/>
  <c r="BM173" i="3"/>
  <c r="BL173" i="3"/>
  <c r="BK173" i="3"/>
  <c r="BJ173" i="3"/>
  <c r="BI173" i="3"/>
  <c r="BH173" i="3"/>
  <c r="BG173" i="3"/>
  <c r="BF173" i="3"/>
  <c r="BE173" i="3"/>
  <c r="BD173" i="3"/>
  <c r="BC173" i="3"/>
  <c r="BB173" i="3"/>
  <c r="BA173" i="3"/>
  <c r="AX173" i="3"/>
  <c r="AW173" i="3"/>
  <c r="AV173" i="3"/>
  <c r="AC173" i="3"/>
  <c r="H173" i="3"/>
  <c r="BT172" i="3"/>
  <c r="BS172" i="3"/>
  <c r="BR172" i="3"/>
  <c r="BQ172" i="3"/>
  <c r="BP172" i="3"/>
  <c r="BO172" i="3"/>
  <c r="BN172" i="3"/>
  <c r="BM172" i="3"/>
  <c r="BK172" i="3"/>
  <c r="BJ172" i="3"/>
  <c r="BI172" i="3"/>
  <c r="BH172" i="3"/>
  <c r="BG172" i="3"/>
  <c r="BF172" i="3"/>
  <c r="BE172" i="3"/>
  <c r="BD172" i="3"/>
  <c r="BC172" i="3"/>
  <c r="BB172" i="3"/>
  <c r="BA172" i="3"/>
  <c r="AX172" i="3"/>
  <c r="AW172" i="3"/>
  <c r="AV172" i="3"/>
  <c r="AC172" i="3"/>
  <c r="H172" i="3"/>
  <c r="G172" i="3"/>
  <c r="BT171" i="3"/>
  <c r="BS171" i="3"/>
  <c r="BR171" i="3"/>
  <c r="BQ171" i="3"/>
  <c r="BP171" i="3"/>
  <c r="BO171" i="3"/>
  <c r="BN171" i="3"/>
  <c r="BM171" i="3"/>
  <c r="BL171" i="3"/>
  <c r="BK171" i="3"/>
  <c r="BJ171" i="3"/>
  <c r="BI171" i="3"/>
  <c r="BH171" i="3"/>
  <c r="BG171" i="3"/>
  <c r="BF171" i="3"/>
  <c r="BE171" i="3"/>
  <c r="BD171" i="3"/>
  <c r="BC171" i="3"/>
  <c r="BB171" i="3"/>
  <c r="AX171" i="3"/>
  <c r="AW171" i="3"/>
  <c r="AV171" i="3"/>
  <c r="AC171" i="3"/>
  <c r="H171" i="3"/>
  <c r="G171" i="3"/>
  <c r="BT170" i="3"/>
  <c r="BS170" i="3"/>
  <c r="BR170" i="3"/>
  <c r="BQ170" i="3"/>
  <c r="BP170" i="3"/>
  <c r="BO170" i="3"/>
  <c r="BN170" i="3"/>
  <c r="BM170" i="3"/>
  <c r="BL170" i="3"/>
  <c r="BK170" i="3"/>
  <c r="BJ170" i="3"/>
  <c r="BI170" i="3"/>
  <c r="BH170" i="3"/>
  <c r="BG170" i="3"/>
  <c r="BF170" i="3"/>
  <c r="BE170" i="3"/>
  <c r="BD170" i="3"/>
  <c r="BC170" i="3"/>
  <c r="BB170" i="3"/>
  <c r="BA170" i="3"/>
  <c r="AX170" i="3"/>
  <c r="AW170" i="3"/>
  <c r="AV170" i="3"/>
  <c r="AC170" i="3"/>
  <c r="H170" i="3"/>
  <c r="G170" i="3"/>
  <c r="BT169" i="3"/>
  <c r="BS169" i="3"/>
  <c r="BR169" i="3"/>
  <c r="BQ169" i="3"/>
  <c r="BP169" i="3"/>
  <c r="BO169" i="3"/>
  <c r="BN169" i="3"/>
  <c r="BM169" i="3"/>
  <c r="BL169" i="3"/>
  <c r="BK169" i="3"/>
  <c r="BJ169" i="3"/>
  <c r="BI169" i="3"/>
  <c r="BH169" i="3"/>
  <c r="BG169" i="3"/>
  <c r="BF169" i="3"/>
  <c r="BE169" i="3"/>
  <c r="BD169" i="3"/>
  <c r="BC169" i="3"/>
  <c r="BB169" i="3"/>
  <c r="BA169" i="3"/>
  <c r="AZ169" i="3"/>
  <c r="AX169" i="3"/>
  <c r="AW169" i="3"/>
  <c r="AV169" i="3"/>
  <c r="AC169" i="3"/>
  <c r="H169" i="3"/>
  <c r="BT168" i="3"/>
  <c r="BS168" i="3"/>
  <c r="BR168" i="3"/>
  <c r="BQ168" i="3"/>
  <c r="BP168" i="3"/>
  <c r="BO168" i="3"/>
  <c r="BN168" i="3"/>
  <c r="BM168" i="3"/>
  <c r="BK168" i="3"/>
  <c r="BJ168" i="3"/>
  <c r="BI168" i="3"/>
  <c r="BH168" i="3"/>
  <c r="BG168" i="3"/>
  <c r="BF168" i="3"/>
  <c r="BE168" i="3"/>
  <c r="BD168" i="3"/>
  <c r="BC168" i="3"/>
  <c r="BB168" i="3"/>
  <c r="BA168" i="3"/>
  <c r="AX168" i="3"/>
  <c r="AW168" i="3"/>
  <c r="AV168" i="3"/>
  <c r="AC168" i="3"/>
  <c r="H168" i="3"/>
  <c r="G168" i="3"/>
  <c r="BT167" i="3"/>
  <c r="BS167" i="3"/>
  <c r="BR167" i="3"/>
  <c r="BQ167" i="3"/>
  <c r="BP167" i="3"/>
  <c r="BO167" i="3"/>
  <c r="BN167" i="3"/>
  <c r="BM167" i="3"/>
  <c r="BL167" i="3"/>
  <c r="BK167" i="3"/>
  <c r="BJ167" i="3"/>
  <c r="BI167" i="3"/>
  <c r="BH167" i="3"/>
  <c r="BG167" i="3"/>
  <c r="BF167" i="3"/>
  <c r="BE167" i="3"/>
  <c r="BD167" i="3"/>
  <c r="BC167" i="3"/>
  <c r="BB167" i="3"/>
  <c r="AX167" i="3"/>
  <c r="AW167" i="3"/>
  <c r="AV167" i="3"/>
  <c r="AC167" i="3"/>
  <c r="H167" i="3"/>
  <c r="G167" i="3"/>
  <c r="BT166" i="3"/>
  <c r="BS166" i="3"/>
  <c r="BR166" i="3"/>
  <c r="BQ166" i="3"/>
  <c r="BP166" i="3"/>
  <c r="BO166" i="3"/>
  <c r="BN166" i="3"/>
  <c r="BM166" i="3"/>
  <c r="BL166" i="3"/>
  <c r="BK166" i="3"/>
  <c r="BJ166" i="3"/>
  <c r="BI166" i="3"/>
  <c r="BH166" i="3"/>
  <c r="BG166" i="3"/>
  <c r="BF166" i="3"/>
  <c r="BE166" i="3"/>
  <c r="BD166" i="3"/>
  <c r="BC166" i="3"/>
  <c r="BB166" i="3"/>
  <c r="BA166" i="3"/>
  <c r="AX166" i="3"/>
  <c r="AW166" i="3"/>
  <c r="AV166" i="3"/>
  <c r="AC166" i="3"/>
  <c r="H166" i="3"/>
  <c r="G166" i="3"/>
  <c r="BT165" i="3"/>
  <c r="BS165" i="3"/>
  <c r="BR165" i="3"/>
  <c r="BQ165" i="3"/>
  <c r="BP165" i="3"/>
  <c r="BO165" i="3"/>
  <c r="BN165" i="3"/>
  <c r="BM165" i="3"/>
  <c r="BL165" i="3"/>
  <c r="BK165" i="3"/>
  <c r="BJ165" i="3"/>
  <c r="BI165" i="3"/>
  <c r="BH165" i="3"/>
  <c r="BG165" i="3"/>
  <c r="BF165" i="3"/>
  <c r="BE165" i="3"/>
  <c r="BD165" i="3"/>
  <c r="BC165" i="3"/>
  <c r="BB165" i="3"/>
  <c r="BA165" i="3"/>
  <c r="AX165" i="3"/>
  <c r="AW165" i="3"/>
  <c r="AV165" i="3"/>
  <c r="AC165" i="3"/>
  <c r="H165" i="3"/>
  <c r="BT164" i="3"/>
  <c r="BS164" i="3"/>
  <c r="BR164" i="3"/>
  <c r="BQ164" i="3"/>
  <c r="BP164" i="3"/>
  <c r="BO164" i="3"/>
  <c r="BN164" i="3"/>
  <c r="BM164" i="3"/>
  <c r="BK164" i="3"/>
  <c r="BJ164" i="3"/>
  <c r="BI164" i="3"/>
  <c r="BH164" i="3"/>
  <c r="BG164" i="3"/>
  <c r="BF164" i="3"/>
  <c r="BE164" i="3"/>
  <c r="BD164" i="3"/>
  <c r="BC164" i="3"/>
  <c r="BB164" i="3"/>
  <c r="BA164" i="3"/>
  <c r="AX164" i="3"/>
  <c r="AW164" i="3"/>
  <c r="AV164" i="3"/>
  <c r="AC164" i="3"/>
  <c r="H164" i="3"/>
  <c r="G164" i="3"/>
  <c r="BT163" i="3"/>
  <c r="BS163" i="3"/>
  <c r="BR163" i="3"/>
  <c r="BQ163" i="3"/>
  <c r="BP163" i="3"/>
  <c r="BO163" i="3"/>
  <c r="BN163" i="3"/>
  <c r="BM163" i="3"/>
  <c r="BL163" i="3"/>
  <c r="BK163" i="3"/>
  <c r="BJ163" i="3"/>
  <c r="BI163" i="3"/>
  <c r="BH163" i="3"/>
  <c r="BG163" i="3"/>
  <c r="BF163" i="3"/>
  <c r="BE163" i="3"/>
  <c r="BD163" i="3"/>
  <c r="BC163" i="3"/>
  <c r="BB163" i="3"/>
  <c r="AX163" i="3"/>
  <c r="AW163" i="3"/>
  <c r="AV163" i="3"/>
  <c r="AC163" i="3"/>
  <c r="H163" i="3"/>
  <c r="G163" i="3"/>
  <c r="BT162" i="3"/>
  <c r="BS162" i="3"/>
  <c r="BR162" i="3"/>
  <c r="BQ162" i="3"/>
  <c r="BP162" i="3"/>
  <c r="BO162" i="3"/>
  <c r="BN162" i="3"/>
  <c r="BM162" i="3"/>
  <c r="BL162" i="3"/>
  <c r="BK162" i="3"/>
  <c r="BJ162" i="3"/>
  <c r="BI162" i="3"/>
  <c r="BH162" i="3"/>
  <c r="BG162" i="3"/>
  <c r="BF162" i="3"/>
  <c r="BE162" i="3"/>
  <c r="BD162" i="3"/>
  <c r="BC162" i="3"/>
  <c r="BB162" i="3"/>
  <c r="BA162" i="3"/>
  <c r="AX162" i="3"/>
  <c r="AW162" i="3"/>
  <c r="AV162" i="3"/>
  <c r="AC162" i="3"/>
  <c r="H162" i="3"/>
  <c r="G162" i="3"/>
  <c r="BT161" i="3"/>
  <c r="BS161" i="3"/>
  <c r="BR161" i="3"/>
  <c r="BQ161" i="3"/>
  <c r="BP161" i="3"/>
  <c r="BO161" i="3"/>
  <c r="BN161" i="3"/>
  <c r="BM161" i="3"/>
  <c r="BL161" i="3"/>
  <c r="BK161" i="3"/>
  <c r="BJ161" i="3"/>
  <c r="BI161" i="3"/>
  <c r="BH161" i="3"/>
  <c r="BG161" i="3"/>
  <c r="BF161" i="3"/>
  <c r="BE161" i="3"/>
  <c r="BD161" i="3"/>
  <c r="BC161" i="3"/>
  <c r="BB161" i="3"/>
  <c r="BA161" i="3"/>
  <c r="AZ161" i="3"/>
  <c r="AX161" i="3"/>
  <c r="AW161" i="3"/>
  <c r="AV161" i="3"/>
  <c r="AC161" i="3"/>
  <c r="H161" i="3"/>
  <c r="BT160" i="3"/>
  <c r="BS160" i="3"/>
  <c r="BR160" i="3"/>
  <c r="BQ160" i="3"/>
  <c r="BP160" i="3"/>
  <c r="BO160" i="3"/>
  <c r="BN160" i="3"/>
  <c r="BM160" i="3"/>
  <c r="BK160" i="3"/>
  <c r="BJ160" i="3"/>
  <c r="BI160" i="3"/>
  <c r="BH160" i="3"/>
  <c r="BG160" i="3"/>
  <c r="BF160" i="3"/>
  <c r="BE160" i="3"/>
  <c r="BD160" i="3"/>
  <c r="BC160" i="3"/>
  <c r="BB160" i="3"/>
  <c r="BA160" i="3"/>
  <c r="AX160" i="3"/>
  <c r="AW160" i="3"/>
  <c r="AV160" i="3"/>
  <c r="AC160" i="3"/>
  <c r="H160" i="3"/>
  <c r="G160" i="3"/>
  <c r="BT159" i="3"/>
  <c r="BS159" i="3"/>
  <c r="BR159" i="3"/>
  <c r="BQ159" i="3"/>
  <c r="BP159" i="3"/>
  <c r="BO159" i="3"/>
  <c r="BN159" i="3"/>
  <c r="BM159" i="3"/>
  <c r="BL159" i="3"/>
  <c r="BK159" i="3"/>
  <c r="BJ159" i="3"/>
  <c r="BI159" i="3"/>
  <c r="BH159" i="3"/>
  <c r="BG159" i="3"/>
  <c r="BF159" i="3"/>
  <c r="BE159" i="3"/>
  <c r="BD159" i="3"/>
  <c r="BC159" i="3"/>
  <c r="BB159" i="3"/>
  <c r="AX159" i="3"/>
  <c r="AW159" i="3"/>
  <c r="AV159" i="3"/>
  <c r="AC159" i="3"/>
  <c r="H159" i="3"/>
  <c r="G159" i="3"/>
  <c r="BT158" i="3"/>
  <c r="BS158" i="3"/>
  <c r="BR158" i="3"/>
  <c r="BQ158" i="3"/>
  <c r="BP158" i="3"/>
  <c r="BO158" i="3"/>
  <c r="BN158" i="3"/>
  <c r="BM158" i="3"/>
  <c r="BL158" i="3"/>
  <c r="BK158" i="3"/>
  <c r="BJ158" i="3"/>
  <c r="BI158" i="3"/>
  <c r="BH158" i="3"/>
  <c r="BG158" i="3"/>
  <c r="BF158" i="3"/>
  <c r="BE158" i="3"/>
  <c r="BD158" i="3"/>
  <c r="BC158" i="3"/>
  <c r="BB158" i="3"/>
  <c r="BA158" i="3"/>
  <c r="AX158" i="3"/>
  <c r="AW158" i="3"/>
  <c r="AV158" i="3"/>
  <c r="AC158" i="3"/>
  <c r="H158" i="3"/>
  <c r="G158" i="3"/>
  <c r="BT157" i="3"/>
  <c r="BS157" i="3"/>
  <c r="BR157" i="3"/>
  <c r="BQ157" i="3"/>
  <c r="BP157" i="3"/>
  <c r="BO157" i="3"/>
  <c r="BN157" i="3"/>
  <c r="BM157" i="3"/>
  <c r="BL157" i="3"/>
  <c r="BK157" i="3"/>
  <c r="BJ157" i="3"/>
  <c r="BI157" i="3"/>
  <c r="BH157" i="3"/>
  <c r="BG157" i="3"/>
  <c r="BF157" i="3"/>
  <c r="BE157" i="3"/>
  <c r="BD157" i="3"/>
  <c r="BC157" i="3"/>
  <c r="BB157" i="3"/>
  <c r="BA157" i="3"/>
  <c r="AX157" i="3"/>
  <c r="AW157" i="3"/>
  <c r="AV157" i="3"/>
  <c r="AC157" i="3"/>
  <c r="H157" i="3"/>
  <c r="BT156" i="3"/>
  <c r="BS156" i="3"/>
  <c r="BR156" i="3"/>
  <c r="BQ156" i="3"/>
  <c r="BP156" i="3"/>
  <c r="BO156" i="3"/>
  <c r="BN156" i="3"/>
  <c r="BM156" i="3"/>
  <c r="BK156" i="3"/>
  <c r="BJ156" i="3"/>
  <c r="BI156" i="3"/>
  <c r="BH156" i="3"/>
  <c r="BG156" i="3"/>
  <c r="BF156" i="3"/>
  <c r="BE156" i="3"/>
  <c r="BD156" i="3"/>
  <c r="BC156" i="3"/>
  <c r="BB156" i="3"/>
  <c r="BA156" i="3"/>
  <c r="AX156" i="3"/>
  <c r="AW156" i="3"/>
  <c r="AV156" i="3"/>
  <c r="AC156" i="3"/>
  <c r="H156" i="3"/>
  <c r="G156" i="3"/>
  <c r="BT155" i="3"/>
  <c r="BS155" i="3"/>
  <c r="BR155" i="3"/>
  <c r="BQ155" i="3"/>
  <c r="BP155" i="3"/>
  <c r="BO155" i="3"/>
  <c r="BN155" i="3"/>
  <c r="BM155" i="3"/>
  <c r="BL155" i="3"/>
  <c r="BK155" i="3"/>
  <c r="BJ155" i="3"/>
  <c r="BI155" i="3"/>
  <c r="BH155" i="3"/>
  <c r="BG155" i="3"/>
  <c r="BF155" i="3"/>
  <c r="BE155" i="3"/>
  <c r="BD155" i="3"/>
  <c r="BC155" i="3"/>
  <c r="BB155" i="3"/>
  <c r="AX155" i="3"/>
  <c r="AW155" i="3"/>
  <c r="AV155" i="3"/>
  <c r="AC155" i="3"/>
  <c r="H155" i="3"/>
  <c r="G155" i="3"/>
  <c r="BT154" i="3"/>
  <c r="BS154" i="3"/>
  <c r="BR154" i="3"/>
  <c r="BQ154" i="3"/>
  <c r="BP154" i="3"/>
  <c r="BO154" i="3"/>
  <c r="BN154" i="3"/>
  <c r="BM154" i="3"/>
  <c r="BL154" i="3"/>
  <c r="BK154" i="3"/>
  <c r="BJ154" i="3"/>
  <c r="BI154" i="3"/>
  <c r="BH154" i="3"/>
  <c r="BG154" i="3"/>
  <c r="BF154" i="3"/>
  <c r="BE154" i="3"/>
  <c r="BD154" i="3"/>
  <c r="BC154" i="3"/>
  <c r="BB154" i="3"/>
  <c r="BA154" i="3"/>
  <c r="AX154" i="3"/>
  <c r="AW154" i="3"/>
  <c r="AV154" i="3"/>
  <c r="AC154" i="3"/>
  <c r="H154" i="3"/>
  <c r="G154" i="3"/>
  <c r="BT153" i="3"/>
  <c r="BS153" i="3"/>
  <c r="BR153" i="3"/>
  <c r="BQ153" i="3"/>
  <c r="BP153" i="3"/>
  <c r="BO153" i="3"/>
  <c r="BN153" i="3"/>
  <c r="BM153" i="3"/>
  <c r="BL153" i="3"/>
  <c r="BK153" i="3"/>
  <c r="BJ153" i="3"/>
  <c r="BI153" i="3"/>
  <c r="BH153" i="3"/>
  <c r="BG153" i="3"/>
  <c r="BF153" i="3"/>
  <c r="BE153" i="3"/>
  <c r="BD153" i="3"/>
  <c r="BC153" i="3"/>
  <c r="BB153" i="3"/>
  <c r="BA153" i="3"/>
  <c r="AZ153" i="3"/>
  <c r="AX153" i="3"/>
  <c r="AW153" i="3"/>
  <c r="AV153" i="3"/>
  <c r="AC153" i="3"/>
  <c r="H153" i="3"/>
  <c r="BT152" i="3"/>
  <c r="BS152" i="3"/>
  <c r="BR152" i="3"/>
  <c r="BQ152" i="3"/>
  <c r="BP152" i="3"/>
  <c r="BO152" i="3"/>
  <c r="BN152" i="3"/>
  <c r="BM152" i="3"/>
  <c r="BK152" i="3"/>
  <c r="BJ152" i="3"/>
  <c r="BI152" i="3"/>
  <c r="BH152" i="3"/>
  <c r="BG152" i="3"/>
  <c r="BF152" i="3"/>
  <c r="BE152" i="3"/>
  <c r="BD152" i="3"/>
  <c r="BC152" i="3"/>
  <c r="BB152" i="3"/>
  <c r="BA152" i="3"/>
  <c r="AX152" i="3"/>
  <c r="AW152" i="3"/>
  <c r="AV152" i="3"/>
  <c r="AC152" i="3"/>
  <c r="H152" i="3"/>
  <c r="G152" i="3"/>
  <c r="BT151" i="3"/>
  <c r="BS151" i="3"/>
  <c r="BR151" i="3"/>
  <c r="BQ151" i="3"/>
  <c r="BP151" i="3"/>
  <c r="BO151" i="3"/>
  <c r="BN151" i="3"/>
  <c r="BM151" i="3"/>
  <c r="BL151" i="3"/>
  <c r="BK151" i="3"/>
  <c r="BJ151" i="3"/>
  <c r="BI151" i="3"/>
  <c r="BH151" i="3"/>
  <c r="BG151" i="3"/>
  <c r="BF151" i="3"/>
  <c r="BE151" i="3"/>
  <c r="BD151" i="3"/>
  <c r="BC151" i="3"/>
  <c r="BB151" i="3"/>
  <c r="AX151" i="3"/>
  <c r="AW151" i="3"/>
  <c r="AV151" i="3"/>
  <c r="AC151" i="3"/>
  <c r="H151" i="3"/>
  <c r="G151" i="3"/>
  <c r="BT150" i="3"/>
  <c r="BS150" i="3"/>
  <c r="BR150" i="3"/>
  <c r="BQ150" i="3"/>
  <c r="BP150" i="3"/>
  <c r="BO150" i="3"/>
  <c r="BN150" i="3"/>
  <c r="BM150" i="3"/>
  <c r="BL150" i="3"/>
  <c r="BK150" i="3"/>
  <c r="BJ150" i="3"/>
  <c r="BI150" i="3"/>
  <c r="BH150" i="3"/>
  <c r="BG150" i="3"/>
  <c r="BF150" i="3"/>
  <c r="BE150" i="3"/>
  <c r="BD150" i="3"/>
  <c r="BC150" i="3"/>
  <c r="BB150" i="3"/>
  <c r="BA150" i="3"/>
  <c r="AX150" i="3"/>
  <c r="AW150" i="3"/>
  <c r="AV150" i="3"/>
  <c r="AC150" i="3"/>
  <c r="H150" i="3"/>
  <c r="G150" i="3"/>
  <c r="BT149" i="3"/>
  <c r="BS149" i="3"/>
  <c r="BR149" i="3"/>
  <c r="BQ149" i="3"/>
  <c r="BP149" i="3"/>
  <c r="BO149" i="3"/>
  <c r="BN149" i="3"/>
  <c r="BM149" i="3"/>
  <c r="BL149" i="3"/>
  <c r="BK149" i="3"/>
  <c r="BJ149" i="3"/>
  <c r="BI149" i="3"/>
  <c r="BH149" i="3"/>
  <c r="BG149" i="3"/>
  <c r="BF149" i="3"/>
  <c r="BE149" i="3"/>
  <c r="BD149" i="3"/>
  <c r="BC149" i="3"/>
  <c r="BB149" i="3"/>
  <c r="BA149" i="3"/>
  <c r="AX149" i="3"/>
  <c r="AW149" i="3"/>
  <c r="AV149" i="3"/>
  <c r="AC149" i="3"/>
  <c r="H149" i="3"/>
  <c r="BT148" i="3"/>
  <c r="BS148" i="3"/>
  <c r="BR148" i="3"/>
  <c r="BQ148" i="3"/>
  <c r="BP148" i="3"/>
  <c r="BO148" i="3"/>
  <c r="BN148" i="3"/>
  <c r="BM148" i="3"/>
  <c r="BK148" i="3"/>
  <c r="BJ148" i="3"/>
  <c r="BI148" i="3"/>
  <c r="BH148" i="3"/>
  <c r="BG148" i="3"/>
  <c r="BF148" i="3"/>
  <c r="BE148" i="3"/>
  <c r="BD148" i="3"/>
  <c r="BC148" i="3"/>
  <c r="BB148" i="3"/>
  <c r="BA148" i="3"/>
  <c r="AX148" i="3"/>
  <c r="AW148" i="3"/>
  <c r="AV148" i="3"/>
  <c r="AC148" i="3"/>
  <c r="H148" i="3"/>
  <c r="G148" i="3"/>
  <c r="BT147" i="3"/>
  <c r="BS147" i="3"/>
  <c r="BR147" i="3"/>
  <c r="BQ147" i="3"/>
  <c r="BP147" i="3"/>
  <c r="BO147" i="3"/>
  <c r="BN147" i="3"/>
  <c r="BM147" i="3"/>
  <c r="BL147" i="3"/>
  <c r="BK147" i="3"/>
  <c r="BJ147" i="3"/>
  <c r="BI147" i="3"/>
  <c r="BH147" i="3"/>
  <c r="BG147" i="3"/>
  <c r="BF147" i="3"/>
  <c r="BE147" i="3"/>
  <c r="BD147" i="3"/>
  <c r="BC147" i="3"/>
  <c r="BB147" i="3"/>
  <c r="AX147" i="3"/>
  <c r="AW147" i="3"/>
  <c r="AV147" i="3"/>
  <c r="AC147" i="3"/>
  <c r="H147" i="3"/>
  <c r="G147" i="3"/>
  <c r="BT146" i="3"/>
  <c r="BS146" i="3"/>
  <c r="BR146" i="3"/>
  <c r="BQ146" i="3"/>
  <c r="BP146" i="3"/>
  <c r="BO146" i="3"/>
  <c r="BN146" i="3"/>
  <c r="BM146" i="3"/>
  <c r="BL146" i="3"/>
  <c r="BK146" i="3"/>
  <c r="BJ146" i="3"/>
  <c r="BI146" i="3"/>
  <c r="BH146" i="3"/>
  <c r="BG146" i="3"/>
  <c r="BF146" i="3"/>
  <c r="BE146" i="3"/>
  <c r="BD146" i="3"/>
  <c r="BC146" i="3"/>
  <c r="BB146" i="3"/>
  <c r="BA146" i="3"/>
  <c r="AX146" i="3"/>
  <c r="AW146" i="3"/>
  <c r="AV146" i="3"/>
  <c r="AC146" i="3"/>
  <c r="H146" i="3"/>
  <c r="G146" i="3"/>
  <c r="BT145" i="3"/>
  <c r="BS145" i="3"/>
  <c r="BR145" i="3"/>
  <c r="BQ145" i="3"/>
  <c r="BP145" i="3"/>
  <c r="BO145" i="3"/>
  <c r="BN145" i="3"/>
  <c r="BM145" i="3"/>
  <c r="BL145" i="3"/>
  <c r="BK145" i="3"/>
  <c r="BJ145" i="3"/>
  <c r="BI145" i="3"/>
  <c r="BH145" i="3"/>
  <c r="BG145" i="3"/>
  <c r="BF145" i="3"/>
  <c r="BE145" i="3"/>
  <c r="BD145" i="3"/>
  <c r="BC145" i="3"/>
  <c r="BB145" i="3"/>
  <c r="BA145" i="3"/>
  <c r="AZ145" i="3"/>
  <c r="AX145" i="3"/>
  <c r="AW145" i="3"/>
  <c r="AV145" i="3"/>
  <c r="AC145" i="3"/>
  <c r="H145" i="3"/>
  <c r="BT144" i="3"/>
  <c r="BS144" i="3"/>
  <c r="BR144" i="3"/>
  <c r="BQ144" i="3"/>
  <c r="BP144" i="3"/>
  <c r="BO144" i="3"/>
  <c r="BN144" i="3"/>
  <c r="BM144" i="3"/>
  <c r="BK144" i="3"/>
  <c r="BJ144" i="3"/>
  <c r="BI144" i="3"/>
  <c r="BH144" i="3"/>
  <c r="BG144" i="3"/>
  <c r="BF144" i="3"/>
  <c r="BE144" i="3"/>
  <c r="BD144" i="3"/>
  <c r="BC144" i="3"/>
  <c r="BB144" i="3"/>
  <c r="BA144" i="3"/>
  <c r="AX144" i="3"/>
  <c r="AW144" i="3"/>
  <c r="AV144" i="3"/>
  <c r="AC144" i="3"/>
  <c r="H144" i="3"/>
  <c r="G144" i="3"/>
  <c r="BT143" i="3"/>
  <c r="BS143" i="3"/>
  <c r="BR143" i="3"/>
  <c r="BQ143" i="3"/>
  <c r="BP143" i="3"/>
  <c r="BO143" i="3"/>
  <c r="BN143" i="3"/>
  <c r="BM143" i="3"/>
  <c r="BL143" i="3"/>
  <c r="BK143" i="3"/>
  <c r="BJ143" i="3"/>
  <c r="BI143" i="3"/>
  <c r="BH143" i="3"/>
  <c r="BG143" i="3"/>
  <c r="BF143" i="3"/>
  <c r="BE143" i="3"/>
  <c r="BD143" i="3"/>
  <c r="BC143" i="3"/>
  <c r="BB143" i="3"/>
  <c r="AX143" i="3"/>
  <c r="AW143" i="3"/>
  <c r="AV143" i="3"/>
  <c r="AC143" i="3"/>
  <c r="H143" i="3"/>
  <c r="G143" i="3"/>
  <c r="BT142" i="3"/>
  <c r="BS142" i="3"/>
  <c r="BR142" i="3"/>
  <c r="BQ142" i="3"/>
  <c r="BP142" i="3"/>
  <c r="BO142" i="3"/>
  <c r="BN142" i="3"/>
  <c r="BM142" i="3"/>
  <c r="BL142" i="3"/>
  <c r="BK142" i="3"/>
  <c r="BJ142" i="3"/>
  <c r="BI142" i="3"/>
  <c r="BH142" i="3"/>
  <c r="BG142" i="3"/>
  <c r="BF142" i="3"/>
  <c r="BE142" i="3"/>
  <c r="BD142" i="3"/>
  <c r="BC142" i="3"/>
  <c r="BB142" i="3"/>
  <c r="BA142" i="3"/>
  <c r="AX142" i="3"/>
  <c r="AW142" i="3"/>
  <c r="AV142" i="3"/>
  <c r="AC142" i="3"/>
  <c r="H142" i="3"/>
  <c r="G142" i="3"/>
  <c r="BT141" i="3"/>
  <c r="BS141" i="3"/>
  <c r="BR141" i="3"/>
  <c r="BQ141" i="3"/>
  <c r="BP141" i="3"/>
  <c r="BO141" i="3"/>
  <c r="BN141" i="3"/>
  <c r="BM141" i="3"/>
  <c r="BL141" i="3"/>
  <c r="BK141" i="3"/>
  <c r="BJ141" i="3"/>
  <c r="BI141" i="3"/>
  <c r="BH141" i="3"/>
  <c r="BG141" i="3"/>
  <c r="BF141" i="3"/>
  <c r="BE141" i="3"/>
  <c r="BD141" i="3"/>
  <c r="BC141" i="3"/>
  <c r="BB141" i="3"/>
  <c r="BA141" i="3"/>
  <c r="AZ141" i="3"/>
  <c r="AX141" i="3"/>
  <c r="AW141" i="3"/>
  <c r="AV141" i="3"/>
  <c r="AC141" i="3"/>
  <c r="H141" i="3"/>
  <c r="BT140" i="3"/>
  <c r="BS140" i="3"/>
  <c r="BR140" i="3"/>
  <c r="BQ140" i="3"/>
  <c r="BP140" i="3"/>
  <c r="BO140" i="3"/>
  <c r="BN140" i="3"/>
  <c r="BM140" i="3"/>
  <c r="BK140" i="3"/>
  <c r="BJ140" i="3"/>
  <c r="BI140" i="3"/>
  <c r="BH140" i="3"/>
  <c r="BG140" i="3"/>
  <c r="BF140" i="3"/>
  <c r="BE140" i="3"/>
  <c r="BD140" i="3"/>
  <c r="BC140" i="3"/>
  <c r="BB140" i="3"/>
  <c r="BA140" i="3"/>
  <c r="AX140" i="3"/>
  <c r="AW140" i="3"/>
  <c r="AV140" i="3"/>
  <c r="AC140" i="3"/>
  <c r="H140" i="3"/>
  <c r="G140" i="3"/>
  <c r="BT139" i="3"/>
  <c r="BS139" i="3"/>
  <c r="BR139" i="3"/>
  <c r="BQ139" i="3"/>
  <c r="BP139" i="3"/>
  <c r="BO139" i="3"/>
  <c r="BN139" i="3"/>
  <c r="BM139" i="3"/>
  <c r="BL139" i="3"/>
  <c r="BK139" i="3"/>
  <c r="BJ139" i="3"/>
  <c r="BI139" i="3"/>
  <c r="BH139" i="3"/>
  <c r="BG139" i="3"/>
  <c r="BF139" i="3"/>
  <c r="BE139" i="3"/>
  <c r="BD139" i="3"/>
  <c r="BC139" i="3"/>
  <c r="BB139" i="3"/>
  <c r="AX139" i="3"/>
  <c r="AW139" i="3"/>
  <c r="AV139" i="3"/>
  <c r="AC139" i="3"/>
  <c r="H139" i="3"/>
  <c r="G139" i="3"/>
  <c r="BT138" i="3"/>
  <c r="BS138" i="3"/>
  <c r="BR138" i="3"/>
  <c r="BQ138" i="3"/>
  <c r="BP138" i="3"/>
  <c r="BO138" i="3"/>
  <c r="BN138" i="3"/>
  <c r="BM138" i="3"/>
  <c r="BL138" i="3"/>
  <c r="BK138" i="3"/>
  <c r="BJ138" i="3"/>
  <c r="BI138" i="3"/>
  <c r="BH138" i="3"/>
  <c r="BG138" i="3"/>
  <c r="BF138" i="3"/>
  <c r="BE138" i="3"/>
  <c r="BD138" i="3"/>
  <c r="BC138" i="3"/>
  <c r="BB138" i="3"/>
  <c r="BA138" i="3"/>
  <c r="AX138" i="3"/>
  <c r="AW138" i="3"/>
  <c r="AV138" i="3"/>
  <c r="AC138" i="3"/>
  <c r="H138" i="3"/>
  <c r="G138" i="3"/>
  <c r="BT137" i="3"/>
  <c r="BS137" i="3"/>
  <c r="BR137" i="3"/>
  <c r="BQ137" i="3"/>
  <c r="BP137" i="3"/>
  <c r="BO137" i="3"/>
  <c r="BN137" i="3"/>
  <c r="BM137" i="3"/>
  <c r="BL137" i="3"/>
  <c r="BK137" i="3"/>
  <c r="BJ137" i="3"/>
  <c r="BI137" i="3"/>
  <c r="BH137" i="3"/>
  <c r="BG137" i="3"/>
  <c r="BF137" i="3"/>
  <c r="BE137" i="3"/>
  <c r="BD137" i="3"/>
  <c r="BC137" i="3"/>
  <c r="BB137" i="3"/>
  <c r="BA137" i="3"/>
  <c r="AZ137" i="3"/>
  <c r="AX137" i="3"/>
  <c r="AW137" i="3"/>
  <c r="AV137" i="3"/>
  <c r="AC137" i="3"/>
  <c r="H137" i="3"/>
  <c r="BT136" i="3"/>
  <c r="BS136" i="3"/>
  <c r="BR136" i="3"/>
  <c r="BQ136" i="3"/>
  <c r="BP136" i="3"/>
  <c r="BO136" i="3"/>
  <c r="BN136" i="3"/>
  <c r="BM136" i="3"/>
  <c r="BK136" i="3"/>
  <c r="BJ136" i="3"/>
  <c r="BI136" i="3"/>
  <c r="BH136" i="3"/>
  <c r="BG136" i="3"/>
  <c r="BF136" i="3"/>
  <c r="BE136" i="3"/>
  <c r="BD136" i="3"/>
  <c r="BC136" i="3"/>
  <c r="BB136" i="3"/>
  <c r="BA136" i="3"/>
  <c r="AX136" i="3"/>
  <c r="AW136" i="3"/>
  <c r="AV136" i="3"/>
  <c r="AC136" i="3"/>
  <c r="H136" i="3"/>
  <c r="G136" i="3"/>
  <c r="BT135" i="3"/>
  <c r="BS135" i="3"/>
  <c r="BR135" i="3"/>
  <c r="BQ135" i="3"/>
  <c r="BP135" i="3"/>
  <c r="BO135" i="3"/>
  <c r="BN135" i="3"/>
  <c r="BM135" i="3"/>
  <c r="BL135" i="3"/>
  <c r="BK135" i="3"/>
  <c r="BJ135" i="3"/>
  <c r="BI135" i="3"/>
  <c r="BH135" i="3"/>
  <c r="BG135" i="3"/>
  <c r="BF135" i="3"/>
  <c r="BE135" i="3"/>
  <c r="BD135" i="3"/>
  <c r="BC135" i="3"/>
  <c r="BB135" i="3"/>
  <c r="AX135" i="3"/>
  <c r="AW135" i="3"/>
  <c r="AV135" i="3"/>
  <c r="AC135" i="3"/>
  <c r="H135" i="3"/>
  <c r="G135" i="3"/>
  <c r="BT134" i="3"/>
  <c r="BS134" i="3"/>
  <c r="BR134" i="3"/>
  <c r="BQ134" i="3"/>
  <c r="BP134" i="3"/>
  <c r="BO134" i="3"/>
  <c r="BN134" i="3"/>
  <c r="BM134" i="3"/>
  <c r="BL134" i="3"/>
  <c r="BK134" i="3"/>
  <c r="BJ134" i="3"/>
  <c r="BI134" i="3"/>
  <c r="BH134" i="3"/>
  <c r="BG134" i="3"/>
  <c r="BF134" i="3"/>
  <c r="BE134" i="3"/>
  <c r="BD134" i="3"/>
  <c r="BC134" i="3"/>
  <c r="BB134" i="3"/>
  <c r="BA134" i="3"/>
  <c r="AZ134" i="3"/>
  <c r="AX134" i="3"/>
  <c r="AW134" i="3"/>
  <c r="AV134" i="3"/>
  <c r="AC134" i="3"/>
  <c r="H134" i="3"/>
  <c r="G134" i="3"/>
  <c r="BT133" i="3"/>
  <c r="BS133" i="3"/>
  <c r="BR133" i="3"/>
  <c r="BQ133" i="3"/>
  <c r="BP133" i="3"/>
  <c r="BO133" i="3"/>
  <c r="BN133" i="3"/>
  <c r="BM133" i="3"/>
  <c r="BL133" i="3"/>
  <c r="BK133" i="3"/>
  <c r="BJ133" i="3"/>
  <c r="BI133" i="3"/>
  <c r="BH133" i="3"/>
  <c r="BG133" i="3"/>
  <c r="BF133" i="3"/>
  <c r="BE133" i="3"/>
  <c r="BD133" i="3"/>
  <c r="BC133" i="3"/>
  <c r="BB133" i="3"/>
  <c r="BA133" i="3"/>
  <c r="AX133" i="3"/>
  <c r="AW133" i="3"/>
  <c r="AV133" i="3"/>
  <c r="AC133" i="3"/>
  <c r="H133" i="3"/>
  <c r="BT132" i="3"/>
  <c r="BS132" i="3"/>
  <c r="BR132" i="3"/>
  <c r="BQ132" i="3"/>
  <c r="BP132" i="3"/>
  <c r="BO132" i="3"/>
  <c r="BN132" i="3"/>
  <c r="BM132" i="3"/>
  <c r="BK132" i="3"/>
  <c r="BJ132" i="3"/>
  <c r="BI132" i="3"/>
  <c r="BH132" i="3"/>
  <c r="BG132" i="3"/>
  <c r="BF132" i="3"/>
  <c r="BE132" i="3"/>
  <c r="BD132" i="3"/>
  <c r="BC132" i="3"/>
  <c r="BB132" i="3"/>
  <c r="BA132" i="3"/>
  <c r="AX132" i="3"/>
  <c r="AW132" i="3"/>
  <c r="AV132" i="3"/>
  <c r="AC132" i="3"/>
  <c r="H132" i="3"/>
  <c r="G132" i="3"/>
  <c r="BT131" i="3"/>
  <c r="BS131" i="3"/>
  <c r="BR131" i="3"/>
  <c r="BQ131" i="3"/>
  <c r="BP131" i="3"/>
  <c r="BO131" i="3"/>
  <c r="BN131" i="3"/>
  <c r="BM131" i="3"/>
  <c r="BL131" i="3"/>
  <c r="BK131" i="3"/>
  <c r="BJ131" i="3"/>
  <c r="BI131" i="3"/>
  <c r="BH131" i="3"/>
  <c r="BG131" i="3"/>
  <c r="BF131" i="3"/>
  <c r="BE131" i="3"/>
  <c r="BD131" i="3"/>
  <c r="BC131" i="3"/>
  <c r="BB131" i="3"/>
  <c r="AX131" i="3"/>
  <c r="AW131" i="3"/>
  <c r="AV131" i="3"/>
  <c r="AC131" i="3"/>
  <c r="H131" i="3"/>
  <c r="G131" i="3"/>
  <c r="BT130" i="3"/>
  <c r="BS130" i="3"/>
  <c r="BR130" i="3"/>
  <c r="BQ130" i="3"/>
  <c r="BP130" i="3"/>
  <c r="BO130" i="3"/>
  <c r="BN130" i="3"/>
  <c r="BM130" i="3"/>
  <c r="BL130" i="3"/>
  <c r="BK130" i="3"/>
  <c r="BJ130" i="3"/>
  <c r="BI130" i="3"/>
  <c r="BH130" i="3"/>
  <c r="BG130" i="3"/>
  <c r="BF130" i="3"/>
  <c r="BE130" i="3"/>
  <c r="BD130" i="3"/>
  <c r="BC130" i="3"/>
  <c r="BB130" i="3"/>
  <c r="BA130" i="3"/>
  <c r="AX130" i="3"/>
  <c r="AW130" i="3"/>
  <c r="AV130" i="3"/>
  <c r="AC130" i="3"/>
  <c r="H130" i="3"/>
  <c r="G130" i="3"/>
  <c r="BT129" i="3"/>
  <c r="BS129" i="3"/>
  <c r="BR129" i="3"/>
  <c r="BQ129" i="3"/>
  <c r="BP129" i="3"/>
  <c r="BO129" i="3"/>
  <c r="BN129" i="3"/>
  <c r="BM129" i="3"/>
  <c r="BL129" i="3"/>
  <c r="BK129" i="3"/>
  <c r="BJ129" i="3"/>
  <c r="BI129" i="3"/>
  <c r="BH129" i="3"/>
  <c r="BG129" i="3"/>
  <c r="BF129" i="3"/>
  <c r="BE129" i="3"/>
  <c r="BD129" i="3"/>
  <c r="BC129" i="3"/>
  <c r="BB129" i="3"/>
  <c r="BA129" i="3"/>
  <c r="AZ129" i="3"/>
  <c r="AX129" i="3"/>
  <c r="AW129" i="3"/>
  <c r="AV129" i="3"/>
  <c r="AC129" i="3"/>
  <c r="H129" i="3"/>
  <c r="BT128" i="3"/>
  <c r="BS128" i="3"/>
  <c r="BR128" i="3"/>
  <c r="BQ128" i="3"/>
  <c r="BP128" i="3"/>
  <c r="BO128" i="3"/>
  <c r="BN128" i="3"/>
  <c r="BM128" i="3"/>
  <c r="BK128" i="3"/>
  <c r="BJ128" i="3"/>
  <c r="BI128" i="3"/>
  <c r="BH128" i="3"/>
  <c r="BG128" i="3"/>
  <c r="BF128" i="3"/>
  <c r="BE128" i="3"/>
  <c r="BD128" i="3"/>
  <c r="BC128" i="3"/>
  <c r="BB128" i="3"/>
  <c r="BA128" i="3"/>
  <c r="AX128" i="3"/>
  <c r="AW128" i="3"/>
  <c r="AV128" i="3"/>
  <c r="AC128" i="3"/>
  <c r="H128" i="3"/>
  <c r="G128" i="3"/>
  <c r="BT127" i="3"/>
  <c r="BS127" i="3"/>
  <c r="BR127" i="3"/>
  <c r="BQ127" i="3"/>
  <c r="BP127" i="3"/>
  <c r="BO127" i="3"/>
  <c r="BN127" i="3"/>
  <c r="BM127" i="3"/>
  <c r="BL127" i="3"/>
  <c r="BK127" i="3"/>
  <c r="BJ127" i="3"/>
  <c r="BI127" i="3"/>
  <c r="BH127" i="3"/>
  <c r="BG127" i="3"/>
  <c r="BF127" i="3"/>
  <c r="BE127" i="3"/>
  <c r="BD127" i="3"/>
  <c r="BC127" i="3"/>
  <c r="BB127" i="3"/>
  <c r="AX127" i="3"/>
  <c r="AW127" i="3"/>
  <c r="AV127" i="3"/>
  <c r="AC127" i="3"/>
  <c r="H127" i="3"/>
  <c r="G127" i="3"/>
  <c r="BT126" i="3"/>
  <c r="BS126" i="3"/>
  <c r="BR126" i="3"/>
  <c r="BQ126" i="3"/>
  <c r="BP126" i="3"/>
  <c r="BO126" i="3"/>
  <c r="BN126" i="3"/>
  <c r="BM126" i="3"/>
  <c r="BL126" i="3"/>
  <c r="BK126" i="3"/>
  <c r="BJ126" i="3"/>
  <c r="BI126" i="3"/>
  <c r="BH126" i="3"/>
  <c r="BG126" i="3"/>
  <c r="BF126" i="3"/>
  <c r="BE126" i="3"/>
  <c r="BD126" i="3"/>
  <c r="BC126" i="3"/>
  <c r="BB126" i="3"/>
  <c r="BA126" i="3"/>
  <c r="AZ126" i="3"/>
  <c r="AX126" i="3"/>
  <c r="AW126" i="3"/>
  <c r="AV126" i="3"/>
  <c r="AC126" i="3"/>
  <c r="H126" i="3"/>
  <c r="G126" i="3"/>
  <c r="BT125" i="3"/>
  <c r="BS125" i="3"/>
  <c r="BR125" i="3"/>
  <c r="BQ125" i="3"/>
  <c r="BP125" i="3"/>
  <c r="BO125" i="3"/>
  <c r="BN125" i="3"/>
  <c r="BM125" i="3"/>
  <c r="BL125" i="3"/>
  <c r="BK125" i="3"/>
  <c r="BJ125" i="3"/>
  <c r="BI125" i="3"/>
  <c r="BH125" i="3"/>
  <c r="BG125" i="3"/>
  <c r="BF125" i="3"/>
  <c r="BE125" i="3"/>
  <c r="BD125" i="3"/>
  <c r="BC125" i="3"/>
  <c r="BB125" i="3"/>
  <c r="BA125" i="3"/>
  <c r="AZ125" i="3"/>
  <c r="AX125" i="3"/>
  <c r="AW125" i="3"/>
  <c r="AV125" i="3"/>
  <c r="AC125" i="3"/>
  <c r="H125" i="3"/>
  <c r="BT124" i="3"/>
  <c r="BS124" i="3"/>
  <c r="BR124" i="3"/>
  <c r="BQ124" i="3"/>
  <c r="BP124" i="3"/>
  <c r="BO124" i="3"/>
  <c r="BN124" i="3"/>
  <c r="BM124" i="3"/>
  <c r="BK124" i="3"/>
  <c r="BJ124" i="3"/>
  <c r="BI124" i="3"/>
  <c r="BH124" i="3"/>
  <c r="BG124" i="3"/>
  <c r="BF124" i="3"/>
  <c r="BE124" i="3"/>
  <c r="BD124" i="3"/>
  <c r="BC124" i="3"/>
  <c r="BB124" i="3"/>
  <c r="BA124" i="3"/>
  <c r="AX124" i="3"/>
  <c r="AW124" i="3"/>
  <c r="AV124" i="3"/>
  <c r="AC124" i="3"/>
  <c r="H124" i="3"/>
  <c r="G124" i="3"/>
  <c r="BT123" i="3"/>
  <c r="BS123" i="3"/>
  <c r="BR123" i="3"/>
  <c r="BQ123" i="3"/>
  <c r="BP123" i="3"/>
  <c r="BO123" i="3"/>
  <c r="BN123" i="3"/>
  <c r="BM123" i="3"/>
  <c r="BL123" i="3"/>
  <c r="BK123" i="3"/>
  <c r="BJ123" i="3"/>
  <c r="BI123" i="3"/>
  <c r="BH123" i="3"/>
  <c r="BG123" i="3"/>
  <c r="BF123" i="3"/>
  <c r="BE123" i="3"/>
  <c r="BD123" i="3"/>
  <c r="BC123" i="3"/>
  <c r="BB123" i="3"/>
  <c r="AX123" i="3"/>
  <c r="AW123" i="3"/>
  <c r="AV123" i="3"/>
  <c r="AC123" i="3"/>
  <c r="H123" i="3"/>
  <c r="G123" i="3"/>
  <c r="BT122" i="3"/>
  <c r="BS122" i="3"/>
  <c r="BR122" i="3"/>
  <c r="BQ122" i="3"/>
  <c r="BP122" i="3"/>
  <c r="BO122" i="3"/>
  <c r="BN122" i="3"/>
  <c r="BM122" i="3"/>
  <c r="BL122" i="3"/>
  <c r="BK122" i="3"/>
  <c r="BJ122" i="3"/>
  <c r="BI122" i="3"/>
  <c r="BH122" i="3"/>
  <c r="BG122" i="3"/>
  <c r="BF122" i="3"/>
  <c r="BE122" i="3"/>
  <c r="BD122" i="3"/>
  <c r="BC122" i="3"/>
  <c r="BB122" i="3"/>
  <c r="BA122" i="3"/>
  <c r="AZ122" i="3"/>
  <c r="AX122" i="3"/>
  <c r="AW122" i="3"/>
  <c r="AV122" i="3"/>
  <c r="AC122" i="3"/>
  <c r="H122" i="3"/>
  <c r="G122" i="3"/>
  <c r="BT121" i="3"/>
  <c r="BS121" i="3"/>
  <c r="BR121" i="3"/>
  <c r="BQ121" i="3"/>
  <c r="BP121" i="3"/>
  <c r="BO121" i="3"/>
  <c r="BN121" i="3"/>
  <c r="BM121" i="3"/>
  <c r="BL121" i="3"/>
  <c r="BK121" i="3"/>
  <c r="BJ121" i="3"/>
  <c r="BI121" i="3"/>
  <c r="BH121" i="3"/>
  <c r="BG121" i="3"/>
  <c r="BF121" i="3"/>
  <c r="BE121" i="3"/>
  <c r="BD121" i="3"/>
  <c r="BC121" i="3"/>
  <c r="BB121" i="3"/>
  <c r="BA121" i="3"/>
  <c r="AZ121" i="3"/>
  <c r="AX121" i="3"/>
  <c r="AW121" i="3"/>
  <c r="AV121" i="3"/>
  <c r="AC121" i="3"/>
  <c r="H121" i="3"/>
  <c r="BT120" i="3"/>
  <c r="BS120" i="3"/>
  <c r="BR120" i="3"/>
  <c r="BQ120" i="3"/>
  <c r="BP120" i="3"/>
  <c r="BO120" i="3"/>
  <c r="BN120" i="3"/>
  <c r="BM120" i="3"/>
  <c r="BK120" i="3"/>
  <c r="BJ120" i="3"/>
  <c r="BI120" i="3"/>
  <c r="BH120" i="3"/>
  <c r="BG120" i="3"/>
  <c r="BF120" i="3"/>
  <c r="BE120" i="3"/>
  <c r="BD120" i="3"/>
  <c r="BC120" i="3"/>
  <c r="BB120" i="3"/>
  <c r="BA120" i="3"/>
  <c r="AX120" i="3"/>
  <c r="AW120" i="3"/>
  <c r="AV120" i="3"/>
  <c r="AC120" i="3"/>
  <c r="H120" i="3"/>
  <c r="G120" i="3"/>
  <c r="BT119" i="3"/>
  <c r="BS119" i="3"/>
  <c r="BR119" i="3"/>
  <c r="BQ119" i="3"/>
  <c r="BP119" i="3"/>
  <c r="BO119" i="3"/>
  <c r="BN119" i="3"/>
  <c r="BM119" i="3"/>
  <c r="BL119" i="3"/>
  <c r="BK119" i="3"/>
  <c r="BJ119" i="3"/>
  <c r="BI119" i="3"/>
  <c r="BH119" i="3"/>
  <c r="BG119" i="3"/>
  <c r="BF119" i="3"/>
  <c r="BE119" i="3"/>
  <c r="BD119" i="3"/>
  <c r="BC119" i="3"/>
  <c r="BB119" i="3"/>
  <c r="AX119" i="3"/>
  <c r="AW119" i="3"/>
  <c r="AV119" i="3"/>
  <c r="AC119" i="3"/>
  <c r="H119" i="3"/>
  <c r="G119" i="3"/>
  <c r="BT118" i="3"/>
  <c r="BS118" i="3"/>
  <c r="BR118" i="3"/>
  <c r="BQ118" i="3"/>
  <c r="BP118" i="3"/>
  <c r="BO118" i="3"/>
  <c r="BN118" i="3"/>
  <c r="BM118" i="3"/>
  <c r="BL118" i="3"/>
  <c r="BK118" i="3"/>
  <c r="BJ118" i="3"/>
  <c r="BI118" i="3"/>
  <c r="BH118" i="3"/>
  <c r="BG118" i="3"/>
  <c r="BF118" i="3"/>
  <c r="BE118" i="3"/>
  <c r="BD118" i="3"/>
  <c r="BC118" i="3"/>
  <c r="BB118" i="3"/>
  <c r="BA118" i="3"/>
  <c r="AZ118" i="3"/>
  <c r="AX118" i="3"/>
  <c r="AW118" i="3"/>
  <c r="AV118" i="3"/>
  <c r="AC118" i="3"/>
  <c r="H118" i="3"/>
  <c r="G118" i="3"/>
  <c r="BT117" i="3"/>
  <c r="BS117" i="3"/>
  <c r="BR117" i="3"/>
  <c r="BQ117" i="3"/>
  <c r="BP117" i="3"/>
  <c r="BO117" i="3"/>
  <c r="BN117" i="3"/>
  <c r="BM117" i="3"/>
  <c r="BL117" i="3"/>
  <c r="BK117" i="3"/>
  <c r="BJ117" i="3"/>
  <c r="BI117" i="3"/>
  <c r="BH117" i="3"/>
  <c r="BG117" i="3"/>
  <c r="BF117" i="3"/>
  <c r="BE117" i="3"/>
  <c r="BD117" i="3"/>
  <c r="BC117" i="3"/>
  <c r="BB117" i="3"/>
  <c r="BA117" i="3"/>
  <c r="AX117" i="3"/>
  <c r="AW117" i="3"/>
  <c r="AV117" i="3"/>
  <c r="AC117" i="3"/>
  <c r="H117" i="3"/>
  <c r="BT116" i="3"/>
  <c r="BS116" i="3"/>
  <c r="BR116" i="3"/>
  <c r="BQ116" i="3"/>
  <c r="BP116" i="3"/>
  <c r="BO116" i="3"/>
  <c r="BN116" i="3"/>
  <c r="BM116" i="3"/>
  <c r="BK116" i="3"/>
  <c r="BJ116" i="3"/>
  <c r="BI116" i="3"/>
  <c r="BH116" i="3"/>
  <c r="BG116" i="3"/>
  <c r="BF116" i="3"/>
  <c r="BE116" i="3"/>
  <c r="BD116" i="3"/>
  <c r="BC116" i="3"/>
  <c r="BB116" i="3"/>
  <c r="BA116" i="3"/>
  <c r="AX116" i="3"/>
  <c r="AW116" i="3"/>
  <c r="AV116" i="3"/>
  <c r="AC116" i="3"/>
  <c r="H116" i="3"/>
  <c r="G116" i="3"/>
  <c r="BT115" i="3"/>
  <c r="BS115" i="3"/>
  <c r="BR115" i="3"/>
  <c r="BQ115" i="3"/>
  <c r="BP115" i="3"/>
  <c r="BO115" i="3"/>
  <c r="BN115" i="3"/>
  <c r="BM115" i="3"/>
  <c r="BL115" i="3"/>
  <c r="BK115" i="3"/>
  <c r="BJ115" i="3"/>
  <c r="BI115" i="3"/>
  <c r="BH115" i="3"/>
  <c r="BG115" i="3"/>
  <c r="BF115" i="3"/>
  <c r="BE115" i="3"/>
  <c r="BD115" i="3"/>
  <c r="BC115" i="3"/>
  <c r="BB115" i="3"/>
  <c r="AX115" i="3"/>
  <c r="AW115" i="3"/>
  <c r="AV115" i="3"/>
  <c r="AC115" i="3"/>
  <c r="H115" i="3"/>
  <c r="G115" i="3"/>
  <c r="BT114" i="3"/>
  <c r="BS114" i="3"/>
  <c r="BR114" i="3"/>
  <c r="BQ114" i="3"/>
  <c r="BP114" i="3"/>
  <c r="BO114" i="3"/>
  <c r="BN114" i="3"/>
  <c r="BM114" i="3"/>
  <c r="BL114" i="3"/>
  <c r="BK114" i="3"/>
  <c r="BJ114" i="3"/>
  <c r="BI114" i="3"/>
  <c r="BH114" i="3"/>
  <c r="BG114" i="3"/>
  <c r="BF114" i="3"/>
  <c r="BE114" i="3"/>
  <c r="BD114" i="3"/>
  <c r="BC114" i="3"/>
  <c r="BB114" i="3"/>
  <c r="BA114" i="3"/>
  <c r="AX114" i="3"/>
  <c r="AW114" i="3"/>
  <c r="AV114" i="3"/>
  <c r="AC114" i="3"/>
  <c r="H114" i="3"/>
  <c r="G114" i="3"/>
  <c r="BT113" i="3"/>
  <c r="BS113" i="3"/>
  <c r="BR113" i="3"/>
  <c r="BQ113" i="3"/>
  <c r="BP113" i="3"/>
  <c r="BO113" i="3"/>
  <c r="BN113" i="3"/>
  <c r="BM113" i="3"/>
  <c r="BL113" i="3"/>
  <c r="BK113" i="3"/>
  <c r="BJ113" i="3"/>
  <c r="BI113" i="3"/>
  <c r="BH113" i="3"/>
  <c r="BG113" i="3"/>
  <c r="BF113" i="3"/>
  <c r="BE113" i="3"/>
  <c r="BD113" i="3"/>
  <c r="BC113" i="3"/>
  <c r="BB113" i="3"/>
  <c r="BA113" i="3"/>
  <c r="AZ113" i="3"/>
  <c r="AX113" i="3"/>
  <c r="AW113" i="3"/>
  <c r="AV113" i="3"/>
  <c r="AC113" i="3"/>
  <c r="H113" i="3"/>
  <c r="BT302" i="3"/>
  <c r="BS302" i="3"/>
  <c r="BR302" i="3"/>
  <c r="BQ302" i="3"/>
  <c r="BP302" i="3"/>
  <c r="BO302" i="3"/>
  <c r="BN302" i="3"/>
  <c r="BM302" i="3"/>
  <c r="BL302" i="3"/>
  <c r="BK302" i="3"/>
  <c r="BJ302" i="3"/>
  <c r="BI302" i="3"/>
  <c r="BH302" i="3"/>
  <c r="BG302" i="3"/>
  <c r="BF302" i="3"/>
  <c r="BE302" i="3"/>
  <c r="BD302" i="3"/>
  <c r="BC302" i="3"/>
  <c r="BB302" i="3"/>
  <c r="BA302" i="3"/>
  <c r="AZ302" i="3"/>
  <c r="AX302" i="3"/>
  <c r="AW302" i="3"/>
  <c r="AV302" i="3"/>
  <c r="AC302" i="3"/>
  <c r="H302" i="3"/>
  <c r="G302" i="3"/>
  <c r="BT301" i="3"/>
  <c r="BS301" i="3"/>
  <c r="BR301" i="3"/>
  <c r="BQ301" i="3"/>
  <c r="BP301" i="3"/>
  <c r="BO301" i="3"/>
  <c r="BN301" i="3"/>
  <c r="BM301" i="3"/>
  <c r="BL301" i="3"/>
  <c r="BK301" i="3"/>
  <c r="BJ301" i="3"/>
  <c r="BI301" i="3"/>
  <c r="BH301" i="3"/>
  <c r="BG301" i="3"/>
  <c r="BF301" i="3"/>
  <c r="BE301" i="3"/>
  <c r="BD301" i="3"/>
  <c r="BC301" i="3"/>
  <c r="BB301" i="3"/>
  <c r="BA301" i="3"/>
  <c r="AZ301" i="3"/>
  <c r="AX301" i="3"/>
  <c r="AW301" i="3"/>
  <c r="AV301" i="3"/>
  <c r="AC301" i="3"/>
  <c r="H301" i="3"/>
  <c r="G301" i="3"/>
  <c r="BT300" i="3"/>
  <c r="BS300" i="3"/>
  <c r="BR300" i="3"/>
  <c r="BQ300" i="3"/>
  <c r="BP300" i="3"/>
  <c r="BO300" i="3"/>
  <c r="BN300" i="3"/>
  <c r="BM300" i="3"/>
  <c r="BL300" i="3"/>
  <c r="BK300" i="3"/>
  <c r="BJ300" i="3"/>
  <c r="BI300" i="3"/>
  <c r="BH300" i="3"/>
  <c r="BG300" i="3"/>
  <c r="BF300" i="3"/>
  <c r="BE300" i="3"/>
  <c r="BD300" i="3"/>
  <c r="BC300" i="3"/>
  <c r="BB300" i="3"/>
  <c r="BA300" i="3"/>
  <c r="AZ300" i="3"/>
  <c r="AX300" i="3"/>
  <c r="AW300" i="3"/>
  <c r="AV300" i="3"/>
  <c r="AC300" i="3"/>
  <c r="H300" i="3"/>
  <c r="G300" i="3"/>
  <c r="BT299" i="3"/>
  <c r="BS299" i="3"/>
  <c r="BR299" i="3"/>
  <c r="BQ299" i="3"/>
  <c r="BP299" i="3"/>
  <c r="BO299" i="3"/>
  <c r="BN299" i="3"/>
  <c r="BM299" i="3"/>
  <c r="BL299" i="3"/>
  <c r="BK299" i="3"/>
  <c r="BJ299" i="3"/>
  <c r="BI299" i="3"/>
  <c r="BH299" i="3"/>
  <c r="BG299" i="3"/>
  <c r="BF299" i="3"/>
  <c r="BE299" i="3"/>
  <c r="BD299" i="3"/>
  <c r="BC299" i="3"/>
  <c r="BB299" i="3"/>
  <c r="BA299" i="3"/>
  <c r="AX299" i="3"/>
  <c r="AW299" i="3"/>
  <c r="AV299" i="3"/>
  <c r="AC299" i="3"/>
  <c r="H299" i="3"/>
  <c r="G299" i="3"/>
  <c r="BT298" i="3"/>
  <c r="BS298" i="3"/>
  <c r="BR298" i="3"/>
  <c r="BQ298" i="3"/>
  <c r="BP298" i="3"/>
  <c r="BO298" i="3"/>
  <c r="BN298" i="3"/>
  <c r="BM298" i="3"/>
  <c r="BL298" i="3"/>
  <c r="BK298" i="3"/>
  <c r="BJ298" i="3"/>
  <c r="BI298" i="3"/>
  <c r="BH298" i="3"/>
  <c r="BG298" i="3"/>
  <c r="BF298" i="3"/>
  <c r="BE298" i="3"/>
  <c r="BD298" i="3"/>
  <c r="BC298" i="3"/>
  <c r="BB298" i="3"/>
  <c r="BA298" i="3"/>
  <c r="AZ298" i="3"/>
  <c r="AX298" i="3"/>
  <c r="AW298" i="3"/>
  <c r="AV298" i="3"/>
  <c r="AC298" i="3"/>
  <c r="H298" i="3"/>
  <c r="G298" i="3"/>
  <c r="BT297" i="3"/>
  <c r="BS297" i="3"/>
  <c r="BR297" i="3"/>
  <c r="BQ297" i="3"/>
  <c r="BP297" i="3"/>
  <c r="BO297" i="3"/>
  <c r="BN297" i="3"/>
  <c r="BM297" i="3"/>
  <c r="BL297" i="3"/>
  <c r="BK297" i="3"/>
  <c r="BJ297" i="3"/>
  <c r="BI297" i="3"/>
  <c r="BH297" i="3"/>
  <c r="BG297" i="3"/>
  <c r="BF297" i="3"/>
  <c r="BE297" i="3"/>
  <c r="BD297" i="3"/>
  <c r="BC297" i="3"/>
  <c r="BB297" i="3"/>
  <c r="BA297" i="3"/>
  <c r="AX297" i="3"/>
  <c r="AW297" i="3"/>
  <c r="AV297" i="3"/>
  <c r="AC297" i="3"/>
  <c r="H297" i="3"/>
  <c r="G297" i="3"/>
  <c r="BT296" i="3"/>
  <c r="BS296" i="3"/>
  <c r="BR296" i="3"/>
  <c r="BQ296" i="3"/>
  <c r="BP296" i="3"/>
  <c r="BO296" i="3"/>
  <c r="BN296" i="3"/>
  <c r="BM296" i="3"/>
  <c r="BL296" i="3"/>
  <c r="BK296" i="3"/>
  <c r="BJ296" i="3"/>
  <c r="BI296" i="3"/>
  <c r="BH296" i="3"/>
  <c r="BG296" i="3"/>
  <c r="BF296" i="3"/>
  <c r="BE296" i="3"/>
  <c r="BD296" i="3"/>
  <c r="BC296" i="3"/>
  <c r="BB296" i="3"/>
  <c r="BA296" i="3"/>
  <c r="AX296" i="3"/>
  <c r="AW296" i="3"/>
  <c r="AV296" i="3"/>
  <c r="AC296" i="3"/>
  <c r="H296" i="3"/>
  <c r="G296" i="3"/>
  <c r="BT295" i="3"/>
  <c r="BS295" i="3"/>
  <c r="BR295" i="3"/>
  <c r="BQ295" i="3"/>
  <c r="BP295" i="3"/>
  <c r="BO295" i="3"/>
  <c r="BN295" i="3"/>
  <c r="BM295" i="3"/>
  <c r="BL295" i="3"/>
  <c r="BK295" i="3"/>
  <c r="BJ295" i="3"/>
  <c r="BI295" i="3"/>
  <c r="BH295" i="3"/>
  <c r="BG295" i="3"/>
  <c r="BF295" i="3"/>
  <c r="BE295" i="3"/>
  <c r="BD295" i="3"/>
  <c r="BC295" i="3"/>
  <c r="BB295" i="3"/>
  <c r="BA295" i="3"/>
  <c r="AX295" i="3"/>
  <c r="AW295" i="3"/>
  <c r="AV295" i="3"/>
  <c r="AC295" i="3"/>
  <c r="H295" i="3"/>
  <c r="G295" i="3"/>
  <c r="BT294" i="3"/>
  <c r="BS294" i="3"/>
  <c r="BR294" i="3"/>
  <c r="BQ294" i="3"/>
  <c r="BP294" i="3"/>
  <c r="BO294" i="3"/>
  <c r="BN294" i="3"/>
  <c r="BM294" i="3"/>
  <c r="BL294" i="3"/>
  <c r="BK294" i="3"/>
  <c r="BJ294" i="3"/>
  <c r="BI294" i="3"/>
  <c r="BH294" i="3"/>
  <c r="BG294" i="3"/>
  <c r="BF294" i="3"/>
  <c r="BE294" i="3"/>
  <c r="BD294" i="3"/>
  <c r="BC294" i="3"/>
  <c r="BB294" i="3"/>
  <c r="BA294" i="3"/>
  <c r="AZ294" i="3"/>
  <c r="AX294" i="3"/>
  <c r="AW294" i="3"/>
  <c r="AV294" i="3"/>
  <c r="AC294" i="3"/>
  <c r="H294" i="3"/>
  <c r="G294" i="3"/>
  <c r="BT293" i="3"/>
  <c r="BS293" i="3"/>
  <c r="BR293" i="3"/>
  <c r="BQ293" i="3"/>
  <c r="BP293" i="3"/>
  <c r="BO293" i="3"/>
  <c r="BN293" i="3"/>
  <c r="BM293" i="3"/>
  <c r="BL293" i="3"/>
  <c r="BK293" i="3"/>
  <c r="BJ293" i="3"/>
  <c r="BI293" i="3"/>
  <c r="BH293" i="3"/>
  <c r="BG293" i="3"/>
  <c r="BF293" i="3"/>
  <c r="BE293" i="3"/>
  <c r="BD293" i="3"/>
  <c r="BC293" i="3"/>
  <c r="BB293" i="3"/>
  <c r="BA293" i="3"/>
  <c r="AZ293" i="3"/>
  <c r="AX293" i="3"/>
  <c r="AW293" i="3"/>
  <c r="AV293" i="3"/>
  <c r="AC293" i="3"/>
  <c r="H293" i="3"/>
  <c r="G293" i="3"/>
  <c r="BT292" i="3"/>
  <c r="BS292" i="3"/>
  <c r="BR292" i="3"/>
  <c r="BQ292" i="3"/>
  <c r="BP292" i="3"/>
  <c r="BO292" i="3"/>
  <c r="BN292" i="3"/>
  <c r="BM292" i="3"/>
  <c r="BL292" i="3"/>
  <c r="BK292" i="3"/>
  <c r="BJ292" i="3"/>
  <c r="BI292" i="3"/>
  <c r="BH292" i="3"/>
  <c r="BG292" i="3"/>
  <c r="BF292" i="3"/>
  <c r="BE292" i="3"/>
  <c r="BD292" i="3"/>
  <c r="BC292" i="3"/>
  <c r="BB292" i="3"/>
  <c r="BA292" i="3"/>
  <c r="AZ292" i="3"/>
  <c r="AX292" i="3"/>
  <c r="AW292" i="3"/>
  <c r="AV292" i="3"/>
  <c r="AC292" i="3"/>
  <c r="H292" i="3"/>
  <c r="G292" i="3"/>
  <c r="BT291" i="3"/>
  <c r="BS291" i="3"/>
  <c r="BR291" i="3"/>
  <c r="BQ291" i="3"/>
  <c r="BP291" i="3"/>
  <c r="BO291" i="3"/>
  <c r="BN291" i="3"/>
  <c r="BM291" i="3"/>
  <c r="BL291" i="3"/>
  <c r="BK291" i="3"/>
  <c r="BJ291" i="3"/>
  <c r="BI291" i="3"/>
  <c r="BH291" i="3"/>
  <c r="BG291" i="3"/>
  <c r="BF291" i="3"/>
  <c r="BE291" i="3"/>
  <c r="BD291" i="3"/>
  <c r="BC291" i="3"/>
  <c r="BB291" i="3"/>
  <c r="BA291" i="3"/>
  <c r="AX291" i="3"/>
  <c r="AW291" i="3"/>
  <c r="AV291" i="3"/>
  <c r="AC291" i="3"/>
  <c r="H291" i="3"/>
  <c r="G291" i="3"/>
  <c r="BT290" i="3"/>
  <c r="BS290" i="3"/>
  <c r="BR290" i="3"/>
  <c r="BQ290" i="3"/>
  <c r="BP290" i="3"/>
  <c r="BO290" i="3"/>
  <c r="BN290" i="3"/>
  <c r="BM290" i="3"/>
  <c r="BL290" i="3"/>
  <c r="BK290" i="3"/>
  <c r="BJ290" i="3"/>
  <c r="BI290" i="3"/>
  <c r="BH290" i="3"/>
  <c r="BG290" i="3"/>
  <c r="BF290" i="3"/>
  <c r="BE290" i="3"/>
  <c r="BD290" i="3"/>
  <c r="BC290" i="3"/>
  <c r="BB290" i="3"/>
  <c r="BA290" i="3"/>
  <c r="AZ290" i="3"/>
  <c r="AX290" i="3"/>
  <c r="AW290" i="3"/>
  <c r="AV290" i="3"/>
  <c r="AC290" i="3"/>
  <c r="H290" i="3"/>
  <c r="G290" i="3"/>
  <c r="BT289" i="3"/>
  <c r="BS289" i="3"/>
  <c r="BR289" i="3"/>
  <c r="BQ289" i="3"/>
  <c r="BP289" i="3"/>
  <c r="BO289" i="3"/>
  <c r="BN289" i="3"/>
  <c r="BM289" i="3"/>
  <c r="BL289" i="3"/>
  <c r="BK289" i="3"/>
  <c r="BJ289" i="3"/>
  <c r="BI289" i="3"/>
  <c r="BH289" i="3"/>
  <c r="BG289" i="3"/>
  <c r="BF289" i="3"/>
  <c r="BE289" i="3"/>
  <c r="BD289" i="3"/>
  <c r="BC289" i="3"/>
  <c r="BB289" i="3"/>
  <c r="BA289" i="3"/>
  <c r="AZ289" i="3"/>
  <c r="AX289" i="3"/>
  <c r="AW289" i="3"/>
  <c r="AV289" i="3"/>
  <c r="AC289" i="3"/>
  <c r="H289" i="3"/>
  <c r="G289" i="3"/>
  <c r="BT288" i="3"/>
  <c r="BS288" i="3"/>
  <c r="BR288" i="3"/>
  <c r="BQ288" i="3"/>
  <c r="BP288" i="3"/>
  <c r="BO288" i="3"/>
  <c r="BN288" i="3"/>
  <c r="BM288" i="3"/>
  <c r="BL288" i="3"/>
  <c r="BK288" i="3"/>
  <c r="BJ288" i="3"/>
  <c r="BI288" i="3"/>
  <c r="BH288" i="3"/>
  <c r="BG288" i="3"/>
  <c r="BF288" i="3"/>
  <c r="BE288" i="3"/>
  <c r="BD288" i="3"/>
  <c r="BC288" i="3"/>
  <c r="BB288" i="3"/>
  <c r="BA288" i="3"/>
  <c r="AX288" i="3"/>
  <c r="AW288" i="3"/>
  <c r="AV288" i="3"/>
  <c r="AC288" i="3"/>
  <c r="H288" i="3"/>
  <c r="G288" i="3"/>
  <c r="BT287" i="3"/>
  <c r="BS287" i="3"/>
  <c r="BR287" i="3"/>
  <c r="BQ287" i="3"/>
  <c r="BP287" i="3"/>
  <c r="BO287" i="3"/>
  <c r="BN287" i="3"/>
  <c r="BM287" i="3"/>
  <c r="BL287" i="3"/>
  <c r="BK287" i="3"/>
  <c r="BJ287" i="3"/>
  <c r="BI287" i="3"/>
  <c r="BH287" i="3"/>
  <c r="BG287" i="3"/>
  <c r="BF287" i="3"/>
  <c r="BE287" i="3"/>
  <c r="BD287" i="3"/>
  <c r="BC287" i="3"/>
  <c r="BB287" i="3"/>
  <c r="BA287" i="3"/>
  <c r="AX287" i="3"/>
  <c r="AW287" i="3"/>
  <c r="AV287" i="3"/>
  <c r="AC287" i="3"/>
  <c r="H287" i="3"/>
  <c r="G287" i="3"/>
  <c r="BT286" i="3"/>
  <c r="BS286" i="3"/>
  <c r="BR286" i="3"/>
  <c r="BQ286" i="3"/>
  <c r="BP286" i="3"/>
  <c r="BO286" i="3"/>
  <c r="BN286" i="3"/>
  <c r="BM286" i="3"/>
  <c r="BL286" i="3"/>
  <c r="BK286" i="3"/>
  <c r="BJ286" i="3"/>
  <c r="BI286" i="3"/>
  <c r="BH286" i="3"/>
  <c r="BG286" i="3"/>
  <c r="BF286" i="3"/>
  <c r="BE286" i="3"/>
  <c r="BD286" i="3"/>
  <c r="BC286" i="3"/>
  <c r="BB286" i="3"/>
  <c r="BA286" i="3"/>
  <c r="AX286" i="3"/>
  <c r="AW286" i="3"/>
  <c r="AV286" i="3"/>
  <c r="AC286" i="3"/>
  <c r="H286" i="3"/>
  <c r="G286" i="3"/>
  <c r="BT285" i="3"/>
  <c r="BS285" i="3"/>
  <c r="BR285" i="3"/>
  <c r="BQ285" i="3"/>
  <c r="BP285" i="3"/>
  <c r="BO285" i="3"/>
  <c r="BN285" i="3"/>
  <c r="BM285" i="3"/>
  <c r="BL285" i="3"/>
  <c r="BK285" i="3"/>
  <c r="BJ285" i="3"/>
  <c r="BI285" i="3"/>
  <c r="BH285" i="3"/>
  <c r="BG285" i="3"/>
  <c r="BF285" i="3"/>
  <c r="BE285" i="3"/>
  <c r="BD285" i="3"/>
  <c r="BC285" i="3"/>
  <c r="BB285" i="3"/>
  <c r="BA285" i="3"/>
  <c r="AZ285" i="3"/>
  <c r="AX285" i="3"/>
  <c r="AW285" i="3"/>
  <c r="AV285" i="3"/>
  <c r="AC285" i="3"/>
  <c r="H285" i="3"/>
  <c r="G285" i="3"/>
  <c r="BT284" i="3"/>
  <c r="BS284" i="3"/>
  <c r="BR284" i="3"/>
  <c r="BQ284" i="3"/>
  <c r="BP284" i="3"/>
  <c r="BO284" i="3"/>
  <c r="BN284" i="3"/>
  <c r="BM284" i="3"/>
  <c r="BL284" i="3"/>
  <c r="BK284" i="3"/>
  <c r="BJ284" i="3"/>
  <c r="BI284" i="3"/>
  <c r="BH284" i="3"/>
  <c r="BG284" i="3"/>
  <c r="BF284" i="3"/>
  <c r="BE284" i="3"/>
  <c r="BD284" i="3"/>
  <c r="BC284" i="3"/>
  <c r="BB284" i="3"/>
  <c r="BA284" i="3"/>
  <c r="AZ284" i="3"/>
  <c r="AX284" i="3"/>
  <c r="AW284" i="3"/>
  <c r="AV284" i="3"/>
  <c r="AC284" i="3"/>
  <c r="H284" i="3"/>
  <c r="G284" i="3"/>
  <c r="BT283" i="3"/>
  <c r="BS283" i="3"/>
  <c r="BR283" i="3"/>
  <c r="BQ283" i="3"/>
  <c r="BP283" i="3"/>
  <c r="BO283" i="3"/>
  <c r="BN283" i="3"/>
  <c r="BM283" i="3"/>
  <c r="BL283" i="3"/>
  <c r="BK283" i="3"/>
  <c r="BJ283" i="3"/>
  <c r="BI283" i="3"/>
  <c r="BH283" i="3"/>
  <c r="BG283" i="3"/>
  <c r="BF283" i="3"/>
  <c r="BE283" i="3"/>
  <c r="BD283" i="3"/>
  <c r="BC283" i="3"/>
  <c r="BB283" i="3"/>
  <c r="BA283" i="3"/>
  <c r="AX283" i="3"/>
  <c r="AW283" i="3"/>
  <c r="AV283" i="3"/>
  <c r="AC283" i="3"/>
  <c r="H283" i="3"/>
  <c r="G283" i="3"/>
  <c r="BT282" i="3"/>
  <c r="BS282" i="3"/>
  <c r="BR282" i="3"/>
  <c r="BQ282" i="3"/>
  <c r="BP282" i="3"/>
  <c r="BO282" i="3"/>
  <c r="BN282" i="3"/>
  <c r="BM282" i="3"/>
  <c r="BL282" i="3"/>
  <c r="BK282" i="3"/>
  <c r="BJ282" i="3"/>
  <c r="BI282" i="3"/>
  <c r="BH282" i="3"/>
  <c r="BG282" i="3"/>
  <c r="BF282" i="3"/>
  <c r="BE282" i="3"/>
  <c r="BD282" i="3"/>
  <c r="BC282" i="3"/>
  <c r="BB282" i="3"/>
  <c r="BA282" i="3"/>
  <c r="AZ282" i="3"/>
  <c r="AX282" i="3"/>
  <c r="AW282" i="3"/>
  <c r="AV282" i="3"/>
  <c r="AC282" i="3"/>
  <c r="H282" i="3"/>
  <c r="G282" i="3"/>
  <c r="BT281" i="3"/>
  <c r="BS281" i="3"/>
  <c r="BR281" i="3"/>
  <c r="BQ281" i="3"/>
  <c r="BP281" i="3"/>
  <c r="BO281" i="3"/>
  <c r="BN281" i="3"/>
  <c r="BM281" i="3"/>
  <c r="BL281" i="3"/>
  <c r="BK281" i="3"/>
  <c r="BJ281" i="3"/>
  <c r="BI281" i="3"/>
  <c r="BH281" i="3"/>
  <c r="BG281" i="3"/>
  <c r="BF281" i="3"/>
  <c r="BE281" i="3"/>
  <c r="BD281" i="3"/>
  <c r="BC281" i="3"/>
  <c r="BB281" i="3"/>
  <c r="BA281" i="3"/>
  <c r="AX281" i="3"/>
  <c r="AW281" i="3"/>
  <c r="AV281" i="3"/>
  <c r="AC281" i="3"/>
  <c r="H281" i="3"/>
  <c r="G281" i="3"/>
  <c r="BT280" i="3"/>
  <c r="BS280" i="3"/>
  <c r="BR280" i="3"/>
  <c r="BQ280" i="3"/>
  <c r="BP280" i="3"/>
  <c r="BO280" i="3"/>
  <c r="BN280" i="3"/>
  <c r="BM280" i="3"/>
  <c r="BL280" i="3"/>
  <c r="BK280" i="3"/>
  <c r="BJ280" i="3"/>
  <c r="BI280" i="3"/>
  <c r="BH280" i="3"/>
  <c r="BG280" i="3"/>
  <c r="BF280" i="3"/>
  <c r="BE280" i="3"/>
  <c r="BD280" i="3"/>
  <c r="BC280" i="3"/>
  <c r="BB280" i="3"/>
  <c r="BA280" i="3"/>
  <c r="AX280" i="3"/>
  <c r="AW280" i="3"/>
  <c r="AV280" i="3"/>
  <c r="AC280" i="3"/>
  <c r="H280" i="3"/>
  <c r="G280" i="3"/>
  <c r="BT279" i="3"/>
  <c r="BS279" i="3"/>
  <c r="BR279" i="3"/>
  <c r="BQ279" i="3"/>
  <c r="BP279" i="3"/>
  <c r="BO279" i="3"/>
  <c r="BN279" i="3"/>
  <c r="BM279" i="3"/>
  <c r="BL279" i="3"/>
  <c r="BK279" i="3"/>
  <c r="BJ279" i="3"/>
  <c r="BI279" i="3"/>
  <c r="BH279" i="3"/>
  <c r="BG279" i="3"/>
  <c r="BF279" i="3"/>
  <c r="BE279" i="3"/>
  <c r="BD279" i="3"/>
  <c r="BC279" i="3"/>
  <c r="BB279" i="3"/>
  <c r="BA279" i="3"/>
  <c r="AX279" i="3"/>
  <c r="AW279" i="3"/>
  <c r="AV279" i="3"/>
  <c r="AC279" i="3"/>
  <c r="H279" i="3"/>
  <c r="G279" i="3"/>
  <c r="BT278" i="3"/>
  <c r="BS278" i="3"/>
  <c r="BR278" i="3"/>
  <c r="BQ278" i="3"/>
  <c r="BP278" i="3"/>
  <c r="BO278" i="3"/>
  <c r="BN278" i="3"/>
  <c r="BM278" i="3"/>
  <c r="BL278" i="3"/>
  <c r="BK278" i="3"/>
  <c r="BJ278" i="3"/>
  <c r="BI278" i="3"/>
  <c r="BH278" i="3"/>
  <c r="BG278" i="3"/>
  <c r="BF278" i="3"/>
  <c r="BE278" i="3"/>
  <c r="BD278" i="3"/>
  <c r="BC278" i="3"/>
  <c r="BB278" i="3"/>
  <c r="BA278" i="3"/>
  <c r="AZ278" i="3"/>
  <c r="AX278" i="3"/>
  <c r="AW278" i="3"/>
  <c r="AV278" i="3"/>
  <c r="AC278" i="3"/>
  <c r="H278" i="3"/>
  <c r="G278" i="3"/>
  <c r="BT277" i="3"/>
  <c r="BS277" i="3"/>
  <c r="BR277" i="3"/>
  <c r="BQ277" i="3"/>
  <c r="BP277" i="3"/>
  <c r="BO277" i="3"/>
  <c r="BN277" i="3"/>
  <c r="BM277" i="3"/>
  <c r="BL277" i="3"/>
  <c r="BK277" i="3"/>
  <c r="BJ277" i="3"/>
  <c r="BI277" i="3"/>
  <c r="BH277" i="3"/>
  <c r="BG277" i="3"/>
  <c r="BF277" i="3"/>
  <c r="BE277" i="3"/>
  <c r="BD277" i="3"/>
  <c r="BC277" i="3"/>
  <c r="BB277" i="3"/>
  <c r="BA277" i="3"/>
  <c r="AZ277" i="3"/>
  <c r="AX277" i="3"/>
  <c r="AW277" i="3"/>
  <c r="AV277" i="3"/>
  <c r="AC277" i="3"/>
  <c r="H277" i="3"/>
  <c r="G277" i="3"/>
  <c r="BT276" i="3"/>
  <c r="BS276" i="3"/>
  <c r="BR276" i="3"/>
  <c r="BQ276" i="3"/>
  <c r="BP276" i="3"/>
  <c r="BO276" i="3"/>
  <c r="BN276" i="3"/>
  <c r="BM276" i="3"/>
  <c r="BL276" i="3"/>
  <c r="BK276" i="3"/>
  <c r="BJ276" i="3"/>
  <c r="BI276" i="3"/>
  <c r="BH276" i="3"/>
  <c r="BG276" i="3"/>
  <c r="BF276" i="3"/>
  <c r="BE276" i="3"/>
  <c r="BD276" i="3"/>
  <c r="BC276" i="3"/>
  <c r="BB276" i="3"/>
  <c r="BA276" i="3"/>
  <c r="AZ276" i="3"/>
  <c r="AX276" i="3"/>
  <c r="AW276" i="3"/>
  <c r="AV276" i="3"/>
  <c r="AC276" i="3"/>
  <c r="H276" i="3"/>
  <c r="G276" i="3"/>
  <c r="BT275" i="3"/>
  <c r="BS275" i="3"/>
  <c r="BR275" i="3"/>
  <c r="BQ275" i="3"/>
  <c r="BP275" i="3"/>
  <c r="BO275" i="3"/>
  <c r="BN275" i="3"/>
  <c r="BM275" i="3"/>
  <c r="BL275" i="3"/>
  <c r="BK275" i="3"/>
  <c r="BJ275" i="3"/>
  <c r="BI275" i="3"/>
  <c r="BH275" i="3"/>
  <c r="BG275" i="3"/>
  <c r="BF275" i="3"/>
  <c r="BE275" i="3"/>
  <c r="BD275" i="3"/>
  <c r="BC275" i="3"/>
  <c r="BB275" i="3"/>
  <c r="BA275" i="3"/>
  <c r="AX275" i="3"/>
  <c r="AW275" i="3"/>
  <c r="AV275" i="3"/>
  <c r="AC275" i="3"/>
  <c r="H275" i="3"/>
  <c r="G275" i="3"/>
  <c r="BT274" i="3"/>
  <c r="BS274" i="3"/>
  <c r="BR274" i="3"/>
  <c r="BQ274" i="3"/>
  <c r="BP274" i="3"/>
  <c r="BO274" i="3"/>
  <c r="BN274" i="3"/>
  <c r="BM274" i="3"/>
  <c r="BL274" i="3"/>
  <c r="BK274" i="3"/>
  <c r="BJ274" i="3"/>
  <c r="BI274" i="3"/>
  <c r="BH274" i="3"/>
  <c r="BG274" i="3"/>
  <c r="BF274" i="3"/>
  <c r="BE274" i="3"/>
  <c r="BD274" i="3"/>
  <c r="BC274" i="3"/>
  <c r="BB274" i="3"/>
  <c r="BA274" i="3"/>
  <c r="AZ274" i="3"/>
  <c r="AX274" i="3"/>
  <c r="AW274" i="3"/>
  <c r="AV274" i="3"/>
  <c r="AC274" i="3"/>
  <c r="H274" i="3"/>
  <c r="G274" i="3"/>
  <c r="BT273" i="3"/>
  <c r="BS273" i="3"/>
  <c r="BR273" i="3"/>
  <c r="BQ273" i="3"/>
  <c r="BP273" i="3"/>
  <c r="BO273" i="3"/>
  <c r="BN273" i="3"/>
  <c r="BM273" i="3"/>
  <c r="BL273" i="3"/>
  <c r="BK273" i="3"/>
  <c r="BJ273" i="3"/>
  <c r="BI273" i="3"/>
  <c r="BH273" i="3"/>
  <c r="BG273" i="3"/>
  <c r="BF273" i="3"/>
  <c r="BE273" i="3"/>
  <c r="BD273" i="3"/>
  <c r="BC273" i="3"/>
  <c r="BB273" i="3"/>
  <c r="BA273" i="3"/>
  <c r="AX273" i="3"/>
  <c r="AW273" i="3"/>
  <c r="AV273" i="3"/>
  <c r="AC273" i="3"/>
  <c r="H273" i="3"/>
  <c r="G273" i="3"/>
  <c r="BT272" i="3"/>
  <c r="BS272" i="3"/>
  <c r="BR272" i="3"/>
  <c r="BQ272" i="3"/>
  <c r="BP272" i="3"/>
  <c r="BO272" i="3"/>
  <c r="BN272" i="3"/>
  <c r="BM272" i="3"/>
  <c r="BL272" i="3"/>
  <c r="BK272" i="3"/>
  <c r="BJ272" i="3"/>
  <c r="BI272" i="3"/>
  <c r="BH272" i="3"/>
  <c r="BG272" i="3"/>
  <c r="BF272" i="3"/>
  <c r="BE272" i="3"/>
  <c r="BD272" i="3"/>
  <c r="BC272" i="3"/>
  <c r="BB272" i="3"/>
  <c r="BA272" i="3"/>
  <c r="AZ272" i="3"/>
  <c r="AX272" i="3"/>
  <c r="AW272" i="3"/>
  <c r="AV272" i="3"/>
  <c r="AC272" i="3"/>
  <c r="H272" i="3"/>
  <c r="G272" i="3"/>
  <c r="BT271" i="3"/>
  <c r="BS271" i="3"/>
  <c r="BR271" i="3"/>
  <c r="BQ271" i="3"/>
  <c r="BP271" i="3"/>
  <c r="BO271" i="3"/>
  <c r="BN271" i="3"/>
  <c r="BM271" i="3"/>
  <c r="BL271" i="3"/>
  <c r="BK271" i="3"/>
  <c r="BJ271" i="3"/>
  <c r="BI271" i="3"/>
  <c r="BH271" i="3"/>
  <c r="BG271" i="3"/>
  <c r="BF271" i="3"/>
  <c r="BE271" i="3"/>
  <c r="BD271" i="3"/>
  <c r="BC271" i="3"/>
  <c r="BB271" i="3"/>
  <c r="BA271" i="3"/>
  <c r="AX271" i="3"/>
  <c r="AW271" i="3"/>
  <c r="AV271" i="3"/>
  <c r="AC271" i="3"/>
  <c r="H271" i="3"/>
  <c r="G271" i="3"/>
  <c r="BT270" i="3"/>
  <c r="BS270" i="3"/>
  <c r="BR270" i="3"/>
  <c r="BQ270" i="3"/>
  <c r="BP270" i="3"/>
  <c r="BO270" i="3"/>
  <c r="BN270" i="3"/>
  <c r="BM270" i="3"/>
  <c r="BL270" i="3"/>
  <c r="BK270" i="3"/>
  <c r="BJ270" i="3"/>
  <c r="BI270" i="3"/>
  <c r="BH270" i="3"/>
  <c r="BG270" i="3"/>
  <c r="BF270" i="3"/>
  <c r="BE270" i="3"/>
  <c r="BD270" i="3"/>
  <c r="BC270" i="3"/>
  <c r="BB270" i="3"/>
  <c r="BA270" i="3"/>
  <c r="AZ270" i="3"/>
  <c r="AX270" i="3"/>
  <c r="AW270" i="3"/>
  <c r="AV270" i="3"/>
  <c r="AC270" i="3"/>
  <c r="H270" i="3"/>
  <c r="G270" i="3"/>
  <c r="BT269" i="3"/>
  <c r="BS269" i="3"/>
  <c r="BR269" i="3"/>
  <c r="BQ269" i="3"/>
  <c r="BP269" i="3"/>
  <c r="BO269" i="3"/>
  <c r="BN269" i="3"/>
  <c r="BM269" i="3"/>
  <c r="BL269" i="3"/>
  <c r="BK269" i="3"/>
  <c r="BJ269" i="3"/>
  <c r="BI269" i="3"/>
  <c r="BH269" i="3"/>
  <c r="BG269" i="3"/>
  <c r="BF269" i="3"/>
  <c r="BE269" i="3"/>
  <c r="BD269" i="3"/>
  <c r="BC269" i="3"/>
  <c r="BB269" i="3"/>
  <c r="BA269" i="3"/>
  <c r="AX269" i="3"/>
  <c r="AW269" i="3"/>
  <c r="AV269" i="3"/>
  <c r="AC269" i="3"/>
  <c r="H269" i="3"/>
  <c r="G269" i="3"/>
  <c r="BT268" i="3"/>
  <c r="BS268" i="3"/>
  <c r="BR268" i="3"/>
  <c r="BQ268" i="3"/>
  <c r="BP268" i="3"/>
  <c r="BO268" i="3"/>
  <c r="BN268" i="3"/>
  <c r="BM268" i="3"/>
  <c r="BL268" i="3"/>
  <c r="BK268" i="3"/>
  <c r="BJ268" i="3"/>
  <c r="BI268" i="3"/>
  <c r="BH268" i="3"/>
  <c r="BG268" i="3"/>
  <c r="BF268" i="3"/>
  <c r="BE268" i="3"/>
  <c r="BD268" i="3"/>
  <c r="BC268" i="3"/>
  <c r="BB268" i="3"/>
  <c r="BA268" i="3"/>
  <c r="AX268" i="3"/>
  <c r="AW268" i="3"/>
  <c r="AV268" i="3"/>
  <c r="AC268" i="3"/>
  <c r="H268" i="3"/>
  <c r="G268" i="3"/>
  <c r="BT267" i="3"/>
  <c r="BS267" i="3"/>
  <c r="BR267" i="3"/>
  <c r="BQ267" i="3"/>
  <c r="BP267" i="3"/>
  <c r="BO267" i="3"/>
  <c r="BN267" i="3"/>
  <c r="BM267" i="3"/>
  <c r="BL267" i="3"/>
  <c r="BK267" i="3"/>
  <c r="BJ267" i="3"/>
  <c r="BI267" i="3"/>
  <c r="BH267" i="3"/>
  <c r="BG267" i="3"/>
  <c r="BF267" i="3"/>
  <c r="BE267" i="3"/>
  <c r="BD267" i="3"/>
  <c r="BC267" i="3"/>
  <c r="BB267" i="3"/>
  <c r="BA267" i="3"/>
  <c r="AZ267" i="3"/>
  <c r="AX267" i="3"/>
  <c r="AW267" i="3"/>
  <c r="AV267" i="3"/>
  <c r="AC267" i="3"/>
  <c r="H267" i="3"/>
  <c r="G267" i="3"/>
  <c r="BT266" i="3"/>
  <c r="BS266" i="3"/>
  <c r="BR266" i="3"/>
  <c r="BQ266" i="3"/>
  <c r="BP266" i="3"/>
  <c r="BO266" i="3"/>
  <c r="BN266" i="3"/>
  <c r="BM266" i="3"/>
  <c r="BL266" i="3"/>
  <c r="BK266" i="3"/>
  <c r="BJ266" i="3"/>
  <c r="BI266" i="3"/>
  <c r="BH266" i="3"/>
  <c r="BG266" i="3"/>
  <c r="BF266" i="3"/>
  <c r="BE266" i="3"/>
  <c r="BD266" i="3"/>
  <c r="BC266" i="3"/>
  <c r="BB266" i="3"/>
  <c r="BA266" i="3"/>
  <c r="AX266" i="3"/>
  <c r="AW266" i="3"/>
  <c r="AV266" i="3"/>
  <c r="AC266" i="3"/>
  <c r="H266" i="3"/>
  <c r="G266" i="3"/>
  <c r="BT265" i="3"/>
  <c r="BS265" i="3"/>
  <c r="BR265" i="3"/>
  <c r="BQ265" i="3"/>
  <c r="BP265" i="3"/>
  <c r="BO265" i="3"/>
  <c r="BN265" i="3"/>
  <c r="BM265" i="3"/>
  <c r="BL265" i="3"/>
  <c r="BK265" i="3"/>
  <c r="BJ265" i="3"/>
  <c r="BI265" i="3"/>
  <c r="BH265" i="3"/>
  <c r="BG265" i="3"/>
  <c r="BF265" i="3"/>
  <c r="BE265" i="3"/>
  <c r="BD265" i="3"/>
  <c r="BC265" i="3"/>
  <c r="BB265" i="3"/>
  <c r="BA265" i="3"/>
  <c r="AX265" i="3"/>
  <c r="AW265" i="3"/>
  <c r="AV265" i="3"/>
  <c r="AC265" i="3"/>
  <c r="H265" i="3"/>
  <c r="G265" i="3"/>
  <c r="BT264" i="3"/>
  <c r="BS264" i="3"/>
  <c r="BR264" i="3"/>
  <c r="BQ264" i="3"/>
  <c r="BP264" i="3"/>
  <c r="BO264" i="3"/>
  <c r="BN264" i="3"/>
  <c r="BM264" i="3"/>
  <c r="BL264" i="3"/>
  <c r="BK264" i="3"/>
  <c r="BJ264" i="3"/>
  <c r="BI264" i="3"/>
  <c r="BH264" i="3"/>
  <c r="BG264" i="3"/>
  <c r="BF264" i="3"/>
  <c r="BE264" i="3"/>
  <c r="BD264" i="3"/>
  <c r="BC264" i="3"/>
  <c r="BB264" i="3"/>
  <c r="BA264" i="3"/>
  <c r="AZ264" i="3"/>
  <c r="AX264" i="3"/>
  <c r="AW264" i="3"/>
  <c r="AV264" i="3"/>
  <c r="AC264" i="3"/>
  <c r="H264" i="3"/>
  <c r="G264" i="3"/>
  <c r="BT263" i="3"/>
  <c r="BS263" i="3"/>
  <c r="BR263" i="3"/>
  <c r="BQ263" i="3"/>
  <c r="BP263" i="3"/>
  <c r="BO263" i="3"/>
  <c r="BN263" i="3"/>
  <c r="BM263" i="3"/>
  <c r="BL263" i="3"/>
  <c r="BK263" i="3"/>
  <c r="BJ263" i="3"/>
  <c r="BI263" i="3"/>
  <c r="BH263" i="3"/>
  <c r="BG263" i="3"/>
  <c r="BF263" i="3"/>
  <c r="BE263" i="3"/>
  <c r="BD263" i="3"/>
  <c r="BC263" i="3"/>
  <c r="BB263" i="3"/>
  <c r="BA263" i="3"/>
  <c r="AX263" i="3"/>
  <c r="AW263" i="3"/>
  <c r="AV263" i="3"/>
  <c r="AC263" i="3"/>
  <c r="H263" i="3"/>
  <c r="G263" i="3"/>
  <c r="BT262" i="3"/>
  <c r="BS262" i="3"/>
  <c r="BR262" i="3"/>
  <c r="BQ262" i="3"/>
  <c r="BP262" i="3"/>
  <c r="BO262" i="3"/>
  <c r="BN262" i="3"/>
  <c r="BM262" i="3"/>
  <c r="BL262" i="3"/>
  <c r="BK262" i="3"/>
  <c r="BJ262" i="3"/>
  <c r="BI262" i="3"/>
  <c r="BH262" i="3"/>
  <c r="BG262" i="3"/>
  <c r="BF262" i="3"/>
  <c r="BE262" i="3"/>
  <c r="BD262" i="3"/>
  <c r="BC262" i="3"/>
  <c r="BB262" i="3"/>
  <c r="BA262" i="3"/>
  <c r="AZ262" i="3"/>
  <c r="AX262" i="3"/>
  <c r="AW262" i="3"/>
  <c r="AV262" i="3"/>
  <c r="AC262" i="3"/>
  <c r="H262" i="3"/>
  <c r="G262" i="3"/>
  <c r="BT261" i="3"/>
  <c r="BS261" i="3"/>
  <c r="BR261" i="3"/>
  <c r="BQ261" i="3"/>
  <c r="BP261" i="3"/>
  <c r="BO261" i="3"/>
  <c r="BN261" i="3"/>
  <c r="BM261" i="3"/>
  <c r="BL261" i="3"/>
  <c r="BK261" i="3"/>
  <c r="BJ261" i="3"/>
  <c r="BI261" i="3"/>
  <c r="BH261" i="3"/>
  <c r="BG261" i="3"/>
  <c r="BF261" i="3"/>
  <c r="BE261" i="3"/>
  <c r="BD261" i="3"/>
  <c r="BC261" i="3"/>
  <c r="BB261" i="3"/>
  <c r="BA261" i="3"/>
  <c r="AX261" i="3"/>
  <c r="AW261" i="3"/>
  <c r="AV261" i="3"/>
  <c r="AC261" i="3"/>
  <c r="H261" i="3"/>
  <c r="G261" i="3"/>
  <c r="BT260" i="3"/>
  <c r="BS260" i="3"/>
  <c r="BR260" i="3"/>
  <c r="BQ260" i="3"/>
  <c r="BP260" i="3"/>
  <c r="BO260" i="3"/>
  <c r="BN260" i="3"/>
  <c r="BM260" i="3"/>
  <c r="BL260" i="3"/>
  <c r="BK260" i="3"/>
  <c r="BJ260" i="3"/>
  <c r="BI260" i="3"/>
  <c r="BH260" i="3"/>
  <c r="BG260" i="3"/>
  <c r="BF260" i="3"/>
  <c r="BE260" i="3"/>
  <c r="BD260" i="3"/>
  <c r="BC260" i="3"/>
  <c r="BB260" i="3"/>
  <c r="BA260" i="3"/>
  <c r="AZ260" i="3"/>
  <c r="AX260" i="3"/>
  <c r="AW260" i="3"/>
  <c r="AV260" i="3"/>
  <c r="AC260" i="3"/>
  <c r="H260" i="3"/>
  <c r="G260" i="3"/>
  <c r="BT259" i="3"/>
  <c r="BS259" i="3"/>
  <c r="BR259" i="3"/>
  <c r="BQ259" i="3"/>
  <c r="BP259" i="3"/>
  <c r="BO259" i="3"/>
  <c r="BN259" i="3"/>
  <c r="BM259" i="3"/>
  <c r="BL259" i="3"/>
  <c r="BK259" i="3"/>
  <c r="BJ259" i="3"/>
  <c r="BI259" i="3"/>
  <c r="BH259" i="3"/>
  <c r="BG259" i="3"/>
  <c r="BF259" i="3"/>
  <c r="BE259" i="3"/>
  <c r="BD259" i="3"/>
  <c r="BC259" i="3"/>
  <c r="BB259" i="3"/>
  <c r="BA259" i="3"/>
  <c r="AX259" i="3"/>
  <c r="AW259" i="3"/>
  <c r="AV259" i="3"/>
  <c r="AC259" i="3"/>
  <c r="H259" i="3"/>
  <c r="G259" i="3"/>
  <c r="BT258" i="3"/>
  <c r="BS258" i="3"/>
  <c r="BR258" i="3"/>
  <c r="BQ258" i="3"/>
  <c r="BP258" i="3"/>
  <c r="BO258" i="3"/>
  <c r="BN258" i="3"/>
  <c r="BM258" i="3"/>
  <c r="BL258" i="3"/>
  <c r="BK258" i="3"/>
  <c r="BJ258" i="3"/>
  <c r="BI258" i="3"/>
  <c r="BH258" i="3"/>
  <c r="BG258" i="3"/>
  <c r="BF258" i="3"/>
  <c r="BE258" i="3"/>
  <c r="BD258" i="3"/>
  <c r="BC258" i="3"/>
  <c r="BB258" i="3"/>
  <c r="BA258" i="3"/>
  <c r="AZ258" i="3"/>
  <c r="AX258" i="3"/>
  <c r="AW258" i="3"/>
  <c r="AV258" i="3"/>
  <c r="AC258" i="3"/>
  <c r="H258" i="3"/>
  <c r="G258" i="3"/>
  <c r="BT257" i="3"/>
  <c r="BS257" i="3"/>
  <c r="BR257" i="3"/>
  <c r="BQ257" i="3"/>
  <c r="BP257" i="3"/>
  <c r="BO257" i="3"/>
  <c r="BN257" i="3"/>
  <c r="BM257" i="3"/>
  <c r="BL257" i="3"/>
  <c r="BK257" i="3"/>
  <c r="BJ257" i="3"/>
  <c r="BI257" i="3"/>
  <c r="BH257" i="3"/>
  <c r="BG257" i="3"/>
  <c r="BF257" i="3"/>
  <c r="BE257" i="3"/>
  <c r="BD257" i="3"/>
  <c r="BC257" i="3"/>
  <c r="BB257" i="3"/>
  <c r="BA257" i="3"/>
  <c r="AX257" i="3"/>
  <c r="AW257" i="3"/>
  <c r="AV257" i="3"/>
  <c r="AC257" i="3"/>
  <c r="H257" i="3"/>
  <c r="G257" i="3"/>
  <c r="BT256" i="3"/>
  <c r="BS256" i="3"/>
  <c r="BR256" i="3"/>
  <c r="BQ256" i="3"/>
  <c r="BP256" i="3"/>
  <c r="BO256" i="3"/>
  <c r="BN256" i="3"/>
  <c r="BM256" i="3"/>
  <c r="BL256" i="3"/>
  <c r="BK256" i="3"/>
  <c r="BJ256" i="3"/>
  <c r="BI256" i="3"/>
  <c r="BH256" i="3"/>
  <c r="BG256" i="3"/>
  <c r="BF256" i="3"/>
  <c r="BE256" i="3"/>
  <c r="BD256" i="3"/>
  <c r="BC256" i="3"/>
  <c r="BB256" i="3"/>
  <c r="BA256" i="3"/>
  <c r="AX256" i="3"/>
  <c r="AW256" i="3"/>
  <c r="AV256" i="3"/>
  <c r="AC256" i="3"/>
  <c r="H256" i="3"/>
  <c r="G256" i="3"/>
  <c r="BT255" i="3"/>
  <c r="BS255" i="3"/>
  <c r="BR255" i="3"/>
  <c r="BQ255" i="3"/>
  <c r="BP255" i="3"/>
  <c r="BO255" i="3"/>
  <c r="BN255" i="3"/>
  <c r="BM255" i="3"/>
  <c r="BL255" i="3"/>
  <c r="BK255" i="3"/>
  <c r="BJ255" i="3"/>
  <c r="BI255" i="3"/>
  <c r="BH255" i="3"/>
  <c r="BG255" i="3"/>
  <c r="BF255" i="3"/>
  <c r="BE255" i="3"/>
  <c r="BD255" i="3"/>
  <c r="BC255" i="3"/>
  <c r="BB255" i="3"/>
  <c r="BA255" i="3"/>
  <c r="AZ255" i="3"/>
  <c r="AX255" i="3"/>
  <c r="AW255" i="3"/>
  <c r="AV255" i="3"/>
  <c r="AC255" i="3"/>
  <c r="H255" i="3"/>
  <c r="G255" i="3"/>
  <c r="BT254" i="3"/>
  <c r="BS254" i="3"/>
  <c r="BR254" i="3"/>
  <c r="BQ254" i="3"/>
  <c r="BP254" i="3"/>
  <c r="BO254" i="3"/>
  <c r="BN254" i="3"/>
  <c r="BM254" i="3"/>
  <c r="BL254" i="3"/>
  <c r="BK254" i="3"/>
  <c r="BJ254" i="3"/>
  <c r="BI254" i="3"/>
  <c r="BH254" i="3"/>
  <c r="BG254" i="3"/>
  <c r="BF254" i="3"/>
  <c r="BE254" i="3"/>
  <c r="BD254" i="3"/>
  <c r="BC254" i="3"/>
  <c r="BB254" i="3"/>
  <c r="BA254" i="3"/>
  <c r="AX254" i="3"/>
  <c r="AW254" i="3"/>
  <c r="AV254" i="3"/>
  <c r="AC254" i="3"/>
  <c r="H254" i="3"/>
  <c r="G254" i="3"/>
  <c r="BT253" i="3"/>
  <c r="BS253" i="3"/>
  <c r="BR253" i="3"/>
  <c r="BQ253" i="3"/>
  <c r="BP253" i="3"/>
  <c r="BO253" i="3"/>
  <c r="BN253" i="3"/>
  <c r="BM253" i="3"/>
  <c r="BL253" i="3"/>
  <c r="BK253" i="3"/>
  <c r="BJ253" i="3"/>
  <c r="BI253" i="3"/>
  <c r="BH253" i="3"/>
  <c r="BG253" i="3"/>
  <c r="BF253" i="3"/>
  <c r="BE253" i="3"/>
  <c r="BD253" i="3"/>
  <c r="BC253" i="3"/>
  <c r="BB253" i="3"/>
  <c r="BA253" i="3"/>
  <c r="AX253" i="3"/>
  <c r="AW253" i="3"/>
  <c r="AV253" i="3"/>
  <c r="AC253" i="3"/>
  <c r="H253" i="3"/>
  <c r="G253" i="3"/>
  <c r="BT252" i="3"/>
  <c r="BS252" i="3"/>
  <c r="BR252" i="3"/>
  <c r="BQ252" i="3"/>
  <c r="BP252" i="3"/>
  <c r="BO252" i="3"/>
  <c r="BN252" i="3"/>
  <c r="BM252" i="3"/>
  <c r="BL252" i="3"/>
  <c r="BK252" i="3"/>
  <c r="BJ252" i="3"/>
  <c r="BI252" i="3"/>
  <c r="BH252" i="3"/>
  <c r="BG252" i="3"/>
  <c r="BF252" i="3"/>
  <c r="BE252" i="3"/>
  <c r="BD252" i="3"/>
  <c r="BC252" i="3"/>
  <c r="BB252" i="3"/>
  <c r="BA252" i="3"/>
  <c r="AZ252" i="3"/>
  <c r="AX252" i="3"/>
  <c r="AW252" i="3"/>
  <c r="AV252" i="3"/>
  <c r="AC252" i="3"/>
  <c r="H252" i="3"/>
  <c r="G252" i="3"/>
  <c r="BT251" i="3"/>
  <c r="BS251" i="3"/>
  <c r="BR251" i="3"/>
  <c r="BQ251" i="3"/>
  <c r="BP251" i="3"/>
  <c r="BO251" i="3"/>
  <c r="BN251" i="3"/>
  <c r="BM251" i="3"/>
  <c r="BL251" i="3"/>
  <c r="BK251" i="3"/>
  <c r="BJ251" i="3"/>
  <c r="BI251" i="3"/>
  <c r="BH251" i="3"/>
  <c r="BG251" i="3"/>
  <c r="BF251" i="3"/>
  <c r="BE251" i="3"/>
  <c r="BD251" i="3"/>
  <c r="BC251" i="3"/>
  <c r="BB251" i="3"/>
  <c r="BA251" i="3"/>
  <c r="AX251" i="3"/>
  <c r="AW251" i="3"/>
  <c r="AV251" i="3"/>
  <c r="AC251" i="3"/>
  <c r="H251" i="3"/>
  <c r="G251" i="3"/>
  <c r="BT250" i="3"/>
  <c r="BS250" i="3"/>
  <c r="BR250" i="3"/>
  <c r="BQ250" i="3"/>
  <c r="BP250" i="3"/>
  <c r="BO250" i="3"/>
  <c r="BN250" i="3"/>
  <c r="BM250" i="3"/>
  <c r="BL250" i="3"/>
  <c r="BK250" i="3"/>
  <c r="BJ250" i="3"/>
  <c r="BI250" i="3"/>
  <c r="BH250" i="3"/>
  <c r="BG250" i="3"/>
  <c r="BF250" i="3"/>
  <c r="BE250" i="3"/>
  <c r="BD250" i="3"/>
  <c r="BC250" i="3"/>
  <c r="BB250" i="3"/>
  <c r="BA250" i="3"/>
  <c r="AX250" i="3"/>
  <c r="AW250" i="3"/>
  <c r="AV250" i="3"/>
  <c r="AC250" i="3"/>
  <c r="H250" i="3"/>
  <c r="G250" i="3"/>
  <c r="BT249" i="3"/>
  <c r="BS249" i="3"/>
  <c r="BR249" i="3"/>
  <c r="BQ249" i="3"/>
  <c r="BP249" i="3"/>
  <c r="BO249" i="3"/>
  <c r="BN249" i="3"/>
  <c r="BM249" i="3"/>
  <c r="BL249" i="3"/>
  <c r="BK249" i="3"/>
  <c r="BJ249" i="3"/>
  <c r="BI249" i="3"/>
  <c r="BH249" i="3"/>
  <c r="BG249" i="3"/>
  <c r="BF249" i="3"/>
  <c r="BE249" i="3"/>
  <c r="BD249" i="3"/>
  <c r="BC249" i="3"/>
  <c r="BB249" i="3"/>
  <c r="BA249" i="3"/>
  <c r="AX249" i="3"/>
  <c r="AW249" i="3"/>
  <c r="AV249" i="3"/>
  <c r="AC249" i="3"/>
  <c r="H249" i="3"/>
  <c r="G249" i="3"/>
  <c r="BT248" i="3"/>
  <c r="BS248" i="3"/>
  <c r="BR248" i="3"/>
  <c r="BQ248" i="3"/>
  <c r="BP248" i="3"/>
  <c r="BO248" i="3"/>
  <c r="BN248" i="3"/>
  <c r="BM248" i="3"/>
  <c r="BL248" i="3"/>
  <c r="BK248" i="3"/>
  <c r="BJ248" i="3"/>
  <c r="BI248" i="3"/>
  <c r="BH248" i="3"/>
  <c r="BG248" i="3"/>
  <c r="BF248" i="3"/>
  <c r="BE248" i="3"/>
  <c r="BD248" i="3"/>
  <c r="BC248" i="3"/>
  <c r="BB248" i="3"/>
  <c r="BA248" i="3"/>
  <c r="AX248" i="3"/>
  <c r="AW248" i="3"/>
  <c r="AV248" i="3"/>
  <c r="AC248" i="3"/>
  <c r="H248" i="3"/>
  <c r="G248" i="3"/>
  <c r="BT247" i="3"/>
  <c r="BS247" i="3"/>
  <c r="BR247" i="3"/>
  <c r="BQ247" i="3"/>
  <c r="BP247" i="3"/>
  <c r="BO247" i="3"/>
  <c r="BN247" i="3"/>
  <c r="BM247" i="3"/>
  <c r="BL247" i="3"/>
  <c r="BK247" i="3"/>
  <c r="BJ247" i="3"/>
  <c r="BI247" i="3"/>
  <c r="BH247" i="3"/>
  <c r="BG247" i="3"/>
  <c r="BF247" i="3"/>
  <c r="BE247" i="3"/>
  <c r="BD247" i="3"/>
  <c r="BC247" i="3"/>
  <c r="BB247" i="3"/>
  <c r="BA247" i="3"/>
  <c r="AZ247" i="3"/>
  <c r="AX247" i="3"/>
  <c r="AW247" i="3"/>
  <c r="AV247" i="3"/>
  <c r="AC247" i="3"/>
  <c r="H247" i="3"/>
  <c r="G247" i="3"/>
  <c r="BT246" i="3"/>
  <c r="BS246" i="3"/>
  <c r="BR246" i="3"/>
  <c r="BQ246" i="3"/>
  <c r="BP246" i="3"/>
  <c r="BO246" i="3"/>
  <c r="BN246" i="3"/>
  <c r="BM246" i="3"/>
  <c r="BL246" i="3"/>
  <c r="BK246" i="3"/>
  <c r="BJ246" i="3"/>
  <c r="BI246" i="3"/>
  <c r="BH246" i="3"/>
  <c r="BG246" i="3"/>
  <c r="BF246" i="3"/>
  <c r="BE246" i="3"/>
  <c r="BD246" i="3"/>
  <c r="BC246" i="3"/>
  <c r="BB246" i="3"/>
  <c r="BA246" i="3"/>
  <c r="AZ246" i="3"/>
  <c r="AX246" i="3"/>
  <c r="AW246" i="3"/>
  <c r="AV246" i="3"/>
  <c r="AC246" i="3"/>
  <c r="H246" i="3"/>
  <c r="G246" i="3"/>
  <c r="BT245" i="3"/>
  <c r="BS245" i="3"/>
  <c r="BR245" i="3"/>
  <c r="BQ245" i="3"/>
  <c r="BP245" i="3"/>
  <c r="BO245" i="3"/>
  <c r="BN245" i="3"/>
  <c r="BM245" i="3"/>
  <c r="BL245" i="3"/>
  <c r="BK245" i="3"/>
  <c r="BJ245" i="3"/>
  <c r="BI245" i="3"/>
  <c r="BH245" i="3"/>
  <c r="BG245" i="3"/>
  <c r="BF245" i="3"/>
  <c r="BE245" i="3"/>
  <c r="BD245" i="3"/>
  <c r="BC245" i="3"/>
  <c r="BB245" i="3"/>
  <c r="BA245" i="3"/>
  <c r="AX245" i="3"/>
  <c r="AW245" i="3"/>
  <c r="AV245" i="3"/>
  <c r="AC245" i="3"/>
  <c r="H245" i="3"/>
  <c r="G245" i="3"/>
  <c r="BT244" i="3"/>
  <c r="BS244" i="3"/>
  <c r="BR244" i="3"/>
  <c r="BQ244" i="3"/>
  <c r="BP244" i="3"/>
  <c r="BO244" i="3"/>
  <c r="BN244" i="3"/>
  <c r="BM244" i="3"/>
  <c r="BL244" i="3"/>
  <c r="BK244" i="3"/>
  <c r="BJ244" i="3"/>
  <c r="BI244" i="3"/>
  <c r="BH244" i="3"/>
  <c r="BG244" i="3"/>
  <c r="BF244" i="3"/>
  <c r="BE244" i="3"/>
  <c r="BD244" i="3"/>
  <c r="BC244" i="3"/>
  <c r="BB244" i="3"/>
  <c r="BA244" i="3"/>
  <c r="AZ244" i="3"/>
  <c r="AX244" i="3"/>
  <c r="AW244" i="3"/>
  <c r="AV244" i="3"/>
  <c r="AC244" i="3"/>
  <c r="H244" i="3"/>
  <c r="G244" i="3"/>
  <c r="BT243" i="3"/>
  <c r="BS243" i="3"/>
  <c r="BR243" i="3"/>
  <c r="BQ243" i="3"/>
  <c r="BP243" i="3"/>
  <c r="BO243" i="3"/>
  <c r="BN243" i="3"/>
  <c r="BM243" i="3"/>
  <c r="BL243" i="3"/>
  <c r="BK243" i="3"/>
  <c r="BJ243" i="3"/>
  <c r="BI243" i="3"/>
  <c r="BH243" i="3"/>
  <c r="BG243" i="3"/>
  <c r="BF243" i="3"/>
  <c r="BE243" i="3"/>
  <c r="BD243" i="3"/>
  <c r="BC243" i="3"/>
  <c r="BB243" i="3"/>
  <c r="BA243" i="3"/>
  <c r="AX243" i="3"/>
  <c r="AW243" i="3"/>
  <c r="AV243" i="3"/>
  <c r="AC243" i="3"/>
  <c r="H243" i="3"/>
  <c r="G243" i="3"/>
  <c r="BT242" i="3"/>
  <c r="BS242" i="3"/>
  <c r="BR242" i="3"/>
  <c r="BQ242" i="3"/>
  <c r="BP242" i="3"/>
  <c r="BO242" i="3"/>
  <c r="BN242" i="3"/>
  <c r="BM242" i="3"/>
  <c r="BL242" i="3"/>
  <c r="BK242" i="3"/>
  <c r="BJ242" i="3"/>
  <c r="BI242" i="3"/>
  <c r="BH242" i="3"/>
  <c r="BG242" i="3"/>
  <c r="BF242" i="3"/>
  <c r="BE242" i="3"/>
  <c r="BD242" i="3"/>
  <c r="BC242" i="3"/>
  <c r="BB242" i="3"/>
  <c r="BA242" i="3"/>
  <c r="AZ242" i="3"/>
  <c r="AX242" i="3"/>
  <c r="AW242" i="3"/>
  <c r="AV242" i="3"/>
  <c r="AC242" i="3"/>
  <c r="H242" i="3"/>
  <c r="G242" i="3"/>
  <c r="BT241" i="3"/>
  <c r="BS241" i="3"/>
  <c r="BR241" i="3"/>
  <c r="BQ241" i="3"/>
  <c r="BP241" i="3"/>
  <c r="BO241" i="3"/>
  <c r="BN241" i="3"/>
  <c r="BM241" i="3"/>
  <c r="BL241" i="3"/>
  <c r="BK241" i="3"/>
  <c r="BJ241" i="3"/>
  <c r="BI241" i="3"/>
  <c r="BH241" i="3"/>
  <c r="BG241" i="3"/>
  <c r="BF241" i="3"/>
  <c r="BE241" i="3"/>
  <c r="BD241" i="3"/>
  <c r="BC241" i="3"/>
  <c r="BB241" i="3"/>
  <c r="BA241" i="3"/>
  <c r="AX241" i="3"/>
  <c r="AW241" i="3"/>
  <c r="AV241" i="3"/>
  <c r="AC241" i="3"/>
  <c r="H241" i="3"/>
  <c r="G241" i="3"/>
  <c r="BT240" i="3"/>
  <c r="BS240" i="3"/>
  <c r="BR240" i="3"/>
  <c r="BQ240" i="3"/>
  <c r="BP240" i="3"/>
  <c r="BO240" i="3"/>
  <c r="BN240" i="3"/>
  <c r="BM240" i="3"/>
  <c r="BL240" i="3"/>
  <c r="BK240" i="3"/>
  <c r="BJ240" i="3"/>
  <c r="BI240" i="3"/>
  <c r="BH240" i="3"/>
  <c r="BG240" i="3"/>
  <c r="BF240" i="3"/>
  <c r="BE240" i="3"/>
  <c r="BD240" i="3"/>
  <c r="BC240" i="3"/>
  <c r="BB240" i="3"/>
  <c r="BA240" i="3"/>
  <c r="AX240" i="3"/>
  <c r="AW240" i="3"/>
  <c r="AV240" i="3"/>
  <c r="AC240" i="3"/>
  <c r="H240" i="3"/>
  <c r="G240" i="3"/>
  <c r="BT239" i="3"/>
  <c r="BS239" i="3"/>
  <c r="BR239" i="3"/>
  <c r="BQ239" i="3"/>
  <c r="BP239" i="3"/>
  <c r="BO239" i="3"/>
  <c r="BN239" i="3"/>
  <c r="BM239" i="3"/>
  <c r="BL239" i="3"/>
  <c r="BK239" i="3"/>
  <c r="BJ239" i="3"/>
  <c r="BI239" i="3"/>
  <c r="BH239" i="3"/>
  <c r="BG239" i="3"/>
  <c r="BF239" i="3"/>
  <c r="BE239" i="3"/>
  <c r="BD239" i="3"/>
  <c r="BC239" i="3"/>
  <c r="BB239" i="3"/>
  <c r="BA239" i="3"/>
  <c r="AZ239" i="3"/>
  <c r="AX239" i="3"/>
  <c r="AW239" i="3"/>
  <c r="AV239" i="3"/>
  <c r="AC239" i="3"/>
  <c r="H239" i="3"/>
  <c r="G239" i="3"/>
  <c r="BT238" i="3"/>
  <c r="BS238" i="3"/>
  <c r="BR238" i="3"/>
  <c r="BQ238" i="3"/>
  <c r="BP238" i="3"/>
  <c r="BO238" i="3"/>
  <c r="BN238" i="3"/>
  <c r="BM238" i="3"/>
  <c r="BL238" i="3"/>
  <c r="BK238" i="3"/>
  <c r="BJ238" i="3"/>
  <c r="BI238" i="3"/>
  <c r="BH238" i="3"/>
  <c r="BG238" i="3"/>
  <c r="BF238" i="3"/>
  <c r="BE238" i="3"/>
  <c r="BD238" i="3"/>
  <c r="BC238" i="3"/>
  <c r="BB238" i="3"/>
  <c r="BA238" i="3"/>
  <c r="AX238" i="3"/>
  <c r="AW238" i="3"/>
  <c r="AV238" i="3"/>
  <c r="AC238" i="3"/>
  <c r="H238" i="3"/>
  <c r="G238" i="3"/>
  <c r="BT237" i="3"/>
  <c r="BS237" i="3"/>
  <c r="BR237" i="3"/>
  <c r="BQ237" i="3"/>
  <c r="BP237" i="3"/>
  <c r="BO237" i="3"/>
  <c r="BN237" i="3"/>
  <c r="BM237" i="3"/>
  <c r="BL237" i="3"/>
  <c r="BK237" i="3"/>
  <c r="BJ237" i="3"/>
  <c r="BI237" i="3"/>
  <c r="BH237" i="3"/>
  <c r="BG237" i="3"/>
  <c r="BF237" i="3"/>
  <c r="BE237" i="3"/>
  <c r="BD237" i="3"/>
  <c r="BC237" i="3"/>
  <c r="BB237" i="3"/>
  <c r="BA237" i="3"/>
  <c r="AX237" i="3"/>
  <c r="AW237" i="3"/>
  <c r="AV237" i="3"/>
  <c r="AC237" i="3"/>
  <c r="H237" i="3"/>
  <c r="G237" i="3"/>
  <c r="BT236" i="3"/>
  <c r="BS236" i="3"/>
  <c r="BR236" i="3"/>
  <c r="BQ236" i="3"/>
  <c r="BP236" i="3"/>
  <c r="BO236" i="3"/>
  <c r="BN236" i="3"/>
  <c r="BM236" i="3"/>
  <c r="BL236" i="3"/>
  <c r="BK236" i="3"/>
  <c r="BJ236" i="3"/>
  <c r="BI236" i="3"/>
  <c r="BH236" i="3"/>
  <c r="BG236" i="3"/>
  <c r="BF236" i="3"/>
  <c r="BE236" i="3"/>
  <c r="BD236" i="3"/>
  <c r="BC236" i="3"/>
  <c r="BB236" i="3"/>
  <c r="BA236" i="3"/>
  <c r="AZ236" i="3"/>
  <c r="AX236" i="3"/>
  <c r="AW236" i="3"/>
  <c r="AV236" i="3"/>
  <c r="AC236" i="3"/>
  <c r="H236" i="3"/>
  <c r="G236" i="3"/>
  <c r="BT235" i="3"/>
  <c r="BS235" i="3"/>
  <c r="BR235" i="3"/>
  <c r="BQ235" i="3"/>
  <c r="BP235" i="3"/>
  <c r="BO235" i="3"/>
  <c r="BN235" i="3"/>
  <c r="BM235" i="3"/>
  <c r="BL235" i="3"/>
  <c r="BK235" i="3"/>
  <c r="BJ235" i="3"/>
  <c r="BI235" i="3"/>
  <c r="BH235" i="3"/>
  <c r="BG235" i="3"/>
  <c r="BF235" i="3"/>
  <c r="BE235" i="3"/>
  <c r="BD235" i="3"/>
  <c r="BC235" i="3"/>
  <c r="BB235" i="3"/>
  <c r="BA235" i="3"/>
  <c r="AX235" i="3"/>
  <c r="AW235" i="3"/>
  <c r="AV235" i="3"/>
  <c r="AC235" i="3"/>
  <c r="H235" i="3"/>
  <c r="G235" i="3"/>
  <c r="BT234" i="3"/>
  <c r="BS234" i="3"/>
  <c r="BR234" i="3"/>
  <c r="BQ234" i="3"/>
  <c r="BP234" i="3"/>
  <c r="BO234" i="3"/>
  <c r="BN234" i="3"/>
  <c r="BM234" i="3"/>
  <c r="BL234" i="3"/>
  <c r="BK234" i="3"/>
  <c r="BJ234" i="3"/>
  <c r="BI234" i="3"/>
  <c r="BH234" i="3"/>
  <c r="BG234" i="3"/>
  <c r="BF234" i="3"/>
  <c r="BE234" i="3"/>
  <c r="BD234" i="3"/>
  <c r="BC234" i="3"/>
  <c r="BB234" i="3"/>
  <c r="BA234" i="3"/>
  <c r="AX234" i="3"/>
  <c r="AW234" i="3"/>
  <c r="AV234" i="3"/>
  <c r="AC234" i="3"/>
  <c r="H234" i="3"/>
  <c r="G234" i="3"/>
  <c r="BT233" i="3"/>
  <c r="BS233" i="3"/>
  <c r="BR233" i="3"/>
  <c r="BQ233" i="3"/>
  <c r="BP233" i="3"/>
  <c r="BO233" i="3"/>
  <c r="BN233" i="3"/>
  <c r="BM233" i="3"/>
  <c r="BL233" i="3"/>
  <c r="BK233" i="3"/>
  <c r="BJ233" i="3"/>
  <c r="BI233" i="3"/>
  <c r="BH233" i="3"/>
  <c r="BG233" i="3"/>
  <c r="BF233" i="3"/>
  <c r="BE233" i="3"/>
  <c r="BD233" i="3"/>
  <c r="BC233" i="3"/>
  <c r="BB233" i="3"/>
  <c r="BA233" i="3"/>
  <c r="AX233" i="3"/>
  <c r="AW233" i="3"/>
  <c r="AV233" i="3"/>
  <c r="AC233" i="3"/>
  <c r="H233" i="3"/>
  <c r="G233" i="3"/>
  <c r="BT232" i="3"/>
  <c r="BS232" i="3"/>
  <c r="BR232" i="3"/>
  <c r="BQ232" i="3"/>
  <c r="BP232" i="3"/>
  <c r="BO232" i="3"/>
  <c r="BN232" i="3"/>
  <c r="BM232" i="3"/>
  <c r="BL232" i="3"/>
  <c r="BK232" i="3"/>
  <c r="BJ232" i="3"/>
  <c r="BI232" i="3"/>
  <c r="BH232" i="3"/>
  <c r="BG232" i="3"/>
  <c r="BF232" i="3"/>
  <c r="BE232" i="3"/>
  <c r="BD232" i="3"/>
  <c r="BC232" i="3"/>
  <c r="BB232" i="3"/>
  <c r="BA232" i="3"/>
  <c r="AX232" i="3"/>
  <c r="AW232" i="3"/>
  <c r="AV232" i="3"/>
  <c r="AC232" i="3"/>
  <c r="H232" i="3"/>
  <c r="G232" i="3"/>
  <c r="BT231" i="3"/>
  <c r="BS231" i="3"/>
  <c r="BR231" i="3"/>
  <c r="BQ231" i="3"/>
  <c r="BP231" i="3"/>
  <c r="BO231" i="3"/>
  <c r="BN231" i="3"/>
  <c r="BM231" i="3"/>
  <c r="BL231" i="3"/>
  <c r="BK231" i="3"/>
  <c r="BJ231" i="3"/>
  <c r="BI231" i="3"/>
  <c r="BH231" i="3"/>
  <c r="BG231" i="3"/>
  <c r="BF231" i="3"/>
  <c r="BE231" i="3"/>
  <c r="BD231" i="3"/>
  <c r="BC231" i="3"/>
  <c r="BB231" i="3"/>
  <c r="BA231" i="3"/>
  <c r="AZ231" i="3"/>
  <c r="AX231" i="3"/>
  <c r="AW231" i="3"/>
  <c r="AV231" i="3"/>
  <c r="AC231" i="3"/>
  <c r="H231" i="3"/>
  <c r="G231" i="3"/>
  <c r="BT230" i="3"/>
  <c r="BS230" i="3"/>
  <c r="BR230" i="3"/>
  <c r="BQ230" i="3"/>
  <c r="BP230" i="3"/>
  <c r="BO230" i="3"/>
  <c r="BN230" i="3"/>
  <c r="BM230" i="3"/>
  <c r="BL230" i="3"/>
  <c r="BK230" i="3"/>
  <c r="BJ230" i="3"/>
  <c r="BI230" i="3"/>
  <c r="BH230" i="3"/>
  <c r="BG230" i="3"/>
  <c r="BF230" i="3"/>
  <c r="BE230" i="3"/>
  <c r="BD230" i="3"/>
  <c r="BC230" i="3"/>
  <c r="BB230" i="3"/>
  <c r="BA230" i="3"/>
  <c r="AZ230" i="3"/>
  <c r="AX230" i="3"/>
  <c r="AW230" i="3"/>
  <c r="AV230" i="3"/>
  <c r="AC230" i="3"/>
  <c r="H230" i="3"/>
  <c r="G230" i="3"/>
  <c r="BT229" i="3"/>
  <c r="BS229" i="3"/>
  <c r="BR229" i="3"/>
  <c r="BQ229" i="3"/>
  <c r="BP229" i="3"/>
  <c r="BO229" i="3"/>
  <c r="BN229" i="3"/>
  <c r="BM229" i="3"/>
  <c r="BL229" i="3"/>
  <c r="BK229" i="3"/>
  <c r="BJ229" i="3"/>
  <c r="BI229" i="3"/>
  <c r="BH229" i="3"/>
  <c r="BG229" i="3"/>
  <c r="BF229" i="3"/>
  <c r="BE229" i="3"/>
  <c r="BD229" i="3"/>
  <c r="BC229" i="3"/>
  <c r="BB229" i="3"/>
  <c r="BA229" i="3"/>
  <c r="AX229" i="3"/>
  <c r="AW229" i="3"/>
  <c r="AV229" i="3"/>
  <c r="AC229" i="3"/>
  <c r="H229" i="3"/>
  <c r="G229" i="3"/>
  <c r="BT228" i="3"/>
  <c r="BS228" i="3"/>
  <c r="BR228" i="3"/>
  <c r="BQ228" i="3"/>
  <c r="BP228" i="3"/>
  <c r="BO228" i="3"/>
  <c r="BN228" i="3"/>
  <c r="BM228" i="3"/>
  <c r="BL228" i="3"/>
  <c r="BK228" i="3"/>
  <c r="BJ228" i="3"/>
  <c r="BI228" i="3"/>
  <c r="BH228" i="3"/>
  <c r="BG228" i="3"/>
  <c r="BF228" i="3"/>
  <c r="BE228" i="3"/>
  <c r="BD228" i="3"/>
  <c r="BC228" i="3"/>
  <c r="BB228" i="3"/>
  <c r="BA228" i="3"/>
  <c r="AZ228" i="3"/>
  <c r="AX228" i="3"/>
  <c r="AW228" i="3"/>
  <c r="AV228" i="3"/>
  <c r="AC228" i="3"/>
  <c r="H228" i="3"/>
  <c r="G228" i="3"/>
  <c r="BT227" i="3"/>
  <c r="BS227" i="3"/>
  <c r="BR227" i="3"/>
  <c r="BQ227" i="3"/>
  <c r="BP227" i="3"/>
  <c r="BO227" i="3"/>
  <c r="BN227" i="3"/>
  <c r="BM227" i="3"/>
  <c r="BL227" i="3"/>
  <c r="BK227" i="3"/>
  <c r="BJ227" i="3"/>
  <c r="BI227" i="3"/>
  <c r="BH227" i="3"/>
  <c r="BG227" i="3"/>
  <c r="BF227" i="3"/>
  <c r="BE227" i="3"/>
  <c r="BD227" i="3"/>
  <c r="BC227" i="3"/>
  <c r="BB227" i="3"/>
  <c r="BA227" i="3"/>
  <c r="AX227" i="3"/>
  <c r="AW227" i="3"/>
  <c r="AV227" i="3"/>
  <c r="AC227" i="3"/>
  <c r="H227" i="3"/>
  <c r="G227" i="3"/>
  <c r="BT226" i="3"/>
  <c r="BS226" i="3"/>
  <c r="BR226" i="3"/>
  <c r="BQ226" i="3"/>
  <c r="BP226" i="3"/>
  <c r="BO226" i="3"/>
  <c r="BN226" i="3"/>
  <c r="BM226" i="3"/>
  <c r="BL226" i="3"/>
  <c r="BK226" i="3"/>
  <c r="BJ226" i="3"/>
  <c r="BI226" i="3"/>
  <c r="BH226" i="3"/>
  <c r="BG226" i="3"/>
  <c r="BF226" i="3"/>
  <c r="BE226" i="3"/>
  <c r="BD226" i="3"/>
  <c r="BC226" i="3"/>
  <c r="BB226" i="3"/>
  <c r="BA226" i="3"/>
  <c r="AZ226" i="3"/>
  <c r="AX226" i="3"/>
  <c r="AW226" i="3"/>
  <c r="AV226" i="3"/>
  <c r="AC226" i="3"/>
  <c r="H226" i="3"/>
  <c r="G226" i="3"/>
  <c r="BT225" i="3"/>
  <c r="BS225" i="3"/>
  <c r="BR225" i="3"/>
  <c r="BQ225" i="3"/>
  <c r="BP225" i="3"/>
  <c r="BO225" i="3"/>
  <c r="BN225" i="3"/>
  <c r="BM225" i="3"/>
  <c r="BL225" i="3"/>
  <c r="BK225" i="3"/>
  <c r="BJ225" i="3"/>
  <c r="BI225" i="3"/>
  <c r="BH225" i="3"/>
  <c r="BG225" i="3"/>
  <c r="BF225" i="3"/>
  <c r="BE225" i="3"/>
  <c r="BD225" i="3"/>
  <c r="BC225" i="3"/>
  <c r="BB225" i="3"/>
  <c r="BA225" i="3"/>
  <c r="AZ225" i="3"/>
  <c r="AX225" i="3"/>
  <c r="AW225" i="3"/>
  <c r="AV225" i="3"/>
  <c r="AC225" i="3"/>
  <c r="H225" i="3"/>
  <c r="G225" i="3"/>
  <c r="BT224" i="3"/>
  <c r="BS224" i="3"/>
  <c r="BR224" i="3"/>
  <c r="BQ224" i="3"/>
  <c r="BP224" i="3"/>
  <c r="BO224" i="3"/>
  <c r="BN224" i="3"/>
  <c r="BM224" i="3"/>
  <c r="BL224" i="3"/>
  <c r="BK224" i="3"/>
  <c r="BJ224" i="3"/>
  <c r="BI224" i="3"/>
  <c r="BH224" i="3"/>
  <c r="BG224" i="3"/>
  <c r="BF224" i="3"/>
  <c r="BE224" i="3"/>
  <c r="BD224" i="3"/>
  <c r="BC224" i="3"/>
  <c r="BB224" i="3"/>
  <c r="BA224" i="3"/>
  <c r="AX224" i="3"/>
  <c r="AW224" i="3"/>
  <c r="AV224" i="3"/>
  <c r="AC224" i="3"/>
  <c r="H224" i="3"/>
  <c r="G224" i="3"/>
  <c r="BT223" i="3"/>
  <c r="BS223" i="3"/>
  <c r="BR223" i="3"/>
  <c r="BQ223" i="3"/>
  <c r="BP223" i="3"/>
  <c r="BO223" i="3"/>
  <c r="BN223" i="3"/>
  <c r="BM223" i="3"/>
  <c r="BL223" i="3"/>
  <c r="BK223" i="3"/>
  <c r="BJ223" i="3"/>
  <c r="BI223" i="3"/>
  <c r="BH223" i="3"/>
  <c r="BG223" i="3"/>
  <c r="BF223" i="3"/>
  <c r="BE223" i="3"/>
  <c r="BD223" i="3"/>
  <c r="BC223" i="3"/>
  <c r="BB223" i="3"/>
  <c r="BA223" i="3"/>
  <c r="AX223" i="3"/>
  <c r="AW223" i="3"/>
  <c r="AV223" i="3"/>
  <c r="AC223" i="3"/>
  <c r="H223" i="3"/>
  <c r="G223" i="3"/>
  <c r="BT222" i="3"/>
  <c r="BS222" i="3"/>
  <c r="BR222" i="3"/>
  <c r="BQ222" i="3"/>
  <c r="BP222" i="3"/>
  <c r="BO222" i="3"/>
  <c r="BN222" i="3"/>
  <c r="BM222" i="3"/>
  <c r="BL222" i="3"/>
  <c r="BK222" i="3"/>
  <c r="BJ222" i="3"/>
  <c r="BI222" i="3"/>
  <c r="BH222" i="3"/>
  <c r="BG222" i="3"/>
  <c r="BF222" i="3"/>
  <c r="BE222" i="3"/>
  <c r="BD222" i="3"/>
  <c r="BC222" i="3"/>
  <c r="BB222" i="3"/>
  <c r="BA222" i="3"/>
  <c r="AX222" i="3"/>
  <c r="AW222" i="3"/>
  <c r="AV222" i="3"/>
  <c r="AC222" i="3"/>
  <c r="H222" i="3"/>
  <c r="G222" i="3"/>
  <c r="BT221" i="3"/>
  <c r="BS221" i="3"/>
  <c r="BR221" i="3"/>
  <c r="BQ221" i="3"/>
  <c r="BP221" i="3"/>
  <c r="BO221" i="3"/>
  <c r="BN221" i="3"/>
  <c r="BM221" i="3"/>
  <c r="BL221" i="3"/>
  <c r="BK221" i="3"/>
  <c r="BJ221" i="3"/>
  <c r="BI221" i="3"/>
  <c r="BH221" i="3"/>
  <c r="BG221" i="3"/>
  <c r="BF221" i="3"/>
  <c r="BE221" i="3"/>
  <c r="BD221" i="3"/>
  <c r="BC221" i="3"/>
  <c r="BB221" i="3"/>
  <c r="BA221" i="3"/>
  <c r="AZ221" i="3"/>
  <c r="AX221" i="3"/>
  <c r="AW221" i="3"/>
  <c r="AV221" i="3"/>
  <c r="AC221" i="3"/>
  <c r="H221" i="3"/>
  <c r="G221" i="3"/>
  <c r="BT220" i="3"/>
  <c r="BS220" i="3"/>
  <c r="BR220" i="3"/>
  <c r="BQ220" i="3"/>
  <c r="BP220" i="3"/>
  <c r="BO220" i="3"/>
  <c r="BN220" i="3"/>
  <c r="BM220" i="3"/>
  <c r="BL220" i="3"/>
  <c r="BK220" i="3"/>
  <c r="BJ220" i="3"/>
  <c r="BI220" i="3"/>
  <c r="BH220" i="3"/>
  <c r="BG220" i="3"/>
  <c r="BF220" i="3"/>
  <c r="BE220" i="3"/>
  <c r="BD220" i="3"/>
  <c r="BC220" i="3"/>
  <c r="BB220" i="3"/>
  <c r="BA220" i="3"/>
  <c r="AZ220" i="3"/>
  <c r="AX220" i="3"/>
  <c r="AW220" i="3"/>
  <c r="AV220" i="3"/>
  <c r="AC220" i="3"/>
  <c r="H220" i="3"/>
  <c r="G220" i="3"/>
  <c r="BT219" i="3"/>
  <c r="BS219" i="3"/>
  <c r="BR219" i="3"/>
  <c r="BQ219" i="3"/>
  <c r="BP219" i="3"/>
  <c r="BO219" i="3"/>
  <c r="BN219" i="3"/>
  <c r="BM219" i="3"/>
  <c r="BL219" i="3"/>
  <c r="BK219" i="3"/>
  <c r="BJ219" i="3"/>
  <c r="BI219" i="3"/>
  <c r="BH219" i="3"/>
  <c r="BG219" i="3"/>
  <c r="BF219" i="3"/>
  <c r="BE219" i="3"/>
  <c r="BD219" i="3"/>
  <c r="BC219" i="3"/>
  <c r="BB219" i="3"/>
  <c r="BA219" i="3"/>
  <c r="AZ219" i="3"/>
  <c r="AX219" i="3"/>
  <c r="AW219" i="3"/>
  <c r="AV219" i="3"/>
  <c r="AC219" i="3"/>
  <c r="H219" i="3"/>
  <c r="G219" i="3"/>
  <c r="BT218" i="3"/>
  <c r="BS218" i="3"/>
  <c r="BR218" i="3"/>
  <c r="BQ218" i="3"/>
  <c r="BP218" i="3"/>
  <c r="BO218" i="3"/>
  <c r="BN218" i="3"/>
  <c r="BM218" i="3"/>
  <c r="BL218" i="3"/>
  <c r="BK218" i="3"/>
  <c r="BJ218" i="3"/>
  <c r="BI218" i="3"/>
  <c r="BH218" i="3"/>
  <c r="BG218" i="3"/>
  <c r="BF218" i="3"/>
  <c r="BE218" i="3"/>
  <c r="BD218" i="3"/>
  <c r="BC218" i="3"/>
  <c r="BB218" i="3"/>
  <c r="BA218" i="3"/>
  <c r="AX218" i="3"/>
  <c r="AW218" i="3"/>
  <c r="AV218" i="3"/>
  <c r="AC218" i="3"/>
  <c r="H218" i="3"/>
  <c r="G218" i="3"/>
  <c r="BT217" i="3"/>
  <c r="BS217" i="3"/>
  <c r="BR217" i="3"/>
  <c r="BQ217" i="3"/>
  <c r="BP217" i="3"/>
  <c r="BO217" i="3"/>
  <c r="BN217" i="3"/>
  <c r="BM217" i="3"/>
  <c r="BL217" i="3"/>
  <c r="BK217" i="3"/>
  <c r="BJ217" i="3"/>
  <c r="BI217" i="3"/>
  <c r="BH217" i="3"/>
  <c r="BG217" i="3"/>
  <c r="BF217" i="3"/>
  <c r="BE217" i="3"/>
  <c r="BD217" i="3"/>
  <c r="BC217" i="3"/>
  <c r="BB217" i="3"/>
  <c r="BA217" i="3"/>
  <c r="AZ217" i="3"/>
  <c r="AX217" i="3"/>
  <c r="AW217" i="3"/>
  <c r="AV217" i="3"/>
  <c r="AC217" i="3"/>
  <c r="H217" i="3"/>
  <c r="G217" i="3"/>
  <c r="BT216" i="3"/>
  <c r="BS216" i="3"/>
  <c r="BR216" i="3"/>
  <c r="BQ216" i="3"/>
  <c r="BP216" i="3"/>
  <c r="BO216" i="3"/>
  <c r="BN216" i="3"/>
  <c r="BM216" i="3"/>
  <c r="BL216" i="3"/>
  <c r="BK216" i="3"/>
  <c r="BJ216" i="3"/>
  <c r="BI216" i="3"/>
  <c r="BH216" i="3"/>
  <c r="BG216" i="3"/>
  <c r="BF216" i="3"/>
  <c r="BE216" i="3"/>
  <c r="BD216" i="3"/>
  <c r="BC216" i="3"/>
  <c r="BB216" i="3"/>
  <c r="BA216" i="3"/>
  <c r="AZ216" i="3"/>
  <c r="AX216" i="3"/>
  <c r="AW216" i="3"/>
  <c r="AV216" i="3"/>
  <c r="AC216" i="3"/>
  <c r="H216" i="3"/>
  <c r="G216" i="3"/>
  <c r="BT215" i="3"/>
  <c r="BS215" i="3"/>
  <c r="BR215" i="3"/>
  <c r="BQ215" i="3"/>
  <c r="BP215" i="3"/>
  <c r="BO215" i="3"/>
  <c r="BN215" i="3"/>
  <c r="BM215" i="3"/>
  <c r="BL215" i="3"/>
  <c r="BK215" i="3"/>
  <c r="BJ215" i="3"/>
  <c r="BI215" i="3"/>
  <c r="BH215" i="3"/>
  <c r="BG215" i="3"/>
  <c r="BF215" i="3"/>
  <c r="BE215" i="3"/>
  <c r="BD215" i="3"/>
  <c r="BC215" i="3"/>
  <c r="BB215" i="3"/>
  <c r="BA215" i="3"/>
  <c r="AX215" i="3"/>
  <c r="AW215" i="3"/>
  <c r="AV215" i="3"/>
  <c r="AC215" i="3"/>
  <c r="H215" i="3"/>
  <c r="G215" i="3"/>
  <c r="BT214" i="3"/>
  <c r="BS214" i="3"/>
  <c r="BR214" i="3"/>
  <c r="BQ214" i="3"/>
  <c r="BP214" i="3"/>
  <c r="BO214" i="3"/>
  <c r="BN214" i="3"/>
  <c r="BM214" i="3"/>
  <c r="BL214" i="3"/>
  <c r="BK214" i="3"/>
  <c r="BJ214" i="3"/>
  <c r="BI214" i="3"/>
  <c r="BH214" i="3"/>
  <c r="BG214" i="3"/>
  <c r="BF214" i="3"/>
  <c r="BE214" i="3"/>
  <c r="BD214" i="3"/>
  <c r="BC214" i="3"/>
  <c r="BB214" i="3"/>
  <c r="BA214" i="3"/>
  <c r="AX214" i="3"/>
  <c r="AW214" i="3"/>
  <c r="AV214" i="3"/>
  <c r="AC214" i="3"/>
  <c r="H214" i="3"/>
  <c r="G214" i="3"/>
  <c r="BT213" i="3"/>
  <c r="BS213" i="3"/>
  <c r="BR213" i="3"/>
  <c r="BQ213" i="3"/>
  <c r="BP213" i="3"/>
  <c r="BO213" i="3"/>
  <c r="BN213" i="3"/>
  <c r="BM213" i="3"/>
  <c r="BL213" i="3"/>
  <c r="BK213" i="3"/>
  <c r="BJ213" i="3"/>
  <c r="BI213" i="3"/>
  <c r="BH213" i="3"/>
  <c r="BG213" i="3"/>
  <c r="BF213" i="3"/>
  <c r="BE213" i="3"/>
  <c r="BD213" i="3"/>
  <c r="BC213" i="3"/>
  <c r="BB213" i="3"/>
  <c r="BA213" i="3"/>
  <c r="AX213" i="3"/>
  <c r="AW213" i="3"/>
  <c r="AV213" i="3"/>
  <c r="AC213" i="3"/>
  <c r="H213" i="3"/>
  <c r="G213" i="3"/>
  <c r="BT212" i="3"/>
  <c r="BS212" i="3"/>
  <c r="BR212" i="3"/>
  <c r="BQ212" i="3"/>
  <c r="BP212" i="3"/>
  <c r="BO212" i="3"/>
  <c r="BN212" i="3"/>
  <c r="BM212" i="3"/>
  <c r="BL212" i="3"/>
  <c r="BK212" i="3"/>
  <c r="BJ212" i="3"/>
  <c r="BI212" i="3"/>
  <c r="BH212" i="3"/>
  <c r="BG212" i="3"/>
  <c r="BF212" i="3"/>
  <c r="BE212" i="3"/>
  <c r="BD212" i="3"/>
  <c r="BC212" i="3"/>
  <c r="BB212" i="3"/>
  <c r="BA212" i="3"/>
  <c r="AZ212" i="3"/>
  <c r="AX212" i="3"/>
  <c r="AW212" i="3"/>
  <c r="AV212" i="3"/>
  <c r="AC212" i="3"/>
  <c r="H212" i="3"/>
  <c r="G212" i="3"/>
  <c r="BT211" i="3"/>
  <c r="BS211" i="3"/>
  <c r="BR211" i="3"/>
  <c r="BQ211" i="3"/>
  <c r="BP211" i="3"/>
  <c r="BO211" i="3"/>
  <c r="BN211" i="3"/>
  <c r="BM211" i="3"/>
  <c r="BL211" i="3"/>
  <c r="BK211" i="3"/>
  <c r="BJ211" i="3"/>
  <c r="BI211" i="3"/>
  <c r="BH211" i="3"/>
  <c r="BG211" i="3"/>
  <c r="BF211" i="3"/>
  <c r="BE211" i="3"/>
  <c r="BD211" i="3"/>
  <c r="BC211" i="3"/>
  <c r="BB211" i="3"/>
  <c r="BA211" i="3"/>
  <c r="AZ211" i="3"/>
  <c r="AX211" i="3"/>
  <c r="AW211" i="3"/>
  <c r="AV211" i="3"/>
  <c r="AC211" i="3"/>
  <c r="H211" i="3"/>
  <c r="G211" i="3"/>
  <c r="BT210" i="3"/>
  <c r="BS210" i="3"/>
  <c r="BR210" i="3"/>
  <c r="BQ210" i="3"/>
  <c r="BP210" i="3"/>
  <c r="BO210" i="3"/>
  <c r="BN210" i="3"/>
  <c r="BM210" i="3"/>
  <c r="BL210" i="3"/>
  <c r="BK210" i="3"/>
  <c r="BJ210" i="3"/>
  <c r="BI210" i="3"/>
  <c r="BH210" i="3"/>
  <c r="BG210" i="3"/>
  <c r="BF210" i="3"/>
  <c r="BE210" i="3"/>
  <c r="BD210" i="3"/>
  <c r="BC210" i="3"/>
  <c r="BB210" i="3"/>
  <c r="BA210" i="3"/>
  <c r="AZ210" i="3"/>
  <c r="AX210" i="3"/>
  <c r="AW210" i="3"/>
  <c r="AV210" i="3"/>
  <c r="AC210" i="3"/>
  <c r="H210" i="3"/>
  <c r="G210" i="3"/>
  <c r="BT209" i="3"/>
  <c r="BS209" i="3"/>
  <c r="BR209" i="3"/>
  <c r="BQ209" i="3"/>
  <c r="BP209" i="3"/>
  <c r="BO209" i="3"/>
  <c r="BN209" i="3"/>
  <c r="BM209" i="3"/>
  <c r="BL209" i="3"/>
  <c r="BK209" i="3"/>
  <c r="BJ209" i="3"/>
  <c r="BI209" i="3"/>
  <c r="BH209" i="3"/>
  <c r="BG209" i="3"/>
  <c r="BF209" i="3"/>
  <c r="BE209" i="3"/>
  <c r="BD209" i="3"/>
  <c r="BC209" i="3"/>
  <c r="BB209" i="3"/>
  <c r="BA209" i="3"/>
  <c r="AX209" i="3"/>
  <c r="AW209" i="3"/>
  <c r="AV209" i="3"/>
  <c r="AC209" i="3"/>
  <c r="H209" i="3"/>
  <c r="G209" i="3"/>
  <c r="BT208" i="3"/>
  <c r="BS208" i="3"/>
  <c r="BR208" i="3"/>
  <c r="BQ208" i="3"/>
  <c r="BP208" i="3"/>
  <c r="BO208" i="3"/>
  <c r="BN208" i="3"/>
  <c r="BM208" i="3"/>
  <c r="BL208" i="3"/>
  <c r="BK208" i="3"/>
  <c r="BJ208" i="3"/>
  <c r="BI208" i="3"/>
  <c r="BH208" i="3"/>
  <c r="BG208" i="3"/>
  <c r="BF208" i="3"/>
  <c r="BE208" i="3"/>
  <c r="BD208" i="3"/>
  <c r="BC208" i="3"/>
  <c r="BB208" i="3"/>
  <c r="BA208" i="3"/>
  <c r="AZ208" i="3"/>
  <c r="AX208" i="3"/>
  <c r="AW208" i="3"/>
  <c r="AV208" i="3"/>
  <c r="AC208" i="3"/>
  <c r="H208" i="3"/>
  <c r="G208" i="3"/>
  <c r="BT397" i="3"/>
  <c r="BS397" i="3"/>
  <c r="BR397" i="3"/>
  <c r="BQ397" i="3"/>
  <c r="BP397" i="3"/>
  <c r="BO397" i="3"/>
  <c r="BN397" i="3"/>
  <c r="BM397" i="3"/>
  <c r="BL397" i="3"/>
  <c r="BK397" i="3"/>
  <c r="BJ397" i="3"/>
  <c r="BI397" i="3"/>
  <c r="BH397" i="3"/>
  <c r="BG397" i="3"/>
  <c r="BF397" i="3"/>
  <c r="BE397" i="3"/>
  <c r="BD397" i="3"/>
  <c r="BC397" i="3"/>
  <c r="BB397" i="3"/>
  <c r="BA397" i="3"/>
  <c r="AZ397" i="3"/>
  <c r="AX397" i="3"/>
  <c r="AW397" i="3"/>
  <c r="AV397" i="3"/>
  <c r="AC397" i="3"/>
  <c r="H397" i="3"/>
  <c r="G397" i="3"/>
  <c r="BT396" i="3"/>
  <c r="BS396" i="3"/>
  <c r="BR396" i="3"/>
  <c r="BQ396" i="3"/>
  <c r="BP396" i="3"/>
  <c r="BO396" i="3"/>
  <c r="BN396" i="3"/>
  <c r="BM396" i="3"/>
  <c r="BL396" i="3"/>
  <c r="BK396" i="3"/>
  <c r="BJ396" i="3"/>
  <c r="BI396" i="3"/>
  <c r="BH396" i="3"/>
  <c r="BG396" i="3"/>
  <c r="BF396" i="3"/>
  <c r="BE396" i="3"/>
  <c r="BD396" i="3"/>
  <c r="BC396" i="3"/>
  <c r="BB396" i="3"/>
  <c r="BA396" i="3"/>
  <c r="AX396" i="3"/>
  <c r="AW396" i="3"/>
  <c r="AV396" i="3"/>
  <c r="AC396" i="3"/>
  <c r="H396" i="3"/>
  <c r="G396" i="3"/>
  <c r="BT395" i="3"/>
  <c r="BS395" i="3"/>
  <c r="BR395" i="3"/>
  <c r="BQ395" i="3"/>
  <c r="BP395" i="3"/>
  <c r="BO395" i="3"/>
  <c r="BN395" i="3"/>
  <c r="BM395" i="3"/>
  <c r="BL395" i="3"/>
  <c r="BK395" i="3"/>
  <c r="BJ395" i="3"/>
  <c r="BI395" i="3"/>
  <c r="BH395" i="3"/>
  <c r="BG395" i="3"/>
  <c r="BF395" i="3"/>
  <c r="BE395" i="3"/>
  <c r="BD395" i="3"/>
  <c r="BC395" i="3"/>
  <c r="BB395" i="3"/>
  <c r="BA395" i="3"/>
  <c r="AZ395" i="3"/>
  <c r="AX395" i="3"/>
  <c r="AW395" i="3"/>
  <c r="AV395" i="3"/>
  <c r="AC395" i="3"/>
  <c r="H395" i="3"/>
  <c r="G395" i="3"/>
  <c r="BT394" i="3"/>
  <c r="BS394" i="3"/>
  <c r="BR394" i="3"/>
  <c r="BQ394" i="3"/>
  <c r="BP394" i="3"/>
  <c r="BO394" i="3"/>
  <c r="BN394" i="3"/>
  <c r="BM394" i="3"/>
  <c r="BK394" i="3"/>
  <c r="BJ394" i="3"/>
  <c r="BI394" i="3"/>
  <c r="BH394" i="3"/>
  <c r="BG394" i="3"/>
  <c r="BF394" i="3"/>
  <c r="BE394" i="3"/>
  <c r="BD394" i="3"/>
  <c r="BC394" i="3"/>
  <c r="BB394" i="3"/>
  <c r="AX394" i="3"/>
  <c r="AW394" i="3"/>
  <c r="AV394" i="3"/>
  <c r="AC394" i="3"/>
  <c r="H394" i="3"/>
  <c r="BT393" i="3"/>
  <c r="BS393" i="3"/>
  <c r="BR393" i="3"/>
  <c r="BQ393" i="3"/>
  <c r="BP393" i="3"/>
  <c r="BO393" i="3"/>
  <c r="BN393" i="3"/>
  <c r="BM393" i="3"/>
  <c r="BL393" i="3"/>
  <c r="BK393" i="3"/>
  <c r="BJ393" i="3"/>
  <c r="BI393" i="3"/>
  <c r="BH393" i="3"/>
  <c r="BG393" i="3"/>
  <c r="BF393" i="3"/>
  <c r="BE393" i="3"/>
  <c r="BD393" i="3"/>
  <c r="BC393" i="3"/>
  <c r="BB393" i="3"/>
  <c r="AX393" i="3"/>
  <c r="AW393" i="3"/>
  <c r="AV393" i="3"/>
  <c r="AC393" i="3"/>
  <c r="H393" i="3"/>
  <c r="BT392" i="3"/>
  <c r="BS392" i="3"/>
  <c r="BR392" i="3"/>
  <c r="BQ392" i="3"/>
  <c r="BP392" i="3"/>
  <c r="BO392" i="3"/>
  <c r="BN392" i="3"/>
  <c r="BM392" i="3"/>
  <c r="BK392" i="3"/>
  <c r="BJ392" i="3"/>
  <c r="BI392" i="3"/>
  <c r="BH392" i="3"/>
  <c r="BG392" i="3"/>
  <c r="BF392" i="3"/>
  <c r="BE392" i="3"/>
  <c r="BD392" i="3"/>
  <c r="BC392" i="3"/>
  <c r="BB392" i="3"/>
  <c r="BA392" i="3"/>
  <c r="AX392" i="3"/>
  <c r="AW392" i="3"/>
  <c r="AV392" i="3"/>
  <c r="AC392" i="3"/>
  <c r="H392" i="3"/>
  <c r="G392" i="3"/>
  <c r="BT391" i="3"/>
  <c r="BS391" i="3"/>
  <c r="BR391" i="3"/>
  <c r="BQ391" i="3"/>
  <c r="BP391" i="3"/>
  <c r="BO391" i="3"/>
  <c r="BN391" i="3"/>
  <c r="BM391" i="3"/>
  <c r="BK391" i="3"/>
  <c r="BJ391" i="3"/>
  <c r="BI391" i="3"/>
  <c r="BH391" i="3"/>
  <c r="BG391" i="3"/>
  <c r="BF391" i="3"/>
  <c r="BE391" i="3"/>
  <c r="BD391" i="3"/>
  <c r="BC391" i="3"/>
  <c r="BB391" i="3"/>
  <c r="AX391" i="3"/>
  <c r="AW391" i="3"/>
  <c r="AV391" i="3"/>
  <c r="AC391" i="3"/>
  <c r="H391" i="3"/>
  <c r="BT390" i="3"/>
  <c r="BS390" i="3"/>
  <c r="BR390" i="3"/>
  <c r="BQ390" i="3"/>
  <c r="BP390" i="3"/>
  <c r="BO390" i="3"/>
  <c r="BN390" i="3"/>
  <c r="BM390" i="3"/>
  <c r="BK390" i="3"/>
  <c r="BJ390" i="3"/>
  <c r="BI390" i="3"/>
  <c r="BH390" i="3"/>
  <c r="BG390" i="3"/>
  <c r="BF390" i="3"/>
  <c r="BE390" i="3"/>
  <c r="BD390" i="3"/>
  <c r="BC390" i="3"/>
  <c r="BB390" i="3"/>
  <c r="AX390" i="3"/>
  <c r="AW390" i="3"/>
  <c r="AV390" i="3"/>
  <c r="AC390" i="3"/>
  <c r="H390" i="3"/>
  <c r="BT389" i="3"/>
  <c r="BS389" i="3"/>
  <c r="BR389" i="3"/>
  <c r="BQ389" i="3"/>
  <c r="BP389" i="3"/>
  <c r="BO389" i="3"/>
  <c r="BN389" i="3"/>
  <c r="BM389" i="3"/>
  <c r="BK389" i="3"/>
  <c r="BJ389" i="3"/>
  <c r="BI389" i="3"/>
  <c r="BH389" i="3"/>
  <c r="BG389" i="3"/>
  <c r="BF389" i="3"/>
  <c r="BE389" i="3"/>
  <c r="BD389" i="3"/>
  <c r="BC389" i="3"/>
  <c r="BB389" i="3"/>
  <c r="AX389" i="3"/>
  <c r="AW389" i="3"/>
  <c r="AV389" i="3"/>
  <c r="AC389" i="3"/>
  <c r="H389" i="3"/>
  <c r="BT388" i="3"/>
  <c r="BS388" i="3"/>
  <c r="BR388" i="3"/>
  <c r="BQ388" i="3"/>
  <c r="BP388" i="3"/>
  <c r="BO388" i="3"/>
  <c r="BN388" i="3"/>
  <c r="BM388" i="3"/>
  <c r="BK388" i="3"/>
  <c r="BJ388" i="3"/>
  <c r="BI388" i="3"/>
  <c r="BH388" i="3"/>
  <c r="BG388" i="3"/>
  <c r="BF388" i="3"/>
  <c r="BE388" i="3"/>
  <c r="BD388" i="3"/>
  <c r="BC388" i="3"/>
  <c r="BB388" i="3"/>
  <c r="BA388" i="3"/>
  <c r="AX388" i="3"/>
  <c r="AW388" i="3"/>
  <c r="AV388" i="3"/>
  <c r="AC388" i="3"/>
  <c r="H388" i="3"/>
  <c r="BT387" i="3"/>
  <c r="BS387" i="3"/>
  <c r="BR387" i="3"/>
  <c r="BQ387" i="3"/>
  <c r="BP387" i="3"/>
  <c r="BO387" i="3"/>
  <c r="BN387" i="3"/>
  <c r="BM387" i="3"/>
  <c r="BK387" i="3"/>
  <c r="BJ387" i="3"/>
  <c r="BI387" i="3"/>
  <c r="BH387" i="3"/>
  <c r="BG387" i="3"/>
  <c r="BF387" i="3"/>
  <c r="BE387" i="3"/>
  <c r="BD387" i="3"/>
  <c r="BC387" i="3"/>
  <c r="BB387" i="3"/>
  <c r="AX387" i="3"/>
  <c r="AW387" i="3"/>
  <c r="AV387" i="3"/>
  <c r="AC387" i="3"/>
  <c r="H387" i="3"/>
  <c r="G387" i="3"/>
  <c r="BT386" i="3"/>
  <c r="BS386" i="3"/>
  <c r="BR386" i="3"/>
  <c r="BQ386" i="3"/>
  <c r="BP386" i="3"/>
  <c r="BO386" i="3"/>
  <c r="BN386" i="3"/>
  <c r="BM386" i="3"/>
  <c r="BL386" i="3"/>
  <c r="BK386" i="3"/>
  <c r="BJ386" i="3"/>
  <c r="BI386" i="3"/>
  <c r="BH386" i="3"/>
  <c r="BG386" i="3"/>
  <c r="BF386" i="3"/>
  <c r="BE386" i="3"/>
  <c r="BD386" i="3"/>
  <c r="BC386" i="3"/>
  <c r="BB386" i="3"/>
  <c r="BA386" i="3"/>
  <c r="AX386" i="3"/>
  <c r="AW386" i="3"/>
  <c r="AV386" i="3"/>
  <c r="AC386" i="3"/>
  <c r="H386" i="3"/>
  <c r="BT385" i="3"/>
  <c r="BS385" i="3"/>
  <c r="BR385" i="3"/>
  <c r="BQ385" i="3"/>
  <c r="BP385" i="3"/>
  <c r="BO385" i="3"/>
  <c r="BN385" i="3"/>
  <c r="BM385" i="3"/>
  <c r="BL385" i="3"/>
  <c r="BK385" i="3"/>
  <c r="BJ385" i="3"/>
  <c r="BI385" i="3"/>
  <c r="BH385" i="3"/>
  <c r="BG385" i="3"/>
  <c r="BF385" i="3"/>
  <c r="BE385" i="3"/>
  <c r="BD385" i="3"/>
  <c r="BC385" i="3"/>
  <c r="BB385" i="3"/>
  <c r="BA385" i="3"/>
  <c r="AZ385" i="3"/>
  <c r="AX385" i="3"/>
  <c r="AW385" i="3"/>
  <c r="AV385" i="3"/>
  <c r="AC385" i="3"/>
  <c r="H385" i="3"/>
  <c r="BT384" i="3"/>
  <c r="BS384" i="3"/>
  <c r="BR384" i="3"/>
  <c r="BQ384" i="3"/>
  <c r="BP384" i="3"/>
  <c r="BO384" i="3"/>
  <c r="BN384" i="3"/>
  <c r="BM384" i="3"/>
  <c r="BK384" i="3"/>
  <c r="BJ384" i="3"/>
  <c r="BI384" i="3"/>
  <c r="BH384" i="3"/>
  <c r="BG384" i="3"/>
  <c r="BF384" i="3"/>
  <c r="BE384" i="3"/>
  <c r="BD384" i="3"/>
  <c r="BC384" i="3"/>
  <c r="BB384" i="3"/>
  <c r="BA384" i="3"/>
  <c r="AX384" i="3"/>
  <c r="AW384" i="3"/>
  <c r="AV384" i="3"/>
  <c r="AC384" i="3"/>
  <c r="H384" i="3"/>
  <c r="G384" i="3"/>
  <c r="BT383" i="3"/>
  <c r="BS383" i="3"/>
  <c r="BR383" i="3"/>
  <c r="BQ383" i="3"/>
  <c r="BP383" i="3"/>
  <c r="BO383" i="3"/>
  <c r="BN383" i="3"/>
  <c r="BM383" i="3"/>
  <c r="BL383" i="3"/>
  <c r="BK383" i="3"/>
  <c r="BJ383" i="3"/>
  <c r="BI383" i="3"/>
  <c r="BH383" i="3"/>
  <c r="BG383" i="3"/>
  <c r="BF383" i="3"/>
  <c r="BE383" i="3"/>
  <c r="BD383" i="3"/>
  <c r="BC383" i="3"/>
  <c r="BB383" i="3"/>
  <c r="AX383" i="3"/>
  <c r="AW383" i="3"/>
  <c r="AV383" i="3"/>
  <c r="AC383" i="3"/>
  <c r="H383" i="3"/>
  <c r="BT382" i="3"/>
  <c r="BS382" i="3"/>
  <c r="BR382" i="3"/>
  <c r="BQ382" i="3"/>
  <c r="BP382" i="3"/>
  <c r="BO382" i="3"/>
  <c r="BN382" i="3"/>
  <c r="BM382" i="3"/>
  <c r="BK382" i="3"/>
  <c r="BJ382" i="3"/>
  <c r="BI382" i="3"/>
  <c r="BH382" i="3"/>
  <c r="BG382" i="3"/>
  <c r="BF382" i="3"/>
  <c r="BE382" i="3"/>
  <c r="BD382" i="3"/>
  <c r="BC382" i="3"/>
  <c r="BB382" i="3"/>
  <c r="AX382" i="3"/>
  <c r="AW382" i="3"/>
  <c r="AV382" i="3"/>
  <c r="AC382" i="3"/>
  <c r="H382" i="3"/>
  <c r="G382" i="3"/>
  <c r="BT381" i="3"/>
  <c r="BS381" i="3"/>
  <c r="BR381" i="3"/>
  <c r="BQ381" i="3"/>
  <c r="BP381" i="3"/>
  <c r="BO381" i="3"/>
  <c r="BN381" i="3"/>
  <c r="BM381" i="3"/>
  <c r="BL381" i="3"/>
  <c r="BK381" i="3"/>
  <c r="BJ381" i="3"/>
  <c r="BI381" i="3"/>
  <c r="BH381" i="3"/>
  <c r="BG381" i="3"/>
  <c r="BF381" i="3"/>
  <c r="BE381" i="3"/>
  <c r="BD381" i="3"/>
  <c r="BC381" i="3"/>
  <c r="BB381" i="3"/>
  <c r="AX381" i="3"/>
  <c r="AW381" i="3"/>
  <c r="AV381" i="3"/>
  <c r="AC381" i="3"/>
  <c r="H381" i="3"/>
  <c r="BT380" i="3"/>
  <c r="BS380" i="3"/>
  <c r="BR380" i="3"/>
  <c r="BQ380" i="3"/>
  <c r="BP380" i="3"/>
  <c r="BO380" i="3"/>
  <c r="BN380" i="3"/>
  <c r="BM380" i="3"/>
  <c r="BK380" i="3"/>
  <c r="BJ380" i="3"/>
  <c r="BI380" i="3"/>
  <c r="BH380" i="3"/>
  <c r="BG380" i="3"/>
  <c r="BF380" i="3"/>
  <c r="BE380" i="3"/>
  <c r="BD380" i="3"/>
  <c r="BC380" i="3"/>
  <c r="BB380" i="3"/>
  <c r="AX380" i="3"/>
  <c r="AW380" i="3"/>
  <c r="AV380" i="3"/>
  <c r="AC380" i="3"/>
  <c r="H380" i="3"/>
  <c r="G380" i="3"/>
  <c r="BT379" i="3"/>
  <c r="BS379" i="3"/>
  <c r="BR379" i="3"/>
  <c r="BQ379" i="3"/>
  <c r="BP379" i="3"/>
  <c r="BO379" i="3"/>
  <c r="BN379" i="3"/>
  <c r="BM379" i="3"/>
  <c r="BK379" i="3"/>
  <c r="BJ379" i="3"/>
  <c r="BI379" i="3"/>
  <c r="BH379" i="3"/>
  <c r="BG379" i="3"/>
  <c r="BF379" i="3"/>
  <c r="BE379" i="3"/>
  <c r="BD379" i="3"/>
  <c r="BC379" i="3"/>
  <c r="BB379" i="3"/>
  <c r="AX379" i="3"/>
  <c r="AW379" i="3"/>
  <c r="AV379" i="3"/>
  <c r="AC379" i="3"/>
  <c r="H379" i="3"/>
  <c r="BT378" i="3"/>
  <c r="BS378" i="3"/>
  <c r="BR378" i="3"/>
  <c r="BQ378" i="3"/>
  <c r="BP378" i="3"/>
  <c r="BO378" i="3"/>
  <c r="BN378" i="3"/>
  <c r="BM378" i="3"/>
  <c r="BK378" i="3"/>
  <c r="BJ378" i="3"/>
  <c r="BI378" i="3"/>
  <c r="BH378" i="3"/>
  <c r="BG378" i="3"/>
  <c r="BF378" i="3"/>
  <c r="BE378" i="3"/>
  <c r="BD378" i="3"/>
  <c r="BC378" i="3"/>
  <c r="BB378" i="3"/>
  <c r="AX378" i="3"/>
  <c r="AW378" i="3"/>
  <c r="AV378" i="3"/>
  <c r="AC378" i="3"/>
  <c r="H378" i="3"/>
  <c r="G378" i="3"/>
  <c r="BT377" i="3"/>
  <c r="BS377" i="3"/>
  <c r="BR377" i="3"/>
  <c r="BQ377" i="3"/>
  <c r="BP377" i="3"/>
  <c r="BO377" i="3"/>
  <c r="BN377" i="3"/>
  <c r="BM377" i="3"/>
  <c r="BK377" i="3"/>
  <c r="BJ377" i="3"/>
  <c r="BI377" i="3"/>
  <c r="BH377" i="3"/>
  <c r="BG377" i="3"/>
  <c r="BF377" i="3"/>
  <c r="BE377" i="3"/>
  <c r="BD377" i="3"/>
  <c r="BC377" i="3"/>
  <c r="BB377" i="3"/>
  <c r="AX377" i="3"/>
  <c r="AW377" i="3"/>
  <c r="AV377" i="3"/>
  <c r="AC377" i="3"/>
  <c r="H377" i="3"/>
  <c r="BT376" i="3"/>
  <c r="BS376" i="3"/>
  <c r="BR376" i="3"/>
  <c r="BQ376" i="3"/>
  <c r="BP376" i="3"/>
  <c r="BO376" i="3"/>
  <c r="BN376" i="3"/>
  <c r="BM376" i="3"/>
  <c r="BK376" i="3"/>
  <c r="BJ376" i="3"/>
  <c r="BI376" i="3"/>
  <c r="BH376" i="3"/>
  <c r="BG376" i="3"/>
  <c r="BF376" i="3"/>
  <c r="BE376" i="3"/>
  <c r="BD376" i="3"/>
  <c r="BC376" i="3"/>
  <c r="BB376" i="3"/>
  <c r="AX376" i="3"/>
  <c r="AW376" i="3"/>
  <c r="AV376" i="3"/>
  <c r="AC376" i="3"/>
  <c r="H376" i="3"/>
  <c r="BT375" i="3"/>
  <c r="BS375" i="3"/>
  <c r="BR375" i="3"/>
  <c r="BQ375" i="3"/>
  <c r="BP375" i="3"/>
  <c r="BO375" i="3"/>
  <c r="BN375" i="3"/>
  <c r="BM375" i="3"/>
  <c r="BL375" i="3"/>
  <c r="BK375" i="3"/>
  <c r="BJ375" i="3"/>
  <c r="BI375" i="3"/>
  <c r="BH375" i="3"/>
  <c r="BG375" i="3"/>
  <c r="BF375" i="3"/>
  <c r="BE375" i="3"/>
  <c r="BD375" i="3"/>
  <c r="BC375" i="3"/>
  <c r="BB375" i="3"/>
  <c r="AX375" i="3"/>
  <c r="AW375" i="3"/>
  <c r="AV375" i="3"/>
  <c r="AC375" i="3"/>
  <c r="H375" i="3"/>
  <c r="BT374" i="3"/>
  <c r="BS374" i="3"/>
  <c r="BR374" i="3"/>
  <c r="BQ374" i="3"/>
  <c r="BP374" i="3"/>
  <c r="BO374" i="3"/>
  <c r="BN374" i="3"/>
  <c r="BM374" i="3"/>
  <c r="BK374" i="3"/>
  <c r="BJ374" i="3"/>
  <c r="BI374" i="3"/>
  <c r="BH374" i="3"/>
  <c r="BG374" i="3"/>
  <c r="BF374" i="3"/>
  <c r="BE374" i="3"/>
  <c r="BD374" i="3"/>
  <c r="BC374" i="3"/>
  <c r="BB374" i="3"/>
  <c r="BA374" i="3"/>
  <c r="AX374" i="3"/>
  <c r="AW374" i="3"/>
  <c r="AV374" i="3"/>
  <c r="AC374" i="3"/>
  <c r="H374" i="3"/>
  <c r="G374" i="3"/>
  <c r="BT373" i="3"/>
  <c r="BS373" i="3"/>
  <c r="BR373" i="3"/>
  <c r="BQ373" i="3"/>
  <c r="BP373" i="3"/>
  <c r="BO373" i="3"/>
  <c r="BN373" i="3"/>
  <c r="BM373" i="3"/>
  <c r="BK373" i="3"/>
  <c r="BJ373" i="3"/>
  <c r="BI373" i="3"/>
  <c r="BH373" i="3"/>
  <c r="BG373" i="3"/>
  <c r="BF373" i="3"/>
  <c r="BE373" i="3"/>
  <c r="BD373" i="3"/>
  <c r="BC373" i="3"/>
  <c r="BB373" i="3"/>
  <c r="AX373" i="3"/>
  <c r="AW373" i="3"/>
  <c r="AV373" i="3"/>
  <c r="AC373" i="3"/>
  <c r="H373" i="3"/>
  <c r="BT372" i="3"/>
  <c r="BS372" i="3"/>
  <c r="BR372" i="3"/>
  <c r="BQ372" i="3"/>
  <c r="BP372" i="3"/>
  <c r="BO372" i="3"/>
  <c r="BN372" i="3"/>
  <c r="BM372" i="3"/>
  <c r="BK372" i="3"/>
  <c r="BJ372" i="3"/>
  <c r="BI372" i="3"/>
  <c r="BH372" i="3"/>
  <c r="BG372" i="3"/>
  <c r="BF372" i="3"/>
  <c r="BE372" i="3"/>
  <c r="BD372" i="3"/>
  <c r="BC372" i="3"/>
  <c r="BB372" i="3"/>
  <c r="AX372" i="3"/>
  <c r="AW372" i="3"/>
  <c r="AV372" i="3"/>
  <c r="AC372" i="3"/>
  <c r="H372" i="3"/>
  <c r="BT371" i="3"/>
  <c r="BS371" i="3"/>
  <c r="BR371" i="3"/>
  <c r="BQ371" i="3"/>
  <c r="BP371" i="3"/>
  <c r="BO371" i="3"/>
  <c r="BN371" i="3"/>
  <c r="BM371" i="3"/>
  <c r="BK371" i="3"/>
  <c r="BJ371" i="3"/>
  <c r="BI371" i="3"/>
  <c r="BH371" i="3"/>
  <c r="BG371" i="3"/>
  <c r="BF371" i="3"/>
  <c r="BE371" i="3"/>
  <c r="BD371" i="3"/>
  <c r="BC371" i="3"/>
  <c r="BB371" i="3"/>
  <c r="AX371" i="3"/>
  <c r="AW371" i="3"/>
  <c r="AV371" i="3"/>
  <c r="AC371" i="3"/>
  <c r="H371" i="3"/>
  <c r="BT370" i="3"/>
  <c r="BS370" i="3"/>
  <c r="BR370" i="3"/>
  <c r="BQ370" i="3"/>
  <c r="BP370" i="3"/>
  <c r="BO370" i="3"/>
  <c r="BN370" i="3"/>
  <c r="BM370" i="3"/>
  <c r="BK370" i="3"/>
  <c r="BJ370" i="3"/>
  <c r="BI370" i="3"/>
  <c r="BH370" i="3"/>
  <c r="BG370" i="3"/>
  <c r="BF370" i="3"/>
  <c r="BE370" i="3"/>
  <c r="BD370" i="3"/>
  <c r="BC370" i="3"/>
  <c r="BB370" i="3"/>
  <c r="BA370" i="3"/>
  <c r="AX370" i="3"/>
  <c r="AW370" i="3"/>
  <c r="AV370" i="3"/>
  <c r="AC370" i="3"/>
  <c r="H370" i="3"/>
  <c r="BT369" i="3"/>
  <c r="BS369" i="3"/>
  <c r="BR369" i="3"/>
  <c r="BQ369" i="3"/>
  <c r="BP369" i="3"/>
  <c r="BO369" i="3"/>
  <c r="BN369" i="3"/>
  <c r="BM369" i="3"/>
  <c r="BK369" i="3"/>
  <c r="BJ369" i="3"/>
  <c r="BI369" i="3"/>
  <c r="BH369" i="3"/>
  <c r="BG369" i="3"/>
  <c r="BF369" i="3"/>
  <c r="BE369" i="3"/>
  <c r="BD369" i="3"/>
  <c r="BC369" i="3"/>
  <c r="BB369" i="3"/>
  <c r="AX369" i="3"/>
  <c r="AW369" i="3"/>
  <c r="AV369" i="3"/>
  <c r="AC369" i="3"/>
  <c r="H369" i="3"/>
  <c r="G369" i="3"/>
  <c r="BT368" i="3"/>
  <c r="BS368" i="3"/>
  <c r="BR368" i="3"/>
  <c r="BQ368" i="3"/>
  <c r="BP368" i="3"/>
  <c r="BO368" i="3"/>
  <c r="BN368" i="3"/>
  <c r="BM368" i="3"/>
  <c r="BL368" i="3"/>
  <c r="BK368" i="3"/>
  <c r="BJ368" i="3"/>
  <c r="BI368" i="3"/>
  <c r="BH368" i="3"/>
  <c r="BG368" i="3"/>
  <c r="BF368" i="3"/>
  <c r="BE368" i="3"/>
  <c r="BD368" i="3"/>
  <c r="BC368" i="3"/>
  <c r="BB368" i="3"/>
  <c r="BA368" i="3"/>
  <c r="AX368" i="3"/>
  <c r="AW368" i="3"/>
  <c r="AV368" i="3"/>
  <c r="AC368" i="3"/>
  <c r="H368" i="3"/>
  <c r="BT367" i="3"/>
  <c r="BS367" i="3"/>
  <c r="BR367" i="3"/>
  <c r="BQ367" i="3"/>
  <c r="BP367" i="3"/>
  <c r="BO367" i="3"/>
  <c r="BN367" i="3"/>
  <c r="BM367" i="3"/>
  <c r="BL367" i="3"/>
  <c r="BK367" i="3"/>
  <c r="BJ367" i="3"/>
  <c r="BI367" i="3"/>
  <c r="BH367" i="3"/>
  <c r="BG367" i="3"/>
  <c r="BF367" i="3"/>
  <c r="BE367" i="3"/>
  <c r="BD367" i="3"/>
  <c r="BC367" i="3"/>
  <c r="BB367" i="3"/>
  <c r="BA367" i="3"/>
  <c r="AX367" i="3"/>
  <c r="AW367" i="3"/>
  <c r="AV367" i="3"/>
  <c r="AC367" i="3"/>
  <c r="H367" i="3"/>
  <c r="BT366" i="3"/>
  <c r="BS366" i="3"/>
  <c r="BR366" i="3"/>
  <c r="BQ366" i="3"/>
  <c r="BP366" i="3"/>
  <c r="BO366" i="3"/>
  <c r="BN366" i="3"/>
  <c r="BM366" i="3"/>
  <c r="BK366" i="3"/>
  <c r="BJ366" i="3"/>
  <c r="BI366" i="3"/>
  <c r="BH366" i="3"/>
  <c r="BG366" i="3"/>
  <c r="BF366" i="3"/>
  <c r="BE366" i="3"/>
  <c r="BD366" i="3"/>
  <c r="BC366" i="3"/>
  <c r="BB366" i="3"/>
  <c r="BA366" i="3"/>
  <c r="AX366" i="3"/>
  <c r="AW366" i="3"/>
  <c r="AV366" i="3"/>
  <c r="AC366" i="3"/>
  <c r="H366" i="3"/>
  <c r="G366" i="3"/>
  <c r="BT365" i="3"/>
  <c r="BS365" i="3"/>
  <c r="BR365" i="3"/>
  <c r="BQ365" i="3"/>
  <c r="BP365" i="3"/>
  <c r="BO365" i="3"/>
  <c r="BN365" i="3"/>
  <c r="BM365" i="3"/>
  <c r="BL365" i="3"/>
  <c r="BK365" i="3"/>
  <c r="BJ365" i="3"/>
  <c r="BI365" i="3"/>
  <c r="BH365" i="3"/>
  <c r="BG365" i="3"/>
  <c r="BF365" i="3"/>
  <c r="BE365" i="3"/>
  <c r="BD365" i="3"/>
  <c r="BC365" i="3"/>
  <c r="BB365" i="3"/>
  <c r="AX365" i="3"/>
  <c r="AW365" i="3"/>
  <c r="AV365" i="3"/>
  <c r="AC365" i="3"/>
  <c r="H365" i="3"/>
  <c r="BT364" i="3"/>
  <c r="BS364" i="3"/>
  <c r="BR364" i="3"/>
  <c r="BQ364" i="3"/>
  <c r="BP364" i="3"/>
  <c r="BO364" i="3"/>
  <c r="BN364" i="3"/>
  <c r="BM364" i="3"/>
  <c r="BK364" i="3"/>
  <c r="BJ364" i="3"/>
  <c r="BI364" i="3"/>
  <c r="BH364" i="3"/>
  <c r="BG364" i="3"/>
  <c r="BF364" i="3"/>
  <c r="BE364" i="3"/>
  <c r="BD364" i="3"/>
  <c r="BC364" i="3"/>
  <c r="BB364" i="3"/>
  <c r="AX364" i="3"/>
  <c r="AW364" i="3"/>
  <c r="AV364" i="3"/>
  <c r="AC364" i="3"/>
  <c r="H364" i="3"/>
  <c r="G364" i="3"/>
  <c r="BT363" i="3"/>
  <c r="BS363" i="3"/>
  <c r="BR363" i="3"/>
  <c r="BQ363" i="3"/>
  <c r="BP363" i="3"/>
  <c r="BO363" i="3"/>
  <c r="BN363" i="3"/>
  <c r="BM363" i="3"/>
  <c r="BL363" i="3"/>
  <c r="BK363" i="3"/>
  <c r="BJ363" i="3"/>
  <c r="BI363" i="3"/>
  <c r="BH363" i="3"/>
  <c r="BG363" i="3"/>
  <c r="BF363" i="3"/>
  <c r="BE363" i="3"/>
  <c r="BD363" i="3"/>
  <c r="BC363" i="3"/>
  <c r="BB363" i="3"/>
  <c r="AX363" i="3"/>
  <c r="AW363" i="3"/>
  <c r="AV363" i="3"/>
  <c r="AC363" i="3"/>
  <c r="H363" i="3"/>
  <c r="BT362" i="3"/>
  <c r="BS362" i="3"/>
  <c r="BR362" i="3"/>
  <c r="BQ362" i="3"/>
  <c r="BP362" i="3"/>
  <c r="BO362" i="3"/>
  <c r="BN362" i="3"/>
  <c r="BM362" i="3"/>
  <c r="BK362" i="3"/>
  <c r="BJ362" i="3"/>
  <c r="BI362" i="3"/>
  <c r="BH362" i="3"/>
  <c r="BG362" i="3"/>
  <c r="BF362" i="3"/>
  <c r="BE362" i="3"/>
  <c r="BD362" i="3"/>
  <c r="BC362" i="3"/>
  <c r="BB362" i="3"/>
  <c r="AX362" i="3"/>
  <c r="AW362" i="3"/>
  <c r="AV362" i="3"/>
  <c r="AC362" i="3"/>
  <c r="H362" i="3"/>
  <c r="G362" i="3"/>
  <c r="BT361" i="3"/>
  <c r="BS361" i="3"/>
  <c r="BR361" i="3"/>
  <c r="BQ361" i="3"/>
  <c r="BP361" i="3"/>
  <c r="BO361" i="3"/>
  <c r="BN361" i="3"/>
  <c r="BM361" i="3"/>
  <c r="BK361" i="3"/>
  <c r="BJ361" i="3"/>
  <c r="BI361" i="3"/>
  <c r="BH361" i="3"/>
  <c r="BG361" i="3"/>
  <c r="BF361" i="3"/>
  <c r="BE361" i="3"/>
  <c r="BD361" i="3"/>
  <c r="BC361" i="3"/>
  <c r="BB361" i="3"/>
  <c r="AX361" i="3"/>
  <c r="AW361" i="3"/>
  <c r="AV361" i="3"/>
  <c r="AC361" i="3"/>
  <c r="H361" i="3"/>
  <c r="BT360" i="3"/>
  <c r="BS360" i="3"/>
  <c r="BR360" i="3"/>
  <c r="BQ360" i="3"/>
  <c r="BP360" i="3"/>
  <c r="BO360" i="3"/>
  <c r="BN360" i="3"/>
  <c r="BM360" i="3"/>
  <c r="BK360" i="3"/>
  <c r="BJ360" i="3"/>
  <c r="BI360" i="3"/>
  <c r="BH360" i="3"/>
  <c r="BG360" i="3"/>
  <c r="BF360" i="3"/>
  <c r="BE360" i="3"/>
  <c r="BD360" i="3"/>
  <c r="BC360" i="3"/>
  <c r="BB360" i="3"/>
  <c r="AX360" i="3"/>
  <c r="AW360" i="3"/>
  <c r="AV360" i="3"/>
  <c r="AC360" i="3"/>
  <c r="H360" i="3"/>
  <c r="BT359" i="3"/>
  <c r="BS359" i="3"/>
  <c r="BR359" i="3"/>
  <c r="BQ359" i="3"/>
  <c r="BP359" i="3"/>
  <c r="BO359" i="3"/>
  <c r="BN359" i="3"/>
  <c r="BM359" i="3"/>
  <c r="BL359" i="3"/>
  <c r="BK359" i="3"/>
  <c r="BJ359" i="3"/>
  <c r="BI359" i="3"/>
  <c r="BH359" i="3"/>
  <c r="BG359" i="3"/>
  <c r="BF359" i="3"/>
  <c r="BE359" i="3"/>
  <c r="BD359" i="3"/>
  <c r="BC359" i="3"/>
  <c r="BB359" i="3"/>
  <c r="AX359" i="3"/>
  <c r="AW359" i="3"/>
  <c r="AV359" i="3"/>
  <c r="AC359" i="3"/>
  <c r="H359" i="3"/>
  <c r="BT358" i="3"/>
  <c r="BS358" i="3"/>
  <c r="BR358" i="3"/>
  <c r="BQ358" i="3"/>
  <c r="BP358" i="3"/>
  <c r="BO358" i="3"/>
  <c r="BN358" i="3"/>
  <c r="BM358" i="3"/>
  <c r="BK358" i="3"/>
  <c r="BJ358" i="3"/>
  <c r="BI358" i="3"/>
  <c r="BH358" i="3"/>
  <c r="BG358" i="3"/>
  <c r="BF358" i="3"/>
  <c r="BE358" i="3"/>
  <c r="BD358" i="3"/>
  <c r="BC358" i="3"/>
  <c r="BB358" i="3"/>
  <c r="BA358" i="3"/>
  <c r="AX358" i="3"/>
  <c r="AW358" i="3"/>
  <c r="AV358" i="3"/>
  <c r="AC358" i="3"/>
  <c r="H358" i="3"/>
  <c r="G358" i="3"/>
  <c r="BT357" i="3"/>
  <c r="BS357" i="3"/>
  <c r="BR357" i="3"/>
  <c r="BQ357" i="3"/>
  <c r="BP357" i="3"/>
  <c r="BO357" i="3"/>
  <c r="BN357" i="3"/>
  <c r="BM357" i="3"/>
  <c r="BK357" i="3"/>
  <c r="BJ357" i="3"/>
  <c r="BI357" i="3"/>
  <c r="BH357" i="3"/>
  <c r="BG357" i="3"/>
  <c r="BF357" i="3"/>
  <c r="BE357" i="3"/>
  <c r="BD357" i="3"/>
  <c r="BC357" i="3"/>
  <c r="BB357" i="3"/>
  <c r="AX357" i="3"/>
  <c r="AW357" i="3"/>
  <c r="AV357" i="3"/>
  <c r="AC357" i="3"/>
  <c r="H357" i="3"/>
  <c r="BT356" i="3"/>
  <c r="BS356" i="3"/>
  <c r="BR356" i="3"/>
  <c r="BQ356" i="3"/>
  <c r="BP356" i="3"/>
  <c r="BO356" i="3"/>
  <c r="BN356" i="3"/>
  <c r="BM356" i="3"/>
  <c r="BK356" i="3"/>
  <c r="BJ356" i="3"/>
  <c r="BI356" i="3"/>
  <c r="BH356" i="3"/>
  <c r="BG356" i="3"/>
  <c r="BF356" i="3"/>
  <c r="BE356" i="3"/>
  <c r="BD356" i="3"/>
  <c r="BC356" i="3"/>
  <c r="BB356" i="3"/>
  <c r="AX356" i="3"/>
  <c r="AW356" i="3"/>
  <c r="AV356" i="3"/>
  <c r="AC356" i="3"/>
  <c r="H356" i="3"/>
  <c r="BT355" i="3"/>
  <c r="BS355" i="3"/>
  <c r="BR355" i="3"/>
  <c r="BQ355" i="3"/>
  <c r="BP355" i="3"/>
  <c r="BO355" i="3"/>
  <c r="BN355" i="3"/>
  <c r="BM355" i="3"/>
  <c r="BK355" i="3"/>
  <c r="BJ355" i="3"/>
  <c r="BI355" i="3"/>
  <c r="BH355" i="3"/>
  <c r="BG355" i="3"/>
  <c r="BF355" i="3"/>
  <c r="BE355" i="3"/>
  <c r="BD355" i="3"/>
  <c r="BC355" i="3"/>
  <c r="BB355" i="3"/>
  <c r="AX355" i="3"/>
  <c r="AW355" i="3"/>
  <c r="AV355" i="3"/>
  <c r="AC355" i="3"/>
  <c r="H355" i="3"/>
  <c r="BT354" i="3"/>
  <c r="BS354" i="3"/>
  <c r="BR354" i="3"/>
  <c r="BQ354" i="3"/>
  <c r="BP354" i="3"/>
  <c r="BO354" i="3"/>
  <c r="BN354" i="3"/>
  <c r="BM354" i="3"/>
  <c r="BL354" i="3"/>
  <c r="BK354" i="3"/>
  <c r="BJ354" i="3"/>
  <c r="BI354" i="3"/>
  <c r="BH354" i="3"/>
  <c r="BG354" i="3"/>
  <c r="BF354" i="3"/>
  <c r="BE354" i="3"/>
  <c r="BD354" i="3"/>
  <c r="BC354" i="3"/>
  <c r="BB354" i="3"/>
  <c r="BA354" i="3"/>
  <c r="AX354" i="3"/>
  <c r="AW354" i="3"/>
  <c r="AV354" i="3"/>
  <c r="AC354" i="3"/>
  <c r="H354" i="3"/>
  <c r="BT353" i="3"/>
  <c r="BS353" i="3"/>
  <c r="BR353" i="3"/>
  <c r="BQ353" i="3"/>
  <c r="BP353" i="3"/>
  <c r="BO353" i="3"/>
  <c r="BN353" i="3"/>
  <c r="BM353" i="3"/>
  <c r="BL353" i="3"/>
  <c r="BK353" i="3"/>
  <c r="BJ353" i="3"/>
  <c r="BI353" i="3"/>
  <c r="BH353" i="3"/>
  <c r="BG353" i="3"/>
  <c r="BF353" i="3"/>
  <c r="BE353" i="3"/>
  <c r="BD353" i="3"/>
  <c r="BC353" i="3"/>
  <c r="BB353" i="3"/>
  <c r="BA353" i="3"/>
  <c r="AX353" i="3"/>
  <c r="AW353" i="3"/>
  <c r="AV353" i="3"/>
  <c r="AC353" i="3"/>
  <c r="H353" i="3"/>
  <c r="BT352" i="3"/>
  <c r="BS352" i="3"/>
  <c r="BR352" i="3"/>
  <c r="BQ352" i="3"/>
  <c r="BP352" i="3"/>
  <c r="BO352" i="3"/>
  <c r="BN352" i="3"/>
  <c r="BM352" i="3"/>
  <c r="BK352" i="3"/>
  <c r="BJ352" i="3"/>
  <c r="BI352" i="3"/>
  <c r="BH352" i="3"/>
  <c r="BG352" i="3"/>
  <c r="BF352" i="3"/>
  <c r="BE352" i="3"/>
  <c r="BD352" i="3"/>
  <c r="BC352" i="3"/>
  <c r="BB352" i="3"/>
  <c r="BA352" i="3"/>
  <c r="AX352" i="3"/>
  <c r="AW352" i="3"/>
  <c r="AV352" i="3"/>
  <c r="AC352" i="3"/>
  <c r="H352" i="3"/>
  <c r="BT351" i="3"/>
  <c r="BS351" i="3"/>
  <c r="BR351" i="3"/>
  <c r="BQ351" i="3"/>
  <c r="BP351" i="3"/>
  <c r="BO351" i="3"/>
  <c r="BN351" i="3"/>
  <c r="BM351" i="3"/>
  <c r="BK351" i="3"/>
  <c r="BJ351" i="3"/>
  <c r="BI351" i="3"/>
  <c r="BH351" i="3"/>
  <c r="BG351" i="3"/>
  <c r="BF351" i="3"/>
  <c r="BE351" i="3"/>
  <c r="BD351" i="3"/>
  <c r="BC351" i="3"/>
  <c r="BB351" i="3"/>
  <c r="AX351" i="3"/>
  <c r="AW351" i="3"/>
  <c r="AV351" i="3"/>
  <c r="AC351" i="3"/>
  <c r="H351" i="3"/>
  <c r="G351" i="3"/>
  <c r="BT350" i="3"/>
  <c r="BS350" i="3"/>
  <c r="BR350" i="3"/>
  <c r="BQ350" i="3"/>
  <c r="BP350" i="3"/>
  <c r="BO350" i="3"/>
  <c r="BN350" i="3"/>
  <c r="BM350" i="3"/>
  <c r="BL350" i="3"/>
  <c r="BK350" i="3"/>
  <c r="BJ350" i="3"/>
  <c r="BI350" i="3"/>
  <c r="BH350" i="3"/>
  <c r="BG350" i="3"/>
  <c r="BF350" i="3"/>
  <c r="BE350" i="3"/>
  <c r="BD350" i="3"/>
  <c r="BC350" i="3"/>
  <c r="BB350" i="3"/>
  <c r="BA350" i="3"/>
  <c r="AX350" i="3"/>
  <c r="AW350" i="3"/>
  <c r="AV350" i="3"/>
  <c r="AC350" i="3"/>
  <c r="H350" i="3"/>
  <c r="BT349" i="3"/>
  <c r="BS349" i="3"/>
  <c r="BR349" i="3"/>
  <c r="BQ349" i="3"/>
  <c r="BP349" i="3"/>
  <c r="BO349" i="3"/>
  <c r="BN349" i="3"/>
  <c r="BM349" i="3"/>
  <c r="BK349" i="3"/>
  <c r="BJ349" i="3"/>
  <c r="BI349" i="3"/>
  <c r="BH349" i="3"/>
  <c r="BG349" i="3"/>
  <c r="BF349" i="3"/>
  <c r="BE349" i="3"/>
  <c r="BD349" i="3"/>
  <c r="BC349" i="3"/>
  <c r="BB349" i="3"/>
  <c r="BA349" i="3"/>
  <c r="AX349" i="3"/>
  <c r="AW349" i="3"/>
  <c r="AV349" i="3"/>
  <c r="AC349" i="3"/>
  <c r="H349" i="3"/>
  <c r="G349" i="3"/>
  <c r="BT348" i="3"/>
  <c r="BS348" i="3"/>
  <c r="BR348" i="3"/>
  <c r="BQ348" i="3"/>
  <c r="BP348" i="3"/>
  <c r="BO348" i="3"/>
  <c r="BN348" i="3"/>
  <c r="BM348" i="3"/>
  <c r="BL348" i="3"/>
  <c r="BK348" i="3"/>
  <c r="BJ348" i="3"/>
  <c r="BI348" i="3"/>
  <c r="BH348" i="3"/>
  <c r="BG348" i="3"/>
  <c r="BF348" i="3"/>
  <c r="BE348" i="3"/>
  <c r="BD348" i="3"/>
  <c r="BC348" i="3"/>
  <c r="BB348" i="3"/>
  <c r="BA348" i="3"/>
  <c r="AX348" i="3"/>
  <c r="AW348" i="3"/>
  <c r="AV348" i="3"/>
  <c r="AC348" i="3"/>
  <c r="H348" i="3"/>
  <c r="BT347" i="3"/>
  <c r="BS347" i="3"/>
  <c r="BR347" i="3"/>
  <c r="BQ347" i="3"/>
  <c r="BP347" i="3"/>
  <c r="BO347" i="3"/>
  <c r="BN347" i="3"/>
  <c r="BM347" i="3"/>
  <c r="BK347" i="3"/>
  <c r="BJ347" i="3"/>
  <c r="BI347" i="3"/>
  <c r="BH347" i="3"/>
  <c r="BG347" i="3"/>
  <c r="BF347" i="3"/>
  <c r="BE347" i="3"/>
  <c r="BD347" i="3"/>
  <c r="BC347" i="3"/>
  <c r="BB347" i="3"/>
  <c r="AX347" i="3"/>
  <c r="AW347" i="3"/>
  <c r="AV347" i="3"/>
  <c r="AC347" i="3"/>
  <c r="H347" i="3"/>
  <c r="G347" i="3"/>
  <c r="BT346" i="3"/>
  <c r="BS346" i="3"/>
  <c r="BR346" i="3"/>
  <c r="BQ346" i="3"/>
  <c r="BP346" i="3"/>
  <c r="BO346" i="3"/>
  <c r="BN346" i="3"/>
  <c r="BM346" i="3"/>
  <c r="BL346" i="3"/>
  <c r="BK346" i="3"/>
  <c r="BJ346" i="3"/>
  <c r="BI346" i="3"/>
  <c r="BH346" i="3"/>
  <c r="BG346" i="3"/>
  <c r="BF346" i="3"/>
  <c r="BE346" i="3"/>
  <c r="BD346" i="3"/>
  <c r="BC346" i="3"/>
  <c r="BB346" i="3"/>
  <c r="AX346" i="3"/>
  <c r="AW346" i="3"/>
  <c r="AV346" i="3"/>
  <c r="AC346" i="3"/>
  <c r="H346" i="3"/>
  <c r="BT345" i="3"/>
  <c r="BS345" i="3"/>
  <c r="BR345" i="3"/>
  <c r="BQ345" i="3"/>
  <c r="BP345" i="3"/>
  <c r="BO345" i="3"/>
  <c r="BN345" i="3"/>
  <c r="BM345" i="3"/>
  <c r="BK345" i="3"/>
  <c r="BJ345" i="3"/>
  <c r="BI345" i="3"/>
  <c r="BH345" i="3"/>
  <c r="BG345" i="3"/>
  <c r="BF345" i="3"/>
  <c r="BE345" i="3"/>
  <c r="BD345" i="3"/>
  <c r="BC345" i="3"/>
  <c r="BB345" i="3"/>
  <c r="AX345" i="3"/>
  <c r="AW345" i="3"/>
  <c r="AV345" i="3"/>
  <c r="AC345" i="3"/>
  <c r="H345" i="3"/>
  <c r="G345" i="3"/>
  <c r="BT344" i="3"/>
  <c r="BS344" i="3"/>
  <c r="BR344" i="3"/>
  <c r="BQ344" i="3"/>
  <c r="BP344" i="3"/>
  <c r="BO344" i="3"/>
  <c r="BN344" i="3"/>
  <c r="BM344" i="3"/>
  <c r="BK344" i="3"/>
  <c r="BJ344" i="3"/>
  <c r="BI344" i="3"/>
  <c r="BH344" i="3"/>
  <c r="BG344" i="3"/>
  <c r="BF344" i="3"/>
  <c r="BE344" i="3"/>
  <c r="BD344" i="3"/>
  <c r="BC344" i="3"/>
  <c r="BB344" i="3"/>
  <c r="AX344" i="3"/>
  <c r="AW344" i="3"/>
  <c r="AV344" i="3"/>
  <c r="AC344" i="3"/>
  <c r="H344" i="3"/>
  <c r="BT343" i="3"/>
  <c r="BS343" i="3"/>
  <c r="BR343" i="3"/>
  <c r="BQ343" i="3"/>
  <c r="BP343" i="3"/>
  <c r="BO343" i="3"/>
  <c r="BN343" i="3"/>
  <c r="BM343" i="3"/>
  <c r="BK343" i="3"/>
  <c r="BJ343" i="3"/>
  <c r="BI343" i="3"/>
  <c r="BH343" i="3"/>
  <c r="BG343" i="3"/>
  <c r="BF343" i="3"/>
  <c r="BE343" i="3"/>
  <c r="BD343" i="3"/>
  <c r="BC343" i="3"/>
  <c r="BB343" i="3"/>
  <c r="AX343" i="3"/>
  <c r="AW343" i="3"/>
  <c r="AV343" i="3"/>
  <c r="AC343" i="3"/>
  <c r="H343" i="3"/>
  <c r="G343" i="3"/>
  <c r="BT342" i="3"/>
  <c r="BS342" i="3"/>
  <c r="BR342" i="3"/>
  <c r="BQ342" i="3"/>
  <c r="BP342" i="3"/>
  <c r="BO342" i="3"/>
  <c r="BN342" i="3"/>
  <c r="BM342" i="3"/>
  <c r="BK342" i="3"/>
  <c r="BJ342" i="3"/>
  <c r="BI342" i="3"/>
  <c r="BH342" i="3"/>
  <c r="BG342" i="3"/>
  <c r="BF342" i="3"/>
  <c r="BE342" i="3"/>
  <c r="BD342" i="3"/>
  <c r="BC342" i="3"/>
  <c r="BB342" i="3"/>
  <c r="AX342" i="3"/>
  <c r="AW342" i="3"/>
  <c r="AV342" i="3"/>
  <c r="AC342" i="3"/>
  <c r="H342" i="3"/>
  <c r="BT341" i="3"/>
  <c r="BS341" i="3"/>
  <c r="BR341" i="3"/>
  <c r="BQ341" i="3"/>
  <c r="BP341" i="3"/>
  <c r="BO341" i="3"/>
  <c r="BN341" i="3"/>
  <c r="BM341" i="3"/>
  <c r="BK341" i="3"/>
  <c r="BJ341" i="3"/>
  <c r="BI341" i="3"/>
  <c r="BH341" i="3"/>
  <c r="BG341" i="3"/>
  <c r="BF341" i="3"/>
  <c r="BE341" i="3"/>
  <c r="BD341" i="3"/>
  <c r="BC341" i="3"/>
  <c r="BB341" i="3"/>
  <c r="AX341" i="3"/>
  <c r="AW341" i="3"/>
  <c r="AV341" i="3"/>
  <c r="AC341" i="3"/>
  <c r="H341" i="3"/>
  <c r="BT340" i="3"/>
  <c r="BS340" i="3"/>
  <c r="BR340" i="3"/>
  <c r="BQ340" i="3"/>
  <c r="BP340" i="3"/>
  <c r="BO340" i="3"/>
  <c r="BN340" i="3"/>
  <c r="BM340" i="3"/>
  <c r="BL340" i="3"/>
  <c r="BK340" i="3"/>
  <c r="BJ340" i="3"/>
  <c r="BI340" i="3"/>
  <c r="BH340" i="3"/>
  <c r="BG340" i="3"/>
  <c r="BF340" i="3"/>
  <c r="BE340" i="3"/>
  <c r="BD340" i="3"/>
  <c r="BC340" i="3"/>
  <c r="BB340" i="3"/>
  <c r="AX340" i="3"/>
  <c r="AW340" i="3"/>
  <c r="AV340" i="3"/>
  <c r="AC340" i="3"/>
  <c r="H340" i="3"/>
  <c r="BT339" i="3"/>
  <c r="BS339" i="3"/>
  <c r="BR339" i="3"/>
  <c r="BQ339" i="3"/>
  <c r="BP339" i="3"/>
  <c r="BO339" i="3"/>
  <c r="BN339" i="3"/>
  <c r="BM339" i="3"/>
  <c r="BK339" i="3"/>
  <c r="BJ339" i="3"/>
  <c r="BI339" i="3"/>
  <c r="BH339" i="3"/>
  <c r="BG339" i="3"/>
  <c r="BF339" i="3"/>
  <c r="BE339" i="3"/>
  <c r="BD339" i="3"/>
  <c r="BC339" i="3"/>
  <c r="BB339" i="3"/>
  <c r="BA339" i="3"/>
  <c r="AX339" i="3"/>
  <c r="AW339" i="3"/>
  <c r="AV339" i="3"/>
  <c r="AC339" i="3"/>
  <c r="H339" i="3"/>
  <c r="G339" i="3"/>
  <c r="BT338" i="3"/>
  <c r="BS338" i="3"/>
  <c r="BR338" i="3"/>
  <c r="BQ338" i="3"/>
  <c r="BP338" i="3"/>
  <c r="BO338" i="3"/>
  <c r="BN338" i="3"/>
  <c r="BM338" i="3"/>
  <c r="BK338" i="3"/>
  <c r="BJ338" i="3"/>
  <c r="BI338" i="3"/>
  <c r="BH338" i="3"/>
  <c r="BG338" i="3"/>
  <c r="BF338" i="3"/>
  <c r="BE338" i="3"/>
  <c r="BD338" i="3"/>
  <c r="BC338" i="3"/>
  <c r="BB338" i="3"/>
  <c r="AX338" i="3"/>
  <c r="AW338" i="3"/>
  <c r="AV338" i="3"/>
  <c r="AC338" i="3"/>
  <c r="H338" i="3"/>
  <c r="BT337" i="3"/>
  <c r="BS337" i="3"/>
  <c r="BR337" i="3"/>
  <c r="BQ337" i="3"/>
  <c r="BP337" i="3"/>
  <c r="BO337" i="3"/>
  <c r="BN337" i="3"/>
  <c r="BM337" i="3"/>
  <c r="BK337" i="3"/>
  <c r="BJ337" i="3"/>
  <c r="BI337" i="3"/>
  <c r="BH337" i="3"/>
  <c r="BG337" i="3"/>
  <c r="BF337" i="3"/>
  <c r="BE337" i="3"/>
  <c r="BD337" i="3"/>
  <c r="BC337" i="3"/>
  <c r="BB337" i="3"/>
  <c r="AX337" i="3"/>
  <c r="AW337" i="3"/>
  <c r="AV337" i="3"/>
  <c r="AC337" i="3"/>
  <c r="H337" i="3"/>
  <c r="BT336" i="3"/>
  <c r="BS336" i="3"/>
  <c r="BR336" i="3"/>
  <c r="BQ336" i="3"/>
  <c r="BP336" i="3"/>
  <c r="BO336" i="3"/>
  <c r="BN336" i="3"/>
  <c r="BM336" i="3"/>
  <c r="BK336" i="3"/>
  <c r="BJ336" i="3"/>
  <c r="BI336" i="3"/>
  <c r="BH336" i="3"/>
  <c r="BG336" i="3"/>
  <c r="BF336" i="3"/>
  <c r="BE336" i="3"/>
  <c r="BD336" i="3"/>
  <c r="BC336" i="3"/>
  <c r="BB336" i="3"/>
  <c r="AX336" i="3"/>
  <c r="AW336" i="3"/>
  <c r="AV336" i="3"/>
  <c r="AC336" i="3"/>
  <c r="H336" i="3"/>
  <c r="BT335" i="3"/>
  <c r="BS335" i="3"/>
  <c r="BR335" i="3"/>
  <c r="BQ335" i="3"/>
  <c r="BP335" i="3"/>
  <c r="BO335" i="3"/>
  <c r="BN335" i="3"/>
  <c r="BM335" i="3"/>
  <c r="BK335" i="3"/>
  <c r="BJ335" i="3"/>
  <c r="BI335" i="3"/>
  <c r="BH335" i="3"/>
  <c r="BG335" i="3"/>
  <c r="BF335" i="3"/>
  <c r="BE335" i="3"/>
  <c r="BD335" i="3"/>
  <c r="BC335" i="3"/>
  <c r="BB335" i="3"/>
  <c r="BA335" i="3"/>
  <c r="AX335" i="3"/>
  <c r="AW335" i="3"/>
  <c r="AV335" i="3"/>
  <c r="AC335" i="3"/>
  <c r="H335" i="3"/>
  <c r="BT334" i="3"/>
  <c r="BS334" i="3"/>
  <c r="BR334" i="3"/>
  <c r="BQ334" i="3"/>
  <c r="BP334" i="3"/>
  <c r="BO334" i="3"/>
  <c r="BN334" i="3"/>
  <c r="BM334" i="3"/>
  <c r="BK334" i="3"/>
  <c r="BJ334" i="3"/>
  <c r="BI334" i="3"/>
  <c r="BH334" i="3"/>
  <c r="BG334" i="3"/>
  <c r="BF334" i="3"/>
  <c r="BE334" i="3"/>
  <c r="BD334" i="3"/>
  <c r="BC334" i="3"/>
  <c r="BB334" i="3"/>
  <c r="AX334" i="3"/>
  <c r="AW334" i="3"/>
  <c r="AV334" i="3"/>
  <c r="AC334" i="3"/>
  <c r="H334" i="3"/>
  <c r="G334" i="3"/>
  <c r="BT333" i="3"/>
  <c r="BS333" i="3"/>
  <c r="BR333" i="3"/>
  <c r="BQ333" i="3"/>
  <c r="BP333" i="3"/>
  <c r="BO333" i="3"/>
  <c r="BN333" i="3"/>
  <c r="BM333" i="3"/>
  <c r="BL333" i="3"/>
  <c r="BK333" i="3"/>
  <c r="BJ333" i="3"/>
  <c r="BI333" i="3"/>
  <c r="BH333" i="3"/>
  <c r="BG333" i="3"/>
  <c r="BF333" i="3"/>
  <c r="BE333" i="3"/>
  <c r="BD333" i="3"/>
  <c r="BC333" i="3"/>
  <c r="BB333" i="3"/>
  <c r="BA333" i="3"/>
  <c r="AX333" i="3"/>
  <c r="AW333" i="3"/>
  <c r="AV333" i="3"/>
  <c r="AC333" i="3"/>
  <c r="H333" i="3"/>
  <c r="BT332" i="3"/>
  <c r="BS332" i="3"/>
  <c r="BR332" i="3"/>
  <c r="BQ332" i="3"/>
  <c r="BP332" i="3"/>
  <c r="BO332" i="3"/>
  <c r="BN332" i="3"/>
  <c r="BM332" i="3"/>
  <c r="BL332" i="3"/>
  <c r="BK332" i="3"/>
  <c r="BJ332" i="3"/>
  <c r="BI332" i="3"/>
  <c r="BH332" i="3"/>
  <c r="BG332" i="3"/>
  <c r="BF332" i="3"/>
  <c r="BE332" i="3"/>
  <c r="BD332" i="3"/>
  <c r="BC332" i="3"/>
  <c r="BB332" i="3"/>
  <c r="BA332" i="3"/>
  <c r="AZ332" i="3"/>
  <c r="AX332" i="3"/>
  <c r="AW332" i="3"/>
  <c r="AV332" i="3"/>
  <c r="AC332" i="3"/>
  <c r="H332" i="3"/>
  <c r="BT331" i="3"/>
  <c r="BS331" i="3"/>
  <c r="BR331" i="3"/>
  <c r="BQ331" i="3"/>
  <c r="BP331" i="3"/>
  <c r="BO331" i="3"/>
  <c r="BN331" i="3"/>
  <c r="BM331" i="3"/>
  <c r="BK331" i="3"/>
  <c r="BJ331" i="3"/>
  <c r="BI331" i="3"/>
  <c r="BH331" i="3"/>
  <c r="BG331" i="3"/>
  <c r="BF331" i="3"/>
  <c r="BE331" i="3"/>
  <c r="BD331" i="3"/>
  <c r="BC331" i="3"/>
  <c r="BB331" i="3"/>
  <c r="BA331" i="3"/>
  <c r="AX331" i="3"/>
  <c r="AW331" i="3"/>
  <c r="AV331" i="3"/>
  <c r="AC331" i="3"/>
  <c r="H331" i="3"/>
  <c r="G331" i="3"/>
  <c r="BT330" i="3"/>
  <c r="BS330" i="3"/>
  <c r="BR330" i="3"/>
  <c r="BQ330" i="3"/>
  <c r="BP330" i="3"/>
  <c r="BO330" i="3"/>
  <c r="BN330" i="3"/>
  <c r="BM330" i="3"/>
  <c r="BL330" i="3"/>
  <c r="BK330" i="3"/>
  <c r="BJ330" i="3"/>
  <c r="BI330" i="3"/>
  <c r="BH330" i="3"/>
  <c r="BG330" i="3"/>
  <c r="BF330" i="3"/>
  <c r="BE330" i="3"/>
  <c r="BD330" i="3"/>
  <c r="BC330" i="3"/>
  <c r="BB330" i="3"/>
  <c r="AX330" i="3"/>
  <c r="AW330" i="3"/>
  <c r="AV330" i="3"/>
  <c r="AC330" i="3"/>
  <c r="H330" i="3"/>
  <c r="BT329" i="3"/>
  <c r="BS329" i="3"/>
  <c r="BR329" i="3"/>
  <c r="BQ329" i="3"/>
  <c r="BP329" i="3"/>
  <c r="BO329" i="3"/>
  <c r="BN329" i="3"/>
  <c r="BM329" i="3"/>
  <c r="BK329" i="3"/>
  <c r="BJ329" i="3"/>
  <c r="BI329" i="3"/>
  <c r="BH329" i="3"/>
  <c r="BG329" i="3"/>
  <c r="BF329" i="3"/>
  <c r="BE329" i="3"/>
  <c r="BD329" i="3"/>
  <c r="BC329" i="3"/>
  <c r="BB329" i="3"/>
  <c r="AX329" i="3"/>
  <c r="AW329" i="3"/>
  <c r="AV329" i="3"/>
  <c r="AC329" i="3"/>
  <c r="H329" i="3"/>
  <c r="G329" i="3"/>
  <c r="BT328" i="3"/>
  <c r="BS328" i="3"/>
  <c r="BR328" i="3"/>
  <c r="BQ328" i="3"/>
  <c r="BP328" i="3"/>
  <c r="BO328" i="3"/>
  <c r="BN328" i="3"/>
  <c r="BM328" i="3"/>
  <c r="BL328" i="3"/>
  <c r="BK328" i="3"/>
  <c r="BJ328" i="3"/>
  <c r="BI328" i="3"/>
  <c r="BH328" i="3"/>
  <c r="BG328" i="3"/>
  <c r="BF328" i="3"/>
  <c r="BE328" i="3"/>
  <c r="BD328" i="3"/>
  <c r="BC328" i="3"/>
  <c r="BB328" i="3"/>
  <c r="AX328" i="3"/>
  <c r="AW328" i="3"/>
  <c r="AV328" i="3"/>
  <c r="AC328" i="3"/>
  <c r="H328" i="3"/>
  <c r="BT327" i="3"/>
  <c r="BS327" i="3"/>
  <c r="BR327" i="3"/>
  <c r="BQ327" i="3"/>
  <c r="BP327" i="3"/>
  <c r="BO327" i="3"/>
  <c r="BN327" i="3"/>
  <c r="BM327" i="3"/>
  <c r="BK327" i="3"/>
  <c r="BJ327" i="3"/>
  <c r="BI327" i="3"/>
  <c r="BH327" i="3"/>
  <c r="BG327" i="3"/>
  <c r="BF327" i="3"/>
  <c r="BE327" i="3"/>
  <c r="BD327" i="3"/>
  <c r="BC327" i="3"/>
  <c r="BB327" i="3"/>
  <c r="AX327" i="3"/>
  <c r="AW327" i="3"/>
  <c r="AV327" i="3"/>
  <c r="AC327" i="3"/>
  <c r="H327" i="3"/>
  <c r="G327" i="3"/>
  <c r="BT326" i="3"/>
  <c r="BS326" i="3"/>
  <c r="BR326" i="3"/>
  <c r="BQ326" i="3"/>
  <c r="BP326" i="3"/>
  <c r="BO326" i="3"/>
  <c r="BN326" i="3"/>
  <c r="BM326" i="3"/>
  <c r="BK326" i="3"/>
  <c r="BJ326" i="3"/>
  <c r="BI326" i="3"/>
  <c r="BH326" i="3"/>
  <c r="BG326" i="3"/>
  <c r="BF326" i="3"/>
  <c r="BE326" i="3"/>
  <c r="BD326" i="3"/>
  <c r="BC326" i="3"/>
  <c r="BB326" i="3"/>
  <c r="AX326" i="3"/>
  <c r="AW326" i="3"/>
  <c r="AV326" i="3"/>
  <c r="AC326" i="3"/>
  <c r="H326" i="3"/>
  <c r="BT325" i="3"/>
  <c r="BS325" i="3"/>
  <c r="BR325" i="3"/>
  <c r="BQ325" i="3"/>
  <c r="BP325" i="3"/>
  <c r="BO325" i="3"/>
  <c r="BN325" i="3"/>
  <c r="BM325" i="3"/>
  <c r="BK325" i="3"/>
  <c r="BJ325" i="3"/>
  <c r="BI325" i="3"/>
  <c r="BH325" i="3"/>
  <c r="BG325" i="3"/>
  <c r="BF325" i="3"/>
  <c r="BE325" i="3"/>
  <c r="BD325" i="3"/>
  <c r="BC325" i="3"/>
  <c r="BB325" i="3"/>
  <c r="AX325" i="3"/>
  <c r="AW325" i="3"/>
  <c r="AV325" i="3"/>
  <c r="AC325" i="3"/>
  <c r="H325" i="3"/>
  <c r="BT324" i="3"/>
  <c r="BS324" i="3"/>
  <c r="BR324" i="3"/>
  <c r="BQ324" i="3"/>
  <c r="BP324" i="3"/>
  <c r="BO324" i="3"/>
  <c r="BN324" i="3"/>
  <c r="BM324" i="3"/>
  <c r="BL324" i="3"/>
  <c r="BK324" i="3"/>
  <c r="BJ324" i="3"/>
  <c r="BI324" i="3"/>
  <c r="BH324" i="3"/>
  <c r="BG324" i="3"/>
  <c r="BF324" i="3"/>
  <c r="BE324" i="3"/>
  <c r="BD324" i="3"/>
  <c r="BC324" i="3"/>
  <c r="BB324" i="3"/>
  <c r="AX324" i="3"/>
  <c r="AW324" i="3"/>
  <c r="AV324" i="3"/>
  <c r="AC324" i="3"/>
  <c r="H324" i="3"/>
  <c r="BT323" i="3"/>
  <c r="BS323" i="3"/>
  <c r="BR323" i="3"/>
  <c r="BQ323" i="3"/>
  <c r="BP323" i="3"/>
  <c r="BO323" i="3"/>
  <c r="BN323" i="3"/>
  <c r="BM323" i="3"/>
  <c r="BK323" i="3"/>
  <c r="BJ323" i="3"/>
  <c r="BI323" i="3"/>
  <c r="BH323" i="3"/>
  <c r="BG323" i="3"/>
  <c r="BF323" i="3"/>
  <c r="BE323" i="3"/>
  <c r="BD323" i="3"/>
  <c r="BC323" i="3"/>
  <c r="BB323" i="3"/>
  <c r="BA323" i="3"/>
  <c r="AX323" i="3"/>
  <c r="AW323" i="3"/>
  <c r="AV323" i="3"/>
  <c r="AC323" i="3"/>
  <c r="H323" i="3"/>
  <c r="G323" i="3"/>
  <c r="BT322" i="3"/>
  <c r="BS322" i="3"/>
  <c r="BR322" i="3"/>
  <c r="BQ322" i="3"/>
  <c r="BP322" i="3"/>
  <c r="BO322" i="3"/>
  <c r="BN322" i="3"/>
  <c r="BM322" i="3"/>
  <c r="BK322" i="3"/>
  <c r="BJ322" i="3"/>
  <c r="BI322" i="3"/>
  <c r="BH322" i="3"/>
  <c r="BG322" i="3"/>
  <c r="BF322" i="3"/>
  <c r="BE322" i="3"/>
  <c r="BD322" i="3"/>
  <c r="BC322" i="3"/>
  <c r="BB322" i="3"/>
  <c r="AX322" i="3"/>
  <c r="AW322" i="3"/>
  <c r="AV322" i="3"/>
  <c r="AC322" i="3"/>
  <c r="H322" i="3"/>
  <c r="BT321" i="3"/>
  <c r="BS321" i="3"/>
  <c r="BR321" i="3"/>
  <c r="BQ321" i="3"/>
  <c r="BP321" i="3"/>
  <c r="BO321" i="3"/>
  <c r="BN321" i="3"/>
  <c r="BM321" i="3"/>
  <c r="BK321" i="3"/>
  <c r="BJ321" i="3"/>
  <c r="BI321" i="3"/>
  <c r="BH321" i="3"/>
  <c r="BG321" i="3"/>
  <c r="BF321" i="3"/>
  <c r="BE321" i="3"/>
  <c r="BD321" i="3"/>
  <c r="BC321" i="3"/>
  <c r="BB321" i="3"/>
  <c r="AX321" i="3"/>
  <c r="AW321" i="3"/>
  <c r="AV321" i="3"/>
  <c r="AC321" i="3"/>
  <c r="H321" i="3"/>
  <c r="BT320" i="3"/>
  <c r="BS320" i="3"/>
  <c r="BR320" i="3"/>
  <c r="BQ320" i="3"/>
  <c r="BP320" i="3"/>
  <c r="BO320" i="3"/>
  <c r="BN320" i="3"/>
  <c r="BM320" i="3"/>
  <c r="BK320" i="3"/>
  <c r="BJ320" i="3"/>
  <c r="BI320" i="3"/>
  <c r="BH320" i="3"/>
  <c r="BG320" i="3"/>
  <c r="BF320" i="3"/>
  <c r="BE320" i="3"/>
  <c r="BD320" i="3"/>
  <c r="BC320" i="3"/>
  <c r="BB320" i="3"/>
  <c r="AX320" i="3"/>
  <c r="AW320" i="3"/>
  <c r="AV320" i="3"/>
  <c r="AC320" i="3"/>
  <c r="H320" i="3"/>
  <c r="BT319" i="3"/>
  <c r="BS319" i="3"/>
  <c r="BR319" i="3"/>
  <c r="BQ319" i="3"/>
  <c r="BP319" i="3"/>
  <c r="BO319" i="3"/>
  <c r="BN319" i="3"/>
  <c r="BM319" i="3"/>
  <c r="BK319" i="3"/>
  <c r="BJ319" i="3"/>
  <c r="BI319" i="3"/>
  <c r="BH319" i="3"/>
  <c r="BG319" i="3"/>
  <c r="BF319" i="3"/>
  <c r="BE319" i="3"/>
  <c r="BD319" i="3"/>
  <c r="BC319" i="3"/>
  <c r="BB319" i="3"/>
  <c r="BA319" i="3"/>
  <c r="AX319" i="3"/>
  <c r="AW319" i="3"/>
  <c r="AV319" i="3"/>
  <c r="AC319" i="3"/>
  <c r="H319" i="3"/>
  <c r="BT318" i="3"/>
  <c r="BS318" i="3"/>
  <c r="BR318" i="3"/>
  <c r="BQ318" i="3"/>
  <c r="BP318" i="3"/>
  <c r="BO318" i="3"/>
  <c r="BN318" i="3"/>
  <c r="BM318" i="3"/>
  <c r="BK318" i="3"/>
  <c r="BJ318" i="3"/>
  <c r="BI318" i="3"/>
  <c r="BH318" i="3"/>
  <c r="BG318" i="3"/>
  <c r="BF318" i="3"/>
  <c r="BE318" i="3"/>
  <c r="BD318" i="3"/>
  <c r="BC318" i="3"/>
  <c r="BB318" i="3"/>
  <c r="AX318" i="3"/>
  <c r="AW318" i="3"/>
  <c r="AV318" i="3"/>
  <c r="AC318" i="3"/>
  <c r="H318" i="3"/>
  <c r="G318" i="3"/>
  <c r="BT317" i="3"/>
  <c r="BS317" i="3"/>
  <c r="BR317" i="3"/>
  <c r="BQ317" i="3"/>
  <c r="BP317" i="3"/>
  <c r="BO317" i="3"/>
  <c r="BN317" i="3"/>
  <c r="BM317" i="3"/>
  <c r="BL317" i="3"/>
  <c r="BK317" i="3"/>
  <c r="BJ317" i="3"/>
  <c r="BI317" i="3"/>
  <c r="BH317" i="3"/>
  <c r="BG317" i="3"/>
  <c r="BF317" i="3"/>
  <c r="BE317" i="3"/>
  <c r="BD317" i="3"/>
  <c r="BC317" i="3"/>
  <c r="BB317" i="3"/>
  <c r="BA317" i="3"/>
  <c r="AX317" i="3"/>
  <c r="AW317" i="3"/>
  <c r="AV317" i="3"/>
  <c r="AC317" i="3"/>
  <c r="H317" i="3"/>
  <c r="BT316" i="3"/>
  <c r="BS316" i="3"/>
  <c r="BR316" i="3"/>
  <c r="BQ316" i="3"/>
  <c r="BP316" i="3"/>
  <c r="BO316" i="3"/>
  <c r="BN316" i="3"/>
  <c r="BM316" i="3"/>
  <c r="BL316" i="3"/>
  <c r="BK316" i="3"/>
  <c r="BJ316" i="3"/>
  <c r="BI316" i="3"/>
  <c r="BH316" i="3"/>
  <c r="BG316" i="3"/>
  <c r="BF316" i="3"/>
  <c r="BE316" i="3"/>
  <c r="BD316" i="3"/>
  <c r="BC316" i="3"/>
  <c r="BB316" i="3"/>
  <c r="BA316" i="3"/>
  <c r="AZ316" i="3"/>
  <c r="AX316" i="3"/>
  <c r="AW316" i="3"/>
  <c r="AV316" i="3"/>
  <c r="AC316" i="3"/>
  <c r="H316" i="3"/>
  <c r="BT315" i="3"/>
  <c r="BS315" i="3"/>
  <c r="BR315" i="3"/>
  <c r="BQ315" i="3"/>
  <c r="BP315" i="3"/>
  <c r="BO315" i="3"/>
  <c r="BN315" i="3"/>
  <c r="BM315" i="3"/>
  <c r="BK315" i="3"/>
  <c r="BJ315" i="3"/>
  <c r="BI315" i="3"/>
  <c r="BH315" i="3"/>
  <c r="BG315" i="3"/>
  <c r="BF315" i="3"/>
  <c r="BE315" i="3"/>
  <c r="BD315" i="3"/>
  <c r="BC315" i="3"/>
  <c r="BB315" i="3"/>
  <c r="BA315" i="3"/>
  <c r="AX315" i="3"/>
  <c r="AW315" i="3"/>
  <c r="AV315" i="3"/>
  <c r="AC315" i="3"/>
  <c r="H315" i="3"/>
  <c r="G315" i="3"/>
  <c r="BT314" i="3"/>
  <c r="BS314" i="3"/>
  <c r="BR314" i="3"/>
  <c r="BQ314" i="3"/>
  <c r="BP314" i="3"/>
  <c r="BO314" i="3"/>
  <c r="BN314" i="3"/>
  <c r="BM314" i="3"/>
  <c r="BL314" i="3"/>
  <c r="BK314" i="3"/>
  <c r="BJ314" i="3"/>
  <c r="BI314" i="3"/>
  <c r="BH314" i="3"/>
  <c r="BG314" i="3"/>
  <c r="BF314" i="3"/>
  <c r="BE314" i="3"/>
  <c r="BD314" i="3"/>
  <c r="BC314" i="3"/>
  <c r="BB314" i="3"/>
  <c r="AX314" i="3"/>
  <c r="AW314" i="3"/>
  <c r="AV314" i="3"/>
  <c r="AC314" i="3"/>
  <c r="H314" i="3"/>
  <c r="BT313" i="3"/>
  <c r="BS313" i="3"/>
  <c r="BR313" i="3"/>
  <c r="BQ313" i="3"/>
  <c r="BP313" i="3"/>
  <c r="BO313" i="3"/>
  <c r="BN313" i="3"/>
  <c r="BM313" i="3"/>
  <c r="BK313" i="3"/>
  <c r="BJ313" i="3"/>
  <c r="BI313" i="3"/>
  <c r="BH313" i="3"/>
  <c r="BG313" i="3"/>
  <c r="BF313" i="3"/>
  <c r="BE313" i="3"/>
  <c r="BD313" i="3"/>
  <c r="BC313" i="3"/>
  <c r="BB313" i="3"/>
  <c r="AX313" i="3"/>
  <c r="AW313" i="3"/>
  <c r="AV313" i="3"/>
  <c r="AC313" i="3"/>
  <c r="H313" i="3"/>
  <c r="G313" i="3"/>
  <c r="BT312" i="3"/>
  <c r="BS312" i="3"/>
  <c r="BR312" i="3"/>
  <c r="BQ312" i="3"/>
  <c r="BP312" i="3"/>
  <c r="BO312" i="3"/>
  <c r="BN312" i="3"/>
  <c r="BM312" i="3"/>
  <c r="BL312" i="3"/>
  <c r="BK312" i="3"/>
  <c r="BJ312" i="3"/>
  <c r="BI312" i="3"/>
  <c r="BH312" i="3"/>
  <c r="BG312" i="3"/>
  <c r="BF312" i="3"/>
  <c r="BE312" i="3"/>
  <c r="BD312" i="3"/>
  <c r="BC312" i="3"/>
  <c r="BB312" i="3"/>
  <c r="AX312" i="3"/>
  <c r="AW312" i="3"/>
  <c r="AV312" i="3"/>
  <c r="AC312" i="3"/>
  <c r="H312" i="3"/>
  <c r="BT311" i="3"/>
  <c r="BS311" i="3"/>
  <c r="BR311" i="3"/>
  <c r="BQ311" i="3"/>
  <c r="BP311" i="3"/>
  <c r="BO311" i="3"/>
  <c r="BN311" i="3"/>
  <c r="BM311" i="3"/>
  <c r="BK311" i="3"/>
  <c r="BJ311" i="3"/>
  <c r="BI311" i="3"/>
  <c r="BH311" i="3"/>
  <c r="BG311" i="3"/>
  <c r="BF311" i="3"/>
  <c r="BE311" i="3"/>
  <c r="BD311" i="3"/>
  <c r="BC311" i="3"/>
  <c r="BB311" i="3"/>
  <c r="AX311" i="3"/>
  <c r="AW311" i="3"/>
  <c r="AV311" i="3"/>
  <c r="AC311" i="3"/>
  <c r="H311" i="3"/>
  <c r="G311" i="3"/>
  <c r="BT310" i="3"/>
  <c r="BS310" i="3"/>
  <c r="BR310" i="3"/>
  <c r="BQ310" i="3"/>
  <c r="BP310" i="3"/>
  <c r="BO310" i="3"/>
  <c r="BN310" i="3"/>
  <c r="BM310" i="3"/>
  <c r="BK310" i="3"/>
  <c r="BJ310" i="3"/>
  <c r="BI310" i="3"/>
  <c r="BH310" i="3"/>
  <c r="BG310" i="3"/>
  <c r="BF310" i="3"/>
  <c r="BE310" i="3"/>
  <c r="BD310" i="3"/>
  <c r="BC310" i="3"/>
  <c r="BB310" i="3"/>
  <c r="AX310" i="3"/>
  <c r="AW310" i="3"/>
  <c r="AV310" i="3"/>
  <c r="AC310" i="3"/>
  <c r="H310" i="3"/>
  <c r="BT309" i="3"/>
  <c r="BS309" i="3"/>
  <c r="BR309" i="3"/>
  <c r="BQ309" i="3"/>
  <c r="BP309" i="3"/>
  <c r="BO309" i="3"/>
  <c r="BN309" i="3"/>
  <c r="BM309" i="3"/>
  <c r="BK309" i="3"/>
  <c r="BJ309" i="3"/>
  <c r="BI309" i="3"/>
  <c r="BH309" i="3"/>
  <c r="BG309" i="3"/>
  <c r="BF309" i="3"/>
  <c r="BE309" i="3"/>
  <c r="BD309" i="3"/>
  <c r="BC309" i="3"/>
  <c r="BB309" i="3"/>
  <c r="AX309" i="3"/>
  <c r="AW309" i="3"/>
  <c r="AV309" i="3"/>
  <c r="AC309" i="3"/>
  <c r="H309" i="3"/>
  <c r="BT308" i="3"/>
  <c r="BS308" i="3"/>
  <c r="BR308" i="3"/>
  <c r="BQ308" i="3"/>
  <c r="BP308" i="3"/>
  <c r="BO308" i="3"/>
  <c r="BN308" i="3"/>
  <c r="BM308" i="3"/>
  <c r="BL308" i="3"/>
  <c r="BK308" i="3"/>
  <c r="BJ308" i="3"/>
  <c r="BI308" i="3"/>
  <c r="BH308" i="3"/>
  <c r="BG308" i="3"/>
  <c r="BF308" i="3"/>
  <c r="BE308" i="3"/>
  <c r="BD308" i="3"/>
  <c r="BC308" i="3"/>
  <c r="BB308" i="3"/>
  <c r="AX308" i="3"/>
  <c r="AW308" i="3"/>
  <c r="AV308" i="3"/>
  <c r="AC308" i="3"/>
  <c r="H308" i="3"/>
  <c r="BT307" i="3"/>
  <c r="BS307" i="3"/>
  <c r="BR307" i="3"/>
  <c r="BQ307" i="3"/>
  <c r="BP307" i="3"/>
  <c r="BO307" i="3"/>
  <c r="BN307" i="3"/>
  <c r="BM307" i="3"/>
  <c r="BK307" i="3"/>
  <c r="BJ307" i="3"/>
  <c r="BI307" i="3"/>
  <c r="BH307" i="3"/>
  <c r="BG307" i="3"/>
  <c r="BF307" i="3"/>
  <c r="BE307" i="3"/>
  <c r="BD307" i="3"/>
  <c r="BC307" i="3"/>
  <c r="BB307" i="3"/>
  <c r="BA307" i="3"/>
  <c r="AX307" i="3"/>
  <c r="AW307" i="3"/>
  <c r="AV307" i="3"/>
  <c r="AC307" i="3"/>
  <c r="H307" i="3"/>
  <c r="G307" i="3"/>
  <c r="BT306" i="3"/>
  <c r="BS306" i="3"/>
  <c r="BR306" i="3"/>
  <c r="BQ306" i="3"/>
  <c r="BP306" i="3"/>
  <c r="BO306" i="3"/>
  <c r="BN306" i="3"/>
  <c r="BM306" i="3"/>
  <c r="BK306" i="3"/>
  <c r="BJ306" i="3"/>
  <c r="BI306" i="3"/>
  <c r="BH306" i="3"/>
  <c r="BG306" i="3"/>
  <c r="BF306" i="3"/>
  <c r="BE306" i="3"/>
  <c r="BD306" i="3"/>
  <c r="BC306" i="3"/>
  <c r="BB306" i="3"/>
  <c r="AX306" i="3"/>
  <c r="AW306" i="3"/>
  <c r="AV306" i="3"/>
  <c r="AC306" i="3"/>
  <c r="H306" i="3"/>
  <c r="BT305" i="3"/>
  <c r="BS305" i="3"/>
  <c r="BR305" i="3"/>
  <c r="BQ305" i="3"/>
  <c r="BP305" i="3"/>
  <c r="BO305" i="3"/>
  <c r="BN305" i="3"/>
  <c r="BM305" i="3"/>
  <c r="BK305" i="3"/>
  <c r="BJ305" i="3"/>
  <c r="BI305" i="3"/>
  <c r="BH305" i="3"/>
  <c r="BG305" i="3"/>
  <c r="BF305" i="3"/>
  <c r="BE305" i="3"/>
  <c r="BD305" i="3"/>
  <c r="BC305" i="3"/>
  <c r="BB305" i="3"/>
  <c r="AX305" i="3"/>
  <c r="AW305" i="3"/>
  <c r="AV305" i="3"/>
  <c r="AC305" i="3"/>
  <c r="H305" i="3"/>
  <c r="BT304" i="3"/>
  <c r="BS304" i="3"/>
  <c r="BR304" i="3"/>
  <c r="BQ304" i="3"/>
  <c r="BP304" i="3"/>
  <c r="BO304" i="3"/>
  <c r="BN304" i="3"/>
  <c r="BM304" i="3"/>
  <c r="BK304" i="3"/>
  <c r="BJ304" i="3"/>
  <c r="BI304" i="3"/>
  <c r="BH304" i="3"/>
  <c r="BG304" i="3"/>
  <c r="BF304" i="3"/>
  <c r="BE304" i="3"/>
  <c r="BD304" i="3"/>
  <c r="BC304" i="3"/>
  <c r="BB304" i="3"/>
  <c r="AX304" i="3"/>
  <c r="AW304" i="3"/>
  <c r="AV304" i="3"/>
  <c r="AC304" i="3"/>
  <c r="H304" i="3"/>
  <c r="BT303" i="3"/>
  <c r="BS303" i="3"/>
  <c r="BR303" i="3"/>
  <c r="BQ303" i="3"/>
  <c r="BP303" i="3"/>
  <c r="BO303" i="3"/>
  <c r="BN303" i="3"/>
  <c r="BM303" i="3"/>
  <c r="BK303" i="3"/>
  <c r="BJ303" i="3"/>
  <c r="BI303" i="3"/>
  <c r="BH303" i="3"/>
  <c r="BG303" i="3"/>
  <c r="BF303" i="3"/>
  <c r="BE303" i="3"/>
  <c r="BD303" i="3"/>
  <c r="BC303" i="3"/>
  <c r="BB303" i="3"/>
  <c r="BA303" i="3"/>
  <c r="AX303" i="3"/>
  <c r="AW303" i="3"/>
  <c r="AV303" i="3"/>
  <c r="AC303" i="3"/>
  <c r="H303" i="3"/>
  <c r="BT492" i="3"/>
  <c r="BS492" i="3"/>
  <c r="BR492" i="3"/>
  <c r="BQ492" i="3"/>
  <c r="BP492" i="3"/>
  <c r="BO492" i="3"/>
  <c r="BN492" i="3"/>
  <c r="BM492" i="3"/>
  <c r="BL492" i="3"/>
  <c r="BK492" i="3"/>
  <c r="BJ492" i="3"/>
  <c r="BI492" i="3"/>
  <c r="BH492" i="3"/>
  <c r="BG492" i="3"/>
  <c r="BF492" i="3"/>
  <c r="BE492" i="3"/>
  <c r="BD492" i="3"/>
  <c r="BC492" i="3"/>
  <c r="BB492" i="3"/>
  <c r="BA492" i="3"/>
  <c r="AZ492" i="3"/>
  <c r="AX492" i="3"/>
  <c r="AW492" i="3"/>
  <c r="AV492" i="3"/>
  <c r="AC492" i="3"/>
  <c r="H492" i="3"/>
  <c r="G492" i="3"/>
  <c r="BT491" i="3"/>
  <c r="BS491" i="3"/>
  <c r="BR491" i="3"/>
  <c r="BQ491" i="3"/>
  <c r="BP491" i="3"/>
  <c r="BO491" i="3"/>
  <c r="BN491" i="3"/>
  <c r="BM491" i="3"/>
  <c r="BL491" i="3"/>
  <c r="BK491" i="3"/>
  <c r="BJ491" i="3"/>
  <c r="BI491" i="3"/>
  <c r="BH491" i="3"/>
  <c r="BG491" i="3"/>
  <c r="BF491" i="3"/>
  <c r="BE491" i="3"/>
  <c r="BD491" i="3"/>
  <c r="BC491" i="3"/>
  <c r="BB491" i="3"/>
  <c r="BA491" i="3"/>
  <c r="AX491" i="3"/>
  <c r="AW491" i="3"/>
  <c r="AV491" i="3"/>
  <c r="AC491" i="3"/>
  <c r="H491" i="3"/>
  <c r="G491" i="3"/>
  <c r="BT490" i="3"/>
  <c r="BS490" i="3"/>
  <c r="BR490" i="3"/>
  <c r="BQ490" i="3"/>
  <c r="BP490" i="3"/>
  <c r="BO490" i="3"/>
  <c r="BN490" i="3"/>
  <c r="BM490" i="3"/>
  <c r="BL490" i="3"/>
  <c r="BK490" i="3"/>
  <c r="BJ490" i="3"/>
  <c r="BI490" i="3"/>
  <c r="BH490" i="3"/>
  <c r="BG490" i="3"/>
  <c r="BF490" i="3"/>
  <c r="BE490" i="3"/>
  <c r="BD490" i="3"/>
  <c r="BC490" i="3"/>
  <c r="BB490" i="3"/>
  <c r="BA490" i="3"/>
  <c r="AX490" i="3"/>
  <c r="AW490" i="3"/>
  <c r="AV490" i="3"/>
  <c r="AC490" i="3"/>
  <c r="H490" i="3"/>
  <c r="G490" i="3"/>
  <c r="BT489" i="3"/>
  <c r="BS489" i="3"/>
  <c r="BR489" i="3"/>
  <c r="BQ489" i="3"/>
  <c r="BP489" i="3"/>
  <c r="BO489" i="3"/>
  <c r="BN489" i="3"/>
  <c r="BM489" i="3"/>
  <c r="BL489" i="3"/>
  <c r="BK489" i="3"/>
  <c r="BJ489" i="3"/>
  <c r="BI489" i="3"/>
  <c r="BH489" i="3"/>
  <c r="BG489" i="3"/>
  <c r="BF489" i="3"/>
  <c r="BE489" i="3"/>
  <c r="BD489" i="3"/>
  <c r="BC489" i="3"/>
  <c r="BB489" i="3"/>
  <c r="BA489" i="3"/>
  <c r="AZ489" i="3"/>
  <c r="AX489" i="3"/>
  <c r="AW489" i="3"/>
  <c r="AV489" i="3"/>
  <c r="AC489" i="3"/>
  <c r="H489" i="3"/>
  <c r="G489" i="3"/>
  <c r="BT488" i="3"/>
  <c r="BS488" i="3"/>
  <c r="BR488" i="3"/>
  <c r="BQ488" i="3"/>
  <c r="BP488" i="3"/>
  <c r="BO488" i="3"/>
  <c r="BN488" i="3"/>
  <c r="BM488" i="3"/>
  <c r="BL488" i="3"/>
  <c r="BK488" i="3"/>
  <c r="BJ488" i="3"/>
  <c r="BI488" i="3"/>
  <c r="BH488" i="3"/>
  <c r="BG488" i="3"/>
  <c r="BF488" i="3"/>
  <c r="BE488" i="3"/>
  <c r="BD488" i="3"/>
  <c r="BC488" i="3"/>
  <c r="BB488" i="3"/>
  <c r="BA488" i="3"/>
  <c r="AZ488" i="3"/>
  <c r="AX488" i="3"/>
  <c r="AW488" i="3"/>
  <c r="AV488" i="3"/>
  <c r="AC488" i="3"/>
  <c r="H488" i="3"/>
  <c r="G488" i="3"/>
  <c r="BT487" i="3"/>
  <c r="BS487" i="3"/>
  <c r="BR487" i="3"/>
  <c r="BQ487" i="3"/>
  <c r="BP487" i="3"/>
  <c r="BO487" i="3"/>
  <c r="BN487" i="3"/>
  <c r="BM487" i="3"/>
  <c r="BL487" i="3"/>
  <c r="AZ487" i="3"/>
  <c r="BK487" i="3"/>
  <c r="BJ487" i="3"/>
  <c r="BI487" i="3"/>
  <c r="BH487" i="3"/>
  <c r="BG487" i="3"/>
  <c r="BF487" i="3"/>
  <c r="BE487" i="3"/>
  <c r="BD487" i="3"/>
  <c r="BC487" i="3"/>
  <c r="BB487" i="3"/>
  <c r="BA487" i="3"/>
  <c r="AX487" i="3"/>
  <c r="AW487" i="3"/>
  <c r="AV487" i="3"/>
  <c r="AC487" i="3"/>
  <c r="H487" i="3"/>
  <c r="G487" i="3"/>
  <c r="BT486" i="3"/>
  <c r="BS486" i="3"/>
  <c r="BR486" i="3"/>
  <c r="BQ486" i="3"/>
  <c r="BP486" i="3"/>
  <c r="BO486" i="3"/>
  <c r="BN486" i="3"/>
  <c r="BM486" i="3"/>
  <c r="BL486" i="3"/>
  <c r="BK486" i="3"/>
  <c r="BJ486" i="3"/>
  <c r="BI486" i="3"/>
  <c r="BH486" i="3"/>
  <c r="BG486" i="3"/>
  <c r="BF486" i="3"/>
  <c r="BE486" i="3"/>
  <c r="BD486" i="3"/>
  <c r="BC486" i="3"/>
  <c r="BB486" i="3"/>
  <c r="BA486" i="3"/>
  <c r="AZ486" i="3"/>
  <c r="AX486" i="3"/>
  <c r="AW486" i="3"/>
  <c r="AV486" i="3"/>
  <c r="AC486" i="3"/>
  <c r="H486" i="3"/>
  <c r="G486" i="3"/>
  <c r="BT485" i="3"/>
  <c r="BS485" i="3"/>
  <c r="BR485" i="3"/>
  <c r="BQ485" i="3"/>
  <c r="BP485" i="3"/>
  <c r="BO485" i="3"/>
  <c r="BN485" i="3"/>
  <c r="BM485" i="3"/>
  <c r="BL485" i="3"/>
  <c r="BK485" i="3"/>
  <c r="BJ485" i="3"/>
  <c r="BI485" i="3"/>
  <c r="BH485" i="3"/>
  <c r="BG485" i="3"/>
  <c r="BF485" i="3"/>
  <c r="BE485" i="3"/>
  <c r="BD485" i="3"/>
  <c r="BC485" i="3"/>
  <c r="BB485" i="3"/>
  <c r="BA485" i="3"/>
  <c r="AZ485" i="3"/>
  <c r="AX485" i="3"/>
  <c r="AW485" i="3"/>
  <c r="AV485" i="3"/>
  <c r="AC485" i="3"/>
  <c r="H485" i="3"/>
  <c r="G485" i="3"/>
  <c r="BT484" i="3"/>
  <c r="BS484" i="3"/>
  <c r="BR484" i="3"/>
  <c r="BQ484" i="3"/>
  <c r="BP484" i="3"/>
  <c r="BO484" i="3"/>
  <c r="BN484" i="3"/>
  <c r="BM484" i="3"/>
  <c r="BL484" i="3"/>
  <c r="BK484" i="3"/>
  <c r="BJ484" i="3"/>
  <c r="BI484" i="3"/>
  <c r="BH484" i="3"/>
  <c r="BG484" i="3"/>
  <c r="BF484" i="3"/>
  <c r="BE484" i="3"/>
  <c r="BD484" i="3"/>
  <c r="BC484" i="3"/>
  <c r="BB484" i="3"/>
  <c r="BA484" i="3"/>
  <c r="AZ484" i="3"/>
  <c r="AX484" i="3"/>
  <c r="AW484" i="3"/>
  <c r="AV484" i="3"/>
  <c r="AC484" i="3"/>
  <c r="H484" i="3"/>
  <c r="G484" i="3"/>
  <c r="BT483" i="3"/>
  <c r="BS483" i="3"/>
  <c r="BR483" i="3"/>
  <c r="BQ483" i="3"/>
  <c r="BP483" i="3"/>
  <c r="BO483" i="3"/>
  <c r="BN483" i="3"/>
  <c r="BM483" i="3"/>
  <c r="BL483" i="3"/>
  <c r="BK483" i="3"/>
  <c r="BJ483" i="3"/>
  <c r="BI483" i="3"/>
  <c r="BH483" i="3"/>
  <c r="BG483" i="3"/>
  <c r="BF483" i="3"/>
  <c r="BE483" i="3"/>
  <c r="BD483" i="3"/>
  <c r="BC483" i="3"/>
  <c r="BB483" i="3"/>
  <c r="BA483" i="3"/>
  <c r="AZ483" i="3"/>
  <c r="AX483" i="3"/>
  <c r="AW483" i="3"/>
  <c r="AV483" i="3"/>
  <c r="AC483" i="3"/>
  <c r="H483" i="3"/>
  <c r="G483" i="3"/>
  <c r="BT482" i="3"/>
  <c r="BS482" i="3"/>
  <c r="BR482" i="3"/>
  <c r="BQ482" i="3"/>
  <c r="BP482" i="3"/>
  <c r="BO482" i="3"/>
  <c r="BN482" i="3"/>
  <c r="BM482" i="3"/>
  <c r="BL482" i="3"/>
  <c r="BK482" i="3"/>
  <c r="BJ482" i="3"/>
  <c r="BI482" i="3"/>
  <c r="BH482" i="3"/>
  <c r="BG482" i="3"/>
  <c r="BF482" i="3"/>
  <c r="BE482" i="3"/>
  <c r="BD482" i="3"/>
  <c r="BC482" i="3"/>
  <c r="BB482" i="3"/>
  <c r="BA482" i="3"/>
  <c r="AZ482" i="3"/>
  <c r="AX482" i="3"/>
  <c r="AW482" i="3"/>
  <c r="AV482" i="3"/>
  <c r="AC482" i="3"/>
  <c r="H482" i="3"/>
  <c r="G482" i="3"/>
  <c r="BT481" i="3"/>
  <c r="BS481" i="3"/>
  <c r="BR481" i="3"/>
  <c r="BQ481" i="3"/>
  <c r="BP481" i="3"/>
  <c r="BO481" i="3"/>
  <c r="BN481" i="3"/>
  <c r="BM481" i="3"/>
  <c r="BL481" i="3"/>
  <c r="AZ481" i="3"/>
  <c r="BK481" i="3"/>
  <c r="BJ481" i="3"/>
  <c r="BI481" i="3"/>
  <c r="BH481" i="3"/>
  <c r="BG481" i="3"/>
  <c r="BF481" i="3"/>
  <c r="BE481" i="3"/>
  <c r="BD481" i="3"/>
  <c r="BC481" i="3"/>
  <c r="BB481" i="3"/>
  <c r="BA481" i="3"/>
  <c r="AX481" i="3"/>
  <c r="AW481" i="3"/>
  <c r="AV481" i="3"/>
  <c r="AC481" i="3"/>
  <c r="H481" i="3"/>
  <c r="G481" i="3"/>
  <c r="BT480" i="3"/>
  <c r="BS480" i="3"/>
  <c r="BR480" i="3"/>
  <c r="BQ480" i="3"/>
  <c r="BP480" i="3"/>
  <c r="BO480" i="3"/>
  <c r="BN480" i="3"/>
  <c r="BM480" i="3"/>
  <c r="BL480" i="3"/>
  <c r="BK480" i="3"/>
  <c r="BJ480" i="3"/>
  <c r="BI480" i="3"/>
  <c r="BH480" i="3"/>
  <c r="BG480" i="3"/>
  <c r="BF480" i="3"/>
  <c r="BE480" i="3"/>
  <c r="BD480" i="3"/>
  <c r="BC480" i="3"/>
  <c r="BB480" i="3"/>
  <c r="BA480" i="3"/>
  <c r="AZ480" i="3"/>
  <c r="AX480" i="3"/>
  <c r="AW480" i="3"/>
  <c r="AV480" i="3"/>
  <c r="AC480" i="3"/>
  <c r="H480" i="3"/>
  <c r="G480" i="3"/>
  <c r="BT479" i="3"/>
  <c r="BS479" i="3"/>
  <c r="BR479" i="3"/>
  <c r="BQ479" i="3"/>
  <c r="BP479" i="3"/>
  <c r="BO479" i="3"/>
  <c r="BN479" i="3"/>
  <c r="BM479" i="3"/>
  <c r="BL479" i="3"/>
  <c r="BK479" i="3"/>
  <c r="BJ479" i="3"/>
  <c r="BI479" i="3"/>
  <c r="BH479" i="3"/>
  <c r="BG479" i="3"/>
  <c r="BF479" i="3"/>
  <c r="BE479" i="3"/>
  <c r="BD479" i="3"/>
  <c r="BC479" i="3"/>
  <c r="BB479" i="3"/>
  <c r="BA479" i="3"/>
  <c r="AZ479" i="3"/>
  <c r="AX479" i="3"/>
  <c r="AW479" i="3"/>
  <c r="AV479" i="3"/>
  <c r="AC479" i="3"/>
  <c r="H479" i="3"/>
  <c r="G479" i="3"/>
  <c r="BT478" i="3"/>
  <c r="BS478" i="3"/>
  <c r="BR478" i="3"/>
  <c r="BQ478" i="3"/>
  <c r="BP478" i="3"/>
  <c r="BO478" i="3"/>
  <c r="BN478" i="3"/>
  <c r="BM478" i="3"/>
  <c r="BL478" i="3"/>
  <c r="BK478" i="3"/>
  <c r="BJ478" i="3"/>
  <c r="BI478" i="3"/>
  <c r="BH478" i="3"/>
  <c r="BG478" i="3"/>
  <c r="BF478" i="3"/>
  <c r="BE478" i="3"/>
  <c r="BD478" i="3"/>
  <c r="BC478" i="3"/>
  <c r="BB478" i="3"/>
  <c r="BA478" i="3"/>
  <c r="AZ478" i="3"/>
  <c r="AX478" i="3"/>
  <c r="AW478" i="3"/>
  <c r="AV478" i="3"/>
  <c r="AC478" i="3"/>
  <c r="H478" i="3"/>
  <c r="G478" i="3"/>
  <c r="BT477" i="3"/>
  <c r="BS477" i="3"/>
  <c r="BR477" i="3"/>
  <c r="BQ477" i="3"/>
  <c r="BP477" i="3"/>
  <c r="BO477" i="3"/>
  <c r="BN477" i="3"/>
  <c r="BM477" i="3"/>
  <c r="BL477" i="3"/>
  <c r="AZ477" i="3"/>
  <c r="BK477" i="3"/>
  <c r="BJ477" i="3"/>
  <c r="BI477" i="3"/>
  <c r="BH477" i="3"/>
  <c r="BG477" i="3"/>
  <c r="BF477" i="3"/>
  <c r="BE477" i="3"/>
  <c r="BD477" i="3"/>
  <c r="BC477" i="3"/>
  <c r="BB477" i="3"/>
  <c r="BA477" i="3"/>
  <c r="AX477" i="3"/>
  <c r="AW477" i="3"/>
  <c r="AV477" i="3"/>
  <c r="AC477" i="3"/>
  <c r="H477" i="3"/>
  <c r="G477" i="3"/>
  <c r="BT476" i="3"/>
  <c r="BS476" i="3"/>
  <c r="BR476" i="3"/>
  <c r="BQ476" i="3"/>
  <c r="BP476" i="3"/>
  <c r="BO476" i="3"/>
  <c r="BN476" i="3"/>
  <c r="BM476" i="3"/>
  <c r="BL476" i="3"/>
  <c r="BK476" i="3"/>
  <c r="BJ476" i="3"/>
  <c r="BI476" i="3"/>
  <c r="BH476" i="3"/>
  <c r="BG476" i="3"/>
  <c r="BF476" i="3"/>
  <c r="BE476" i="3"/>
  <c r="BD476" i="3"/>
  <c r="BC476" i="3"/>
  <c r="BB476" i="3"/>
  <c r="BA476" i="3"/>
  <c r="AZ476" i="3"/>
  <c r="AX476" i="3"/>
  <c r="AW476" i="3"/>
  <c r="AV476" i="3"/>
  <c r="AC476" i="3"/>
  <c r="H476" i="3"/>
  <c r="G476" i="3"/>
  <c r="BT475" i="3"/>
  <c r="BS475" i="3"/>
  <c r="BR475" i="3"/>
  <c r="BQ475" i="3"/>
  <c r="BP475" i="3"/>
  <c r="BO475" i="3"/>
  <c r="BN475" i="3"/>
  <c r="BM475" i="3"/>
  <c r="BL475" i="3"/>
  <c r="BK475" i="3"/>
  <c r="BJ475" i="3"/>
  <c r="BI475" i="3"/>
  <c r="BH475" i="3"/>
  <c r="BG475" i="3"/>
  <c r="BF475" i="3"/>
  <c r="BE475" i="3"/>
  <c r="BD475" i="3"/>
  <c r="BC475" i="3"/>
  <c r="BB475" i="3"/>
  <c r="BA475" i="3"/>
  <c r="AZ475" i="3"/>
  <c r="AX475" i="3"/>
  <c r="AW475" i="3"/>
  <c r="AV475" i="3"/>
  <c r="AC475" i="3"/>
  <c r="H475" i="3"/>
  <c r="G475" i="3"/>
  <c r="BT474" i="3"/>
  <c r="BS474" i="3"/>
  <c r="BR474" i="3"/>
  <c r="BQ474" i="3"/>
  <c r="BP474" i="3"/>
  <c r="BO474" i="3"/>
  <c r="BN474" i="3"/>
  <c r="BM474" i="3"/>
  <c r="BL474" i="3"/>
  <c r="BK474" i="3"/>
  <c r="BJ474" i="3"/>
  <c r="BI474" i="3"/>
  <c r="BH474" i="3"/>
  <c r="BG474" i="3"/>
  <c r="BF474" i="3"/>
  <c r="BE474" i="3"/>
  <c r="BD474" i="3"/>
  <c r="BC474" i="3"/>
  <c r="BB474" i="3"/>
  <c r="BA474" i="3"/>
  <c r="AZ474" i="3"/>
  <c r="AX474" i="3"/>
  <c r="AW474" i="3"/>
  <c r="AV474" i="3"/>
  <c r="AC474" i="3"/>
  <c r="H474" i="3"/>
  <c r="G474" i="3"/>
  <c r="BT473" i="3"/>
  <c r="BS473" i="3"/>
  <c r="BR473" i="3"/>
  <c r="BQ473" i="3"/>
  <c r="BP473" i="3"/>
  <c r="BO473" i="3"/>
  <c r="BN473" i="3"/>
  <c r="BM473" i="3"/>
  <c r="BL473" i="3"/>
  <c r="BK473" i="3"/>
  <c r="BJ473" i="3"/>
  <c r="BI473" i="3"/>
  <c r="BH473" i="3"/>
  <c r="BG473" i="3"/>
  <c r="BF473" i="3"/>
  <c r="BE473" i="3"/>
  <c r="BD473" i="3"/>
  <c r="BC473" i="3"/>
  <c r="BB473" i="3"/>
  <c r="BA473" i="3"/>
  <c r="AX473" i="3"/>
  <c r="AW473" i="3"/>
  <c r="AV473" i="3"/>
  <c r="AC473" i="3"/>
  <c r="H473" i="3"/>
  <c r="G473" i="3"/>
  <c r="BT472" i="3"/>
  <c r="BS472" i="3"/>
  <c r="BR472" i="3"/>
  <c r="BQ472" i="3"/>
  <c r="BP472" i="3"/>
  <c r="BO472" i="3"/>
  <c r="BN472" i="3"/>
  <c r="BM472" i="3"/>
  <c r="BL472" i="3"/>
  <c r="BK472" i="3"/>
  <c r="BJ472" i="3"/>
  <c r="BI472" i="3"/>
  <c r="BH472" i="3"/>
  <c r="BG472" i="3"/>
  <c r="BF472" i="3"/>
  <c r="BE472" i="3"/>
  <c r="BD472" i="3"/>
  <c r="BC472" i="3"/>
  <c r="BB472" i="3"/>
  <c r="BA472" i="3"/>
  <c r="AZ472" i="3"/>
  <c r="AX472" i="3"/>
  <c r="AW472" i="3"/>
  <c r="AV472" i="3"/>
  <c r="AC472" i="3"/>
  <c r="H472" i="3"/>
  <c r="G472" i="3"/>
  <c r="BT471" i="3"/>
  <c r="BS471" i="3"/>
  <c r="BR471" i="3"/>
  <c r="BQ471" i="3"/>
  <c r="BP471" i="3"/>
  <c r="BO471" i="3"/>
  <c r="BN471" i="3"/>
  <c r="BM471" i="3"/>
  <c r="BL471" i="3"/>
  <c r="BK471" i="3"/>
  <c r="BJ471" i="3"/>
  <c r="BI471" i="3"/>
  <c r="BH471" i="3"/>
  <c r="BG471" i="3"/>
  <c r="BF471" i="3"/>
  <c r="BE471" i="3"/>
  <c r="BD471" i="3"/>
  <c r="BC471" i="3"/>
  <c r="BB471" i="3"/>
  <c r="BA471" i="3"/>
  <c r="AZ471" i="3"/>
  <c r="AX471" i="3"/>
  <c r="AW471" i="3"/>
  <c r="AV471" i="3"/>
  <c r="AC471" i="3"/>
  <c r="H471" i="3"/>
  <c r="G471" i="3"/>
  <c r="BT470" i="3"/>
  <c r="BS470" i="3"/>
  <c r="BR470" i="3"/>
  <c r="BQ470" i="3"/>
  <c r="BP470" i="3"/>
  <c r="BO470" i="3"/>
  <c r="BN470" i="3"/>
  <c r="BM470" i="3"/>
  <c r="BL470" i="3"/>
  <c r="BK470" i="3"/>
  <c r="BJ470" i="3"/>
  <c r="BI470" i="3"/>
  <c r="BH470" i="3"/>
  <c r="BG470" i="3"/>
  <c r="BF470" i="3"/>
  <c r="BE470" i="3"/>
  <c r="BD470" i="3"/>
  <c r="BC470" i="3"/>
  <c r="BB470" i="3"/>
  <c r="BA470" i="3"/>
  <c r="AZ470" i="3"/>
  <c r="AX470" i="3"/>
  <c r="AW470" i="3"/>
  <c r="AV470" i="3"/>
  <c r="AC470" i="3"/>
  <c r="H470" i="3"/>
  <c r="G470" i="3"/>
  <c r="BT469" i="3"/>
  <c r="BS469" i="3"/>
  <c r="BR469" i="3"/>
  <c r="BQ469" i="3"/>
  <c r="BP469" i="3"/>
  <c r="BO469" i="3"/>
  <c r="BN469" i="3"/>
  <c r="BM469" i="3"/>
  <c r="BL469" i="3"/>
  <c r="AZ469" i="3"/>
  <c r="BK469" i="3"/>
  <c r="BJ469" i="3"/>
  <c r="BI469" i="3"/>
  <c r="BH469" i="3"/>
  <c r="BG469" i="3"/>
  <c r="BF469" i="3"/>
  <c r="BE469" i="3"/>
  <c r="BD469" i="3"/>
  <c r="BC469" i="3"/>
  <c r="BB469" i="3"/>
  <c r="BA469" i="3"/>
  <c r="AX469" i="3"/>
  <c r="AW469" i="3"/>
  <c r="AV469" i="3"/>
  <c r="AC469" i="3"/>
  <c r="H469" i="3"/>
  <c r="G469" i="3"/>
  <c r="BT468" i="3"/>
  <c r="BS468" i="3"/>
  <c r="BR468" i="3"/>
  <c r="BQ468" i="3"/>
  <c r="BP468" i="3"/>
  <c r="BO468" i="3"/>
  <c r="BN468" i="3"/>
  <c r="BM468" i="3"/>
  <c r="BL468" i="3"/>
  <c r="BK468" i="3"/>
  <c r="BJ468" i="3"/>
  <c r="BI468" i="3"/>
  <c r="BH468" i="3"/>
  <c r="BG468" i="3"/>
  <c r="BF468" i="3"/>
  <c r="BE468" i="3"/>
  <c r="BD468" i="3"/>
  <c r="BC468" i="3"/>
  <c r="BB468" i="3"/>
  <c r="BA468" i="3"/>
  <c r="AZ468" i="3"/>
  <c r="AX468" i="3"/>
  <c r="AW468" i="3"/>
  <c r="AV468" i="3"/>
  <c r="AC468" i="3"/>
  <c r="H468" i="3"/>
  <c r="G468" i="3"/>
  <c r="BT467" i="3"/>
  <c r="BS467" i="3"/>
  <c r="BR467" i="3"/>
  <c r="BQ467" i="3"/>
  <c r="BP467" i="3"/>
  <c r="BO467" i="3"/>
  <c r="BN467" i="3"/>
  <c r="BM467" i="3"/>
  <c r="BL467" i="3"/>
  <c r="BK467" i="3"/>
  <c r="BJ467" i="3"/>
  <c r="BI467" i="3"/>
  <c r="BH467" i="3"/>
  <c r="BG467" i="3"/>
  <c r="BF467" i="3"/>
  <c r="BE467" i="3"/>
  <c r="BD467" i="3"/>
  <c r="BC467" i="3"/>
  <c r="BB467" i="3"/>
  <c r="BA467" i="3"/>
  <c r="AZ467" i="3"/>
  <c r="AX467" i="3"/>
  <c r="AW467" i="3"/>
  <c r="AV467" i="3"/>
  <c r="AC467" i="3"/>
  <c r="H467" i="3"/>
  <c r="G467" i="3"/>
  <c r="BT466" i="3"/>
  <c r="BS466" i="3"/>
  <c r="BR466" i="3"/>
  <c r="BQ466" i="3"/>
  <c r="BP466" i="3"/>
  <c r="BO466" i="3"/>
  <c r="BN466" i="3"/>
  <c r="BM466" i="3"/>
  <c r="BL466" i="3"/>
  <c r="BK466" i="3"/>
  <c r="BJ466" i="3"/>
  <c r="BI466" i="3"/>
  <c r="BH466" i="3"/>
  <c r="BG466" i="3"/>
  <c r="BF466" i="3"/>
  <c r="BE466" i="3"/>
  <c r="BD466" i="3"/>
  <c r="BC466" i="3"/>
  <c r="BB466" i="3"/>
  <c r="BA466" i="3"/>
  <c r="AZ466" i="3"/>
  <c r="AX466" i="3"/>
  <c r="AW466" i="3"/>
  <c r="AV466" i="3"/>
  <c r="AC466" i="3"/>
  <c r="H466" i="3"/>
  <c r="G466" i="3"/>
  <c r="BT465" i="3"/>
  <c r="BS465" i="3"/>
  <c r="BR465" i="3"/>
  <c r="BQ465" i="3"/>
  <c r="BP465" i="3"/>
  <c r="BO465" i="3"/>
  <c r="BN465" i="3"/>
  <c r="BM465" i="3"/>
  <c r="BL465" i="3"/>
  <c r="BK465" i="3"/>
  <c r="BJ465" i="3"/>
  <c r="BI465" i="3"/>
  <c r="BH465" i="3"/>
  <c r="BG465" i="3"/>
  <c r="BF465" i="3"/>
  <c r="BE465" i="3"/>
  <c r="BD465" i="3"/>
  <c r="BC465" i="3"/>
  <c r="BB465" i="3"/>
  <c r="BA465" i="3"/>
  <c r="AX465" i="3"/>
  <c r="AW465" i="3"/>
  <c r="AV465" i="3"/>
  <c r="AC465" i="3"/>
  <c r="H465" i="3"/>
  <c r="G465" i="3"/>
  <c r="BT464" i="3"/>
  <c r="BS464" i="3"/>
  <c r="BR464" i="3"/>
  <c r="BQ464" i="3"/>
  <c r="BP464" i="3"/>
  <c r="BO464" i="3"/>
  <c r="BN464" i="3"/>
  <c r="BM464" i="3"/>
  <c r="BL464" i="3"/>
  <c r="BK464" i="3"/>
  <c r="BJ464" i="3"/>
  <c r="BI464" i="3"/>
  <c r="BH464" i="3"/>
  <c r="BG464" i="3"/>
  <c r="BF464" i="3"/>
  <c r="BE464" i="3"/>
  <c r="BD464" i="3"/>
  <c r="BC464" i="3"/>
  <c r="BB464" i="3"/>
  <c r="BA464" i="3"/>
  <c r="AZ464" i="3"/>
  <c r="AX464" i="3"/>
  <c r="AW464" i="3"/>
  <c r="AV464" i="3"/>
  <c r="AC464" i="3"/>
  <c r="H464" i="3"/>
  <c r="G464" i="3"/>
  <c r="BT463" i="3"/>
  <c r="BS463" i="3"/>
  <c r="BR463" i="3"/>
  <c r="BQ463" i="3"/>
  <c r="BP463" i="3"/>
  <c r="BO463" i="3"/>
  <c r="BN463" i="3"/>
  <c r="BM463" i="3"/>
  <c r="BL463" i="3"/>
  <c r="BK463" i="3"/>
  <c r="BJ463" i="3"/>
  <c r="BI463" i="3"/>
  <c r="BH463" i="3"/>
  <c r="BG463" i="3"/>
  <c r="BF463" i="3"/>
  <c r="BE463" i="3"/>
  <c r="BD463" i="3"/>
  <c r="BC463" i="3"/>
  <c r="BB463" i="3"/>
  <c r="BA463" i="3"/>
  <c r="AZ463" i="3"/>
  <c r="AX463" i="3"/>
  <c r="AW463" i="3"/>
  <c r="AV463" i="3"/>
  <c r="AC463" i="3"/>
  <c r="H463" i="3"/>
  <c r="G463" i="3"/>
  <c r="BT462" i="3"/>
  <c r="BS462" i="3"/>
  <c r="BR462" i="3"/>
  <c r="BQ462" i="3"/>
  <c r="BP462" i="3"/>
  <c r="BO462" i="3"/>
  <c r="BN462" i="3"/>
  <c r="BM462" i="3"/>
  <c r="BL462" i="3"/>
  <c r="AZ462" i="3"/>
  <c r="BK462" i="3"/>
  <c r="BJ462" i="3"/>
  <c r="BI462" i="3"/>
  <c r="BH462" i="3"/>
  <c r="BG462" i="3"/>
  <c r="BF462" i="3"/>
  <c r="BE462" i="3"/>
  <c r="BD462" i="3"/>
  <c r="BC462" i="3"/>
  <c r="BB462" i="3"/>
  <c r="BA462" i="3"/>
  <c r="AX462" i="3"/>
  <c r="AW462" i="3"/>
  <c r="AV462" i="3"/>
  <c r="AC462" i="3"/>
  <c r="H462" i="3"/>
  <c r="G462" i="3"/>
  <c r="BT461" i="3"/>
  <c r="BS461" i="3"/>
  <c r="BR461" i="3"/>
  <c r="BQ461" i="3"/>
  <c r="BP461" i="3"/>
  <c r="BO461" i="3"/>
  <c r="BN461" i="3"/>
  <c r="BM461" i="3"/>
  <c r="BL461" i="3"/>
  <c r="BK461" i="3"/>
  <c r="BJ461" i="3"/>
  <c r="BI461" i="3"/>
  <c r="BH461" i="3"/>
  <c r="BG461" i="3"/>
  <c r="BF461" i="3"/>
  <c r="BE461" i="3"/>
  <c r="BD461" i="3"/>
  <c r="BC461" i="3"/>
  <c r="BB461" i="3"/>
  <c r="BA461" i="3"/>
  <c r="AZ461" i="3"/>
  <c r="AX461" i="3"/>
  <c r="AW461" i="3"/>
  <c r="AV461" i="3"/>
  <c r="AC461" i="3"/>
  <c r="H461" i="3"/>
  <c r="G461" i="3"/>
  <c r="BT460" i="3"/>
  <c r="BS460" i="3"/>
  <c r="BR460" i="3"/>
  <c r="BQ460" i="3"/>
  <c r="BP460" i="3"/>
  <c r="BO460" i="3"/>
  <c r="BN460" i="3"/>
  <c r="BM460" i="3"/>
  <c r="BL460" i="3"/>
  <c r="BK460" i="3"/>
  <c r="BJ460" i="3"/>
  <c r="BI460" i="3"/>
  <c r="BH460" i="3"/>
  <c r="BG460" i="3"/>
  <c r="BF460" i="3"/>
  <c r="BE460" i="3"/>
  <c r="BD460" i="3"/>
  <c r="BC460" i="3"/>
  <c r="BB460" i="3"/>
  <c r="BA460" i="3"/>
  <c r="AZ460" i="3"/>
  <c r="AX460" i="3"/>
  <c r="AW460" i="3"/>
  <c r="AV460" i="3"/>
  <c r="AC460" i="3"/>
  <c r="H460" i="3"/>
  <c r="G460" i="3"/>
  <c r="BT459" i="3"/>
  <c r="BS459" i="3"/>
  <c r="BR459" i="3"/>
  <c r="BQ459" i="3"/>
  <c r="BP459" i="3"/>
  <c r="BO459" i="3"/>
  <c r="BN459" i="3"/>
  <c r="BM459" i="3"/>
  <c r="BL459" i="3"/>
  <c r="AZ459" i="3"/>
  <c r="BK459" i="3"/>
  <c r="BJ459" i="3"/>
  <c r="BI459" i="3"/>
  <c r="BH459" i="3"/>
  <c r="BG459" i="3"/>
  <c r="BF459" i="3"/>
  <c r="BE459" i="3"/>
  <c r="BD459" i="3"/>
  <c r="BC459" i="3"/>
  <c r="BB459" i="3"/>
  <c r="BA459" i="3"/>
  <c r="AX459" i="3"/>
  <c r="AW459" i="3"/>
  <c r="AV459" i="3"/>
  <c r="AC459" i="3"/>
  <c r="H459" i="3"/>
  <c r="G459" i="3"/>
  <c r="BT458" i="3"/>
  <c r="BS458" i="3"/>
  <c r="BR458" i="3"/>
  <c r="BQ458" i="3"/>
  <c r="BP458" i="3"/>
  <c r="BO458" i="3"/>
  <c r="BN458" i="3"/>
  <c r="BM458" i="3"/>
  <c r="BL458" i="3"/>
  <c r="AZ458" i="3"/>
  <c r="BK458" i="3"/>
  <c r="BJ458" i="3"/>
  <c r="BI458" i="3"/>
  <c r="BH458" i="3"/>
  <c r="BG458" i="3"/>
  <c r="BF458" i="3"/>
  <c r="BE458" i="3"/>
  <c r="BD458" i="3"/>
  <c r="BC458" i="3"/>
  <c r="BB458" i="3"/>
  <c r="BA458" i="3"/>
  <c r="AX458" i="3"/>
  <c r="AW458" i="3"/>
  <c r="AV458" i="3"/>
  <c r="AC458" i="3"/>
  <c r="H458" i="3"/>
  <c r="G458" i="3"/>
  <c r="BT457" i="3"/>
  <c r="BS457" i="3"/>
  <c r="BR457" i="3"/>
  <c r="BQ457" i="3"/>
  <c r="BP457" i="3"/>
  <c r="BO457" i="3"/>
  <c r="BN457" i="3"/>
  <c r="BM457" i="3"/>
  <c r="BL457" i="3"/>
  <c r="BK457" i="3"/>
  <c r="BJ457" i="3"/>
  <c r="BI457" i="3"/>
  <c r="BH457" i="3"/>
  <c r="BG457" i="3"/>
  <c r="BF457" i="3"/>
  <c r="BE457" i="3"/>
  <c r="BD457" i="3"/>
  <c r="BC457" i="3"/>
  <c r="BB457" i="3"/>
  <c r="BA457" i="3"/>
  <c r="AX457" i="3"/>
  <c r="AW457" i="3"/>
  <c r="AV457" i="3"/>
  <c r="AC457" i="3"/>
  <c r="H457" i="3"/>
  <c r="G457" i="3"/>
  <c r="BT456" i="3"/>
  <c r="BS456" i="3"/>
  <c r="BR456" i="3"/>
  <c r="BQ456" i="3"/>
  <c r="BP456" i="3"/>
  <c r="BO456" i="3"/>
  <c r="BN456" i="3"/>
  <c r="BM456" i="3"/>
  <c r="BL456" i="3"/>
  <c r="BK456" i="3"/>
  <c r="BJ456" i="3"/>
  <c r="BI456" i="3"/>
  <c r="BH456" i="3"/>
  <c r="BG456" i="3"/>
  <c r="BF456" i="3"/>
  <c r="BE456" i="3"/>
  <c r="BD456" i="3"/>
  <c r="BC456" i="3"/>
  <c r="BB456" i="3"/>
  <c r="BA456" i="3"/>
  <c r="AZ456" i="3"/>
  <c r="AX456" i="3"/>
  <c r="AW456" i="3"/>
  <c r="AV456" i="3"/>
  <c r="AC456" i="3"/>
  <c r="H456" i="3"/>
  <c r="G456" i="3"/>
  <c r="BT455" i="3"/>
  <c r="BS455" i="3"/>
  <c r="BR455" i="3"/>
  <c r="BQ455" i="3"/>
  <c r="BP455" i="3"/>
  <c r="BO455" i="3"/>
  <c r="BN455" i="3"/>
  <c r="BM455" i="3"/>
  <c r="BL455" i="3"/>
  <c r="BK455" i="3"/>
  <c r="BJ455" i="3"/>
  <c r="BI455" i="3"/>
  <c r="BH455" i="3"/>
  <c r="BG455" i="3"/>
  <c r="BF455" i="3"/>
  <c r="BE455" i="3"/>
  <c r="BD455" i="3"/>
  <c r="BC455" i="3"/>
  <c r="BB455" i="3"/>
  <c r="BA455" i="3"/>
  <c r="AZ455" i="3"/>
  <c r="AX455" i="3"/>
  <c r="AW455" i="3"/>
  <c r="AV455" i="3"/>
  <c r="AC455" i="3"/>
  <c r="H455" i="3"/>
  <c r="G455" i="3"/>
  <c r="BT454" i="3"/>
  <c r="BS454" i="3"/>
  <c r="BR454" i="3"/>
  <c r="BQ454" i="3"/>
  <c r="BP454" i="3"/>
  <c r="BO454" i="3"/>
  <c r="BN454" i="3"/>
  <c r="BM454" i="3"/>
  <c r="BL454" i="3"/>
  <c r="AZ454" i="3"/>
  <c r="BK454" i="3"/>
  <c r="BJ454" i="3"/>
  <c r="BI454" i="3"/>
  <c r="BH454" i="3"/>
  <c r="BG454" i="3"/>
  <c r="BF454" i="3"/>
  <c r="BE454" i="3"/>
  <c r="BD454" i="3"/>
  <c r="BC454" i="3"/>
  <c r="BB454" i="3"/>
  <c r="BA454" i="3"/>
  <c r="AX454" i="3"/>
  <c r="AW454" i="3"/>
  <c r="AV454" i="3"/>
  <c r="AC454" i="3"/>
  <c r="H454" i="3"/>
  <c r="G454" i="3"/>
  <c r="BT453" i="3"/>
  <c r="BS453" i="3"/>
  <c r="BR453" i="3"/>
  <c r="BQ453" i="3"/>
  <c r="BP453" i="3"/>
  <c r="BO453" i="3"/>
  <c r="BN453" i="3"/>
  <c r="BM453" i="3"/>
  <c r="BL453" i="3"/>
  <c r="BK453" i="3"/>
  <c r="BJ453" i="3"/>
  <c r="BI453" i="3"/>
  <c r="BH453" i="3"/>
  <c r="BG453" i="3"/>
  <c r="BF453" i="3"/>
  <c r="BE453" i="3"/>
  <c r="BD453" i="3"/>
  <c r="BC453" i="3"/>
  <c r="BB453" i="3"/>
  <c r="BA453" i="3"/>
  <c r="AZ453" i="3"/>
  <c r="AX453" i="3"/>
  <c r="AW453" i="3"/>
  <c r="AV453" i="3"/>
  <c r="AC453" i="3"/>
  <c r="H453" i="3"/>
  <c r="G453" i="3"/>
  <c r="BT452" i="3"/>
  <c r="BS452" i="3"/>
  <c r="BR452" i="3"/>
  <c r="BQ452" i="3"/>
  <c r="BP452" i="3"/>
  <c r="BO452" i="3"/>
  <c r="BN452" i="3"/>
  <c r="BM452" i="3"/>
  <c r="BL452" i="3"/>
  <c r="BK452" i="3"/>
  <c r="BJ452" i="3"/>
  <c r="BI452" i="3"/>
  <c r="BH452" i="3"/>
  <c r="BG452" i="3"/>
  <c r="BF452" i="3"/>
  <c r="BE452" i="3"/>
  <c r="BD452" i="3"/>
  <c r="BC452" i="3"/>
  <c r="BB452" i="3"/>
  <c r="BA452" i="3"/>
  <c r="AZ452" i="3"/>
  <c r="AX452" i="3"/>
  <c r="AW452" i="3"/>
  <c r="AV452" i="3"/>
  <c r="AC452" i="3"/>
  <c r="H452" i="3"/>
  <c r="G452" i="3"/>
  <c r="BT451" i="3"/>
  <c r="BS451" i="3"/>
  <c r="BR451" i="3"/>
  <c r="BQ451" i="3"/>
  <c r="BP451" i="3"/>
  <c r="BO451" i="3"/>
  <c r="BN451" i="3"/>
  <c r="BM451" i="3"/>
  <c r="BL451" i="3"/>
  <c r="AZ451" i="3"/>
  <c r="BK451" i="3"/>
  <c r="BJ451" i="3"/>
  <c r="BI451" i="3"/>
  <c r="BH451" i="3"/>
  <c r="BG451" i="3"/>
  <c r="BF451" i="3"/>
  <c r="BE451" i="3"/>
  <c r="BD451" i="3"/>
  <c r="BC451" i="3"/>
  <c r="BB451" i="3"/>
  <c r="BA451" i="3"/>
  <c r="AX451" i="3"/>
  <c r="AW451" i="3"/>
  <c r="AV451" i="3"/>
  <c r="AC451" i="3"/>
  <c r="H451" i="3"/>
  <c r="G451" i="3"/>
  <c r="BT450" i="3"/>
  <c r="BS450" i="3"/>
  <c r="BR450" i="3"/>
  <c r="BQ450" i="3"/>
  <c r="BP450" i="3"/>
  <c r="BO450" i="3"/>
  <c r="BN450" i="3"/>
  <c r="BM450" i="3"/>
  <c r="BL450" i="3"/>
  <c r="AZ450" i="3"/>
  <c r="BK450" i="3"/>
  <c r="BJ450" i="3"/>
  <c r="BI450" i="3"/>
  <c r="BH450" i="3"/>
  <c r="BG450" i="3"/>
  <c r="BF450" i="3"/>
  <c r="BE450" i="3"/>
  <c r="BD450" i="3"/>
  <c r="BC450" i="3"/>
  <c r="BB450" i="3"/>
  <c r="BA450" i="3"/>
  <c r="AX450" i="3"/>
  <c r="AW450" i="3"/>
  <c r="AV450" i="3"/>
  <c r="AC450" i="3"/>
  <c r="H450" i="3"/>
  <c r="G450" i="3"/>
  <c r="BT449" i="3"/>
  <c r="BS449" i="3"/>
  <c r="BR449" i="3"/>
  <c r="BQ449" i="3"/>
  <c r="BP449" i="3"/>
  <c r="BO449" i="3"/>
  <c r="BN449" i="3"/>
  <c r="BM449" i="3"/>
  <c r="BL449" i="3"/>
  <c r="BK449" i="3"/>
  <c r="BJ449" i="3"/>
  <c r="BI449" i="3"/>
  <c r="BH449" i="3"/>
  <c r="BG449" i="3"/>
  <c r="BF449" i="3"/>
  <c r="BE449" i="3"/>
  <c r="BD449" i="3"/>
  <c r="BC449" i="3"/>
  <c r="BB449" i="3"/>
  <c r="BA449" i="3"/>
  <c r="AZ449" i="3"/>
  <c r="AX449" i="3"/>
  <c r="AW449" i="3"/>
  <c r="AV449" i="3"/>
  <c r="AC449" i="3"/>
  <c r="H449" i="3"/>
  <c r="G449" i="3"/>
  <c r="BT448" i="3"/>
  <c r="BS448" i="3"/>
  <c r="BR448" i="3"/>
  <c r="BQ448" i="3"/>
  <c r="BP448" i="3"/>
  <c r="BO448" i="3"/>
  <c r="BN448" i="3"/>
  <c r="BM448" i="3"/>
  <c r="BL448" i="3"/>
  <c r="BK448" i="3"/>
  <c r="BJ448" i="3"/>
  <c r="BI448" i="3"/>
  <c r="BH448" i="3"/>
  <c r="BG448" i="3"/>
  <c r="BF448" i="3"/>
  <c r="BE448" i="3"/>
  <c r="BD448" i="3"/>
  <c r="BC448" i="3"/>
  <c r="BB448" i="3"/>
  <c r="BA448" i="3"/>
  <c r="AZ448" i="3"/>
  <c r="AX448" i="3"/>
  <c r="AW448" i="3"/>
  <c r="AV448" i="3"/>
  <c r="AC448" i="3"/>
  <c r="H448" i="3"/>
  <c r="G448" i="3"/>
  <c r="BT447" i="3"/>
  <c r="BS447" i="3"/>
  <c r="BR447" i="3"/>
  <c r="BQ447" i="3"/>
  <c r="BP447" i="3"/>
  <c r="BO447" i="3"/>
  <c r="BN447" i="3"/>
  <c r="BM447" i="3"/>
  <c r="BL447" i="3"/>
  <c r="BK447" i="3"/>
  <c r="BJ447" i="3"/>
  <c r="BI447" i="3"/>
  <c r="BH447" i="3"/>
  <c r="BG447" i="3"/>
  <c r="BF447" i="3"/>
  <c r="BE447" i="3"/>
  <c r="BD447" i="3"/>
  <c r="BC447" i="3"/>
  <c r="BB447" i="3"/>
  <c r="BA447" i="3"/>
  <c r="AZ447" i="3"/>
  <c r="AX447" i="3"/>
  <c r="AW447" i="3"/>
  <c r="AV447" i="3"/>
  <c r="AC447" i="3"/>
  <c r="H447" i="3"/>
  <c r="G447" i="3"/>
  <c r="BT446" i="3"/>
  <c r="BS446" i="3"/>
  <c r="BR446" i="3"/>
  <c r="BQ446" i="3"/>
  <c r="BP446" i="3"/>
  <c r="BO446" i="3"/>
  <c r="BN446" i="3"/>
  <c r="BM446" i="3"/>
  <c r="BL446" i="3"/>
  <c r="AZ446" i="3"/>
  <c r="BK446" i="3"/>
  <c r="BJ446" i="3"/>
  <c r="BI446" i="3"/>
  <c r="BH446" i="3"/>
  <c r="BG446" i="3"/>
  <c r="BF446" i="3"/>
  <c r="BE446" i="3"/>
  <c r="BD446" i="3"/>
  <c r="BC446" i="3"/>
  <c r="BB446" i="3"/>
  <c r="BA446" i="3"/>
  <c r="AX446" i="3"/>
  <c r="AW446" i="3"/>
  <c r="AV446" i="3"/>
  <c r="AC446" i="3"/>
  <c r="H446" i="3"/>
  <c r="G446" i="3"/>
  <c r="BT445" i="3"/>
  <c r="BS445" i="3"/>
  <c r="BR445" i="3"/>
  <c r="BQ445" i="3"/>
  <c r="BP445" i="3"/>
  <c r="BO445" i="3"/>
  <c r="BN445" i="3"/>
  <c r="BM445" i="3"/>
  <c r="BL445" i="3"/>
  <c r="BK445" i="3"/>
  <c r="BJ445" i="3"/>
  <c r="BI445" i="3"/>
  <c r="BH445" i="3"/>
  <c r="BG445" i="3"/>
  <c r="BF445" i="3"/>
  <c r="BE445" i="3"/>
  <c r="BD445" i="3"/>
  <c r="BC445" i="3"/>
  <c r="BB445" i="3"/>
  <c r="BA445" i="3"/>
  <c r="AZ445" i="3"/>
  <c r="AX445" i="3"/>
  <c r="AW445" i="3"/>
  <c r="AV445" i="3"/>
  <c r="AC445" i="3"/>
  <c r="H445" i="3"/>
  <c r="G445" i="3"/>
  <c r="BT444" i="3"/>
  <c r="BS444" i="3"/>
  <c r="BR444" i="3"/>
  <c r="BQ444" i="3"/>
  <c r="BP444" i="3"/>
  <c r="BO444" i="3"/>
  <c r="BN444" i="3"/>
  <c r="BM444" i="3"/>
  <c r="BL444" i="3"/>
  <c r="BK444" i="3"/>
  <c r="BJ444" i="3"/>
  <c r="BI444" i="3"/>
  <c r="BH444" i="3"/>
  <c r="BG444" i="3"/>
  <c r="BF444" i="3"/>
  <c r="BE444" i="3"/>
  <c r="BD444" i="3"/>
  <c r="BC444" i="3"/>
  <c r="BB444" i="3"/>
  <c r="BA444" i="3"/>
  <c r="AZ444" i="3"/>
  <c r="AX444" i="3"/>
  <c r="AW444" i="3"/>
  <c r="AV444" i="3"/>
  <c r="AC444" i="3"/>
  <c r="H444" i="3"/>
  <c r="G444" i="3"/>
  <c r="BT443" i="3"/>
  <c r="BS443" i="3"/>
  <c r="BR443" i="3"/>
  <c r="BQ443" i="3"/>
  <c r="BP443" i="3"/>
  <c r="BO443" i="3"/>
  <c r="BN443" i="3"/>
  <c r="BM443" i="3"/>
  <c r="BL443" i="3"/>
  <c r="AZ443" i="3"/>
  <c r="BK443" i="3"/>
  <c r="BJ443" i="3"/>
  <c r="BI443" i="3"/>
  <c r="BH443" i="3"/>
  <c r="BG443" i="3"/>
  <c r="BF443" i="3"/>
  <c r="BE443" i="3"/>
  <c r="BD443" i="3"/>
  <c r="BC443" i="3"/>
  <c r="BB443" i="3"/>
  <c r="BA443" i="3"/>
  <c r="AX443" i="3"/>
  <c r="AW443" i="3"/>
  <c r="AV443" i="3"/>
  <c r="AC443" i="3"/>
  <c r="H443" i="3"/>
  <c r="G443" i="3"/>
  <c r="BT442" i="3"/>
  <c r="BS442" i="3"/>
  <c r="BR442" i="3"/>
  <c r="BQ442" i="3"/>
  <c r="BP442" i="3"/>
  <c r="BO442" i="3"/>
  <c r="BN442" i="3"/>
  <c r="BM442" i="3"/>
  <c r="BL442" i="3"/>
  <c r="AZ442" i="3"/>
  <c r="BK442" i="3"/>
  <c r="BJ442" i="3"/>
  <c r="BI442" i="3"/>
  <c r="BH442" i="3"/>
  <c r="BG442" i="3"/>
  <c r="BF442" i="3"/>
  <c r="BE442" i="3"/>
  <c r="BD442" i="3"/>
  <c r="BC442" i="3"/>
  <c r="BB442" i="3"/>
  <c r="BA442" i="3"/>
  <c r="AX442" i="3"/>
  <c r="AW442" i="3"/>
  <c r="AV442" i="3"/>
  <c r="AC442" i="3"/>
  <c r="H442" i="3"/>
  <c r="G442" i="3"/>
  <c r="BT441" i="3"/>
  <c r="BS441" i="3"/>
  <c r="BR441" i="3"/>
  <c r="BQ441" i="3"/>
  <c r="BP441" i="3"/>
  <c r="BO441" i="3"/>
  <c r="BN441" i="3"/>
  <c r="BM441" i="3"/>
  <c r="BL441" i="3"/>
  <c r="BK441" i="3"/>
  <c r="BJ441" i="3"/>
  <c r="BI441" i="3"/>
  <c r="BH441" i="3"/>
  <c r="BG441" i="3"/>
  <c r="BF441" i="3"/>
  <c r="BE441" i="3"/>
  <c r="BD441" i="3"/>
  <c r="BC441" i="3"/>
  <c r="BB441" i="3"/>
  <c r="BA441" i="3"/>
  <c r="AX441" i="3"/>
  <c r="AW441" i="3"/>
  <c r="AV441" i="3"/>
  <c r="AC441" i="3"/>
  <c r="H441" i="3"/>
  <c r="G441" i="3"/>
  <c r="BT440" i="3"/>
  <c r="BS440" i="3"/>
  <c r="BR440" i="3"/>
  <c r="BQ440" i="3"/>
  <c r="BP440" i="3"/>
  <c r="BO440" i="3"/>
  <c r="BN440" i="3"/>
  <c r="BM440" i="3"/>
  <c r="BL440" i="3"/>
  <c r="BK440" i="3"/>
  <c r="BJ440" i="3"/>
  <c r="BI440" i="3"/>
  <c r="BH440" i="3"/>
  <c r="BG440" i="3"/>
  <c r="BF440" i="3"/>
  <c r="BE440" i="3"/>
  <c r="BD440" i="3"/>
  <c r="BC440" i="3"/>
  <c r="BB440" i="3"/>
  <c r="BA440" i="3"/>
  <c r="AZ440" i="3"/>
  <c r="AX440" i="3"/>
  <c r="AW440" i="3"/>
  <c r="AV440" i="3"/>
  <c r="AC440" i="3"/>
  <c r="H440" i="3"/>
  <c r="G440" i="3"/>
  <c r="BT439" i="3"/>
  <c r="BS439" i="3"/>
  <c r="BR439" i="3"/>
  <c r="BQ439" i="3"/>
  <c r="BP439" i="3"/>
  <c r="BO439" i="3"/>
  <c r="BN439" i="3"/>
  <c r="BM439" i="3"/>
  <c r="BL439" i="3"/>
  <c r="BK439" i="3"/>
  <c r="BJ439" i="3"/>
  <c r="BI439" i="3"/>
  <c r="BH439" i="3"/>
  <c r="BG439" i="3"/>
  <c r="BF439" i="3"/>
  <c r="BE439" i="3"/>
  <c r="BD439" i="3"/>
  <c r="BC439" i="3"/>
  <c r="BB439" i="3"/>
  <c r="BA439" i="3"/>
  <c r="AZ439" i="3"/>
  <c r="AX439" i="3"/>
  <c r="AW439" i="3"/>
  <c r="AV439" i="3"/>
  <c r="AC439" i="3"/>
  <c r="H439" i="3"/>
  <c r="G439" i="3"/>
  <c r="BT438" i="3"/>
  <c r="BS438" i="3"/>
  <c r="BR438" i="3"/>
  <c r="BQ438" i="3"/>
  <c r="BP438" i="3"/>
  <c r="BO438" i="3"/>
  <c r="BN438" i="3"/>
  <c r="BM438" i="3"/>
  <c r="BL438" i="3"/>
  <c r="AZ438" i="3"/>
  <c r="BK438" i="3"/>
  <c r="BJ438" i="3"/>
  <c r="BI438" i="3"/>
  <c r="BH438" i="3"/>
  <c r="BG438" i="3"/>
  <c r="BF438" i="3"/>
  <c r="BE438" i="3"/>
  <c r="BD438" i="3"/>
  <c r="BC438" i="3"/>
  <c r="BB438" i="3"/>
  <c r="BA438" i="3"/>
  <c r="AX438" i="3"/>
  <c r="AW438" i="3"/>
  <c r="AV438" i="3"/>
  <c r="AC438" i="3"/>
  <c r="H438" i="3"/>
  <c r="G438" i="3"/>
  <c r="BT437" i="3"/>
  <c r="BS437" i="3"/>
  <c r="BR437" i="3"/>
  <c r="BQ437" i="3"/>
  <c r="BP437" i="3"/>
  <c r="BO437" i="3"/>
  <c r="BN437" i="3"/>
  <c r="BM437" i="3"/>
  <c r="BL437" i="3"/>
  <c r="BK437" i="3"/>
  <c r="BJ437" i="3"/>
  <c r="BI437" i="3"/>
  <c r="BH437" i="3"/>
  <c r="BG437" i="3"/>
  <c r="BF437" i="3"/>
  <c r="BE437" i="3"/>
  <c r="BD437" i="3"/>
  <c r="BC437" i="3"/>
  <c r="BB437" i="3"/>
  <c r="BA437" i="3"/>
  <c r="AX437" i="3"/>
  <c r="AW437" i="3"/>
  <c r="AV437" i="3"/>
  <c r="AC437" i="3"/>
  <c r="H437" i="3"/>
  <c r="G437" i="3"/>
  <c r="BT436" i="3"/>
  <c r="BS436" i="3"/>
  <c r="BR436" i="3"/>
  <c r="BQ436" i="3"/>
  <c r="BP436" i="3"/>
  <c r="BO436" i="3"/>
  <c r="BN436" i="3"/>
  <c r="BM436" i="3"/>
  <c r="BL436" i="3"/>
  <c r="BK436" i="3"/>
  <c r="BJ436" i="3"/>
  <c r="BI436" i="3"/>
  <c r="BH436" i="3"/>
  <c r="BG436" i="3"/>
  <c r="BF436" i="3"/>
  <c r="BE436" i="3"/>
  <c r="BD436" i="3"/>
  <c r="BC436" i="3"/>
  <c r="BB436" i="3"/>
  <c r="BA436" i="3"/>
  <c r="AZ436" i="3"/>
  <c r="AX436" i="3"/>
  <c r="AW436" i="3"/>
  <c r="AV436" i="3"/>
  <c r="AC436" i="3"/>
  <c r="H436" i="3"/>
  <c r="G436" i="3"/>
  <c r="BT435" i="3"/>
  <c r="BS435" i="3"/>
  <c r="BR435" i="3"/>
  <c r="BQ435" i="3"/>
  <c r="BP435" i="3"/>
  <c r="BO435" i="3"/>
  <c r="BN435" i="3"/>
  <c r="BM435" i="3"/>
  <c r="BL435" i="3"/>
  <c r="AZ435" i="3"/>
  <c r="BK435" i="3"/>
  <c r="BJ435" i="3"/>
  <c r="BI435" i="3"/>
  <c r="BH435" i="3"/>
  <c r="BG435" i="3"/>
  <c r="BF435" i="3"/>
  <c r="BE435" i="3"/>
  <c r="BD435" i="3"/>
  <c r="BC435" i="3"/>
  <c r="BB435" i="3"/>
  <c r="BA435" i="3"/>
  <c r="AX435" i="3"/>
  <c r="AW435" i="3"/>
  <c r="AV435" i="3"/>
  <c r="AC435" i="3"/>
  <c r="H435" i="3"/>
  <c r="G435" i="3"/>
  <c r="BT434" i="3"/>
  <c r="BS434" i="3"/>
  <c r="BR434" i="3"/>
  <c r="BQ434" i="3"/>
  <c r="BP434" i="3"/>
  <c r="BO434" i="3"/>
  <c r="BN434" i="3"/>
  <c r="BM434" i="3"/>
  <c r="BL434" i="3"/>
  <c r="AZ434" i="3"/>
  <c r="BK434" i="3"/>
  <c r="BJ434" i="3"/>
  <c r="BI434" i="3"/>
  <c r="BH434" i="3"/>
  <c r="BG434" i="3"/>
  <c r="BF434" i="3"/>
  <c r="BE434" i="3"/>
  <c r="BD434" i="3"/>
  <c r="BC434" i="3"/>
  <c r="BB434" i="3"/>
  <c r="BA434" i="3"/>
  <c r="AX434" i="3"/>
  <c r="AW434" i="3"/>
  <c r="AV434" i="3"/>
  <c r="AC434" i="3"/>
  <c r="H434" i="3"/>
  <c r="G434" i="3"/>
  <c r="BT433" i="3"/>
  <c r="BS433" i="3"/>
  <c r="BR433" i="3"/>
  <c r="BQ433" i="3"/>
  <c r="BP433" i="3"/>
  <c r="BO433" i="3"/>
  <c r="BN433" i="3"/>
  <c r="BM433" i="3"/>
  <c r="BL433" i="3"/>
  <c r="BK433" i="3"/>
  <c r="BJ433" i="3"/>
  <c r="BI433" i="3"/>
  <c r="BH433" i="3"/>
  <c r="BG433" i="3"/>
  <c r="BF433" i="3"/>
  <c r="BE433" i="3"/>
  <c r="BD433" i="3"/>
  <c r="BC433" i="3"/>
  <c r="BB433" i="3"/>
  <c r="BA433" i="3"/>
  <c r="AX433" i="3"/>
  <c r="AW433" i="3"/>
  <c r="AV433" i="3"/>
  <c r="AC433" i="3"/>
  <c r="H433" i="3"/>
  <c r="G433" i="3"/>
  <c r="BT432" i="3"/>
  <c r="BS432" i="3"/>
  <c r="BR432" i="3"/>
  <c r="BQ432" i="3"/>
  <c r="BP432" i="3"/>
  <c r="BO432" i="3"/>
  <c r="BN432" i="3"/>
  <c r="BM432" i="3"/>
  <c r="BL432" i="3"/>
  <c r="BK432" i="3"/>
  <c r="BJ432" i="3"/>
  <c r="BI432" i="3"/>
  <c r="BH432" i="3"/>
  <c r="BG432" i="3"/>
  <c r="BF432" i="3"/>
  <c r="BE432" i="3"/>
  <c r="BD432" i="3"/>
  <c r="BC432" i="3"/>
  <c r="BB432" i="3"/>
  <c r="BA432" i="3"/>
  <c r="AZ432" i="3"/>
  <c r="AX432" i="3"/>
  <c r="AW432" i="3"/>
  <c r="AV432" i="3"/>
  <c r="AC432" i="3"/>
  <c r="H432" i="3"/>
  <c r="G432" i="3"/>
  <c r="BT431" i="3"/>
  <c r="BS431" i="3"/>
  <c r="BR431" i="3"/>
  <c r="BQ431" i="3"/>
  <c r="BP431" i="3"/>
  <c r="BO431" i="3"/>
  <c r="BN431" i="3"/>
  <c r="BM431" i="3"/>
  <c r="BL431" i="3"/>
  <c r="BK431" i="3"/>
  <c r="BJ431" i="3"/>
  <c r="BI431" i="3"/>
  <c r="BH431" i="3"/>
  <c r="BG431" i="3"/>
  <c r="BF431" i="3"/>
  <c r="BE431" i="3"/>
  <c r="BD431" i="3"/>
  <c r="BC431" i="3"/>
  <c r="BB431" i="3"/>
  <c r="BA431" i="3"/>
  <c r="AZ431" i="3"/>
  <c r="AX431" i="3"/>
  <c r="AW431" i="3"/>
  <c r="AV431" i="3"/>
  <c r="AC431" i="3"/>
  <c r="H431" i="3"/>
  <c r="G431" i="3"/>
  <c r="BT430" i="3"/>
  <c r="BS430" i="3"/>
  <c r="BR430" i="3"/>
  <c r="BQ430" i="3"/>
  <c r="BP430" i="3"/>
  <c r="BO430" i="3"/>
  <c r="BN430" i="3"/>
  <c r="BM430" i="3"/>
  <c r="BL430" i="3"/>
  <c r="BK430" i="3"/>
  <c r="BJ430" i="3"/>
  <c r="BI430" i="3"/>
  <c r="BH430" i="3"/>
  <c r="BG430" i="3"/>
  <c r="BF430" i="3"/>
  <c r="BE430" i="3"/>
  <c r="BD430" i="3"/>
  <c r="BC430" i="3"/>
  <c r="BB430" i="3"/>
  <c r="BA430" i="3"/>
  <c r="AZ430" i="3"/>
  <c r="AX430" i="3"/>
  <c r="AW430" i="3"/>
  <c r="AV430" i="3"/>
  <c r="AC430" i="3"/>
  <c r="H430" i="3"/>
  <c r="G430" i="3"/>
  <c r="BT429" i="3"/>
  <c r="BS429" i="3"/>
  <c r="BR429" i="3"/>
  <c r="BQ429" i="3"/>
  <c r="BP429" i="3"/>
  <c r="BO429" i="3"/>
  <c r="BN429" i="3"/>
  <c r="BM429" i="3"/>
  <c r="BL429" i="3"/>
  <c r="BK429" i="3"/>
  <c r="BJ429" i="3"/>
  <c r="BI429" i="3"/>
  <c r="BH429" i="3"/>
  <c r="BG429" i="3"/>
  <c r="BF429" i="3"/>
  <c r="BE429" i="3"/>
  <c r="BD429" i="3"/>
  <c r="BC429" i="3"/>
  <c r="BB429" i="3"/>
  <c r="BA429" i="3"/>
  <c r="AZ429" i="3"/>
  <c r="AX429" i="3"/>
  <c r="AW429" i="3"/>
  <c r="AV429" i="3"/>
  <c r="AC429" i="3"/>
  <c r="H429" i="3"/>
  <c r="G429" i="3"/>
  <c r="BT428" i="3"/>
  <c r="BS428" i="3"/>
  <c r="BR428" i="3"/>
  <c r="BQ428" i="3"/>
  <c r="BP428" i="3"/>
  <c r="BO428" i="3"/>
  <c r="BN428" i="3"/>
  <c r="BM428" i="3"/>
  <c r="BL428" i="3"/>
  <c r="BK428" i="3"/>
  <c r="BJ428" i="3"/>
  <c r="BI428" i="3"/>
  <c r="BH428" i="3"/>
  <c r="BG428" i="3"/>
  <c r="BF428" i="3"/>
  <c r="BE428" i="3"/>
  <c r="BD428" i="3"/>
  <c r="BC428" i="3"/>
  <c r="BB428" i="3"/>
  <c r="BA428" i="3"/>
  <c r="AX428" i="3"/>
  <c r="AW428" i="3"/>
  <c r="AV428" i="3"/>
  <c r="AC428" i="3"/>
  <c r="H428" i="3"/>
  <c r="G428" i="3"/>
  <c r="BT427" i="3"/>
  <c r="BS427" i="3"/>
  <c r="BR427" i="3"/>
  <c r="BQ427" i="3"/>
  <c r="BP427" i="3"/>
  <c r="BO427" i="3"/>
  <c r="BN427" i="3"/>
  <c r="BM427" i="3"/>
  <c r="BL427" i="3"/>
  <c r="BK427" i="3"/>
  <c r="BJ427" i="3"/>
  <c r="BI427" i="3"/>
  <c r="BH427" i="3"/>
  <c r="BG427" i="3"/>
  <c r="BF427" i="3"/>
  <c r="BE427" i="3"/>
  <c r="BD427" i="3"/>
  <c r="BC427" i="3"/>
  <c r="BB427" i="3"/>
  <c r="BA427" i="3"/>
  <c r="AZ427" i="3"/>
  <c r="AX427" i="3"/>
  <c r="AW427" i="3"/>
  <c r="AV427" i="3"/>
  <c r="AC427" i="3"/>
  <c r="H427" i="3"/>
  <c r="G427" i="3"/>
  <c r="BT426" i="3"/>
  <c r="BS426" i="3"/>
  <c r="BR426" i="3"/>
  <c r="BQ426" i="3"/>
  <c r="BP426" i="3"/>
  <c r="BO426" i="3"/>
  <c r="BN426" i="3"/>
  <c r="BM426" i="3"/>
  <c r="BL426" i="3"/>
  <c r="BK426" i="3"/>
  <c r="BJ426" i="3"/>
  <c r="BI426" i="3"/>
  <c r="BH426" i="3"/>
  <c r="BG426" i="3"/>
  <c r="BF426" i="3"/>
  <c r="BE426" i="3"/>
  <c r="BD426" i="3"/>
  <c r="BC426" i="3"/>
  <c r="BB426" i="3"/>
  <c r="BA426" i="3"/>
  <c r="AZ426" i="3"/>
  <c r="AX426" i="3"/>
  <c r="AW426" i="3"/>
  <c r="AV426" i="3"/>
  <c r="AC426" i="3"/>
  <c r="H426" i="3"/>
  <c r="G426" i="3"/>
  <c r="BT425" i="3"/>
  <c r="BS425" i="3"/>
  <c r="BR425" i="3"/>
  <c r="BQ425" i="3"/>
  <c r="BP425" i="3"/>
  <c r="BO425" i="3"/>
  <c r="BN425" i="3"/>
  <c r="BM425" i="3"/>
  <c r="BL425" i="3"/>
  <c r="BK425" i="3"/>
  <c r="BJ425" i="3"/>
  <c r="BI425" i="3"/>
  <c r="BH425" i="3"/>
  <c r="BG425" i="3"/>
  <c r="BF425" i="3"/>
  <c r="BE425" i="3"/>
  <c r="BD425" i="3"/>
  <c r="BC425" i="3"/>
  <c r="BB425" i="3"/>
  <c r="BA425" i="3"/>
  <c r="AZ425" i="3"/>
  <c r="AX425" i="3"/>
  <c r="AW425" i="3"/>
  <c r="AV425" i="3"/>
  <c r="AC425" i="3"/>
  <c r="H425" i="3"/>
  <c r="G425" i="3"/>
  <c r="BT424" i="3"/>
  <c r="BS424" i="3"/>
  <c r="BR424" i="3"/>
  <c r="BQ424" i="3"/>
  <c r="BP424" i="3"/>
  <c r="BO424" i="3"/>
  <c r="BN424" i="3"/>
  <c r="BM424" i="3"/>
  <c r="BL424" i="3"/>
  <c r="BK424" i="3"/>
  <c r="BJ424" i="3"/>
  <c r="BI424" i="3"/>
  <c r="BH424" i="3"/>
  <c r="BG424" i="3"/>
  <c r="BF424" i="3"/>
  <c r="BE424" i="3"/>
  <c r="BD424" i="3"/>
  <c r="BC424" i="3"/>
  <c r="BB424" i="3"/>
  <c r="BA424" i="3"/>
  <c r="AZ424" i="3"/>
  <c r="AX424" i="3"/>
  <c r="AW424" i="3"/>
  <c r="AV424" i="3"/>
  <c r="AC424" i="3"/>
  <c r="H424" i="3"/>
  <c r="G424" i="3"/>
  <c r="BT423" i="3"/>
  <c r="BS423" i="3"/>
  <c r="BR423" i="3"/>
  <c r="BQ423" i="3"/>
  <c r="BP423" i="3"/>
  <c r="BO423" i="3"/>
  <c r="BN423" i="3"/>
  <c r="BM423" i="3"/>
  <c r="BL423" i="3"/>
  <c r="BK423" i="3"/>
  <c r="BJ423" i="3"/>
  <c r="BI423" i="3"/>
  <c r="BH423" i="3"/>
  <c r="BG423" i="3"/>
  <c r="BF423" i="3"/>
  <c r="BE423" i="3"/>
  <c r="BD423" i="3"/>
  <c r="BC423" i="3"/>
  <c r="BB423" i="3"/>
  <c r="BA423" i="3"/>
  <c r="AZ423" i="3"/>
  <c r="AX423" i="3"/>
  <c r="AW423" i="3"/>
  <c r="AV423" i="3"/>
  <c r="AC423" i="3"/>
  <c r="H423" i="3"/>
  <c r="G423" i="3"/>
  <c r="BT422" i="3"/>
  <c r="BS422" i="3"/>
  <c r="BR422" i="3"/>
  <c r="BQ422" i="3"/>
  <c r="BP422" i="3"/>
  <c r="BO422" i="3"/>
  <c r="BN422" i="3"/>
  <c r="BM422" i="3"/>
  <c r="BL422" i="3"/>
  <c r="AZ422" i="3"/>
  <c r="BK422" i="3"/>
  <c r="BJ422" i="3"/>
  <c r="BI422" i="3"/>
  <c r="BH422" i="3"/>
  <c r="BG422" i="3"/>
  <c r="BF422" i="3"/>
  <c r="BE422" i="3"/>
  <c r="BD422" i="3"/>
  <c r="BC422" i="3"/>
  <c r="BB422" i="3"/>
  <c r="BA422" i="3"/>
  <c r="AX422" i="3"/>
  <c r="AW422" i="3"/>
  <c r="AV422" i="3"/>
  <c r="AC422" i="3"/>
  <c r="H422" i="3"/>
  <c r="G422" i="3"/>
  <c r="BT421" i="3"/>
  <c r="BS421" i="3"/>
  <c r="BR421" i="3"/>
  <c r="BQ421" i="3"/>
  <c r="BP421" i="3"/>
  <c r="BO421" i="3"/>
  <c r="BN421" i="3"/>
  <c r="BM421" i="3"/>
  <c r="BL421" i="3"/>
  <c r="BK421" i="3"/>
  <c r="BJ421" i="3"/>
  <c r="BI421" i="3"/>
  <c r="BH421" i="3"/>
  <c r="BG421" i="3"/>
  <c r="BF421" i="3"/>
  <c r="BE421" i="3"/>
  <c r="BD421" i="3"/>
  <c r="BC421" i="3"/>
  <c r="BB421" i="3"/>
  <c r="BA421" i="3"/>
  <c r="AZ421" i="3"/>
  <c r="AX421" i="3"/>
  <c r="AW421" i="3"/>
  <c r="AV421" i="3"/>
  <c r="AC421" i="3"/>
  <c r="H421" i="3"/>
  <c r="G421" i="3"/>
  <c r="BT420" i="3"/>
  <c r="BS420" i="3"/>
  <c r="BR420" i="3"/>
  <c r="BQ420" i="3"/>
  <c r="BP420" i="3"/>
  <c r="BO420" i="3"/>
  <c r="BN420" i="3"/>
  <c r="BM420" i="3"/>
  <c r="BL420" i="3"/>
  <c r="BK420" i="3"/>
  <c r="BJ420" i="3"/>
  <c r="BI420" i="3"/>
  <c r="BH420" i="3"/>
  <c r="BG420" i="3"/>
  <c r="BF420" i="3"/>
  <c r="BE420" i="3"/>
  <c r="BD420" i="3"/>
  <c r="BC420" i="3"/>
  <c r="BB420" i="3"/>
  <c r="BA420" i="3"/>
  <c r="AZ420" i="3"/>
  <c r="AX420" i="3"/>
  <c r="AW420" i="3"/>
  <c r="AV420" i="3"/>
  <c r="AC420" i="3"/>
  <c r="H420" i="3"/>
  <c r="G420" i="3"/>
  <c r="BT419" i="3"/>
  <c r="BS419" i="3"/>
  <c r="BR419" i="3"/>
  <c r="BQ419" i="3"/>
  <c r="BP419" i="3"/>
  <c r="BO419" i="3"/>
  <c r="BN419" i="3"/>
  <c r="BM419" i="3"/>
  <c r="BL419" i="3"/>
  <c r="AZ419" i="3"/>
  <c r="BK419" i="3"/>
  <c r="BJ419" i="3"/>
  <c r="BI419" i="3"/>
  <c r="BH419" i="3"/>
  <c r="BG419" i="3"/>
  <c r="BF419" i="3"/>
  <c r="BE419" i="3"/>
  <c r="BD419" i="3"/>
  <c r="BC419" i="3"/>
  <c r="BB419" i="3"/>
  <c r="BA419" i="3"/>
  <c r="AX419" i="3"/>
  <c r="AW419" i="3"/>
  <c r="AV419" i="3"/>
  <c r="AC419" i="3"/>
  <c r="H419" i="3"/>
  <c r="G419" i="3"/>
  <c r="BT418" i="3"/>
  <c r="BS418" i="3"/>
  <c r="BR418" i="3"/>
  <c r="BQ418" i="3"/>
  <c r="BP418" i="3"/>
  <c r="BO418" i="3"/>
  <c r="BN418" i="3"/>
  <c r="BM418" i="3"/>
  <c r="BL418" i="3"/>
  <c r="AZ418" i="3"/>
  <c r="BK418" i="3"/>
  <c r="BJ418" i="3"/>
  <c r="BI418" i="3"/>
  <c r="BH418" i="3"/>
  <c r="BG418" i="3"/>
  <c r="BF418" i="3"/>
  <c r="BE418" i="3"/>
  <c r="BD418" i="3"/>
  <c r="BC418" i="3"/>
  <c r="BB418" i="3"/>
  <c r="BA418" i="3"/>
  <c r="AX418" i="3"/>
  <c r="AW418" i="3"/>
  <c r="AV418" i="3"/>
  <c r="AC418" i="3"/>
  <c r="H418" i="3"/>
  <c r="G418" i="3"/>
  <c r="BT417" i="3"/>
  <c r="BS417" i="3"/>
  <c r="BR417" i="3"/>
  <c r="BQ417" i="3"/>
  <c r="BP417" i="3"/>
  <c r="BO417" i="3"/>
  <c r="BN417" i="3"/>
  <c r="BM417" i="3"/>
  <c r="BL417" i="3"/>
  <c r="BK417" i="3"/>
  <c r="BJ417" i="3"/>
  <c r="BI417" i="3"/>
  <c r="BH417" i="3"/>
  <c r="BG417" i="3"/>
  <c r="BF417" i="3"/>
  <c r="BE417" i="3"/>
  <c r="BD417" i="3"/>
  <c r="BC417" i="3"/>
  <c r="BB417" i="3"/>
  <c r="BA417" i="3"/>
  <c r="AX417" i="3"/>
  <c r="AW417" i="3"/>
  <c r="AV417" i="3"/>
  <c r="AC417" i="3"/>
  <c r="H417" i="3"/>
  <c r="G417" i="3"/>
  <c r="BT416" i="3"/>
  <c r="BS416" i="3"/>
  <c r="BR416" i="3"/>
  <c r="BQ416" i="3"/>
  <c r="BP416" i="3"/>
  <c r="BO416" i="3"/>
  <c r="BN416" i="3"/>
  <c r="BM416" i="3"/>
  <c r="BL416" i="3"/>
  <c r="BK416" i="3"/>
  <c r="BJ416" i="3"/>
  <c r="BI416" i="3"/>
  <c r="BH416" i="3"/>
  <c r="BG416" i="3"/>
  <c r="BF416" i="3"/>
  <c r="BE416" i="3"/>
  <c r="BD416" i="3"/>
  <c r="BC416" i="3"/>
  <c r="BB416" i="3"/>
  <c r="BA416" i="3"/>
  <c r="AZ416" i="3"/>
  <c r="AX416" i="3"/>
  <c r="AW416" i="3"/>
  <c r="AV416" i="3"/>
  <c r="AC416" i="3"/>
  <c r="H416" i="3"/>
  <c r="G416" i="3"/>
  <c r="BT415" i="3"/>
  <c r="BS415" i="3"/>
  <c r="BR415" i="3"/>
  <c r="BQ415" i="3"/>
  <c r="BP415" i="3"/>
  <c r="BO415" i="3"/>
  <c r="BN415" i="3"/>
  <c r="BM415" i="3"/>
  <c r="BL415" i="3"/>
  <c r="BK415" i="3"/>
  <c r="BJ415" i="3"/>
  <c r="BI415" i="3"/>
  <c r="BH415" i="3"/>
  <c r="BG415" i="3"/>
  <c r="BF415" i="3"/>
  <c r="BE415" i="3"/>
  <c r="BD415" i="3"/>
  <c r="BC415" i="3"/>
  <c r="BB415" i="3"/>
  <c r="BA415" i="3"/>
  <c r="AZ415" i="3"/>
  <c r="AX415" i="3"/>
  <c r="AW415" i="3"/>
  <c r="AV415" i="3"/>
  <c r="AC415" i="3"/>
  <c r="H415" i="3"/>
  <c r="G415" i="3"/>
  <c r="BT414" i="3"/>
  <c r="BS414" i="3"/>
  <c r="BR414" i="3"/>
  <c r="BQ414" i="3"/>
  <c r="BP414" i="3"/>
  <c r="BO414" i="3"/>
  <c r="BN414" i="3"/>
  <c r="BM414" i="3"/>
  <c r="BL414" i="3"/>
  <c r="BK414" i="3"/>
  <c r="BJ414" i="3"/>
  <c r="BI414" i="3"/>
  <c r="BH414" i="3"/>
  <c r="BG414" i="3"/>
  <c r="BF414" i="3"/>
  <c r="BE414" i="3"/>
  <c r="BD414" i="3"/>
  <c r="BC414" i="3"/>
  <c r="BB414" i="3"/>
  <c r="BA414" i="3"/>
  <c r="AZ414" i="3"/>
  <c r="AX414" i="3"/>
  <c r="AW414" i="3"/>
  <c r="AV414" i="3"/>
  <c r="AC414" i="3"/>
  <c r="H414" i="3"/>
  <c r="G414" i="3"/>
  <c r="BT413" i="3"/>
  <c r="BS413" i="3"/>
  <c r="BR413" i="3"/>
  <c r="BQ413" i="3"/>
  <c r="BP413" i="3"/>
  <c r="BO413" i="3"/>
  <c r="BN413" i="3"/>
  <c r="BM413" i="3"/>
  <c r="BL413" i="3"/>
  <c r="BK413" i="3"/>
  <c r="BJ413" i="3"/>
  <c r="BI413" i="3"/>
  <c r="BH413" i="3"/>
  <c r="BG413" i="3"/>
  <c r="BF413" i="3"/>
  <c r="BE413" i="3"/>
  <c r="BD413" i="3"/>
  <c r="BC413" i="3"/>
  <c r="BB413" i="3"/>
  <c r="BA413" i="3"/>
  <c r="AZ413" i="3"/>
  <c r="AX413" i="3"/>
  <c r="AW413" i="3"/>
  <c r="AV413" i="3"/>
  <c r="AC413" i="3"/>
  <c r="H413" i="3"/>
  <c r="G413" i="3"/>
  <c r="BT412" i="3"/>
  <c r="BS412" i="3"/>
  <c r="BR412" i="3"/>
  <c r="BQ412" i="3"/>
  <c r="BP412" i="3"/>
  <c r="BO412" i="3"/>
  <c r="BN412" i="3"/>
  <c r="BM412" i="3"/>
  <c r="BL412" i="3"/>
  <c r="BK412" i="3"/>
  <c r="BJ412" i="3"/>
  <c r="BI412" i="3"/>
  <c r="BH412" i="3"/>
  <c r="BG412" i="3"/>
  <c r="BF412" i="3"/>
  <c r="BE412" i="3"/>
  <c r="BD412" i="3"/>
  <c r="BC412" i="3"/>
  <c r="BB412" i="3"/>
  <c r="BA412" i="3"/>
  <c r="AX412" i="3"/>
  <c r="AW412" i="3"/>
  <c r="AV412" i="3"/>
  <c r="AC412" i="3"/>
  <c r="H412" i="3"/>
  <c r="G412" i="3"/>
  <c r="BT411" i="3"/>
  <c r="BS411" i="3"/>
  <c r="BR411" i="3"/>
  <c r="BQ411" i="3"/>
  <c r="BP411" i="3"/>
  <c r="BO411" i="3"/>
  <c r="BN411" i="3"/>
  <c r="BM411" i="3"/>
  <c r="BL411" i="3"/>
  <c r="BK411" i="3"/>
  <c r="BJ411" i="3"/>
  <c r="BI411" i="3"/>
  <c r="BH411" i="3"/>
  <c r="BG411" i="3"/>
  <c r="BF411" i="3"/>
  <c r="BE411" i="3"/>
  <c r="BD411" i="3"/>
  <c r="BC411" i="3"/>
  <c r="BB411" i="3"/>
  <c r="BA411" i="3"/>
  <c r="AZ411" i="3"/>
  <c r="AX411" i="3"/>
  <c r="AW411" i="3"/>
  <c r="AV411" i="3"/>
  <c r="AC411" i="3"/>
  <c r="H411" i="3"/>
  <c r="G411" i="3"/>
  <c r="BT410" i="3"/>
  <c r="BS410" i="3"/>
  <c r="BR410" i="3"/>
  <c r="BQ410" i="3"/>
  <c r="BP410" i="3"/>
  <c r="BO410" i="3"/>
  <c r="BN410" i="3"/>
  <c r="BM410" i="3"/>
  <c r="BL410" i="3"/>
  <c r="BK410" i="3"/>
  <c r="BJ410" i="3"/>
  <c r="BI410" i="3"/>
  <c r="BH410" i="3"/>
  <c r="BG410" i="3"/>
  <c r="BF410" i="3"/>
  <c r="BE410" i="3"/>
  <c r="BD410" i="3"/>
  <c r="BC410" i="3"/>
  <c r="BB410" i="3"/>
  <c r="BA410" i="3"/>
  <c r="AZ410" i="3"/>
  <c r="AX410" i="3"/>
  <c r="AW410" i="3"/>
  <c r="AV410" i="3"/>
  <c r="AC410" i="3"/>
  <c r="H410" i="3"/>
  <c r="G410" i="3"/>
  <c r="BT409" i="3"/>
  <c r="BS409" i="3"/>
  <c r="BR409" i="3"/>
  <c r="BQ409" i="3"/>
  <c r="BP409" i="3"/>
  <c r="BO409" i="3"/>
  <c r="BN409" i="3"/>
  <c r="BM409" i="3"/>
  <c r="BL409" i="3"/>
  <c r="BK409" i="3"/>
  <c r="BJ409" i="3"/>
  <c r="BI409" i="3"/>
  <c r="BH409" i="3"/>
  <c r="BG409" i="3"/>
  <c r="BF409" i="3"/>
  <c r="BE409" i="3"/>
  <c r="BD409" i="3"/>
  <c r="BC409" i="3"/>
  <c r="BB409" i="3"/>
  <c r="BA409" i="3"/>
  <c r="AZ409" i="3"/>
  <c r="AX409" i="3"/>
  <c r="AW409" i="3"/>
  <c r="AV409" i="3"/>
  <c r="AC409" i="3"/>
  <c r="H409" i="3"/>
  <c r="G409" i="3"/>
  <c r="BT408" i="3"/>
  <c r="BS408" i="3"/>
  <c r="BR408" i="3"/>
  <c r="BQ408" i="3"/>
  <c r="BP408" i="3"/>
  <c r="BO408" i="3"/>
  <c r="BN408" i="3"/>
  <c r="BM408" i="3"/>
  <c r="BL408" i="3"/>
  <c r="BK408" i="3"/>
  <c r="BJ408" i="3"/>
  <c r="BI408" i="3"/>
  <c r="BH408" i="3"/>
  <c r="BG408" i="3"/>
  <c r="BF408" i="3"/>
  <c r="BE408" i="3"/>
  <c r="BD408" i="3"/>
  <c r="BC408" i="3"/>
  <c r="BB408" i="3"/>
  <c r="BA408" i="3"/>
  <c r="AX408" i="3"/>
  <c r="AW408" i="3"/>
  <c r="AV408" i="3"/>
  <c r="AC408" i="3"/>
  <c r="H408" i="3"/>
  <c r="G408" i="3"/>
  <c r="BT407" i="3"/>
  <c r="BS407" i="3"/>
  <c r="BR407" i="3"/>
  <c r="BQ407" i="3"/>
  <c r="BP407" i="3"/>
  <c r="BO407" i="3"/>
  <c r="BN407" i="3"/>
  <c r="BM407" i="3"/>
  <c r="BL407" i="3"/>
  <c r="BK407" i="3"/>
  <c r="BJ407" i="3"/>
  <c r="BI407" i="3"/>
  <c r="BH407" i="3"/>
  <c r="BG407" i="3"/>
  <c r="BF407" i="3"/>
  <c r="BE407" i="3"/>
  <c r="BD407" i="3"/>
  <c r="BC407" i="3"/>
  <c r="BB407" i="3"/>
  <c r="BA407" i="3"/>
  <c r="AZ407" i="3"/>
  <c r="AX407" i="3"/>
  <c r="AW407" i="3"/>
  <c r="AV407" i="3"/>
  <c r="AC407" i="3"/>
  <c r="H407" i="3"/>
  <c r="G407" i="3"/>
  <c r="BT406" i="3"/>
  <c r="BS406" i="3"/>
  <c r="BR406" i="3"/>
  <c r="BQ406" i="3"/>
  <c r="BP406" i="3"/>
  <c r="BO406" i="3"/>
  <c r="BN406" i="3"/>
  <c r="BM406" i="3"/>
  <c r="BL406" i="3"/>
  <c r="AZ406" i="3"/>
  <c r="BK406" i="3"/>
  <c r="BJ406" i="3"/>
  <c r="BI406" i="3"/>
  <c r="BH406" i="3"/>
  <c r="BG406" i="3"/>
  <c r="BF406" i="3"/>
  <c r="BE406" i="3"/>
  <c r="BD406" i="3"/>
  <c r="BC406" i="3"/>
  <c r="BB406" i="3"/>
  <c r="BA406" i="3"/>
  <c r="AX406" i="3"/>
  <c r="AW406" i="3"/>
  <c r="AV406" i="3"/>
  <c r="AC406" i="3"/>
  <c r="H406" i="3"/>
  <c r="G406" i="3"/>
  <c r="BT405" i="3"/>
  <c r="BS405" i="3"/>
  <c r="BR405" i="3"/>
  <c r="BQ405" i="3"/>
  <c r="BP405" i="3"/>
  <c r="BO405" i="3"/>
  <c r="BN405" i="3"/>
  <c r="BM405" i="3"/>
  <c r="BL405" i="3"/>
  <c r="BK405" i="3"/>
  <c r="BJ405" i="3"/>
  <c r="BI405" i="3"/>
  <c r="BH405" i="3"/>
  <c r="BG405" i="3"/>
  <c r="BF405" i="3"/>
  <c r="BE405" i="3"/>
  <c r="BD405" i="3"/>
  <c r="BC405" i="3"/>
  <c r="BB405" i="3"/>
  <c r="BA405" i="3"/>
  <c r="AZ405" i="3"/>
  <c r="AX405" i="3"/>
  <c r="AW405" i="3"/>
  <c r="AV405" i="3"/>
  <c r="AC405" i="3"/>
  <c r="H405" i="3"/>
  <c r="G405" i="3"/>
  <c r="BT404" i="3"/>
  <c r="BS404" i="3"/>
  <c r="BR404" i="3"/>
  <c r="BQ404" i="3"/>
  <c r="BP404" i="3"/>
  <c r="BO404" i="3"/>
  <c r="BN404" i="3"/>
  <c r="BM404" i="3"/>
  <c r="BL404" i="3"/>
  <c r="BK404" i="3"/>
  <c r="BJ404" i="3"/>
  <c r="BI404" i="3"/>
  <c r="BH404" i="3"/>
  <c r="BG404" i="3"/>
  <c r="BF404" i="3"/>
  <c r="BE404" i="3"/>
  <c r="BD404" i="3"/>
  <c r="BC404" i="3"/>
  <c r="BB404" i="3"/>
  <c r="BA404" i="3"/>
  <c r="AZ404" i="3"/>
  <c r="AX404" i="3"/>
  <c r="AW404" i="3"/>
  <c r="AV404" i="3"/>
  <c r="AC404" i="3"/>
  <c r="H404" i="3"/>
  <c r="G404" i="3"/>
  <c r="BT403" i="3"/>
  <c r="BS403" i="3"/>
  <c r="BR403" i="3"/>
  <c r="BQ403" i="3"/>
  <c r="BP403" i="3"/>
  <c r="BO403" i="3"/>
  <c r="BN403" i="3"/>
  <c r="BM403" i="3"/>
  <c r="BL403" i="3"/>
  <c r="AZ403" i="3"/>
  <c r="BK403" i="3"/>
  <c r="BJ403" i="3"/>
  <c r="BI403" i="3"/>
  <c r="BH403" i="3"/>
  <c r="BG403" i="3"/>
  <c r="BF403" i="3"/>
  <c r="BE403" i="3"/>
  <c r="BD403" i="3"/>
  <c r="BC403" i="3"/>
  <c r="BB403" i="3"/>
  <c r="BA403" i="3"/>
  <c r="AX403" i="3"/>
  <c r="AW403" i="3"/>
  <c r="AV403" i="3"/>
  <c r="AC403" i="3"/>
  <c r="H403" i="3"/>
  <c r="G403" i="3"/>
  <c r="BT402" i="3"/>
  <c r="BS402" i="3"/>
  <c r="BR402" i="3"/>
  <c r="BQ402" i="3"/>
  <c r="BP402" i="3"/>
  <c r="BO402" i="3"/>
  <c r="BN402" i="3"/>
  <c r="BM402" i="3"/>
  <c r="BL402" i="3"/>
  <c r="AZ402" i="3"/>
  <c r="BK402" i="3"/>
  <c r="BJ402" i="3"/>
  <c r="BI402" i="3"/>
  <c r="BH402" i="3"/>
  <c r="BG402" i="3"/>
  <c r="BF402" i="3"/>
  <c r="BE402" i="3"/>
  <c r="BD402" i="3"/>
  <c r="BC402" i="3"/>
  <c r="BB402" i="3"/>
  <c r="BA402" i="3"/>
  <c r="AX402" i="3"/>
  <c r="AW402" i="3"/>
  <c r="AV402" i="3"/>
  <c r="AC402" i="3"/>
  <c r="H402" i="3"/>
  <c r="G402" i="3"/>
  <c r="BT401" i="3"/>
  <c r="BS401" i="3"/>
  <c r="BR401" i="3"/>
  <c r="BQ401" i="3"/>
  <c r="BP401" i="3"/>
  <c r="BO401" i="3"/>
  <c r="BN401" i="3"/>
  <c r="BM401" i="3"/>
  <c r="BL401" i="3"/>
  <c r="BK401" i="3"/>
  <c r="BJ401" i="3"/>
  <c r="BI401" i="3"/>
  <c r="BH401" i="3"/>
  <c r="BG401" i="3"/>
  <c r="BF401" i="3"/>
  <c r="BE401" i="3"/>
  <c r="BD401" i="3"/>
  <c r="BC401" i="3"/>
  <c r="BB401" i="3"/>
  <c r="BA401" i="3"/>
  <c r="AX401" i="3"/>
  <c r="AW401" i="3"/>
  <c r="AV401" i="3"/>
  <c r="AC401" i="3"/>
  <c r="H401" i="3"/>
  <c r="G401" i="3"/>
  <c r="BT400" i="3"/>
  <c r="BS400" i="3"/>
  <c r="BR400" i="3"/>
  <c r="BQ400" i="3"/>
  <c r="BP400" i="3"/>
  <c r="BO400" i="3"/>
  <c r="BN400" i="3"/>
  <c r="BM400" i="3"/>
  <c r="BL400" i="3"/>
  <c r="BK400" i="3"/>
  <c r="BJ400" i="3"/>
  <c r="BI400" i="3"/>
  <c r="BH400" i="3"/>
  <c r="BG400" i="3"/>
  <c r="BF400" i="3"/>
  <c r="BE400" i="3"/>
  <c r="BD400" i="3"/>
  <c r="BC400" i="3"/>
  <c r="BB400" i="3"/>
  <c r="BA400" i="3"/>
  <c r="AZ400" i="3"/>
  <c r="AX400" i="3"/>
  <c r="AW400" i="3"/>
  <c r="AV400" i="3"/>
  <c r="AC400" i="3"/>
  <c r="H400" i="3"/>
  <c r="G400" i="3"/>
  <c r="BT399" i="3"/>
  <c r="BS399" i="3"/>
  <c r="BR399" i="3"/>
  <c r="BQ399" i="3"/>
  <c r="BP399" i="3"/>
  <c r="BO399" i="3"/>
  <c r="BN399" i="3"/>
  <c r="BM399" i="3"/>
  <c r="BL399" i="3"/>
  <c r="BK399" i="3"/>
  <c r="BJ399" i="3"/>
  <c r="BI399" i="3"/>
  <c r="BH399" i="3"/>
  <c r="BG399" i="3"/>
  <c r="BF399" i="3"/>
  <c r="BE399" i="3"/>
  <c r="BD399" i="3"/>
  <c r="BC399" i="3"/>
  <c r="BB399" i="3"/>
  <c r="BA399" i="3"/>
  <c r="AZ399" i="3"/>
  <c r="AX399" i="3"/>
  <c r="AW399" i="3"/>
  <c r="AV399" i="3"/>
  <c r="AC399" i="3"/>
  <c r="H399" i="3"/>
  <c r="G399" i="3"/>
  <c r="BT398" i="3"/>
  <c r="BS398" i="3"/>
  <c r="BR398" i="3"/>
  <c r="BQ398" i="3"/>
  <c r="BP398" i="3"/>
  <c r="BO398" i="3"/>
  <c r="BN398" i="3"/>
  <c r="BM398" i="3"/>
  <c r="BL398" i="3"/>
  <c r="BK398" i="3"/>
  <c r="BJ398" i="3"/>
  <c r="BI398" i="3"/>
  <c r="BH398" i="3"/>
  <c r="BG398" i="3"/>
  <c r="BF398" i="3"/>
  <c r="BE398" i="3"/>
  <c r="BD398" i="3"/>
  <c r="BC398" i="3"/>
  <c r="BB398" i="3"/>
  <c r="BA398" i="3"/>
  <c r="AZ398" i="3"/>
  <c r="AX398" i="3"/>
  <c r="AW398" i="3"/>
  <c r="AV398" i="3"/>
  <c r="AC398" i="3"/>
  <c r="H398" i="3"/>
  <c r="G398" i="3"/>
  <c r="H60" i="40"/>
  <c r="I60" i="40" s="1"/>
  <c r="C60" i="40" s="1"/>
  <c r="H59" i="40"/>
  <c r="I59" i="40" s="1"/>
  <c r="C59" i="40" s="1"/>
  <c r="H58" i="40"/>
  <c r="I58" i="40" s="1"/>
  <c r="C58" i="40" s="1"/>
  <c r="H57" i="40"/>
  <c r="I57" i="40" s="1"/>
  <c r="C57" i="40" s="1"/>
  <c r="H56" i="40"/>
  <c r="I56" i="40" s="1"/>
  <c r="C56" i="40" s="1"/>
  <c r="H54" i="40"/>
  <c r="I54" i="40" s="1"/>
  <c r="C54" i="40" s="1"/>
  <c r="H53" i="40"/>
  <c r="I53" i="40" s="1"/>
  <c r="C53" i="40" s="1"/>
  <c r="H52" i="40"/>
  <c r="I52" i="40" s="1"/>
  <c r="C52" i="40" s="1"/>
  <c r="H64" i="39"/>
  <c r="I64" i="39" s="1"/>
  <c r="C64" i="39" s="1"/>
  <c r="H63" i="39"/>
  <c r="I63" i="39" s="1"/>
  <c r="C63" i="39" s="1"/>
  <c r="H59" i="39"/>
  <c r="I59" i="39" s="1"/>
  <c r="C59" i="39" s="1"/>
  <c r="H58" i="39"/>
  <c r="I58" i="39" s="1"/>
  <c r="C58" i="39" s="1"/>
  <c r="H57" i="39"/>
  <c r="I57" i="39" s="1"/>
  <c r="C57" i="39" s="1"/>
  <c r="H60" i="39"/>
  <c r="I60" i="39" s="1"/>
  <c r="C60" i="39" s="1"/>
  <c r="H62" i="39"/>
  <c r="I62" i="39" s="1"/>
  <c r="C62" i="39" s="1"/>
  <c r="H61" i="39"/>
  <c r="I61" i="39" s="1"/>
  <c r="C61" i="39" s="1"/>
  <c r="C145" i="21"/>
  <c r="K139" i="21"/>
  <c r="J142" i="21"/>
  <c r="J140" i="21"/>
  <c r="M87" i="21"/>
  <c r="L87" i="21"/>
  <c r="K87" i="21"/>
  <c r="J87" i="21"/>
  <c r="I87" i="21"/>
  <c r="H87" i="21"/>
  <c r="G87" i="21"/>
  <c r="F87" i="21"/>
  <c r="E87" i="21"/>
  <c r="D87" i="21"/>
  <c r="X7" i="43"/>
  <c r="R26" i="31"/>
  <c r="R27" i="31"/>
  <c r="R28" i="31"/>
  <c r="R29" i="31"/>
  <c r="R30" i="31"/>
  <c r="R31" i="31"/>
  <c r="R32" i="31"/>
  <c r="R33" i="31"/>
  <c r="R34" i="31"/>
  <c r="R35" i="31"/>
  <c r="R36" i="31"/>
  <c r="R37" i="31"/>
  <c r="R38" i="31"/>
  <c r="R39" i="31"/>
  <c r="R40" i="31"/>
  <c r="R41" i="31"/>
  <c r="R42" i="31"/>
  <c r="R43" i="31"/>
  <c r="R44" i="31"/>
  <c r="R45" i="31"/>
  <c r="R46" i="31"/>
  <c r="R47" i="31"/>
  <c r="R48" i="31"/>
  <c r="R49" i="31"/>
  <c r="R50" i="31"/>
  <c r="R51" i="31"/>
  <c r="R52" i="31"/>
  <c r="R53" i="31"/>
  <c r="R54" i="31"/>
  <c r="R55" i="31"/>
  <c r="R56" i="31"/>
  <c r="R57" i="31"/>
  <c r="R58" i="31"/>
  <c r="R59" i="31"/>
  <c r="R60" i="31"/>
  <c r="R61" i="31"/>
  <c r="R62" i="31"/>
  <c r="R63" i="31"/>
  <c r="R64" i="31"/>
  <c r="R65" i="31"/>
  <c r="R66" i="31"/>
  <c r="R67" i="31"/>
  <c r="R68" i="31"/>
  <c r="R69" i="31"/>
  <c r="R70" i="31"/>
  <c r="R71" i="31"/>
  <c r="R72" i="31"/>
  <c r="R73" i="31"/>
  <c r="R74" i="31"/>
  <c r="R75" i="31"/>
  <c r="R76" i="31"/>
  <c r="R77" i="31"/>
  <c r="R78" i="31"/>
  <c r="R79" i="31"/>
  <c r="R80" i="31"/>
  <c r="R81" i="31"/>
  <c r="R82" i="31"/>
  <c r="R83" i="31"/>
  <c r="R84" i="31"/>
  <c r="R85" i="31"/>
  <c r="R86" i="31"/>
  <c r="R87" i="31"/>
  <c r="R88" i="31"/>
  <c r="R89" i="31"/>
  <c r="R90" i="31"/>
  <c r="R91" i="31"/>
  <c r="R92" i="31"/>
  <c r="R93" i="31"/>
  <c r="R94" i="31"/>
  <c r="R95" i="31"/>
  <c r="R96" i="31"/>
  <c r="R97" i="31"/>
  <c r="R98" i="31"/>
  <c r="R99" i="31"/>
  <c r="R100" i="31"/>
  <c r="R101" i="31"/>
  <c r="R102" i="31"/>
  <c r="R103" i="31"/>
  <c r="R104" i="31"/>
  <c r="R105" i="31"/>
  <c r="R106" i="31"/>
  <c r="R107" i="31"/>
  <c r="R108" i="31"/>
  <c r="R109" i="31"/>
  <c r="R110" i="31"/>
  <c r="R111" i="31"/>
  <c r="R112" i="31"/>
  <c r="R113" i="31"/>
  <c r="R114" i="31"/>
  <c r="R115" i="31"/>
  <c r="R116" i="31"/>
  <c r="R117" i="31"/>
  <c r="R118" i="31"/>
  <c r="R119" i="31"/>
  <c r="R120" i="31"/>
  <c r="R121" i="31"/>
  <c r="R122" i="31"/>
  <c r="R123" i="31"/>
  <c r="R124" i="31"/>
  <c r="R125" i="31"/>
  <c r="R126" i="31"/>
  <c r="R127" i="31"/>
  <c r="R128" i="31"/>
  <c r="R129" i="31"/>
  <c r="R130" i="31"/>
  <c r="R131" i="31"/>
  <c r="R132" i="31"/>
  <c r="R133" i="31"/>
  <c r="R134" i="31"/>
  <c r="R135" i="31"/>
  <c r="R136" i="31"/>
  <c r="R137" i="31"/>
  <c r="R138" i="31"/>
  <c r="R139" i="31"/>
  <c r="R140" i="31"/>
  <c r="R141" i="31"/>
  <c r="R142" i="31"/>
  <c r="R143" i="31"/>
  <c r="R144" i="31"/>
  <c r="R145" i="31"/>
  <c r="R146" i="31"/>
  <c r="R147" i="31"/>
  <c r="R148" i="31"/>
  <c r="R149" i="31"/>
  <c r="R150" i="31"/>
  <c r="R151" i="31"/>
  <c r="R152" i="31"/>
  <c r="R153" i="31"/>
  <c r="R154" i="31"/>
  <c r="R155" i="31"/>
  <c r="R156" i="31"/>
  <c r="R157" i="31"/>
  <c r="R158" i="31"/>
  <c r="R159" i="31"/>
  <c r="R160" i="31"/>
  <c r="R161" i="31"/>
  <c r="R162" i="31"/>
  <c r="R163" i="31"/>
  <c r="R164" i="31"/>
  <c r="R165" i="31"/>
  <c r="R166" i="31"/>
  <c r="R167" i="31"/>
  <c r="R168" i="31"/>
  <c r="R169" i="31"/>
  <c r="R170" i="31"/>
  <c r="R171" i="31"/>
  <c r="R172" i="31"/>
  <c r="R173" i="31"/>
  <c r="R174" i="31"/>
  <c r="R175" i="31"/>
  <c r="R176" i="31"/>
  <c r="R177" i="31"/>
  <c r="R178" i="31"/>
  <c r="R179" i="31"/>
  <c r="R180" i="31"/>
  <c r="R181" i="31"/>
  <c r="R182" i="31"/>
  <c r="R183" i="31"/>
  <c r="R184" i="31"/>
  <c r="R185" i="31"/>
  <c r="R186" i="31"/>
  <c r="R187" i="31"/>
  <c r="R188" i="31"/>
  <c r="R189" i="31"/>
  <c r="R190" i="31"/>
  <c r="R191" i="31"/>
  <c r="R192" i="31"/>
  <c r="R193" i="31"/>
  <c r="R194" i="31"/>
  <c r="R195" i="31"/>
  <c r="R196" i="31"/>
  <c r="R197" i="31"/>
  <c r="R198" i="31"/>
  <c r="R199" i="31"/>
  <c r="R200" i="31"/>
  <c r="R201" i="31"/>
  <c r="R202" i="31"/>
  <c r="R203" i="31"/>
  <c r="R204" i="31"/>
  <c r="R205" i="31"/>
  <c r="R206" i="31"/>
  <c r="R207" i="31"/>
  <c r="R208" i="31"/>
  <c r="R209" i="31"/>
  <c r="R210" i="31"/>
  <c r="R211" i="31"/>
  <c r="R212" i="31"/>
  <c r="R213" i="31"/>
  <c r="R214" i="31"/>
  <c r="R215" i="31"/>
  <c r="R216" i="31"/>
  <c r="R217" i="31"/>
  <c r="R218" i="31"/>
  <c r="R219" i="31"/>
  <c r="R220" i="31"/>
  <c r="R221" i="31"/>
  <c r="R222" i="31"/>
  <c r="R223" i="31"/>
  <c r="R224" i="31"/>
  <c r="R225" i="31"/>
  <c r="R226" i="31"/>
  <c r="R227" i="31"/>
  <c r="R228" i="31"/>
  <c r="R229" i="31"/>
  <c r="R230" i="31"/>
  <c r="R231" i="31"/>
  <c r="R232" i="31"/>
  <c r="R233" i="31"/>
  <c r="R234" i="31"/>
  <c r="R235" i="31"/>
  <c r="R236" i="31"/>
  <c r="R237" i="31"/>
  <c r="R238" i="31"/>
  <c r="R239" i="31"/>
  <c r="R240" i="31"/>
  <c r="R241" i="31"/>
  <c r="R242" i="31"/>
  <c r="R243" i="31"/>
  <c r="R244" i="31"/>
  <c r="R245" i="31"/>
  <c r="R246" i="31"/>
  <c r="R247" i="31"/>
  <c r="R248" i="31"/>
  <c r="R249" i="31"/>
  <c r="R250" i="31"/>
  <c r="R251" i="31"/>
  <c r="R252" i="31"/>
  <c r="R253" i="31"/>
  <c r="R254" i="31"/>
  <c r="R255" i="31"/>
  <c r="S255" i="31" s="1"/>
  <c r="R256" i="31"/>
  <c r="R257" i="31"/>
  <c r="S257" i="31" s="1"/>
  <c r="R258" i="31"/>
  <c r="R259" i="31"/>
  <c r="S259" i="31" s="1"/>
  <c r="R260" i="31"/>
  <c r="R261" i="31"/>
  <c r="S261" i="31" s="1"/>
  <c r="R262" i="31"/>
  <c r="R263" i="31"/>
  <c r="S263" i="31" s="1"/>
  <c r="R264" i="31"/>
  <c r="R265" i="31"/>
  <c r="S265" i="31" s="1"/>
  <c r="R266" i="31"/>
  <c r="R267" i="31"/>
  <c r="S267" i="31" s="1"/>
  <c r="R268" i="31"/>
  <c r="R269" i="31"/>
  <c r="S269" i="31" s="1"/>
  <c r="R270" i="31"/>
  <c r="R271" i="31"/>
  <c r="S271" i="31" s="1"/>
  <c r="R272" i="31"/>
  <c r="R273" i="31"/>
  <c r="S273" i="31" s="1"/>
  <c r="R274" i="31"/>
  <c r="R275" i="31"/>
  <c r="S275" i="31" s="1"/>
  <c r="R276" i="31"/>
  <c r="R277" i="31"/>
  <c r="S277" i="31"/>
  <c r="R278" i="31"/>
  <c r="R279" i="31"/>
  <c r="S279" i="31" s="1"/>
  <c r="R280" i="31"/>
  <c r="R281" i="31"/>
  <c r="S281" i="31" s="1"/>
  <c r="R282" i="31"/>
  <c r="R283" i="31"/>
  <c r="S283" i="31" s="1"/>
  <c r="R284" i="31"/>
  <c r="R285" i="31"/>
  <c r="S285" i="31"/>
  <c r="R286" i="31"/>
  <c r="R287" i="31"/>
  <c r="S287" i="31" s="1"/>
  <c r="R288" i="31"/>
  <c r="R289" i="31"/>
  <c r="S289" i="31" s="1"/>
  <c r="R290" i="31"/>
  <c r="R291" i="31"/>
  <c r="S291" i="31" s="1"/>
  <c r="R292" i="31"/>
  <c r="R293" i="31"/>
  <c r="S293" i="31"/>
  <c r="R294" i="31"/>
  <c r="R295" i="31"/>
  <c r="S295" i="31" s="1"/>
  <c r="R296" i="31"/>
  <c r="R297" i="31"/>
  <c r="S297" i="31" s="1"/>
  <c r="R298" i="31"/>
  <c r="R299" i="31"/>
  <c r="S299" i="31" s="1"/>
  <c r="R300" i="31"/>
  <c r="R301" i="31"/>
  <c r="S301" i="31" s="1"/>
  <c r="R302" i="31"/>
  <c r="R303" i="31"/>
  <c r="S303" i="31" s="1"/>
  <c r="R304" i="31"/>
  <c r="R305" i="31"/>
  <c r="S305" i="31" s="1"/>
  <c r="R306" i="31"/>
  <c r="R307" i="31"/>
  <c r="S307" i="31" s="1"/>
  <c r="R308" i="31"/>
  <c r="R309" i="31"/>
  <c r="S309" i="31" s="1"/>
  <c r="R310" i="31"/>
  <c r="R311" i="31"/>
  <c r="S311" i="31" s="1"/>
  <c r="R312" i="31"/>
  <c r="R313" i="31"/>
  <c r="S313" i="31" s="1"/>
  <c r="R314" i="31"/>
  <c r="R315" i="31"/>
  <c r="S315" i="31" s="1"/>
  <c r="R316" i="31"/>
  <c r="R317" i="31"/>
  <c r="S317" i="31" s="1"/>
  <c r="R318" i="31"/>
  <c r="R319" i="31"/>
  <c r="S319" i="31" s="1"/>
  <c r="R320" i="31"/>
  <c r="R321" i="31"/>
  <c r="S321" i="31" s="1"/>
  <c r="R322" i="31"/>
  <c r="R323" i="31"/>
  <c r="S323" i="31" s="1"/>
  <c r="R324" i="31"/>
  <c r="R325" i="31"/>
  <c r="S325" i="31" s="1"/>
  <c r="R326" i="31"/>
  <c r="R327" i="31"/>
  <c r="S327" i="31" s="1"/>
  <c r="R328" i="31"/>
  <c r="R329" i="31"/>
  <c r="S329" i="31" s="1"/>
  <c r="R330" i="31"/>
  <c r="R331" i="31"/>
  <c r="S331" i="31" s="1"/>
  <c r="R332" i="31"/>
  <c r="R333" i="31"/>
  <c r="S333" i="31" s="1"/>
  <c r="R334" i="31"/>
  <c r="R335" i="31"/>
  <c r="S335" i="31" s="1"/>
  <c r="R336" i="31"/>
  <c r="R337" i="31"/>
  <c r="S337" i="31" s="1"/>
  <c r="R338" i="31"/>
  <c r="R339" i="31"/>
  <c r="S339" i="31" s="1"/>
  <c r="R340" i="31"/>
  <c r="R341" i="31"/>
  <c r="S341" i="31" s="1"/>
  <c r="R342" i="31"/>
  <c r="R343" i="31"/>
  <c r="S343" i="31" s="1"/>
  <c r="R344" i="31"/>
  <c r="R345" i="31"/>
  <c r="S345" i="31" s="1"/>
  <c r="R346" i="31"/>
  <c r="R347" i="31"/>
  <c r="S347" i="31" s="1"/>
  <c r="R348" i="31"/>
  <c r="R349" i="31"/>
  <c r="S349" i="31" s="1"/>
  <c r="R350" i="31"/>
  <c r="R351" i="31"/>
  <c r="S351" i="31" s="1"/>
  <c r="R352" i="31"/>
  <c r="R353" i="31"/>
  <c r="S353" i="31" s="1"/>
  <c r="R354" i="31"/>
  <c r="R355" i="31"/>
  <c r="S355" i="31" s="1"/>
  <c r="R356" i="31"/>
  <c r="R357" i="31"/>
  <c r="S357" i="31" s="1"/>
  <c r="R358" i="31"/>
  <c r="R359" i="31"/>
  <c r="S359" i="31" s="1"/>
  <c r="R360" i="31"/>
  <c r="R361" i="31"/>
  <c r="S361" i="31" s="1"/>
  <c r="R362" i="31"/>
  <c r="R363" i="31"/>
  <c r="S363" i="31"/>
  <c r="R364" i="31"/>
  <c r="R365" i="31"/>
  <c r="S365" i="31" s="1"/>
  <c r="R366" i="31"/>
  <c r="R367" i="31"/>
  <c r="S367" i="31" s="1"/>
  <c r="R368" i="31"/>
  <c r="R369" i="31"/>
  <c r="S369" i="31" s="1"/>
  <c r="R370" i="31"/>
  <c r="R371" i="31"/>
  <c r="S371" i="31" s="1"/>
  <c r="R372" i="31"/>
  <c r="R373" i="31"/>
  <c r="S373" i="31" s="1"/>
  <c r="R374" i="31"/>
  <c r="R375" i="31"/>
  <c r="S375" i="31" s="1"/>
  <c r="R376" i="31"/>
  <c r="R377" i="31"/>
  <c r="S377" i="31" s="1"/>
  <c r="R378" i="31"/>
  <c r="R379" i="31"/>
  <c r="S379" i="31" s="1"/>
  <c r="R380" i="31"/>
  <c r="R381" i="31"/>
  <c r="S381" i="31" s="1"/>
  <c r="R382" i="31"/>
  <c r="R383" i="31"/>
  <c r="S383" i="31" s="1"/>
  <c r="R384" i="31"/>
  <c r="R385" i="31"/>
  <c r="S385" i="31" s="1"/>
  <c r="R386" i="31"/>
  <c r="R387" i="31"/>
  <c r="S387" i="31" s="1"/>
  <c r="R388" i="31"/>
  <c r="R389" i="31"/>
  <c r="S389" i="31" s="1"/>
  <c r="R390" i="31"/>
  <c r="R391" i="31"/>
  <c r="S391" i="31" s="1"/>
  <c r="R392" i="31"/>
  <c r="R393" i="31"/>
  <c r="S393" i="31" s="1"/>
  <c r="R394" i="31"/>
  <c r="R395" i="31"/>
  <c r="S395" i="31" s="1"/>
  <c r="R396" i="31"/>
  <c r="R397" i="31"/>
  <c r="S397" i="31" s="1"/>
  <c r="R398" i="31"/>
  <c r="R399" i="31"/>
  <c r="S399" i="31" s="1"/>
  <c r="R400" i="31"/>
  <c r="R401" i="31"/>
  <c r="S401" i="31" s="1"/>
  <c r="R402" i="31"/>
  <c r="R403" i="31"/>
  <c r="S403" i="31" s="1"/>
  <c r="R404" i="31"/>
  <c r="R405" i="31"/>
  <c r="S405" i="31" s="1"/>
  <c r="R406" i="31"/>
  <c r="R407" i="31"/>
  <c r="S407" i="31" s="1"/>
  <c r="R408" i="31"/>
  <c r="R409" i="31"/>
  <c r="S409" i="31" s="1"/>
  <c r="R410" i="31"/>
  <c r="R411" i="31"/>
  <c r="S411" i="31" s="1"/>
  <c r="R412" i="31"/>
  <c r="R413" i="31"/>
  <c r="S413" i="31" s="1"/>
  <c r="R414" i="31"/>
  <c r="R415" i="31"/>
  <c r="S415" i="31" s="1"/>
  <c r="R416" i="31"/>
  <c r="R417" i="31"/>
  <c r="S417" i="31" s="1"/>
  <c r="R418" i="31"/>
  <c r="R419" i="31"/>
  <c r="S419" i="31" s="1"/>
  <c r="R420" i="31"/>
  <c r="R421" i="31"/>
  <c r="S421" i="31" s="1"/>
  <c r="R422" i="31"/>
  <c r="R423" i="31"/>
  <c r="S423" i="31" s="1"/>
  <c r="R424" i="31"/>
  <c r="R425" i="31"/>
  <c r="R426" i="31"/>
  <c r="R427" i="31"/>
  <c r="R428" i="31"/>
  <c r="R429" i="31"/>
  <c r="R430" i="31"/>
  <c r="R431" i="31"/>
  <c r="R432" i="31"/>
  <c r="R433" i="31"/>
  <c r="R434" i="31"/>
  <c r="R435" i="31"/>
  <c r="R436" i="31"/>
  <c r="R437" i="31"/>
  <c r="R438" i="31"/>
  <c r="R439" i="31"/>
  <c r="R440" i="31"/>
  <c r="R441" i="31"/>
  <c r="R442" i="31"/>
  <c r="R443" i="31"/>
  <c r="R444" i="31"/>
  <c r="R445" i="31"/>
  <c r="R446" i="31"/>
  <c r="R447" i="31"/>
  <c r="R448" i="31"/>
  <c r="R449" i="31"/>
  <c r="R450" i="31"/>
  <c r="R451" i="31"/>
  <c r="R452" i="31"/>
  <c r="R453" i="31"/>
  <c r="R454" i="31"/>
  <c r="R455" i="31"/>
  <c r="R456" i="31"/>
  <c r="R457" i="31"/>
  <c r="R458" i="31"/>
  <c r="R459" i="31"/>
  <c r="R460" i="31"/>
  <c r="R461" i="31"/>
  <c r="R462" i="31"/>
  <c r="R463" i="31"/>
  <c r="R464" i="31"/>
  <c r="R465" i="31"/>
  <c r="R466" i="31"/>
  <c r="R467" i="31"/>
  <c r="R468" i="31"/>
  <c r="R469" i="31"/>
  <c r="R470" i="31"/>
  <c r="R471" i="31"/>
  <c r="R472" i="31"/>
  <c r="R473" i="31"/>
  <c r="R474" i="31"/>
  <c r="R475" i="31"/>
  <c r="R476" i="31"/>
  <c r="R477" i="31"/>
  <c r="R478" i="31"/>
  <c r="R479" i="31"/>
  <c r="R480" i="31"/>
  <c r="R481" i="31"/>
  <c r="R482" i="31"/>
  <c r="R483" i="31"/>
  <c r="R484" i="31"/>
  <c r="R485" i="31"/>
  <c r="R486" i="31"/>
  <c r="R487" i="31"/>
  <c r="R488" i="31"/>
  <c r="R489" i="31"/>
  <c r="R490" i="31"/>
  <c r="R491" i="31"/>
  <c r="R492" i="31"/>
  <c r="R493" i="31"/>
  <c r="R494" i="31"/>
  <c r="R495" i="31"/>
  <c r="R496" i="31"/>
  <c r="R497" i="31"/>
  <c r="R498" i="31"/>
  <c r="R499" i="31"/>
  <c r="R500" i="31"/>
  <c r="R501" i="31"/>
  <c r="R502" i="31"/>
  <c r="R503" i="31"/>
  <c r="R504" i="31"/>
  <c r="R505" i="31"/>
  <c r="R506" i="31"/>
  <c r="R507" i="31"/>
  <c r="R508" i="31"/>
  <c r="R509" i="31"/>
  <c r="R510" i="31"/>
  <c r="R511" i="31"/>
  <c r="R512" i="31"/>
  <c r="R513" i="31"/>
  <c r="R514" i="31"/>
  <c r="R515" i="31"/>
  <c r="R516" i="31"/>
  <c r="R517" i="31"/>
  <c r="R518" i="31"/>
  <c r="R519" i="31"/>
  <c r="R520" i="31"/>
  <c r="R521" i="31"/>
  <c r="R522" i="31"/>
  <c r="R523" i="31"/>
  <c r="R524" i="31"/>
  <c r="R25" i="31"/>
  <c r="C25" i="31"/>
  <c r="C26" i="31"/>
  <c r="C27" i="31"/>
  <c r="C28" i="31"/>
  <c r="C29" i="31"/>
  <c r="C30" i="31"/>
  <c r="C31" i="31"/>
  <c r="C32" i="31"/>
  <c r="C33" i="31"/>
  <c r="C34" i="31"/>
  <c r="C35" i="31"/>
  <c r="C36" i="31"/>
  <c r="C37" i="31"/>
  <c r="C38" i="31"/>
  <c r="C39" i="31"/>
  <c r="C40" i="31"/>
  <c r="C41" i="31"/>
  <c r="C42" i="31"/>
  <c r="C43" i="31"/>
  <c r="C44" i="31"/>
  <c r="C45" i="31"/>
  <c r="C46" i="31"/>
  <c r="C47" i="31"/>
  <c r="C48" i="31"/>
  <c r="C49" i="31"/>
  <c r="C50" i="31"/>
  <c r="C51" i="31"/>
  <c r="C52" i="31"/>
  <c r="C53" i="31"/>
  <c r="C54" i="31"/>
  <c r="C55" i="31"/>
  <c r="C56" i="31"/>
  <c r="C57" i="31"/>
  <c r="C58" i="31"/>
  <c r="C59" i="31"/>
  <c r="C60" i="31"/>
  <c r="C61" i="31"/>
  <c r="C62" i="31"/>
  <c r="C63" i="31"/>
  <c r="C64" i="31"/>
  <c r="C65" i="31"/>
  <c r="C66" i="31"/>
  <c r="C67" i="31"/>
  <c r="C68" i="31"/>
  <c r="C69" i="31"/>
  <c r="C70" i="31"/>
  <c r="C71" i="31"/>
  <c r="C72" i="31"/>
  <c r="C73" i="31"/>
  <c r="C74" i="31"/>
  <c r="C75" i="31"/>
  <c r="C76" i="31"/>
  <c r="C77" i="31"/>
  <c r="C78" i="31"/>
  <c r="C79" i="31"/>
  <c r="C80" i="31"/>
  <c r="C81" i="31"/>
  <c r="C82" i="31"/>
  <c r="C83" i="31"/>
  <c r="C84" i="31"/>
  <c r="C85" i="31"/>
  <c r="C86" i="31"/>
  <c r="C87" i="31"/>
  <c r="C88" i="31"/>
  <c r="C89" i="31"/>
  <c r="C90" i="31"/>
  <c r="C91" i="31"/>
  <c r="C92" i="31"/>
  <c r="C93" i="31"/>
  <c r="C94" i="31"/>
  <c r="C95" i="31"/>
  <c r="C96" i="31"/>
  <c r="C97" i="31"/>
  <c r="C98" i="31"/>
  <c r="C99" i="31"/>
  <c r="C100" i="31"/>
  <c r="C101" i="31"/>
  <c r="C102" i="31"/>
  <c r="C103" i="31"/>
  <c r="C104" i="31"/>
  <c r="C105" i="31"/>
  <c r="C106" i="31"/>
  <c r="C107" i="31"/>
  <c r="C108" i="31"/>
  <c r="C109" i="31"/>
  <c r="C110" i="31"/>
  <c r="C111" i="31"/>
  <c r="C112" i="31"/>
  <c r="C113" i="31"/>
  <c r="C114" i="31"/>
  <c r="C115" i="31"/>
  <c r="C116" i="31"/>
  <c r="C117" i="31"/>
  <c r="C118" i="31"/>
  <c r="C119" i="31"/>
  <c r="C120" i="31"/>
  <c r="C121" i="31"/>
  <c r="C122" i="31"/>
  <c r="C123" i="31"/>
  <c r="C124" i="31"/>
  <c r="C125" i="31"/>
  <c r="C126" i="31"/>
  <c r="C127" i="31"/>
  <c r="C128" i="31"/>
  <c r="C129" i="31"/>
  <c r="C130" i="31"/>
  <c r="C131" i="31"/>
  <c r="C132" i="31"/>
  <c r="C133" i="31"/>
  <c r="C134" i="31"/>
  <c r="C135" i="31"/>
  <c r="C136" i="31"/>
  <c r="C137" i="31"/>
  <c r="C138" i="31"/>
  <c r="C139" i="31"/>
  <c r="C140" i="31"/>
  <c r="C141" i="31"/>
  <c r="C142" i="31"/>
  <c r="C143" i="31"/>
  <c r="C144" i="31"/>
  <c r="C145" i="31"/>
  <c r="C146" i="31"/>
  <c r="C147" i="31"/>
  <c r="C148" i="31"/>
  <c r="C149" i="31"/>
  <c r="C150" i="31"/>
  <c r="C151" i="31"/>
  <c r="C152" i="31"/>
  <c r="C153" i="31"/>
  <c r="C154" i="31"/>
  <c r="C155" i="31"/>
  <c r="C156" i="31"/>
  <c r="C157" i="31"/>
  <c r="C158" i="31"/>
  <c r="C159" i="31"/>
  <c r="C160" i="31"/>
  <c r="C161" i="31"/>
  <c r="C162" i="31"/>
  <c r="C163" i="31"/>
  <c r="C164" i="31"/>
  <c r="C165" i="31"/>
  <c r="C166" i="31"/>
  <c r="C167" i="31"/>
  <c r="C168" i="31"/>
  <c r="C169" i="31"/>
  <c r="C170" i="31"/>
  <c r="C171" i="31"/>
  <c r="C172" i="31"/>
  <c r="C173" i="31"/>
  <c r="C174" i="31"/>
  <c r="C175" i="31"/>
  <c r="C176" i="31"/>
  <c r="C177" i="31"/>
  <c r="C178" i="31"/>
  <c r="C179" i="31"/>
  <c r="C180" i="31"/>
  <c r="C181" i="31"/>
  <c r="C182" i="31"/>
  <c r="C183" i="31"/>
  <c r="C184" i="31"/>
  <c r="C185" i="31"/>
  <c r="C186" i="31"/>
  <c r="C187" i="31"/>
  <c r="C188" i="31"/>
  <c r="C189" i="31"/>
  <c r="C190" i="31"/>
  <c r="C191" i="31"/>
  <c r="C192" i="31"/>
  <c r="C193" i="31"/>
  <c r="C194" i="31"/>
  <c r="C195" i="31"/>
  <c r="C196" i="31"/>
  <c r="C197" i="31"/>
  <c r="C198" i="31"/>
  <c r="C199" i="31"/>
  <c r="C200" i="31"/>
  <c r="C201" i="31"/>
  <c r="C202" i="31"/>
  <c r="C203" i="31"/>
  <c r="C204" i="31"/>
  <c r="C205" i="31"/>
  <c r="C206" i="31"/>
  <c r="C207" i="31"/>
  <c r="C208" i="31"/>
  <c r="C209" i="31"/>
  <c r="C210" i="31"/>
  <c r="C211" i="31"/>
  <c r="C212" i="31"/>
  <c r="C213" i="31"/>
  <c r="C214" i="31"/>
  <c r="C215" i="31"/>
  <c r="C216" i="31"/>
  <c r="C217" i="31"/>
  <c r="C218" i="31"/>
  <c r="C219" i="31"/>
  <c r="C220" i="31"/>
  <c r="C221" i="31"/>
  <c r="C222" i="31"/>
  <c r="C223" i="31"/>
  <c r="C224" i="31"/>
  <c r="C225" i="31"/>
  <c r="C226" i="31"/>
  <c r="C227" i="31"/>
  <c r="C228" i="31"/>
  <c r="C229" i="31"/>
  <c r="C230" i="31"/>
  <c r="C231" i="31"/>
  <c r="C232" i="31"/>
  <c r="C233" i="31"/>
  <c r="C234" i="31"/>
  <c r="C235" i="31"/>
  <c r="C236" i="31"/>
  <c r="C237" i="31"/>
  <c r="C238" i="31"/>
  <c r="C239" i="31"/>
  <c r="C240" i="31"/>
  <c r="C241" i="31"/>
  <c r="C242" i="31"/>
  <c r="C243" i="31"/>
  <c r="C244" i="31"/>
  <c r="C245" i="31"/>
  <c r="C246" i="31"/>
  <c r="C247" i="31"/>
  <c r="C248" i="31"/>
  <c r="C249" i="31"/>
  <c r="C250" i="31"/>
  <c r="C251" i="31"/>
  <c r="C252" i="31"/>
  <c r="C253" i="31"/>
  <c r="C254" i="31"/>
  <c r="C255" i="31"/>
  <c r="C256" i="31"/>
  <c r="C257" i="31"/>
  <c r="C258" i="31"/>
  <c r="C259" i="31"/>
  <c r="C260" i="31"/>
  <c r="C261" i="31"/>
  <c r="C262" i="31"/>
  <c r="C263" i="31"/>
  <c r="C264" i="31"/>
  <c r="C265" i="31"/>
  <c r="C266" i="31"/>
  <c r="C267" i="31"/>
  <c r="C268" i="31"/>
  <c r="C269" i="31"/>
  <c r="C270" i="31"/>
  <c r="C271" i="31"/>
  <c r="C272" i="31"/>
  <c r="C273" i="31"/>
  <c r="C274" i="31"/>
  <c r="C275" i="31"/>
  <c r="C276" i="31"/>
  <c r="C277" i="31"/>
  <c r="C278" i="31"/>
  <c r="C279" i="31"/>
  <c r="C280" i="31"/>
  <c r="C281" i="31"/>
  <c r="C282" i="31"/>
  <c r="C283" i="31"/>
  <c r="C284" i="31"/>
  <c r="C285" i="31"/>
  <c r="C286" i="31"/>
  <c r="C287" i="31"/>
  <c r="C288" i="31"/>
  <c r="C289" i="31"/>
  <c r="C290" i="31"/>
  <c r="C291" i="31"/>
  <c r="C292" i="31"/>
  <c r="C293" i="31"/>
  <c r="C294" i="31"/>
  <c r="C295" i="31"/>
  <c r="C296" i="31"/>
  <c r="C297" i="31"/>
  <c r="C298" i="31"/>
  <c r="C299" i="31"/>
  <c r="C300" i="31"/>
  <c r="C301" i="31"/>
  <c r="C302" i="31"/>
  <c r="C303" i="31"/>
  <c r="C304" i="31"/>
  <c r="C305" i="31"/>
  <c r="C306" i="31"/>
  <c r="C307" i="31"/>
  <c r="C308" i="31"/>
  <c r="C309" i="31"/>
  <c r="C310" i="31"/>
  <c r="C311" i="31"/>
  <c r="C312" i="31"/>
  <c r="C313" i="31"/>
  <c r="C314" i="31"/>
  <c r="C315" i="31"/>
  <c r="C316" i="31"/>
  <c r="C317" i="31"/>
  <c r="C318" i="31"/>
  <c r="C319" i="31"/>
  <c r="C320" i="31"/>
  <c r="C321" i="31"/>
  <c r="C322" i="31"/>
  <c r="C323" i="31"/>
  <c r="C324" i="31"/>
  <c r="C325" i="31"/>
  <c r="C326" i="31"/>
  <c r="C327" i="31"/>
  <c r="C328" i="31"/>
  <c r="C329" i="31"/>
  <c r="C330" i="31"/>
  <c r="C331" i="31"/>
  <c r="C332" i="31"/>
  <c r="C333" i="31"/>
  <c r="C334" i="31"/>
  <c r="C335" i="31"/>
  <c r="C336" i="31"/>
  <c r="C337" i="31"/>
  <c r="C338" i="31"/>
  <c r="C339" i="31"/>
  <c r="C340" i="31"/>
  <c r="C341" i="31"/>
  <c r="C342" i="31"/>
  <c r="C343" i="31"/>
  <c r="C344" i="31"/>
  <c r="C345" i="31"/>
  <c r="C346" i="31"/>
  <c r="C347" i="31"/>
  <c r="C348" i="31"/>
  <c r="C349" i="31"/>
  <c r="C350" i="31"/>
  <c r="C351" i="31"/>
  <c r="C352" i="31"/>
  <c r="C353" i="31"/>
  <c r="C354" i="31"/>
  <c r="C355" i="31"/>
  <c r="C356" i="31"/>
  <c r="C357" i="31"/>
  <c r="C358" i="31"/>
  <c r="C359" i="31"/>
  <c r="C360" i="31"/>
  <c r="C361" i="31"/>
  <c r="C362" i="31"/>
  <c r="C363" i="31"/>
  <c r="C364" i="31"/>
  <c r="C365" i="31"/>
  <c r="C366" i="31"/>
  <c r="C367" i="31"/>
  <c r="C368" i="31"/>
  <c r="C369" i="31"/>
  <c r="C370" i="31"/>
  <c r="C371" i="31"/>
  <c r="C372" i="31"/>
  <c r="C373" i="31"/>
  <c r="C374" i="31"/>
  <c r="C375" i="31"/>
  <c r="C376" i="31"/>
  <c r="C377" i="31"/>
  <c r="C378" i="31"/>
  <c r="C379" i="31"/>
  <c r="C380" i="31"/>
  <c r="C381" i="31"/>
  <c r="C382" i="31"/>
  <c r="C383" i="31"/>
  <c r="C384" i="31"/>
  <c r="C385" i="31"/>
  <c r="C386" i="31"/>
  <c r="C387" i="31"/>
  <c r="C388" i="31"/>
  <c r="C389" i="31"/>
  <c r="C390" i="31"/>
  <c r="C391" i="31"/>
  <c r="C392" i="31"/>
  <c r="C393" i="31"/>
  <c r="C394" i="31"/>
  <c r="C395" i="31"/>
  <c r="C396" i="31"/>
  <c r="C397" i="31"/>
  <c r="C398" i="31"/>
  <c r="C399" i="31"/>
  <c r="C400" i="31"/>
  <c r="C401" i="31"/>
  <c r="C402" i="31"/>
  <c r="C403" i="31"/>
  <c r="C404" i="31"/>
  <c r="C405" i="31"/>
  <c r="C406" i="31"/>
  <c r="C407" i="31"/>
  <c r="C408" i="31"/>
  <c r="C409" i="31"/>
  <c r="C410" i="31"/>
  <c r="C411" i="31"/>
  <c r="C412" i="31"/>
  <c r="C413" i="31"/>
  <c r="C414" i="31"/>
  <c r="C415" i="31"/>
  <c r="C416" i="31"/>
  <c r="C417" i="31"/>
  <c r="C418" i="31"/>
  <c r="C419" i="31"/>
  <c r="C420" i="31"/>
  <c r="C421" i="31"/>
  <c r="C422" i="31"/>
  <c r="C423" i="31"/>
  <c r="C424" i="31"/>
  <c r="C425" i="31"/>
  <c r="C426" i="31"/>
  <c r="C427" i="31"/>
  <c r="C428" i="31"/>
  <c r="C429" i="31"/>
  <c r="C430" i="31"/>
  <c r="C431" i="31"/>
  <c r="C432" i="31"/>
  <c r="C433" i="31"/>
  <c r="C434" i="31"/>
  <c r="C435" i="31"/>
  <c r="C436" i="31"/>
  <c r="C437" i="31"/>
  <c r="C438" i="31"/>
  <c r="C439" i="31"/>
  <c r="C440" i="31"/>
  <c r="C441" i="31"/>
  <c r="C442" i="31"/>
  <c r="C443" i="31"/>
  <c r="C444" i="31"/>
  <c r="C445" i="31"/>
  <c r="C446" i="31"/>
  <c r="C447" i="31"/>
  <c r="C448" i="31"/>
  <c r="C449" i="31"/>
  <c r="C450" i="31"/>
  <c r="C451" i="31"/>
  <c r="C452" i="31"/>
  <c r="C453" i="31"/>
  <c r="C454" i="31"/>
  <c r="C455" i="31"/>
  <c r="C456" i="31"/>
  <c r="C457" i="31"/>
  <c r="C458" i="31"/>
  <c r="C459" i="31"/>
  <c r="C460" i="31"/>
  <c r="C461" i="31"/>
  <c r="C462" i="31"/>
  <c r="C463" i="31"/>
  <c r="C464" i="31"/>
  <c r="C465" i="31"/>
  <c r="C466" i="31"/>
  <c r="C467" i="31"/>
  <c r="C468" i="31"/>
  <c r="C469" i="31"/>
  <c r="C470" i="31"/>
  <c r="C471" i="31"/>
  <c r="C472" i="31"/>
  <c r="C473" i="31"/>
  <c r="C474" i="31"/>
  <c r="C475" i="31"/>
  <c r="C476" i="31"/>
  <c r="C477" i="31"/>
  <c r="C478" i="31"/>
  <c r="C479" i="31"/>
  <c r="C480" i="31"/>
  <c r="C481" i="31"/>
  <c r="C482" i="31"/>
  <c r="C483" i="31"/>
  <c r="C484" i="31"/>
  <c r="C485" i="31"/>
  <c r="C486" i="31"/>
  <c r="C487" i="31"/>
  <c r="C488" i="31"/>
  <c r="C489" i="31"/>
  <c r="C490" i="31"/>
  <c r="C491" i="31"/>
  <c r="C492" i="31"/>
  <c r="C493" i="31"/>
  <c r="C494" i="31"/>
  <c r="C495" i="31"/>
  <c r="C496" i="31"/>
  <c r="C497" i="31"/>
  <c r="C498" i="31"/>
  <c r="C499" i="31"/>
  <c r="C500" i="31"/>
  <c r="C501" i="31"/>
  <c r="C502" i="31"/>
  <c r="C503" i="31"/>
  <c r="C504" i="31"/>
  <c r="C505" i="31"/>
  <c r="C506" i="31"/>
  <c r="C507" i="31"/>
  <c r="C508" i="31"/>
  <c r="C509" i="31"/>
  <c r="C510" i="31"/>
  <c r="C511" i="31"/>
  <c r="C512" i="31"/>
  <c r="C513" i="31"/>
  <c r="C514" i="31"/>
  <c r="C515" i="31"/>
  <c r="C516" i="31"/>
  <c r="C517" i="31"/>
  <c r="C518" i="31"/>
  <c r="C519" i="31"/>
  <c r="C520" i="31"/>
  <c r="C521" i="31"/>
  <c r="C522" i="31"/>
  <c r="C523" i="31"/>
  <c r="C524" i="31"/>
  <c r="H1" i="9"/>
  <c r="B38" i="35"/>
  <c r="BM13" i="3"/>
  <c r="A6" i="52"/>
  <c r="B57" i="72" s="1"/>
  <c r="K4" i="9"/>
  <c r="L22" i="4"/>
  <c r="L20" i="4"/>
  <c r="A5" i="62"/>
  <c r="B72" i="72" s="1"/>
  <c r="A4" i="62"/>
  <c r="B70" i="72" s="1"/>
  <c r="F33" i="9"/>
  <c r="B37" i="48"/>
  <c r="B2" i="72" s="1"/>
  <c r="B13" i="53"/>
  <c r="B29" i="72" s="1"/>
  <c r="R35" i="4"/>
  <c r="Q35" i="4"/>
  <c r="P35" i="4"/>
  <c r="O35" i="4"/>
  <c r="N35" i="4"/>
  <c r="M35" i="4"/>
  <c r="L35" i="4"/>
  <c r="K34" i="4"/>
  <c r="T34" i="4" s="1"/>
  <c r="G13" i="1"/>
  <c r="H15" i="4"/>
  <c r="F9" i="1" s="1"/>
  <c r="G9" i="1" s="1"/>
  <c r="G15" i="4"/>
  <c r="F12" i="1" s="1"/>
  <c r="G12" i="1" s="1"/>
  <c r="F15" i="4"/>
  <c r="F11" i="1" s="1"/>
  <c r="G11" i="1" s="1"/>
  <c r="D15" i="4"/>
  <c r="F7" i="1" s="1"/>
  <c r="G7" i="1" s="1"/>
  <c r="C15" i="4"/>
  <c r="F6" i="1" s="1"/>
  <c r="G6" i="1" s="1"/>
  <c r="L21" i="4"/>
  <c r="F19" i="4"/>
  <c r="F2" i="52"/>
  <c r="B50" i="72"/>
  <c r="D2" i="52"/>
  <c r="B46" i="72"/>
  <c r="B8" i="53"/>
  <c r="B23" i="72"/>
  <c r="L4" i="9"/>
  <c r="B17" i="72"/>
  <c r="B15" i="72"/>
  <c r="A3" i="51"/>
  <c r="C8" i="11"/>
  <c r="B40" i="48"/>
  <c r="B3" i="72" s="1"/>
  <c r="F35" i="4"/>
  <c r="J55" i="39"/>
  <c r="H38" i="43"/>
  <c r="H39" i="43"/>
  <c r="H40" i="43"/>
  <c r="H41" i="43"/>
  <c r="H42" i="43"/>
  <c r="H37" i="43"/>
  <c r="J24" i="43"/>
  <c r="C22" i="43"/>
  <c r="C10" i="43"/>
  <c r="C11" i="43" s="1"/>
  <c r="C9" i="43"/>
  <c r="F33" i="15"/>
  <c r="F61" i="15" s="1"/>
  <c r="M19" i="15"/>
  <c r="BR13" i="3"/>
  <c r="B22" i="1"/>
  <c r="G41" i="69" s="1"/>
  <c r="B23" i="1"/>
  <c r="B24" i="1"/>
  <c r="F34" i="68" s="1"/>
  <c r="B43" i="1"/>
  <c r="D78" i="9" s="1"/>
  <c r="BQ13" i="3"/>
  <c r="BQ14" i="3"/>
  <c r="BQ15" i="3"/>
  <c r="BQ16" i="3"/>
  <c r="BQ17" i="3"/>
  <c r="BS13" i="3"/>
  <c r="BS14" i="3"/>
  <c r="BS15" i="3"/>
  <c r="BS16" i="3"/>
  <c r="BS17" i="3"/>
  <c r="BR14" i="3"/>
  <c r="BR15" i="3"/>
  <c r="BR16" i="3"/>
  <c r="BR17" i="3"/>
  <c r="BT13" i="3"/>
  <c r="BT14" i="3"/>
  <c r="BT15" i="3"/>
  <c r="BT16" i="3"/>
  <c r="BT17" i="3"/>
  <c r="BM14" i="3"/>
  <c r="BM15" i="3"/>
  <c r="BL15" i="3" s="1"/>
  <c r="BM16" i="3"/>
  <c r="BM17" i="3"/>
  <c r="BO13" i="3"/>
  <c r="BO14" i="3"/>
  <c r="BO15" i="3"/>
  <c r="BO16" i="3"/>
  <c r="BO17" i="3"/>
  <c r="BN13" i="3"/>
  <c r="BN14" i="3"/>
  <c r="BN15" i="3"/>
  <c r="BN16" i="3"/>
  <c r="BN17" i="3"/>
  <c r="BP13" i="3"/>
  <c r="BP14" i="3"/>
  <c r="BP15" i="3"/>
  <c r="BP16" i="3"/>
  <c r="BP17" i="3"/>
  <c r="E20" i="6"/>
  <c r="E21" i="6"/>
  <c r="K8" i="1"/>
  <c r="M8" i="1" s="1"/>
  <c r="F23" i="15"/>
  <c r="D24" i="15" s="1"/>
  <c r="E22" i="6"/>
  <c r="E23" i="6"/>
  <c r="K10" i="1" s="1"/>
  <c r="M10" i="1" s="1"/>
  <c r="O10" i="1" s="1"/>
  <c r="P10" i="1" s="1"/>
  <c r="E24" i="6"/>
  <c r="E25" i="6"/>
  <c r="E26" i="6"/>
  <c r="BB13" i="3"/>
  <c r="BC13" i="3"/>
  <c r="BD13" i="3"/>
  <c r="BE13" i="3"/>
  <c r="BF13" i="3"/>
  <c r="BG13" i="3"/>
  <c r="BH13" i="3"/>
  <c r="BI13" i="3"/>
  <c r="BJ13" i="3"/>
  <c r="BK13" i="3"/>
  <c r="BB14" i="3"/>
  <c r="BC14" i="3"/>
  <c r="BD14" i="3"/>
  <c r="BE14" i="3"/>
  <c r="BF14" i="3"/>
  <c r="BG14" i="3"/>
  <c r="BH14" i="3"/>
  <c r="BI14" i="3"/>
  <c r="BJ14" i="3"/>
  <c r="BK14" i="3"/>
  <c r="BB15" i="3"/>
  <c r="BC15" i="3"/>
  <c r="BD15" i="3"/>
  <c r="BE15" i="3"/>
  <c r="BF15" i="3"/>
  <c r="BG15" i="3"/>
  <c r="BH15" i="3"/>
  <c r="BI15" i="3"/>
  <c r="BJ15" i="3"/>
  <c r="BK15" i="3"/>
  <c r="BB16" i="3"/>
  <c r="BC16" i="3"/>
  <c r="BD16" i="3"/>
  <c r="BE16" i="3"/>
  <c r="BF16" i="3"/>
  <c r="BG16" i="3"/>
  <c r="BH16" i="3"/>
  <c r="BI16" i="3"/>
  <c r="BJ16" i="3"/>
  <c r="BK16" i="3"/>
  <c r="BB17" i="3"/>
  <c r="BC17" i="3"/>
  <c r="BD17" i="3"/>
  <c r="BE17" i="3"/>
  <c r="BF17" i="3"/>
  <c r="BG17" i="3"/>
  <c r="BH17" i="3"/>
  <c r="BI17" i="3"/>
  <c r="BJ17" i="3"/>
  <c r="BK17" i="3"/>
  <c r="BC10" i="3"/>
  <c r="BD10" i="3"/>
  <c r="BB10" i="3"/>
  <c r="BL16" i="3"/>
  <c r="H13" i="3"/>
  <c r="AC13" i="3"/>
  <c r="H14" i="3"/>
  <c r="G14" i="3" s="1"/>
  <c r="AC14" i="3"/>
  <c r="H15" i="3"/>
  <c r="AC15" i="3"/>
  <c r="H16" i="3"/>
  <c r="AC16" i="3"/>
  <c r="H17" i="3"/>
  <c r="AC17" i="3"/>
  <c r="AT5" i="3"/>
  <c r="I5" i="3"/>
  <c r="AD5" i="3"/>
  <c r="AH5" i="3"/>
  <c r="AL5" i="3"/>
  <c r="AP5" i="3"/>
  <c r="F35" i="11"/>
  <c r="F36" i="11"/>
  <c r="F38" i="11"/>
  <c r="E37" i="11"/>
  <c r="F20" i="11"/>
  <c r="F21" i="11"/>
  <c r="C21" i="11" s="1"/>
  <c r="F7" i="11"/>
  <c r="C7" i="11" s="1"/>
  <c r="F12" i="12"/>
  <c r="F13" i="12"/>
  <c r="F15" i="12"/>
  <c r="E14" i="12"/>
  <c r="BC11" i="3"/>
  <c r="BD11" i="3"/>
  <c r="BB11" i="3"/>
  <c r="E19" i="12"/>
  <c r="E20" i="12"/>
  <c r="E17" i="12"/>
  <c r="F22" i="12"/>
  <c r="F23" i="12"/>
  <c r="C17" i="9"/>
  <c r="D17" i="9"/>
  <c r="I55" i="9"/>
  <c r="F55" i="9"/>
  <c r="O53" i="9" s="1"/>
  <c r="D89" i="9"/>
  <c r="C89" i="9" s="1"/>
  <c r="C87" i="9" s="1"/>
  <c r="J55" i="9"/>
  <c r="B31" i="1"/>
  <c r="B52" i="1"/>
  <c r="M20" i="15" s="1"/>
  <c r="T4" i="1"/>
  <c r="F15" i="15"/>
  <c r="F17" i="15"/>
  <c r="F18" i="15"/>
  <c r="F20" i="15"/>
  <c r="F21" i="15"/>
  <c r="D3" i="35"/>
  <c r="N55" i="9"/>
  <c r="K55" i="9"/>
  <c r="O55" i="9"/>
  <c r="N54" i="9"/>
  <c r="N53" i="9"/>
  <c r="E48" i="9"/>
  <c r="N52" i="9" s="1"/>
  <c r="F56" i="9"/>
  <c r="O54" i="9" s="1"/>
  <c r="D101" i="9"/>
  <c r="C101" i="9"/>
  <c r="D10" i="53"/>
  <c r="B26" i="72"/>
  <c r="C30" i="40"/>
  <c r="C28" i="40"/>
  <c r="C23" i="39"/>
  <c r="C19" i="40"/>
  <c r="D27" i="9"/>
  <c r="C25" i="9"/>
  <c r="D77" i="9"/>
  <c r="E90" i="9"/>
  <c r="H77" i="9"/>
  <c r="H105" i="9"/>
  <c r="D11" i="53"/>
  <c r="B27" i="72"/>
  <c r="H106" i="9"/>
  <c r="D12" i="53"/>
  <c r="B28" i="72"/>
  <c r="C24" i="9"/>
  <c r="AV14" i="3"/>
  <c r="AW14" i="3"/>
  <c r="AX14" i="3"/>
  <c r="AV15" i="3"/>
  <c r="AW15" i="3"/>
  <c r="AX15" i="3"/>
  <c r="AV16" i="3"/>
  <c r="AW16" i="3"/>
  <c r="AX16" i="3"/>
  <c r="AV17" i="3"/>
  <c r="AW17" i="3"/>
  <c r="AX17" i="3"/>
  <c r="AV493" i="3"/>
  <c r="AW493" i="3"/>
  <c r="AX493" i="3"/>
  <c r="AV494" i="3"/>
  <c r="AW494" i="3"/>
  <c r="AX494" i="3"/>
  <c r="AV495" i="3"/>
  <c r="AW495" i="3"/>
  <c r="AX495" i="3"/>
  <c r="AV496" i="3"/>
  <c r="AW496" i="3"/>
  <c r="AX496" i="3"/>
  <c r="AV497" i="3"/>
  <c r="AW497" i="3"/>
  <c r="AX497" i="3"/>
  <c r="AV498" i="3"/>
  <c r="AW498" i="3"/>
  <c r="AX498" i="3"/>
  <c r="AV499" i="3"/>
  <c r="AW499" i="3"/>
  <c r="AX499" i="3"/>
  <c r="AV500" i="3"/>
  <c r="AW500" i="3"/>
  <c r="AX500" i="3"/>
  <c r="AV501" i="3"/>
  <c r="AW501" i="3"/>
  <c r="AX501" i="3"/>
  <c r="AV502" i="3"/>
  <c r="AW502" i="3"/>
  <c r="AX502" i="3"/>
  <c r="AV503" i="3"/>
  <c r="AW503" i="3"/>
  <c r="AX503" i="3"/>
  <c r="AV504" i="3"/>
  <c r="AW504" i="3"/>
  <c r="AX504" i="3"/>
  <c r="AV505" i="3"/>
  <c r="AW505" i="3"/>
  <c r="AX505" i="3"/>
  <c r="AV506" i="3"/>
  <c r="AW506" i="3"/>
  <c r="AX506" i="3"/>
  <c r="AV507" i="3"/>
  <c r="AW507" i="3"/>
  <c r="AX507" i="3"/>
  <c r="AV508" i="3"/>
  <c r="AW508" i="3"/>
  <c r="AX508" i="3"/>
  <c r="AV509" i="3"/>
  <c r="AW509" i="3"/>
  <c r="AX509" i="3"/>
  <c r="AV510" i="3"/>
  <c r="AW510" i="3"/>
  <c r="AX510" i="3"/>
  <c r="AV511" i="3"/>
  <c r="AW511" i="3"/>
  <c r="AX511" i="3"/>
  <c r="AV512" i="3"/>
  <c r="AW512" i="3"/>
  <c r="AX512" i="3"/>
  <c r="AV513" i="3"/>
  <c r="AW513" i="3"/>
  <c r="AX513" i="3"/>
  <c r="AV514" i="3"/>
  <c r="AW514" i="3"/>
  <c r="AX514" i="3"/>
  <c r="AV515" i="3"/>
  <c r="AW515" i="3"/>
  <c r="AX515" i="3"/>
  <c r="AV516" i="3"/>
  <c r="AW516" i="3"/>
  <c r="AX516" i="3"/>
  <c r="AV517" i="3"/>
  <c r="AW517" i="3"/>
  <c r="AX517" i="3"/>
  <c r="AV518" i="3"/>
  <c r="AW518" i="3"/>
  <c r="AX518" i="3"/>
  <c r="AV519" i="3"/>
  <c r="AW519" i="3"/>
  <c r="AX519" i="3"/>
  <c r="AV520" i="3"/>
  <c r="AW520" i="3"/>
  <c r="AX520" i="3"/>
  <c r="AV521" i="3"/>
  <c r="AW521" i="3"/>
  <c r="AX521" i="3"/>
  <c r="AV522" i="3"/>
  <c r="AW522" i="3"/>
  <c r="AX522" i="3"/>
  <c r="AV523" i="3"/>
  <c r="AW523" i="3"/>
  <c r="AX523" i="3"/>
  <c r="AV524" i="3"/>
  <c r="AW524" i="3"/>
  <c r="AX524" i="3"/>
  <c r="AV525" i="3"/>
  <c r="AW525" i="3"/>
  <c r="AX525" i="3"/>
  <c r="AV526" i="3"/>
  <c r="AW526" i="3"/>
  <c r="AX526" i="3"/>
  <c r="AV527" i="3"/>
  <c r="AW527" i="3"/>
  <c r="AX527" i="3"/>
  <c r="AV528" i="3"/>
  <c r="AW528" i="3"/>
  <c r="AX528" i="3"/>
  <c r="AV529" i="3"/>
  <c r="AW529" i="3"/>
  <c r="AX529" i="3"/>
  <c r="AV530" i="3"/>
  <c r="AW530" i="3"/>
  <c r="AX530" i="3"/>
  <c r="AV531" i="3"/>
  <c r="AW531" i="3"/>
  <c r="AX531" i="3"/>
  <c r="AV532" i="3"/>
  <c r="AW532" i="3"/>
  <c r="AX532" i="3"/>
  <c r="AV533" i="3"/>
  <c r="AW533" i="3"/>
  <c r="AX533" i="3"/>
  <c r="AV534" i="3"/>
  <c r="AW534" i="3"/>
  <c r="AX534" i="3"/>
  <c r="AV535" i="3"/>
  <c r="AW535" i="3"/>
  <c r="AX535" i="3"/>
  <c r="AV536" i="3"/>
  <c r="AW536" i="3"/>
  <c r="AX536" i="3"/>
  <c r="AV537" i="3"/>
  <c r="AW537" i="3"/>
  <c r="AX537" i="3"/>
  <c r="AV538" i="3"/>
  <c r="AW538" i="3"/>
  <c r="AX538" i="3"/>
  <c r="AV539" i="3"/>
  <c r="AW539" i="3"/>
  <c r="AX539" i="3"/>
  <c r="AV540" i="3"/>
  <c r="AW540" i="3"/>
  <c r="AX540" i="3"/>
  <c r="AV541" i="3"/>
  <c r="AW541" i="3"/>
  <c r="AX541" i="3"/>
  <c r="AV542" i="3"/>
  <c r="AW542" i="3"/>
  <c r="AX542" i="3"/>
  <c r="AV543" i="3"/>
  <c r="AW543" i="3"/>
  <c r="AX543" i="3"/>
  <c r="AV544" i="3"/>
  <c r="AW544" i="3"/>
  <c r="AX544" i="3"/>
  <c r="AV545" i="3"/>
  <c r="AW545" i="3"/>
  <c r="AX545" i="3"/>
  <c r="AV546" i="3"/>
  <c r="AW546" i="3"/>
  <c r="AX546" i="3"/>
  <c r="AV547" i="3"/>
  <c r="AW547" i="3"/>
  <c r="AX547" i="3"/>
  <c r="AV548" i="3"/>
  <c r="AW548" i="3"/>
  <c r="AX548" i="3"/>
  <c r="AV549" i="3"/>
  <c r="AW549" i="3"/>
  <c r="AX549" i="3"/>
  <c r="AV550" i="3"/>
  <c r="AW550" i="3"/>
  <c r="AX550" i="3"/>
  <c r="AV551" i="3"/>
  <c r="AW551" i="3"/>
  <c r="AX551" i="3"/>
  <c r="AV552" i="3"/>
  <c r="AW552" i="3"/>
  <c r="AX552" i="3"/>
  <c r="AV553" i="3"/>
  <c r="AW553" i="3"/>
  <c r="AX553" i="3"/>
  <c r="AV554" i="3"/>
  <c r="AW554" i="3"/>
  <c r="AX554" i="3"/>
  <c r="AV555" i="3"/>
  <c r="AW555" i="3"/>
  <c r="AX555" i="3"/>
  <c r="AV556" i="3"/>
  <c r="AW556" i="3"/>
  <c r="AX556" i="3"/>
  <c r="AV557" i="3"/>
  <c r="AW557" i="3"/>
  <c r="AX557" i="3"/>
  <c r="AV558" i="3"/>
  <c r="AW558" i="3"/>
  <c r="AX558" i="3"/>
  <c r="AV559" i="3"/>
  <c r="AW559" i="3"/>
  <c r="AX559" i="3"/>
  <c r="AV560" i="3"/>
  <c r="AW560" i="3"/>
  <c r="AX560" i="3"/>
  <c r="AV561" i="3"/>
  <c r="AW561" i="3"/>
  <c r="AX561" i="3"/>
  <c r="AV562" i="3"/>
  <c r="AW562" i="3"/>
  <c r="AX562" i="3"/>
  <c r="AV563" i="3"/>
  <c r="AW563" i="3"/>
  <c r="AX563" i="3"/>
  <c r="AV564" i="3"/>
  <c r="AW564" i="3"/>
  <c r="AX564" i="3"/>
  <c r="AV565" i="3"/>
  <c r="AW565" i="3"/>
  <c r="AX565" i="3"/>
  <c r="AV566" i="3"/>
  <c r="AW566" i="3"/>
  <c r="AX566" i="3"/>
  <c r="AV567" i="3"/>
  <c r="AW567" i="3"/>
  <c r="AX567" i="3"/>
  <c r="AV568" i="3"/>
  <c r="AW568" i="3"/>
  <c r="AX568" i="3"/>
  <c r="AV569" i="3"/>
  <c r="AW569" i="3"/>
  <c r="AX569" i="3"/>
  <c r="AV570" i="3"/>
  <c r="AW570" i="3"/>
  <c r="AX570" i="3"/>
  <c r="AV571" i="3"/>
  <c r="AW571" i="3"/>
  <c r="AX571" i="3"/>
  <c r="AV572" i="3"/>
  <c r="AW572" i="3"/>
  <c r="AX572" i="3"/>
  <c r="AV573" i="3"/>
  <c r="AW573" i="3"/>
  <c r="AX573" i="3"/>
  <c r="AV574" i="3"/>
  <c r="AW574" i="3"/>
  <c r="AX574" i="3"/>
  <c r="AV575" i="3"/>
  <c r="AW575" i="3"/>
  <c r="AX575" i="3"/>
  <c r="AV576" i="3"/>
  <c r="AW576" i="3"/>
  <c r="AX576" i="3"/>
  <c r="AV577" i="3"/>
  <c r="AW577" i="3"/>
  <c r="AX577" i="3"/>
  <c r="AV578" i="3"/>
  <c r="AW578" i="3"/>
  <c r="AX578" i="3"/>
  <c r="AV579" i="3"/>
  <c r="AW579" i="3"/>
  <c r="AX579" i="3"/>
  <c r="AV580" i="3"/>
  <c r="AW580" i="3"/>
  <c r="AX580" i="3"/>
  <c r="AV581" i="3"/>
  <c r="AW581" i="3"/>
  <c r="AX581" i="3"/>
  <c r="AV582" i="3"/>
  <c r="AW582" i="3"/>
  <c r="AX582" i="3"/>
  <c r="AV583" i="3"/>
  <c r="AW583" i="3"/>
  <c r="AX583" i="3"/>
  <c r="AV584" i="3"/>
  <c r="AW584" i="3"/>
  <c r="AX584" i="3"/>
  <c r="AV585" i="3"/>
  <c r="AW585" i="3"/>
  <c r="AX585" i="3"/>
  <c r="AV586" i="3"/>
  <c r="AW586" i="3"/>
  <c r="AX586" i="3"/>
  <c r="AV587" i="3"/>
  <c r="AW587" i="3"/>
  <c r="AX587" i="3"/>
  <c r="AW13" i="3"/>
  <c r="AX13" i="3"/>
  <c r="AV13" i="3"/>
  <c r="C31" i="4"/>
  <c r="D3" i="36"/>
  <c r="C33" i="4"/>
  <c r="C32" i="4"/>
  <c r="Q29" i="31"/>
  <c r="Q30" i="31"/>
  <c r="Q31" i="31"/>
  <c r="Q32" i="31"/>
  <c r="Q33" i="31"/>
  <c r="Q34" i="31"/>
  <c r="Q35" i="31"/>
  <c r="Q36" i="31"/>
  <c r="Q37" i="31"/>
  <c r="Q38" i="31"/>
  <c r="Q39" i="31"/>
  <c r="Q40" i="31"/>
  <c r="Q41" i="31"/>
  <c r="Q42" i="31"/>
  <c r="Q43" i="31"/>
  <c r="Q44" i="31"/>
  <c r="Q45" i="31"/>
  <c r="Q46" i="31"/>
  <c r="Q47" i="31"/>
  <c r="Q48" i="31"/>
  <c r="Q49" i="31"/>
  <c r="Q50" i="31"/>
  <c r="Q51" i="31"/>
  <c r="Q52" i="31"/>
  <c r="Q53" i="31"/>
  <c r="Q54" i="31"/>
  <c r="Q55" i="31"/>
  <c r="Q56" i="31"/>
  <c r="Q57" i="31"/>
  <c r="Q58" i="31"/>
  <c r="Q59" i="31"/>
  <c r="Q60" i="31"/>
  <c r="Q61" i="31"/>
  <c r="Q62" i="31"/>
  <c r="Q63" i="31"/>
  <c r="Q64" i="31"/>
  <c r="Q65" i="31"/>
  <c r="Q66" i="31"/>
  <c r="Q67" i="31"/>
  <c r="Q68" i="31"/>
  <c r="Q69" i="31"/>
  <c r="Q70" i="31"/>
  <c r="Q71" i="31"/>
  <c r="Q72" i="31"/>
  <c r="Q73" i="31"/>
  <c r="Q74" i="31"/>
  <c r="Q75" i="31"/>
  <c r="Q76" i="31"/>
  <c r="Q77" i="31"/>
  <c r="Q78" i="31"/>
  <c r="Q79" i="31"/>
  <c r="Q80" i="31"/>
  <c r="Q81" i="31"/>
  <c r="Q82" i="31"/>
  <c r="Q83" i="31"/>
  <c r="Q84" i="31"/>
  <c r="Q85" i="31"/>
  <c r="Q86" i="31"/>
  <c r="Q87" i="31"/>
  <c r="Q88" i="31"/>
  <c r="Q89" i="31"/>
  <c r="Q90" i="31"/>
  <c r="Q91" i="31"/>
  <c r="Q92" i="31"/>
  <c r="Q93" i="31"/>
  <c r="Q94" i="31"/>
  <c r="Q95" i="31"/>
  <c r="Q96" i="31"/>
  <c r="Q97" i="31"/>
  <c r="Q98" i="31"/>
  <c r="Q99" i="31"/>
  <c r="Q100" i="31"/>
  <c r="Q101" i="31"/>
  <c r="Q102" i="31"/>
  <c r="Q103" i="31"/>
  <c r="Q104" i="31"/>
  <c r="Q105" i="31"/>
  <c r="Q106" i="31"/>
  <c r="Q107" i="31"/>
  <c r="Q108" i="31"/>
  <c r="Q109" i="31"/>
  <c r="Q110" i="31"/>
  <c r="Q111" i="31"/>
  <c r="Q112" i="31"/>
  <c r="Q113" i="31"/>
  <c r="Q114" i="31"/>
  <c r="Q115" i="31"/>
  <c r="Q116" i="31"/>
  <c r="Q117" i="31"/>
  <c r="Q118" i="31"/>
  <c r="Q119" i="31"/>
  <c r="Q120" i="31"/>
  <c r="Q121" i="31"/>
  <c r="Q122" i="31"/>
  <c r="Q123" i="31"/>
  <c r="Q124" i="31"/>
  <c r="Q125" i="31"/>
  <c r="Q126" i="31"/>
  <c r="Q127" i="31"/>
  <c r="Q128" i="31"/>
  <c r="Q129" i="31"/>
  <c r="Q130" i="31"/>
  <c r="Q131" i="31"/>
  <c r="Q132" i="31"/>
  <c r="Q133" i="31"/>
  <c r="Q134" i="31"/>
  <c r="Q135" i="31"/>
  <c r="Q136" i="31"/>
  <c r="Q137" i="31"/>
  <c r="Q138" i="31"/>
  <c r="Q139" i="31"/>
  <c r="Q140" i="31"/>
  <c r="Q141" i="31"/>
  <c r="Q142" i="31"/>
  <c r="Q143" i="31"/>
  <c r="Q144" i="31"/>
  <c r="Q145" i="31"/>
  <c r="Q146" i="31"/>
  <c r="Q147" i="31"/>
  <c r="Q148" i="31"/>
  <c r="Q149" i="31"/>
  <c r="Q150" i="31"/>
  <c r="Q151" i="31"/>
  <c r="Q152" i="31"/>
  <c r="Q153" i="31"/>
  <c r="Q154" i="31"/>
  <c r="Q155" i="31"/>
  <c r="Q156" i="31"/>
  <c r="Q157" i="31"/>
  <c r="Q158" i="31"/>
  <c r="Q159" i="31"/>
  <c r="Q160" i="31"/>
  <c r="Q161" i="31"/>
  <c r="Q162" i="31"/>
  <c r="Q163" i="31"/>
  <c r="Q164" i="31"/>
  <c r="Q165" i="31"/>
  <c r="Q166" i="31"/>
  <c r="Q167" i="31"/>
  <c r="Q168" i="31"/>
  <c r="Q169" i="31"/>
  <c r="Q170" i="31"/>
  <c r="Q171" i="31"/>
  <c r="Q172" i="31"/>
  <c r="Q173" i="31"/>
  <c r="Q174" i="31"/>
  <c r="Q175" i="31"/>
  <c r="Q176" i="31"/>
  <c r="Q177" i="31"/>
  <c r="Q178" i="31"/>
  <c r="Q179" i="31"/>
  <c r="Q180" i="31"/>
  <c r="Q181" i="31"/>
  <c r="Q182" i="31"/>
  <c r="Q183" i="31"/>
  <c r="Q184" i="31"/>
  <c r="Q185" i="31"/>
  <c r="Q186" i="31"/>
  <c r="Q187" i="31"/>
  <c r="Q188" i="31"/>
  <c r="Q189" i="31"/>
  <c r="Q190" i="31"/>
  <c r="Q191" i="31"/>
  <c r="Q192" i="31"/>
  <c r="Q193" i="31"/>
  <c r="Q194" i="31"/>
  <c r="Q195" i="31"/>
  <c r="Q196" i="31"/>
  <c r="Q197" i="31"/>
  <c r="Q198" i="31"/>
  <c r="Q199" i="31"/>
  <c r="Q200" i="31"/>
  <c r="Q201" i="31"/>
  <c r="Q202" i="31"/>
  <c r="Q203" i="31"/>
  <c r="Q204" i="31"/>
  <c r="Q205" i="31"/>
  <c r="Q206" i="31"/>
  <c r="Q207" i="31"/>
  <c r="Q208" i="31"/>
  <c r="Q209" i="31"/>
  <c r="Q210" i="31"/>
  <c r="Q211" i="31"/>
  <c r="Q212" i="31"/>
  <c r="Q213" i="31"/>
  <c r="Q214" i="31"/>
  <c r="Q215" i="31"/>
  <c r="Q216" i="31"/>
  <c r="Q217" i="31"/>
  <c r="Q218" i="31"/>
  <c r="Q219" i="31"/>
  <c r="Q220" i="31"/>
  <c r="Q221" i="31"/>
  <c r="Q222" i="31"/>
  <c r="Q223" i="31"/>
  <c r="Q224" i="31"/>
  <c r="Q225" i="31"/>
  <c r="Q226" i="31"/>
  <c r="Q227" i="31"/>
  <c r="Q228" i="31"/>
  <c r="Q229" i="31"/>
  <c r="Q230" i="31"/>
  <c r="Q231" i="31"/>
  <c r="Q232" i="31"/>
  <c r="Q233" i="31"/>
  <c r="Q234" i="31"/>
  <c r="Q235" i="31"/>
  <c r="Q236" i="31"/>
  <c r="Q237" i="31"/>
  <c r="Q238" i="31"/>
  <c r="Q239" i="31"/>
  <c r="Q240" i="31"/>
  <c r="Q241" i="31"/>
  <c r="Q242" i="31"/>
  <c r="Q243" i="31"/>
  <c r="Q244" i="31"/>
  <c r="Q245" i="31"/>
  <c r="Q246" i="31"/>
  <c r="Q247" i="31"/>
  <c r="Q248" i="31"/>
  <c r="Q249" i="31"/>
  <c r="Q250" i="31"/>
  <c r="Q251" i="31"/>
  <c r="Q252" i="31"/>
  <c r="Q253" i="31"/>
  <c r="Q254" i="31"/>
  <c r="Q255" i="31"/>
  <c r="Q256" i="31"/>
  <c r="Q257" i="31"/>
  <c r="Q258" i="31"/>
  <c r="Q259" i="31"/>
  <c r="Q260" i="31"/>
  <c r="Q261" i="31"/>
  <c r="Q262" i="31"/>
  <c r="Q263" i="31"/>
  <c r="Q264" i="31"/>
  <c r="Q265" i="31"/>
  <c r="Q266" i="31"/>
  <c r="Q267" i="31"/>
  <c r="Q268" i="31"/>
  <c r="Q269" i="31"/>
  <c r="Q270" i="31"/>
  <c r="Q271" i="31"/>
  <c r="Q272" i="31"/>
  <c r="Q273" i="31"/>
  <c r="Q274" i="31"/>
  <c r="Q275" i="31"/>
  <c r="Q276" i="31"/>
  <c r="Q277" i="31"/>
  <c r="Q278" i="31"/>
  <c r="Q279" i="31"/>
  <c r="Q280" i="31"/>
  <c r="Q281" i="31"/>
  <c r="Q282" i="31"/>
  <c r="Q283" i="31"/>
  <c r="Q284" i="31"/>
  <c r="Q285" i="31"/>
  <c r="Q286" i="31"/>
  <c r="Q287" i="31"/>
  <c r="Q288" i="31"/>
  <c r="Q289" i="31"/>
  <c r="Q290" i="31"/>
  <c r="Q291" i="31"/>
  <c r="Q292" i="31"/>
  <c r="Q293" i="31"/>
  <c r="Q294" i="31"/>
  <c r="Q295" i="31"/>
  <c r="Q296" i="31"/>
  <c r="Q297" i="31"/>
  <c r="Q298" i="31"/>
  <c r="Q299" i="31"/>
  <c r="Q300" i="31"/>
  <c r="Q301" i="31"/>
  <c r="Q302" i="31"/>
  <c r="Q303" i="31"/>
  <c r="Q304" i="31"/>
  <c r="Q305" i="31"/>
  <c r="Q306" i="31"/>
  <c r="Q307" i="31"/>
  <c r="Q308" i="31"/>
  <c r="Q309" i="31"/>
  <c r="Q310" i="31"/>
  <c r="Q311" i="31"/>
  <c r="Q312" i="31"/>
  <c r="Q313" i="31"/>
  <c r="Q314" i="31"/>
  <c r="Q315" i="31"/>
  <c r="Q316" i="31"/>
  <c r="Q317" i="31"/>
  <c r="Q318" i="31"/>
  <c r="Q319" i="31"/>
  <c r="Q320" i="31"/>
  <c r="Q321" i="31"/>
  <c r="Q322" i="31"/>
  <c r="Q323" i="31"/>
  <c r="Q324" i="31"/>
  <c r="Q325" i="31"/>
  <c r="Q326" i="31"/>
  <c r="Q327" i="31"/>
  <c r="Q328" i="31"/>
  <c r="Q329" i="31"/>
  <c r="Q330" i="31"/>
  <c r="Q331" i="31"/>
  <c r="Q332" i="31"/>
  <c r="Q333" i="31"/>
  <c r="Q334" i="31"/>
  <c r="Q335" i="31"/>
  <c r="Q336" i="31"/>
  <c r="Q337" i="31"/>
  <c r="Q338" i="31"/>
  <c r="Q339" i="31"/>
  <c r="Q340" i="31"/>
  <c r="Q341" i="31"/>
  <c r="Q342" i="31"/>
  <c r="Q343" i="31"/>
  <c r="Q344" i="31"/>
  <c r="Q345" i="31"/>
  <c r="Q346" i="31"/>
  <c r="Q347" i="31"/>
  <c r="Q348" i="31"/>
  <c r="Q349" i="31"/>
  <c r="Q350" i="31"/>
  <c r="Q351" i="31"/>
  <c r="Q352" i="31"/>
  <c r="Q353" i="31"/>
  <c r="Q354" i="31"/>
  <c r="Q355" i="31"/>
  <c r="Q356" i="31"/>
  <c r="Q357" i="31"/>
  <c r="Q358" i="31"/>
  <c r="Q359" i="31"/>
  <c r="Q360" i="31"/>
  <c r="Q361" i="31"/>
  <c r="Q362" i="31"/>
  <c r="Q363" i="31"/>
  <c r="Q364" i="31"/>
  <c r="Q365" i="31"/>
  <c r="Q366" i="31"/>
  <c r="Q367" i="31"/>
  <c r="Q368" i="31"/>
  <c r="Q369" i="31"/>
  <c r="Q370" i="31"/>
  <c r="Q371" i="31"/>
  <c r="Q372" i="31"/>
  <c r="Q373" i="31"/>
  <c r="Q374" i="31"/>
  <c r="Q375" i="31"/>
  <c r="Q376" i="31"/>
  <c r="Q377" i="31"/>
  <c r="Q378" i="31"/>
  <c r="Q379" i="31"/>
  <c r="Q380" i="31"/>
  <c r="Q381" i="31"/>
  <c r="Q382" i="31"/>
  <c r="Q383" i="31"/>
  <c r="Q384" i="31"/>
  <c r="Q385" i="31"/>
  <c r="Q386" i="31"/>
  <c r="Q387" i="31"/>
  <c r="Q388" i="31"/>
  <c r="Q389" i="31"/>
  <c r="Q390" i="31"/>
  <c r="Q391" i="31"/>
  <c r="Q392" i="31"/>
  <c r="Q393" i="31"/>
  <c r="Q394" i="31"/>
  <c r="Q395" i="31"/>
  <c r="Q396" i="31"/>
  <c r="Q397" i="31"/>
  <c r="Q398" i="31"/>
  <c r="Q399" i="31"/>
  <c r="Q400" i="31"/>
  <c r="Q401" i="31"/>
  <c r="Q402" i="31"/>
  <c r="Q403" i="31"/>
  <c r="Q404" i="31"/>
  <c r="Q405" i="31"/>
  <c r="Q406" i="31"/>
  <c r="Q407" i="31"/>
  <c r="Q408" i="31"/>
  <c r="Q409" i="31"/>
  <c r="Q410" i="31"/>
  <c r="Q411" i="31"/>
  <c r="Q412" i="31"/>
  <c r="Q413" i="31"/>
  <c r="Q414" i="31"/>
  <c r="Q415" i="31"/>
  <c r="Q416" i="31"/>
  <c r="Q417" i="31"/>
  <c r="Q418" i="31"/>
  <c r="Q419" i="31"/>
  <c r="Q420" i="31"/>
  <c r="Q421" i="31"/>
  <c r="Q422" i="31"/>
  <c r="Q423" i="31"/>
  <c r="Q424" i="31"/>
  <c r="Q425" i="31"/>
  <c r="Q426" i="31"/>
  <c r="Q427" i="31"/>
  <c r="Q428" i="31"/>
  <c r="Q429" i="31"/>
  <c r="Q430" i="31"/>
  <c r="Q431" i="31"/>
  <c r="Q432" i="31"/>
  <c r="Q433" i="31"/>
  <c r="Q434" i="31"/>
  <c r="Q435" i="31"/>
  <c r="Q436" i="31"/>
  <c r="Q437" i="31"/>
  <c r="Q438" i="31"/>
  <c r="Q439" i="31"/>
  <c r="Q440" i="31"/>
  <c r="Q441" i="31"/>
  <c r="Q442" i="31"/>
  <c r="Q443" i="31"/>
  <c r="Q444" i="31"/>
  <c r="Q445" i="31"/>
  <c r="Q446" i="31"/>
  <c r="Q447" i="31"/>
  <c r="Q448" i="31"/>
  <c r="Q449" i="31"/>
  <c r="Q450" i="31"/>
  <c r="Q451" i="31"/>
  <c r="Q452" i="31"/>
  <c r="Q453" i="31"/>
  <c r="Q454" i="31"/>
  <c r="Q455" i="31"/>
  <c r="Q456" i="31"/>
  <c r="Q457" i="31"/>
  <c r="Q458" i="31"/>
  <c r="Q459" i="31"/>
  <c r="Q460" i="31"/>
  <c r="Q461" i="31"/>
  <c r="Q462" i="31"/>
  <c r="Q463" i="31"/>
  <c r="Q464" i="31"/>
  <c r="Q465" i="31"/>
  <c r="Q466" i="31"/>
  <c r="Q467" i="31"/>
  <c r="Q468" i="31"/>
  <c r="Q469" i="31"/>
  <c r="Q470" i="31"/>
  <c r="Q471" i="31"/>
  <c r="Q472" i="31"/>
  <c r="Q473" i="31"/>
  <c r="Q474" i="31"/>
  <c r="Q475" i="31"/>
  <c r="Q476" i="31"/>
  <c r="Q477" i="31"/>
  <c r="Q478" i="31"/>
  <c r="Q479" i="31"/>
  <c r="Q480" i="31"/>
  <c r="Q481" i="31"/>
  <c r="Q482" i="31"/>
  <c r="Q483" i="31"/>
  <c r="Q484" i="31"/>
  <c r="Q485" i="31"/>
  <c r="Q486" i="31"/>
  <c r="Q487" i="31"/>
  <c r="Q488" i="31"/>
  <c r="Q489" i="31"/>
  <c r="Q490" i="31"/>
  <c r="Q491" i="31"/>
  <c r="Q492" i="31"/>
  <c r="Q493" i="31"/>
  <c r="Q494" i="31"/>
  <c r="Q495" i="31"/>
  <c r="Q496" i="31"/>
  <c r="Q497" i="31"/>
  <c r="Q498" i="31"/>
  <c r="Q499" i="31"/>
  <c r="Q500" i="31"/>
  <c r="Q501" i="31"/>
  <c r="Q502" i="31"/>
  <c r="Q503" i="31"/>
  <c r="Q504" i="31"/>
  <c r="Q505" i="31"/>
  <c r="Q506" i="31"/>
  <c r="Q507" i="31"/>
  <c r="Q508" i="31"/>
  <c r="Q509" i="31"/>
  <c r="Q510" i="31"/>
  <c r="Q511" i="31"/>
  <c r="Q512" i="31"/>
  <c r="Q513" i="31"/>
  <c r="Q514" i="31"/>
  <c r="Q515" i="31"/>
  <c r="Q516" i="31"/>
  <c r="Q517" i="31"/>
  <c r="Q518" i="31"/>
  <c r="Q519" i="31"/>
  <c r="Q520" i="31"/>
  <c r="Q521" i="31"/>
  <c r="Q522" i="31"/>
  <c r="Q523" i="31"/>
  <c r="Q524" i="31"/>
  <c r="O29" i="31"/>
  <c r="O30" i="31"/>
  <c r="O31" i="31"/>
  <c r="O32" i="31"/>
  <c r="O33" i="31"/>
  <c r="O34" i="31"/>
  <c r="O35" i="31"/>
  <c r="O36" i="31"/>
  <c r="O37" i="31"/>
  <c r="O38" i="31"/>
  <c r="O39" i="31"/>
  <c r="O40" i="31"/>
  <c r="O41" i="31"/>
  <c r="O42" i="31"/>
  <c r="O43" i="31"/>
  <c r="O44" i="31"/>
  <c r="O45" i="31"/>
  <c r="O46" i="31"/>
  <c r="O47" i="31"/>
  <c r="O48" i="31"/>
  <c r="O49" i="31"/>
  <c r="O50" i="31"/>
  <c r="O51" i="31"/>
  <c r="O52" i="31"/>
  <c r="O53" i="31"/>
  <c r="O54" i="31"/>
  <c r="O55" i="31"/>
  <c r="O56" i="31"/>
  <c r="O57" i="31"/>
  <c r="O58" i="31"/>
  <c r="O59" i="31"/>
  <c r="O60" i="31"/>
  <c r="O61" i="31"/>
  <c r="O62" i="31"/>
  <c r="O63" i="31"/>
  <c r="O64" i="31"/>
  <c r="O65" i="31"/>
  <c r="O66" i="31"/>
  <c r="O67" i="31"/>
  <c r="O68" i="31"/>
  <c r="O69" i="31"/>
  <c r="O70" i="31"/>
  <c r="O71" i="31"/>
  <c r="O72" i="31"/>
  <c r="O73" i="31"/>
  <c r="O74" i="31"/>
  <c r="O75" i="31"/>
  <c r="O76" i="31"/>
  <c r="O77" i="31"/>
  <c r="O78" i="31"/>
  <c r="O79" i="31"/>
  <c r="O80" i="31"/>
  <c r="O81" i="31"/>
  <c r="O82" i="31"/>
  <c r="O83" i="31"/>
  <c r="O84" i="31"/>
  <c r="O85" i="31"/>
  <c r="O86" i="31"/>
  <c r="O87" i="31"/>
  <c r="O88" i="31"/>
  <c r="O89" i="31"/>
  <c r="O90" i="31"/>
  <c r="O91" i="31"/>
  <c r="O92" i="31"/>
  <c r="O93" i="31"/>
  <c r="O94" i="31"/>
  <c r="O95" i="31"/>
  <c r="O96" i="31"/>
  <c r="O97" i="31"/>
  <c r="O98" i="31"/>
  <c r="O99" i="31"/>
  <c r="O100" i="31"/>
  <c r="O101" i="31"/>
  <c r="O102" i="31"/>
  <c r="O103" i="31"/>
  <c r="O104" i="31"/>
  <c r="O105" i="31"/>
  <c r="O106" i="31"/>
  <c r="O107" i="31"/>
  <c r="O108" i="31"/>
  <c r="O109" i="31"/>
  <c r="O110" i="31"/>
  <c r="O111" i="31"/>
  <c r="O112" i="31"/>
  <c r="O113" i="31"/>
  <c r="O114" i="31"/>
  <c r="O115" i="31"/>
  <c r="O116" i="31"/>
  <c r="O117" i="31"/>
  <c r="O118" i="31"/>
  <c r="O119" i="31"/>
  <c r="O120" i="31"/>
  <c r="O121" i="31"/>
  <c r="O122" i="31"/>
  <c r="O123" i="31"/>
  <c r="O124" i="31"/>
  <c r="O125" i="31"/>
  <c r="O126" i="31"/>
  <c r="O127" i="31"/>
  <c r="O128" i="31"/>
  <c r="O129" i="31"/>
  <c r="O130" i="31"/>
  <c r="O131" i="31"/>
  <c r="O132" i="31"/>
  <c r="O133" i="31"/>
  <c r="O134" i="31"/>
  <c r="O135" i="31"/>
  <c r="O136" i="31"/>
  <c r="O137" i="31"/>
  <c r="O138" i="31"/>
  <c r="O139" i="31"/>
  <c r="O140" i="31"/>
  <c r="O141" i="31"/>
  <c r="O142" i="31"/>
  <c r="O143" i="31"/>
  <c r="O144" i="31"/>
  <c r="O145" i="31"/>
  <c r="O146" i="31"/>
  <c r="O147" i="31"/>
  <c r="O148" i="31"/>
  <c r="O149" i="31"/>
  <c r="O150" i="31"/>
  <c r="O151" i="31"/>
  <c r="O152" i="31"/>
  <c r="O153" i="31"/>
  <c r="O154" i="31"/>
  <c r="O155" i="31"/>
  <c r="O156" i="31"/>
  <c r="O157" i="31"/>
  <c r="O158" i="31"/>
  <c r="O159" i="31"/>
  <c r="O160" i="31"/>
  <c r="O161" i="31"/>
  <c r="O162" i="31"/>
  <c r="O163" i="31"/>
  <c r="O164" i="31"/>
  <c r="O165" i="31"/>
  <c r="O166" i="31"/>
  <c r="O167" i="31"/>
  <c r="O168" i="31"/>
  <c r="O169" i="31"/>
  <c r="O170" i="31"/>
  <c r="O171" i="31"/>
  <c r="O172" i="31"/>
  <c r="O173" i="31"/>
  <c r="O174" i="31"/>
  <c r="O175" i="31"/>
  <c r="O176" i="31"/>
  <c r="O177" i="31"/>
  <c r="O178" i="31"/>
  <c r="O179" i="31"/>
  <c r="O180" i="31"/>
  <c r="O181" i="31"/>
  <c r="O182" i="31"/>
  <c r="O183" i="31"/>
  <c r="O184" i="31"/>
  <c r="O185" i="31"/>
  <c r="O186" i="31"/>
  <c r="O187" i="31"/>
  <c r="O188" i="31"/>
  <c r="O189" i="31"/>
  <c r="O190" i="31"/>
  <c r="O191" i="31"/>
  <c r="O192" i="31"/>
  <c r="O193" i="31"/>
  <c r="O194" i="31"/>
  <c r="O195" i="31"/>
  <c r="O196" i="31"/>
  <c r="O197" i="31"/>
  <c r="O198" i="31"/>
  <c r="O199" i="31"/>
  <c r="O200" i="31"/>
  <c r="O201" i="31"/>
  <c r="O202" i="31"/>
  <c r="O203" i="31"/>
  <c r="O204" i="31"/>
  <c r="O205" i="31"/>
  <c r="O206" i="31"/>
  <c r="O207" i="31"/>
  <c r="O208" i="31"/>
  <c r="O209" i="31"/>
  <c r="O210" i="31"/>
  <c r="O211" i="31"/>
  <c r="O212" i="31"/>
  <c r="O213" i="31"/>
  <c r="O214" i="31"/>
  <c r="O215" i="31"/>
  <c r="O216" i="31"/>
  <c r="O217" i="31"/>
  <c r="O218" i="31"/>
  <c r="O219" i="31"/>
  <c r="O220" i="31"/>
  <c r="O221" i="31"/>
  <c r="O222" i="31"/>
  <c r="O223" i="31"/>
  <c r="O224" i="31"/>
  <c r="O225" i="31"/>
  <c r="O226" i="31"/>
  <c r="O227" i="31"/>
  <c r="O228" i="31"/>
  <c r="O229" i="31"/>
  <c r="O230" i="31"/>
  <c r="O231" i="31"/>
  <c r="O232" i="31"/>
  <c r="O233" i="31"/>
  <c r="O234" i="31"/>
  <c r="O235" i="31"/>
  <c r="O236" i="31"/>
  <c r="O237" i="31"/>
  <c r="O238" i="31"/>
  <c r="O239" i="31"/>
  <c r="O240" i="31"/>
  <c r="O241" i="31"/>
  <c r="O242" i="31"/>
  <c r="O243" i="31"/>
  <c r="O244" i="31"/>
  <c r="O245" i="31"/>
  <c r="O246" i="31"/>
  <c r="O247" i="31"/>
  <c r="O248" i="31"/>
  <c r="O249" i="31"/>
  <c r="O250" i="31"/>
  <c r="O251" i="31"/>
  <c r="O252" i="31"/>
  <c r="O253" i="31"/>
  <c r="O254" i="31"/>
  <c r="O255" i="31"/>
  <c r="O256" i="31"/>
  <c r="O257" i="31"/>
  <c r="O258" i="31"/>
  <c r="O259" i="31"/>
  <c r="O260" i="31"/>
  <c r="O261" i="31"/>
  <c r="O262" i="31"/>
  <c r="O263" i="31"/>
  <c r="O264" i="31"/>
  <c r="O265" i="31"/>
  <c r="O266" i="31"/>
  <c r="O267" i="31"/>
  <c r="O268" i="31"/>
  <c r="O269" i="31"/>
  <c r="O270" i="31"/>
  <c r="O271" i="31"/>
  <c r="O272" i="31"/>
  <c r="O273" i="31"/>
  <c r="O274" i="31"/>
  <c r="O275" i="31"/>
  <c r="O276" i="31"/>
  <c r="O277" i="31"/>
  <c r="O278" i="31"/>
  <c r="O279" i="31"/>
  <c r="O280" i="31"/>
  <c r="O281" i="31"/>
  <c r="O282" i="31"/>
  <c r="O283" i="31"/>
  <c r="O284" i="31"/>
  <c r="O285" i="31"/>
  <c r="O286" i="31"/>
  <c r="O287" i="31"/>
  <c r="O288" i="31"/>
  <c r="O289" i="31"/>
  <c r="O290" i="31"/>
  <c r="O291" i="31"/>
  <c r="O292" i="31"/>
  <c r="O293" i="31"/>
  <c r="O294" i="31"/>
  <c r="O295" i="31"/>
  <c r="O296" i="31"/>
  <c r="O297" i="31"/>
  <c r="O298" i="31"/>
  <c r="O299" i="31"/>
  <c r="O300" i="31"/>
  <c r="O301" i="31"/>
  <c r="O302" i="31"/>
  <c r="O303" i="31"/>
  <c r="O304" i="31"/>
  <c r="O305" i="31"/>
  <c r="O306" i="31"/>
  <c r="O307" i="31"/>
  <c r="O308" i="31"/>
  <c r="O309" i="31"/>
  <c r="O310" i="31"/>
  <c r="O311" i="31"/>
  <c r="O312" i="31"/>
  <c r="O313" i="31"/>
  <c r="O314" i="31"/>
  <c r="O315" i="31"/>
  <c r="O316" i="31"/>
  <c r="O317" i="31"/>
  <c r="O318" i="31"/>
  <c r="O319" i="31"/>
  <c r="O320" i="31"/>
  <c r="O321" i="31"/>
  <c r="O322" i="31"/>
  <c r="O323" i="31"/>
  <c r="O324" i="31"/>
  <c r="O325" i="31"/>
  <c r="O326" i="31"/>
  <c r="O327" i="31"/>
  <c r="O328" i="31"/>
  <c r="O329" i="31"/>
  <c r="O330" i="31"/>
  <c r="O331" i="31"/>
  <c r="O332" i="31"/>
  <c r="O333" i="31"/>
  <c r="O334" i="31"/>
  <c r="O335" i="31"/>
  <c r="O336" i="31"/>
  <c r="O337" i="31"/>
  <c r="O338" i="31"/>
  <c r="O339" i="31"/>
  <c r="O340" i="31"/>
  <c r="O341" i="31"/>
  <c r="O342" i="31"/>
  <c r="O343" i="31"/>
  <c r="O344" i="31"/>
  <c r="O345" i="31"/>
  <c r="O346" i="31"/>
  <c r="O347" i="31"/>
  <c r="O348" i="31"/>
  <c r="O349" i="31"/>
  <c r="O350" i="31"/>
  <c r="O351" i="31"/>
  <c r="O352" i="31"/>
  <c r="O353" i="31"/>
  <c r="O354" i="31"/>
  <c r="O355" i="31"/>
  <c r="O356" i="31"/>
  <c r="O357" i="31"/>
  <c r="O358" i="31"/>
  <c r="O359" i="31"/>
  <c r="O360" i="31"/>
  <c r="O361" i="31"/>
  <c r="O362" i="31"/>
  <c r="O363" i="31"/>
  <c r="O364" i="31"/>
  <c r="O365" i="31"/>
  <c r="O366" i="31"/>
  <c r="O367" i="31"/>
  <c r="O368" i="31"/>
  <c r="O369" i="31"/>
  <c r="O370" i="31"/>
  <c r="O371" i="31"/>
  <c r="O372" i="31"/>
  <c r="O373" i="31"/>
  <c r="O374" i="31"/>
  <c r="O375" i="31"/>
  <c r="O376" i="31"/>
  <c r="O377" i="31"/>
  <c r="O378" i="31"/>
  <c r="O379" i="31"/>
  <c r="O380" i="31"/>
  <c r="O381" i="31"/>
  <c r="O382" i="31"/>
  <c r="O383" i="31"/>
  <c r="O384" i="31"/>
  <c r="O385" i="31"/>
  <c r="O386" i="31"/>
  <c r="O387" i="31"/>
  <c r="O388" i="31"/>
  <c r="O389" i="31"/>
  <c r="O390" i="31"/>
  <c r="O391" i="31"/>
  <c r="O392" i="31"/>
  <c r="O393" i="31"/>
  <c r="O394" i="31"/>
  <c r="O395" i="31"/>
  <c r="O396" i="31"/>
  <c r="O397" i="31"/>
  <c r="O398" i="31"/>
  <c r="O399" i="31"/>
  <c r="O400" i="31"/>
  <c r="O401" i="31"/>
  <c r="O402" i="31"/>
  <c r="O403" i="31"/>
  <c r="O404" i="31"/>
  <c r="O405" i="31"/>
  <c r="O406" i="31"/>
  <c r="O407" i="31"/>
  <c r="O408" i="31"/>
  <c r="O409" i="31"/>
  <c r="O410" i="31"/>
  <c r="O411" i="31"/>
  <c r="O412" i="31"/>
  <c r="O413" i="31"/>
  <c r="O414" i="31"/>
  <c r="O415" i="31"/>
  <c r="O416" i="31"/>
  <c r="O417" i="31"/>
  <c r="O418" i="31"/>
  <c r="O419" i="31"/>
  <c r="O420" i="31"/>
  <c r="O421" i="31"/>
  <c r="O422" i="31"/>
  <c r="O423" i="31"/>
  <c r="O424" i="31"/>
  <c r="O425" i="31"/>
  <c r="O426" i="31"/>
  <c r="O427" i="31"/>
  <c r="O428" i="31"/>
  <c r="O429" i="31"/>
  <c r="O430" i="31"/>
  <c r="O431" i="31"/>
  <c r="O432" i="31"/>
  <c r="O433" i="31"/>
  <c r="O434" i="31"/>
  <c r="O435" i="31"/>
  <c r="O436" i="31"/>
  <c r="O437" i="31"/>
  <c r="O438" i="31"/>
  <c r="O439" i="31"/>
  <c r="O440" i="31"/>
  <c r="O441" i="31"/>
  <c r="O442" i="31"/>
  <c r="O443" i="31"/>
  <c r="O444" i="31"/>
  <c r="O445" i="31"/>
  <c r="O446" i="31"/>
  <c r="O447" i="31"/>
  <c r="O448" i="31"/>
  <c r="O449" i="31"/>
  <c r="O450" i="31"/>
  <c r="O451" i="31"/>
  <c r="O452" i="31"/>
  <c r="O453" i="31"/>
  <c r="O454" i="31"/>
  <c r="O455" i="31"/>
  <c r="O456" i="31"/>
  <c r="O457" i="31"/>
  <c r="O458" i="31"/>
  <c r="O459" i="31"/>
  <c r="O460" i="31"/>
  <c r="O461" i="31"/>
  <c r="O462" i="31"/>
  <c r="O463" i="31"/>
  <c r="O464" i="31"/>
  <c r="O465" i="31"/>
  <c r="O466" i="31"/>
  <c r="O467" i="31"/>
  <c r="O468" i="31"/>
  <c r="O469" i="31"/>
  <c r="O470" i="31"/>
  <c r="O471" i="31"/>
  <c r="O472" i="31"/>
  <c r="O473" i="31"/>
  <c r="O474" i="31"/>
  <c r="O475" i="31"/>
  <c r="O476" i="31"/>
  <c r="O477" i="31"/>
  <c r="O478" i="31"/>
  <c r="O479" i="31"/>
  <c r="O480" i="31"/>
  <c r="O481" i="31"/>
  <c r="O482" i="31"/>
  <c r="O483" i="31"/>
  <c r="O484" i="31"/>
  <c r="O485" i="31"/>
  <c r="O486" i="31"/>
  <c r="O487" i="31"/>
  <c r="O488" i="31"/>
  <c r="O489" i="31"/>
  <c r="O490" i="31"/>
  <c r="O491" i="31"/>
  <c r="O492" i="31"/>
  <c r="O493" i="31"/>
  <c r="O494" i="31"/>
  <c r="O495" i="31"/>
  <c r="O496" i="31"/>
  <c r="O497" i="31"/>
  <c r="O498" i="31"/>
  <c r="O499" i="31"/>
  <c r="O500" i="31"/>
  <c r="O501" i="31"/>
  <c r="O502" i="31"/>
  <c r="O503" i="31"/>
  <c r="O504" i="31"/>
  <c r="O505" i="31"/>
  <c r="O506" i="31"/>
  <c r="O507" i="31"/>
  <c r="O508" i="31"/>
  <c r="O509" i="31"/>
  <c r="O510" i="31"/>
  <c r="O511" i="31"/>
  <c r="O512" i="31"/>
  <c r="O513" i="31"/>
  <c r="O514" i="31"/>
  <c r="O515" i="31"/>
  <c r="O516" i="31"/>
  <c r="O517" i="31"/>
  <c r="O518" i="31"/>
  <c r="O519" i="31"/>
  <c r="O520" i="31"/>
  <c r="O521" i="31"/>
  <c r="O522" i="31"/>
  <c r="O523" i="31"/>
  <c r="O524" i="31"/>
  <c r="M29" i="31"/>
  <c r="M30" i="31"/>
  <c r="M31" i="31"/>
  <c r="M32" i="31"/>
  <c r="M33" i="31"/>
  <c r="M34" i="31"/>
  <c r="M35" i="31"/>
  <c r="M36" i="31"/>
  <c r="M37" i="31"/>
  <c r="M38" i="31"/>
  <c r="M39" i="31"/>
  <c r="M40" i="31"/>
  <c r="M41" i="31"/>
  <c r="M42" i="31"/>
  <c r="M43" i="31"/>
  <c r="M44" i="31"/>
  <c r="M45" i="31"/>
  <c r="M46" i="31"/>
  <c r="M47" i="31"/>
  <c r="M48" i="31"/>
  <c r="M49" i="31"/>
  <c r="M50" i="31"/>
  <c r="M51" i="31"/>
  <c r="M52" i="31"/>
  <c r="M53" i="31"/>
  <c r="M54" i="31"/>
  <c r="M55" i="31"/>
  <c r="M56" i="31"/>
  <c r="M57" i="31"/>
  <c r="M58" i="31"/>
  <c r="M59" i="31"/>
  <c r="M60" i="31"/>
  <c r="M61" i="31"/>
  <c r="M62" i="31"/>
  <c r="M63" i="31"/>
  <c r="M64" i="31"/>
  <c r="M65" i="31"/>
  <c r="M66" i="31"/>
  <c r="M67" i="31"/>
  <c r="M68" i="31"/>
  <c r="M69" i="31"/>
  <c r="M70" i="31"/>
  <c r="M71" i="31"/>
  <c r="M72" i="31"/>
  <c r="M73" i="31"/>
  <c r="M74" i="31"/>
  <c r="M75" i="31"/>
  <c r="M76" i="31"/>
  <c r="M77" i="31"/>
  <c r="M78" i="31"/>
  <c r="M79" i="31"/>
  <c r="M80" i="31"/>
  <c r="M81" i="31"/>
  <c r="M82" i="31"/>
  <c r="M83" i="31"/>
  <c r="M84" i="31"/>
  <c r="M85" i="31"/>
  <c r="M86" i="31"/>
  <c r="M87" i="31"/>
  <c r="M88" i="31"/>
  <c r="M89" i="31"/>
  <c r="M90" i="31"/>
  <c r="M91" i="31"/>
  <c r="M92" i="31"/>
  <c r="M93" i="31"/>
  <c r="M94" i="31"/>
  <c r="M95" i="31"/>
  <c r="M96" i="31"/>
  <c r="M97" i="31"/>
  <c r="M98" i="31"/>
  <c r="M99" i="31"/>
  <c r="M100" i="31"/>
  <c r="M101" i="31"/>
  <c r="M102" i="31"/>
  <c r="M103" i="31"/>
  <c r="M104" i="31"/>
  <c r="M105" i="31"/>
  <c r="M106" i="31"/>
  <c r="M107" i="31"/>
  <c r="M108" i="31"/>
  <c r="M109" i="31"/>
  <c r="M110" i="31"/>
  <c r="M111" i="31"/>
  <c r="M112" i="31"/>
  <c r="M113" i="31"/>
  <c r="M114" i="31"/>
  <c r="M115" i="31"/>
  <c r="M116" i="31"/>
  <c r="M117" i="31"/>
  <c r="M118" i="31"/>
  <c r="M119" i="31"/>
  <c r="M120" i="31"/>
  <c r="M121" i="31"/>
  <c r="M122" i="31"/>
  <c r="M123" i="31"/>
  <c r="M124" i="31"/>
  <c r="M125" i="31"/>
  <c r="M126" i="31"/>
  <c r="M127" i="31"/>
  <c r="M128" i="31"/>
  <c r="M129" i="31"/>
  <c r="M130" i="31"/>
  <c r="M131" i="31"/>
  <c r="M132" i="31"/>
  <c r="M133" i="31"/>
  <c r="M134" i="31"/>
  <c r="M135" i="31"/>
  <c r="M136" i="31"/>
  <c r="M137" i="31"/>
  <c r="M138" i="31"/>
  <c r="M139" i="31"/>
  <c r="M140" i="31"/>
  <c r="M141" i="31"/>
  <c r="M142" i="31"/>
  <c r="M143" i="31"/>
  <c r="M144" i="31"/>
  <c r="M145" i="31"/>
  <c r="M146" i="31"/>
  <c r="M147" i="31"/>
  <c r="M148" i="31"/>
  <c r="M149" i="31"/>
  <c r="M150" i="31"/>
  <c r="M151" i="31"/>
  <c r="M152" i="31"/>
  <c r="M153" i="31"/>
  <c r="M154" i="31"/>
  <c r="M155" i="31"/>
  <c r="M156" i="31"/>
  <c r="M157" i="31"/>
  <c r="M158" i="31"/>
  <c r="M159" i="31"/>
  <c r="M160" i="31"/>
  <c r="M161" i="31"/>
  <c r="M162" i="31"/>
  <c r="M163" i="31"/>
  <c r="M164" i="31"/>
  <c r="M165" i="31"/>
  <c r="M166" i="31"/>
  <c r="M167" i="31"/>
  <c r="M168" i="31"/>
  <c r="M169" i="31"/>
  <c r="M170" i="31"/>
  <c r="M171" i="31"/>
  <c r="M172" i="31"/>
  <c r="M173" i="31"/>
  <c r="M174" i="31"/>
  <c r="M175" i="31"/>
  <c r="M176" i="31"/>
  <c r="M177" i="31"/>
  <c r="M178" i="31"/>
  <c r="M179" i="31"/>
  <c r="M180" i="31"/>
  <c r="M181" i="31"/>
  <c r="M182" i="31"/>
  <c r="M183" i="31"/>
  <c r="M184" i="31"/>
  <c r="M185" i="31"/>
  <c r="M186" i="31"/>
  <c r="M187" i="31"/>
  <c r="M188" i="31"/>
  <c r="M189" i="31"/>
  <c r="M190" i="31"/>
  <c r="M191" i="31"/>
  <c r="M192" i="31"/>
  <c r="M193" i="31"/>
  <c r="M194" i="31"/>
  <c r="M195" i="31"/>
  <c r="M196" i="31"/>
  <c r="M197" i="31"/>
  <c r="M198" i="31"/>
  <c r="M199" i="31"/>
  <c r="M200" i="31"/>
  <c r="M201" i="31"/>
  <c r="M202" i="31"/>
  <c r="M203" i="31"/>
  <c r="M204" i="31"/>
  <c r="M205" i="31"/>
  <c r="M206" i="31"/>
  <c r="M207" i="31"/>
  <c r="M208" i="31"/>
  <c r="M209" i="31"/>
  <c r="M210" i="31"/>
  <c r="M211" i="31"/>
  <c r="M212" i="31"/>
  <c r="M213" i="31"/>
  <c r="M214" i="31"/>
  <c r="M215" i="31"/>
  <c r="M216" i="31"/>
  <c r="M217" i="31"/>
  <c r="M218" i="31"/>
  <c r="M219" i="31"/>
  <c r="M220" i="31"/>
  <c r="M221" i="31"/>
  <c r="M222" i="31"/>
  <c r="M223" i="31"/>
  <c r="M224" i="31"/>
  <c r="M225" i="31"/>
  <c r="M226" i="31"/>
  <c r="M227" i="31"/>
  <c r="M228" i="31"/>
  <c r="M229" i="31"/>
  <c r="M230" i="31"/>
  <c r="M231" i="31"/>
  <c r="M232" i="31"/>
  <c r="M233" i="31"/>
  <c r="M234" i="31"/>
  <c r="M235" i="31"/>
  <c r="M236" i="31"/>
  <c r="M237" i="31"/>
  <c r="M238" i="31"/>
  <c r="M239" i="31"/>
  <c r="M240" i="31"/>
  <c r="M241" i="31"/>
  <c r="M242" i="31"/>
  <c r="M243" i="31"/>
  <c r="M244" i="31"/>
  <c r="M245" i="31"/>
  <c r="M246" i="31"/>
  <c r="M247" i="31"/>
  <c r="M248" i="31"/>
  <c r="M249" i="31"/>
  <c r="M250" i="31"/>
  <c r="M251" i="31"/>
  <c r="M252" i="31"/>
  <c r="M253" i="31"/>
  <c r="M254" i="31"/>
  <c r="M255" i="31"/>
  <c r="M256" i="31"/>
  <c r="M257" i="31"/>
  <c r="M258" i="31"/>
  <c r="M259" i="31"/>
  <c r="M260" i="31"/>
  <c r="M261" i="31"/>
  <c r="M262" i="31"/>
  <c r="M263" i="31"/>
  <c r="M264" i="31"/>
  <c r="M265" i="31"/>
  <c r="M266" i="31"/>
  <c r="M267" i="31"/>
  <c r="M268" i="31"/>
  <c r="M269" i="31"/>
  <c r="M270" i="31"/>
  <c r="M271" i="31"/>
  <c r="M272" i="31"/>
  <c r="M273" i="31"/>
  <c r="M274" i="31"/>
  <c r="M275" i="31"/>
  <c r="M276" i="31"/>
  <c r="M277" i="31"/>
  <c r="M278" i="31"/>
  <c r="M279" i="31"/>
  <c r="M280" i="31"/>
  <c r="M281" i="31"/>
  <c r="M282" i="31"/>
  <c r="M283" i="31"/>
  <c r="M284" i="31"/>
  <c r="M285" i="31"/>
  <c r="M286" i="31"/>
  <c r="M287" i="31"/>
  <c r="M288" i="31"/>
  <c r="M289" i="31"/>
  <c r="M290" i="31"/>
  <c r="M291" i="31"/>
  <c r="M292" i="31"/>
  <c r="M293" i="31"/>
  <c r="M294" i="31"/>
  <c r="M295" i="31"/>
  <c r="M296" i="31"/>
  <c r="M297" i="31"/>
  <c r="M298" i="31"/>
  <c r="M299" i="31"/>
  <c r="M300" i="31"/>
  <c r="M301" i="31"/>
  <c r="M302" i="31"/>
  <c r="M303" i="31"/>
  <c r="M304" i="31"/>
  <c r="M305" i="31"/>
  <c r="M306" i="31"/>
  <c r="M307" i="31"/>
  <c r="M308" i="31"/>
  <c r="M309" i="31"/>
  <c r="M310" i="31"/>
  <c r="M311" i="31"/>
  <c r="M312" i="31"/>
  <c r="M313" i="31"/>
  <c r="M314" i="31"/>
  <c r="M315" i="31"/>
  <c r="M316" i="31"/>
  <c r="M317" i="31"/>
  <c r="M318" i="31"/>
  <c r="M319" i="31"/>
  <c r="M320" i="31"/>
  <c r="M321" i="31"/>
  <c r="M322" i="31"/>
  <c r="M323" i="31"/>
  <c r="M324" i="31"/>
  <c r="M325" i="31"/>
  <c r="M326" i="31"/>
  <c r="M327" i="31"/>
  <c r="M328" i="31"/>
  <c r="M329" i="31"/>
  <c r="M330" i="31"/>
  <c r="M331" i="31"/>
  <c r="M332" i="31"/>
  <c r="M333" i="31"/>
  <c r="M334" i="31"/>
  <c r="M335" i="31"/>
  <c r="M336" i="31"/>
  <c r="M337" i="31"/>
  <c r="M338" i="31"/>
  <c r="M339" i="31"/>
  <c r="M340" i="31"/>
  <c r="M341" i="31"/>
  <c r="M342" i="31"/>
  <c r="M343" i="31"/>
  <c r="M344" i="31"/>
  <c r="M345" i="31"/>
  <c r="M346" i="31"/>
  <c r="M347" i="31"/>
  <c r="M348" i="31"/>
  <c r="M349" i="31"/>
  <c r="M350" i="31"/>
  <c r="M351" i="31"/>
  <c r="M352" i="31"/>
  <c r="M353" i="31"/>
  <c r="M354" i="31"/>
  <c r="M355" i="31"/>
  <c r="M356" i="31"/>
  <c r="M357" i="31"/>
  <c r="M358" i="31"/>
  <c r="M359" i="31"/>
  <c r="M360" i="31"/>
  <c r="M361" i="31"/>
  <c r="M362" i="31"/>
  <c r="M363" i="31"/>
  <c r="M364" i="31"/>
  <c r="M365" i="31"/>
  <c r="M366" i="31"/>
  <c r="M367" i="31"/>
  <c r="M368" i="31"/>
  <c r="M369" i="31"/>
  <c r="M370" i="31"/>
  <c r="M371" i="31"/>
  <c r="M372" i="31"/>
  <c r="M373" i="31"/>
  <c r="M374" i="31"/>
  <c r="M375" i="31"/>
  <c r="M376" i="31"/>
  <c r="M377" i="31"/>
  <c r="M378" i="31"/>
  <c r="M379" i="31"/>
  <c r="M380" i="31"/>
  <c r="M381" i="31"/>
  <c r="M382" i="31"/>
  <c r="M383" i="31"/>
  <c r="M384" i="31"/>
  <c r="M385" i="31"/>
  <c r="M386" i="31"/>
  <c r="M387" i="31"/>
  <c r="M388" i="31"/>
  <c r="M389" i="31"/>
  <c r="M390" i="31"/>
  <c r="M391" i="31"/>
  <c r="M392" i="31"/>
  <c r="M393" i="31"/>
  <c r="M394" i="31"/>
  <c r="M395" i="31"/>
  <c r="M396" i="31"/>
  <c r="M397" i="31"/>
  <c r="M398" i="31"/>
  <c r="M399" i="31"/>
  <c r="M400" i="31"/>
  <c r="M401" i="31"/>
  <c r="M402" i="31"/>
  <c r="M403" i="31"/>
  <c r="M404" i="31"/>
  <c r="M405" i="31"/>
  <c r="M406" i="31"/>
  <c r="M407" i="31"/>
  <c r="M408" i="31"/>
  <c r="M409" i="31"/>
  <c r="M410" i="31"/>
  <c r="M411" i="31"/>
  <c r="M412" i="31"/>
  <c r="M413" i="31"/>
  <c r="M414" i="31"/>
  <c r="M415" i="31"/>
  <c r="M416" i="31"/>
  <c r="M417" i="31"/>
  <c r="M418" i="31"/>
  <c r="M419" i="31"/>
  <c r="M420" i="31"/>
  <c r="M421" i="31"/>
  <c r="M422" i="31"/>
  <c r="M423" i="31"/>
  <c r="M424" i="31"/>
  <c r="M425" i="31"/>
  <c r="M426" i="31"/>
  <c r="M427" i="31"/>
  <c r="M428" i="31"/>
  <c r="M429" i="31"/>
  <c r="M430" i="31"/>
  <c r="M431" i="31"/>
  <c r="M432" i="31"/>
  <c r="M433" i="31"/>
  <c r="M434" i="31"/>
  <c r="M435" i="31"/>
  <c r="M436" i="31"/>
  <c r="M437" i="31"/>
  <c r="M438" i="31"/>
  <c r="M439" i="31"/>
  <c r="M440" i="31"/>
  <c r="M441" i="31"/>
  <c r="M442" i="31"/>
  <c r="M443" i="31"/>
  <c r="M444" i="31"/>
  <c r="M445" i="31"/>
  <c r="M446" i="31"/>
  <c r="M447" i="31"/>
  <c r="M448" i="31"/>
  <c r="M449" i="31"/>
  <c r="M450" i="31"/>
  <c r="M451" i="31"/>
  <c r="M452" i="31"/>
  <c r="M453" i="31"/>
  <c r="M454" i="31"/>
  <c r="M455" i="31"/>
  <c r="M456" i="31"/>
  <c r="M457" i="31"/>
  <c r="M458" i="31"/>
  <c r="M459" i="31"/>
  <c r="M460" i="31"/>
  <c r="M461" i="31"/>
  <c r="M462" i="31"/>
  <c r="M463" i="31"/>
  <c r="M464" i="31"/>
  <c r="M465" i="31"/>
  <c r="M466" i="31"/>
  <c r="M467" i="31"/>
  <c r="M468" i="31"/>
  <c r="M469" i="31"/>
  <c r="M470" i="31"/>
  <c r="M471" i="31"/>
  <c r="M472" i="31"/>
  <c r="M473" i="31"/>
  <c r="M474" i="31"/>
  <c r="M475" i="31"/>
  <c r="M476" i="31"/>
  <c r="M477" i="31"/>
  <c r="M478" i="31"/>
  <c r="M479" i="31"/>
  <c r="M480" i="31"/>
  <c r="M481" i="31"/>
  <c r="M482" i="31"/>
  <c r="M483" i="31"/>
  <c r="M484" i="31"/>
  <c r="M485" i="31"/>
  <c r="M486" i="31"/>
  <c r="M487" i="31"/>
  <c r="M488" i="31"/>
  <c r="M489" i="31"/>
  <c r="M490" i="31"/>
  <c r="M491" i="31"/>
  <c r="M492" i="31"/>
  <c r="M493" i="31"/>
  <c r="M494" i="31"/>
  <c r="M495" i="31"/>
  <c r="M496" i="31"/>
  <c r="M497" i="31"/>
  <c r="M498" i="31"/>
  <c r="M499" i="31"/>
  <c r="M500" i="31"/>
  <c r="M501" i="31"/>
  <c r="M502" i="31"/>
  <c r="M503" i="31"/>
  <c r="M504" i="31"/>
  <c r="M505" i="31"/>
  <c r="M506" i="31"/>
  <c r="M507" i="31"/>
  <c r="M508" i="31"/>
  <c r="M509" i="31"/>
  <c r="M510" i="31"/>
  <c r="M511" i="31"/>
  <c r="M512" i="31"/>
  <c r="M513" i="31"/>
  <c r="M514" i="31"/>
  <c r="M515" i="31"/>
  <c r="M516" i="31"/>
  <c r="M517" i="31"/>
  <c r="M518" i="31"/>
  <c r="M519" i="31"/>
  <c r="M520" i="31"/>
  <c r="M521" i="31"/>
  <c r="M522" i="31"/>
  <c r="M523" i="31"/>
  <c r="M524" i="31"/>
  <c r="K29" i="31"/>
  <c r="K30" i="31"/>
  <c r="K31" i="31"/>
  <c r="K32" i="31"/>
  <c r="K33" i="31"/>
  <c r="K34" i="31"/>
  <c r="K35" i="31"/>
  <c r="K36" i="31"/>
  <c r="K37" i="31"/>
  <c r="K38" i="31"/>
  <c r="K39" i="31"/>
  <c r="K40" i="31"/>
  <c r="K41" i="31"/>
  <c r="K42" i="31"/>
  <c r="K43" i="31"/>
  <c r="K44" i="31"/>
  <c r="K45" i="31"/>
  <c r="K46" i="31"/>
  <c r="K47" i="31"/>
  <c r="K48" i="31"/>
  <c r="K49" i="31"/>
  <c r="K50" i="31"/>
  <c r="K51" i="31"/>
  <c r="K52" i="31"/>
  <c r="K53" i="31"/>
  <c r="K54" i="31"/>
  <c r="K55" i="31"/>
  <c r="K56" i="31"/>
  <c r="K57" i="31"/>
  <c r="K58" i="31"/>
  <c r="K59" i="31"/>
  <c r="K60" i="31"/>
  <c r="K61" i="31"/>
  <c r="K62" i="31"/>
  <c r="K63" i="31"/>
  <c r="K64" i="31"/>
  <c r="K65" i="31"/>
  <c r="K66" i="31"/>
  <c r="K67" i="31"/>
  <c r="K68" i="31"/>
  <c r="K69" i="31"/>
  <c r="K70" i="31"/>
  <c r="K71" i="31"/>
  <c r="K72" i="31"/>
  <c r="K73" i="31"/>
  <c r="K74" i="31"/>
  <c r="K75" i="31"/>
  <c r="K76" i="31"/>
  <c r="K77" i="31"/>
  <c r="K78" i="31"/>
  <c r="K79" i="31"/>
  <c r="K80" i="31"/>
  <c r="K81" i="31"/>
  <c r="K82" i="31"/>
  <c r="K83" i="31"/>
  <c r="K84" i="31"/>
  <c r="K85" i="31"/>
  <c r="K86" i="31"/>
  <c r="K87" i="31"/>
  <c r="K88" i="31"/>
  <c r="K89" i="31"/>
  <c r="K90" i="31"/>
  <c r="K91" i="31"/>
  <c r="K92" i="31"/>
  <c r="K93" i="31"/>
  <c r="K94" i="31"/>
  <c r="K95" i="31"/>
  <c r="K96" i="31"/>
  <c r="K97" i="31"/>
  <c r="K98" i="31"/>
  <c r="K99" i="31"/>
  <c r="K100" i="31"/>
  <c r="K101" i="31"/>
  <c r="K102" i="31"/>
  <c r="K103" i="31"/>
  <c r="K104" i="31"/>
  <c r="K105" i="31"/>
  <c r="K106" i="31"/>
  <c r="K107" i="31"/>
  <c r="K108" i="31"/>
  <c r="K109" i="31"/>
  <c r="K110" i="31"/>
  <c r="K111" i="31"/>
  <c r="K112" i="31"/>
  <c r="K113" i="31"/>
  <c r="K114" i="31"/>
  <c r="K115" i="31"/>
  <c r="K116" i="31"/>
  <c r="K117" i="31"/>
  <c r="K118" i="31"/>
  <c r="K119" i="31"/>
  <c r="K120" i="31"/>
  <c r="K121" i="31"/>
  <c r="K122" i="31"/>
  <c r="K123" i="31"/>
  <c r="K124" i="31"/>
  <c r="K125" i="31"/>
  <c r="K126" i="31"/>
  <c r="K127" i="31"/>
  <c r="K128" i="31"/>
  <c r="K129" i="31"/>
  <c r="K130" i="31"/>
  <c r="K131" i="31"/>
  <c r="K132" i="31"/>
  <c r="K133" i="31"/>
  <c r="K134" i="31"/>
  <c r="K135" i="31"/>
  <c r="K136" i="31"/>
  <c r="K137" i="31"/>
  <c r="K138" i="31"/>
  <c r="K139" i="31"/>
  <c r="K140" i="31"/>
  <c r="K141" i="31"/>
  <c r="K142" i="31"/>
  <c r="K143" i="31"/>
  <c r="K144" i="31"/>
  <c r="K145" i="31"/>
  <c r="K146" i="31"/>
  <c r="K147" i="31"/>
  <c r="K148" i="31"/>
  <c r="K149" i="31"/>
  <c r="K150" i="31"/>
  <c r="K151" i="31"/>
  <c r="K152" i="31"/>
  <c r="K153" i="31"/>
  <c r="K154" i="31"/>
  <c r="K155" i="31"/>
  <c r="K156" i="31"/>
  <c r="K157" i="31"/>
  <c r="K158" i="31"/>
  <c r="K159" i="31"/>
  <c r="K160" i="31"/>
  <c r="K161" i="31"/>
  <c r="K162" i="31"/>
  <c r="K163" i="31"/>
  <c r="K164" i="31"/>
  <c r="K165" i="31"/>
  <c r="K166" i="31"/>
  <c r="K167" i="31"/>
  <c r="K168" i="31"/>
  <c r="K169" i="31"/>
  <c r="K170" i="31"/>
  <c r="K171" i="31"/>
  <c r="K172" i="31"/>
  <c r="K173" i="31"/>
  <c r="K174" i="31"/>
  <c r="K175" i="31"/>
  <c r="K176" i="31"/>
  <c r="K177" i="31"/>
  <c r="K178" i="31"/>
  <c r="K179" i="31"/>
  <c r="K180" i="31"/>
  <c r="K181" i="31"/>
  <c r="K182" i="31"/>
  <c r="K183" i="31"/>
  <c r="K184" i="31"/>
  <c r="K185" i="31"/>
  <c r="K186" i="31"/>
  <c r="K187" i="31"/>
  <c r="K188" i="31"/>
  <c r="K189" i="31"/>
  <c r="K190" i="31"/>
  <c r="K191" i="31"/>
  <c r="K192" i="31"/>
  <c r="K193" i="31"/>
  <c r="K194" i="31"/>
  <c r="K195" i="31"/>
  <c r="K196" i="31"/>
  <c r="K197" i="31"/>
  <c r="K198" i="31"/>
  <c r="K199" i="31"/>
  <c r="K200" i="31"/>
  <c r="K201" i="31"/>
  <c r="K202" i="31"/>
  <c r="K203" i="31"/>
  <c r="K204" i="31"/>
  <c r="K205" i="31"/>
  <c r="K206" i="31"/>
  <c r="K207" i="31"/>
  <c r="K208" i="31"/>
  <c r="K209" i="31"/>
  <c r="K210" i="31"/>
  <c r="K211" i="31"/>
  <c r="K212" i="31"/>
  <c r="K213" i="31"/>
  <c r="K214" i="31"/>
  <c r="K215" i="31"/>
  <c r="K216" i="31"/>
  <c r="K217" i="31"/>
  <c r="K218" i="31"/>
  <c r="K219" i="31"/>
  <c r="K220" i="31"/>
  <c r="K221" i="31"/>
  <c r="K222" i="31"/>
  <c r="K223" i="31"/>
  <c r="K224" i="31"/>
  <c r="K225" i="31"/>
  <c r="K226" i="31"/>
  <c r="K227" i="31"/>
  <c r="K228" i="31"/>
  <c r="K229" i="31"/>
  <c r="K230" i="31"/>
  <c r="K231" i="31"/>
  <c r="K232" i="31"/>
  <c r="K233" i="31"/>
  <c r="K234" i="31"/>
  <c r="K235" i="31"/>
  <c r="K236" i="31"/>
  <c r="K237" i="31"/>
  <c r="K238" i="31"/>
  <c r="K239" i="31"/>
  <c r="K240" i="31"/>
  <c r="K241" i="31"/>
  <c r="K242" i="31"/>
  <c r="K243" i="31"/>
  <c r="K244" i="31"/>
  <c r="K245" i="31"/>
  <c r="K246" i="31"/>
  <c r="K247" i="31"/>
  <c r="K248" i="31"/>
  <c r="K249" i="31"/>
  <c r="K250" i="31"/>
  <c r="K251" i="31"/>
  <c r="K252" i="31"/>
  <c r="K253" i="31"/>
  <c r="K254" i="31"/>
  <c r="K255" i="31"/>
  <c r="K256" i="31"/>
  <c r="K257" i="31"/>
  <c r="K258" i="31"/>
  <c r="K259" i="31"/>
  <c r="K260" i="31"/>
  <c r="K261" i="31"/>
  <c r="K262" i="31"/>
  <c r="K263" i="31"/>
  <c r="K264" i="31"/>
  <c r="K265" i="31"/>
  <c r="K266" i="31"/>
  <c r="K267" i="31"/>
  <c r="K268" i="31"/>
  <c r="K269" i="31"/>
  <c r="K270" i="31"/>
  <c r="K271" i="31"/>
  <c r="K272" i="31"/>
  <c r="K273" i="31"/>
  <c r="K274" i="31"/>
  <c r="K275" i="31"/>
  <c r="K276" i="31"/>
  <c r="K277" i="31"/>
  <c r="K278" i="31"/>
  <c r="K279" i="31"/>
  <c r="K280" i="31"/>
  <c r="K281" i="31"/>
  <c r="K282" i="31"/>
  <c r="K283" i="31"/>
  <c r="K284" i="31"/>
  <c r="K285" i="31"/>
  <c r="K286" i="31"/>
  <c r="K287" i="31"/>
  <c r="K288" i="31"/>
  <c r="K289" i="31"/>
  <c r="K290" i="31"/>
  <c r="K291" i="31"/>
  <c r="K292" i="31"/>
  <c r="K293" i="31"/>
  <c r="K294" i="31"/>
  <c r="K295" i="31"/>
  <c r="K296" i="31"/>
  <c r="K297" i="31"/>
  <c r="K298" i="31"/>
  <c r="K299" i="31"/>
  <c r="K300" i="31"/>
  <c r="K301" i="31"/>
  <c r="K302" i="31"/>
  <c r="K303" i="31"/>
  <c r="K304" i="31"/>
  <c r="K305" i="31"/>
  <c r="K306" i="31"/>
  <c r="K307" i="31"/>
  <c r="K308" i="31"/>
  <c r="K309" i="31"/>
  <c r="K310" i="31"/>
  <c r="K311" i="31"/>
  <c r="K312" i="31"/>
  <c r="K313" i="31"/>
  <c r="K314" i="31"/>
  <c r="K315" i="31"/>
  <c r="K316" i="31"/>
  <c r="K317" i="31"/>
  <c r="K318" i="31"/>
  <c r="K319" i="31"/>
  <c r="K320" i="31"/>
  <c r="K321" i="31"/>
  <c r="K322" i="31"/>
  <c r="K323" i="31"/>
  <c r="K324" i="31"/>
  <c r="K325" i="31"/>
  <c r="K326" i="31"/>
  <c r="K327" i="31"/>
  <c r="K328" i="31"/>
  <c r="K329" i="31"/>
  <c r="K330" i="31"/>
  <c r="K331" i="31"/>
  <c r="K332" i="31"/>
  <c r="K333" i="31"/>
  <c r="K334" i="31"/>
  <c r="K335" i="31"/>
  <c r="K336" i="31"/>
  <c r="K337" i="31"/>
  <c r="K338" i="31"/>
  <c r="K339" i="31"/>
  <c r="K340" i="31"/>
  <c r="K341" i="31"/>
  <c r="K342" i="31"/>
  <c r="K343" i="31"/>
  <c r="K344" i="31"/>
  <c r="K345" i="31"/>
  <c r="K346" i="31"/>
  <c r="K347" i="31"/>
  <c r="K348" i="31"/>
  <c r="K349" i="31"/>
  <c r="K350" i="31"/>
  <c r="K351" i="31"/>
  <c r="K352" i="31"/>
  <c r="K353" i="31"/>
  <c r="K354" i="31"/>
  <c r="K355" i="31"/>
  <c r="K356" i="31"/>
  <c r="K357" i="31"/>
  <c r="K358" i="31"/>
  <c r="K359" i="31"/>
  <c r="K360" i="31"/>
  <c r="K361" i="31"/>
  <c r="K362" i="31"/>
  <c r="K363" i="31"/>
  <c r="K364" i="31"/>
  <c r="K365" i="31"/>
  <c r="K366" i="31"/>
  <c r="K367" i="31"/>
  <c r="K368" i="31"/>
  <c r="K369" i="31"/>
  <c r="K370" i="31"/>
  <c r="K371" i="31"/>
  <c r="K372" i="31"/>
  <c r="K373" i="31"/>
  <c r="K374" i="31"/>
  <c r="K375" i="31"/>
  <c r="K376" i="31"/>
  <c r="K377" i="31"/>
  <c r="K378" i="31"/>
  <c r="K379" i="31"/>
  <c r="K380" i="31"/>
  <c r="K381" i="31"/>
  <c r="K382" i="31"/>
  <c r="K383" i="31"/>
  <c r="K384" i="31"/>
  <c r="K385" i="31"/>
  <c r="K386" i="31"/>
  <c r="K387" i="31"/>
  <c r="K388" i="31"/>
  <c r="K389" i="31"/>
  <c r="K390" i="31"/>
  <c r="K391" i="31"/>
  <c r="K392" i="31"/>
  <c r="K393" i="31"/>
  <c r="K394" i="31"/>
  <c r="K395" i="31"/>
  <c r="K396" i="31"/>
  <c r="K397" i="31"/>
  <c r="K398" i="31"/>
  <c r="K399" i="31"/>
  <c r="K400" i="31"/>
  <c r="K401" i="31"/>
  <c r="K402" i="31"/>
  <c r="K403" i="31"/>
  <c r="K404" i="31"/>
  <c r="K405" i="31"/>
  <c r="K406" i="31"/>
  <c r="K407" i="31"/>
  <c r="K408" i="31"/>
  <c r="K409" i="31"/>
  <c r="K410" i="31"/>
  <c r="K411" i="31"/>
  <c r="K412" i="31"/>
  <c r="K413" i="31"/>
  <c r="K414" i="31"/>
  <c r="K415" i="31"/>
  <c r="K416" i="31"/>
  <c r="K417" i="31"/>
  <c r="K418" i="31"/>
  <c r="K419" i="31"/>
  <c r="K420" i="31"/>
  <c r="K421" i="31"/>
  <c r="K422" i="31"/>
  <c r="K423" i="31"/>
  <c r="K424" i="31"/>
  <c r="K425" i="31"/>
  <c r="K426" i="31"/>
  <c r="K427" i="31"/>
  <c r="K428" i="31"/>
  <c r="K429" i="31"/>
  <c r="K430" i="31"/>
  <c r="K431" i="31"/>
  <c r="K432" i="31"/>
  <c r="K433" i="31"/>
  <c r="K434" i="31"/>
  <c r="K435" i="31"/>
  <c r="K436" i="31"/>
  <c r="K437" i="31"/>
  <c r="K438" i="31"/>
  <c r="K439" i="31"/>
  <c r="K440" i="31"/>
  <c r="K441" i="31"/>
  <c r="K442" i="31"/>
  <c r="K443" i="31"/>
  <c r="K444" i="31"/>
  <c r="K445" i="31"/>
  <c r="K446" i="31"/>
  <c r="K447" i="31"/>
  <c r="K448" i="31"/>
  <c r="K449" i="31"/>
  <c r="K450" i="31"/>
  <c r="K451" i="31"/>
  <c r="K452" i="31"/>
  <c r="K453" i="31"/>
  <c r="K454" i="31"/>
  <c r="K455" i="31"/>
  <c r="K456" i="31"/>
  <c r="K457" i="31"/>
  <c r="K458" i="31"/>
  <c r="K459" i="31"/>
  <c r="K460" i="31"/>
  <c r="K461" i="31"/>
  <c r="K462" i="31"/>
  <c r="K463" i="31"/>
  <c r="K464" i="31"/>
  <c r="K465" i="31"/>
  <c r="K466" i="31"/>
  <c r="K467" i="31"/>
  <c r="K468" i="31"/>
  <c r="K469" i="31"/>
  <c r="K470" i="31"/>
  <c r="K471" i="31"/>
  <c r="K472" i="31"/>
  <c r="K473" i="31"/>
  <c r="K474" i="31"/>
  <c r="K475" i="31"/>
  <c r="K476" i="31"/>
  <c r="K477" i="31"/>
  <c r="K478" i="31"/>
  <c r="K479" i="31"/>
  <c r="K480" i="31"/>
  <c r="K481" i="31"/>
  <c r="K482" i="31"/>
  <c r="K483" i="31"/>
  <c r="K484" i="31"/>
  <c r="K485" i="31"/>
  <c r="K486" i="31"/>
  <c r="K487" i="31"/>
  <c r="K488" i="31"/>
  <c r="K489" i="31"/>
  <c r="K490" i="31"/>
  <c r="K491" i="31"/>
  <c r="K492" i="31"/>
  <c r="K493" i="31"/>
  <c r="K494" i="31"/>
  <c r="K495" i="31"/>
  <c r="K496" i="31"/>
  <c r="K497" i="31"/>
  <c r="K498" i="31"/>
  <c r="K499" i="31"/>
  <c r="K500" i="31"/>
  <c r="K501" i="31"/>
  <c r="K502" i="31"/>
  <c r="K503" i="31"/>
  <c r="K504" i="31"/>
  <c r="K505" i="31"/>
  <c r="K506" i="31"/>
  <c r="K507" i="31"/>
  <c r="K508" i="31"/>
  <c r="K509" i="31"/>
  <c r="K510" i="31"/>
  <c r="K511" i="31"/>
  <c r="K512" i="31"/>
  <c r="K513" i="31"/>
  <c r="K514" i="31"/>
  <c r="K515" i="31"/>
  <c r="K516" i="31"/>
  <c r="K517" i="31"/>
  <c r="K518" i="31"/>
  <c r="K519" i="31"/>
  <c r="K520" i="31"/>
  <c r="K521" i="31"/>
  <c r="K522" i="31"/>
  <c r="K523" i="31"/>
  <c r="K524" i="31"/>
  <c r="I29" i="31"/>
  <c r="I30" i="31"/>
  <c r="I31" i="31"/>
  <c r="I32" i="31"/>
  <c r="I33" i="31"/>
  <c r="I34" i="31"/>
  <c r="I35" i="31"/>
  <c r="I36" i="31"/>
  <c r="I37" i="31"/>
  <c r="I38" i="31"/>
  <c r="I39" i="31"/>
  <c r="I40" i="31"/>
  <c r="I41" i="31"/>
  <c r="I42" i="31"/>
  <c r="I43" i="31"/>
  <c r="I44" i="31"/>
  <c r="I45" i="31"/>
  <c r="I46" i="31"/>
  <c r="I47" i="31"/>
  <c r="I48" i="31"/>
  <c r="I49" i="31"/>
  <c r="I50" i="31"/>
  <c r="I51" i="31"/>
  <c r="I52" i="31"/>
  <c r="I53" i="31"/>
  <c r="I54" i="31"/>
  <c r="I55" i="31"/>
  <c r="I56" i="31"/>
  <c r="I57" i="31"/>
  <c r="I58" i="31"/>
  <c r="I59" i="31"/>
  <c r="I60" i="31"/>
  <c r="I61" i="31"/>
  <c r="I62" i="31"/>
  <c r="I63" i="31"/>
  <c r="I64" i="31"/>
  <c r="I65" i="31"/>
  <c r="I66" i="31"/>
  <c r="I67" i="31"/>
  <c r="I68" i="31"/>
  <c r="I69" i="31"/>
  <c r="I70" i="31"/>
  <c r="I71" i="31"/>
  <c r="I72" i="31"/>
  <c r="I73" i="31"/>
  <c r="I74" i="31"/>
  <c r="I75" i="31"/>
  <c r="I76" i="31"/>
  <c r="I77" i="31"/>
  <c r="I78" i="31"/>
  <c r="I79" i="31"/>
  <c r="I80" i="31"/>
  <c r="I81" i="31"/>
  <c r="I82" i="31"/>
  <c r="I83" i="31"/>
  <c r="I84" i="31"/>
  <c r="I85" i="31"/>
  <c r="I86" i="31"/>
  <c r="I87" i="31"/>
  <c r="I88" i="31"/>
  <c r="I89" i="31"/>
  <c r="I90" i="31"/>
  <c r="I91" i="31"/>
  <c r="I92" i="31"/>
  <c r="I93" i="31"/>
  <c r="I94" i="31"/>
  <c r="I95" i="31"/>
  <c r="I96" i="31"/>
  <c r="I97" i="31"/>
  <c r="I98" i="31"/>
  <c r="I99" i="31"/>
  <c r="I100" i="31"/>
  <c r="I101" i="31"/>
  <c r="I102" i="31"/>
  <c r="I103" i="31"/>
  <c r="I104" i="31"/>
  <c r="I105" i="31"/>
  <c r="I106" i="31"/>
  <c r="I107" i="31"/>
  <c r="I108" i="31"/>
  <c r="I109" i="31"/>
  <c r="I110" i="31"/>
  <c r="I111" i="31"/>
  <c r="I112" i="31"/>
  <c r="I113" i="31"/>
  <c r="I114" i="31"/>
  <c r="I115" i="31"/>
  <c r="I116" i="31"/>
  <c r="I117" i="31"/>
  <c r="I118" i="31"/>
  <c r="I119" i="31"/>
  <c r="I120" i="31"/>
  <c r="I121" i="31"/>
  <c r="I122" i="31"/>
  <c r="I123" i="31"/>
  <c r="I124" i="31"/>
  <c r="I125" i="31"/>
  <c r="I126" i="31"/>
  <c r="I127" i="31"/>
  <c r="I128" i="31"/>
  <c r="I129" i="31"/>
  <c r="I130" i="31"/>
  <c r="I131" i="31"/>
  <c r="I132" i="31"/>
  <c r="I133" i="31"/>
  <c r="I134" i="31"/>
  <c r="I135" i="31"/>
  <c r="I136" i="31"/>
  <c r="I137" i="31"/>
  <c r="I138" i="31"/>
  <c r="I139" i="31"/>
  <c r="I140" i="31"/>
  <c r="I141" i="31"/>
  <c r="I142" i="31"/>
  <c r="I143" i="31"/>
  <c r="I144" i="31"/>
  <c r="I145" i="31"/>
  <c r="I146" i="31"/>
  <c r="I147" i="31"/>
  <c r="I148" i="31"/>
  <c r="I149" i="31"/>
  <c r="I150" i="31"/>
  <c r="I151" i="31"/>
  <c r="I152" i="31"/>
  <c r="I153" i="31"/>
  <c r="I154" i="31"/>
  <c r="I155" i="31"/>
  <c r="I156" i="31"/>
  <c r="I157" i="31"/>
  <c r="I158" i="31"/>
  <c r="I159" i="31"/>
  <c r="I160" i="31"/>
  <c r="I161" i="31"/>
  <c r="I162" i="31"/>
  <c r="I163" i="31"/>
  <c r="I164" i="31"/>
  <c r="I165" i="31"/>
  <c r="I166" i="31"/>
  <c r="I167" i="31"/>
  <c r="I168" i="31"/>
  <c r="I169" i="31"/>
  <c r="I170" i="31"/>
  <c r="I171" i="31"/>
  <c r="I172" i="31"/>
  <c r="I173" i="31"/>
  <c r="I174" i="31"/>
  <c r="I175" i="31"/>
  <c r="I176" i="31"/>
  <c r="I177" i="31"/>
  <c r="I178" i="31"/>
  <c r="I179" i="31"/>
  <c r="I180" i="31"/>
  <c r="I181" i="31"/>
  <c r="I182" i="31"/>
  <c r="I183" i="31"/>
  <c r="I184" i="31"/>
  <c r="I185" i="31"/>
  <c r="I186" i="31"/>
  <c r="I187" i="31"/>
  <c r="I188" i="31"/>
  <c r="I189" i="31"/>
  <c r="I190" i="31"/>
  <c r="I191" i="31"/>
  <c r="I192" i="31"/>
  <c r="I193" i="31"/>
  <c r="I194" i="31"/>
  <c r="I195" i="31"/>
  <c r="I196" i="31"/>
  <c r="I197" i="31"/>
  <c r="I198" i="31"/>
  <c r="I199" i="31"/>
  <c r="I200" i="31"/>
  <c r="I201" i="31"/>
  <c r="I202" i="31"/>
  <c r="I203" i="31"/>
  <c r="I204" i="31"/>
  <c r="I205" i="31"/>
  <c r="I206" i="31"/>
  <c r="I207" i="31"/>
  <c r="I208" i="31"/>
  <c r="I209" i="31"/>
  <c r="I210" i="31"/>
  <c r="I211" i="31"/>
  <c r="I212" i="31"/>
  <c r="I213" i="31"/>
  <c r="I214" i="31"/>
  <c r="I215" i="31"/>
  <c r="I216" i="31"/>
  <c r="I217" i="31"/>
  <c r="I218" i="31"/>
  <c r="I219" i="31"/>
  <c r="I220" i="31"/>
  <c r="I221" i="31"/>
  <c r="I222" i="31"/>
  <c r="I223" i="31"/>
  <c r="I224" i="31"/>
  <c r="I225" i="31"/>
  <c r="I226" i="31"/>
  <c r="I227" i="31"/>
  <c r="I228" i="31"/>
  <c r="I229" i="31"/>
  <c r="I230" i="31"/>
  <c r="I231" i="31"/>
  <c r="I232" i="31"/>
  <c r="I233" i="31"/>
  <c r="I234" i="31"/>
  <c r="I235" i="31"/>
  <c r="I236" i="31"/>
  <c r="I237" i="31"/>
  <c r="I238" i="31"/>
  <c r="I239" i="31"/>
  <c r="I240" i="31"/>
  <c r="I241" i="31"/>
  <c r="I242" i="31"/>
  <c r="I243" i="31"/>
  <c r="I244" i="31"/>
  <c r="I245" i="31"/>
  <c r="I246" i="31"/>
  <c r="I247" i="31"/>
  <c r="I248" i="31"/>
  <c r="I249" i="31"/>
  <c r="I250" i="31"/>
  <c r="I251" i="31"/>
  <c r="I252" i="31"/>
  <c r="I253" i="31"/>
  <c r="I254" i="31"/>
  <c r="I255" i="31"/>
  <c r="I256" i="31"/>
  <c r="I257" i="31"/>
  <c r="I258" i="31"/>
  <c r="I259" i="31"/>
  <c r="I260" i="31"/>
  <c r="I261" i="31"/>
  <c r="I262" i="31"/>
  <c r="I263" i="31"/>
  <c r="I264" i="31"/>
  <c r="I265" i="31"/>
  <c r="I266" i="31"/>
  <c r="I267" i="31"/>
  <c r="I268" i="31"/>
  <c r="I269" i="31"/>
  <c r="I270" i="31"/>
  <c r="I271" i="31"/>
  <c r="I272" i="31"/>
  <c r="I273" i="31"/>
  <c r="I274" i="31"/>
  <c r="I275" i="31"/>
  <c r="I276" i="31"/>
  <c r="I277" i="31"/>
  <c r="I278" i="31"/>
  <c r="I279" i="31"/>
  <c r="I280" i="31"/>
  <c r="I281" i="31"/>
  <c r="I282" i="31"/>
  <c r="I283" i="31"/>
  <c r="I284" i="31"/>
  <c r="I285" i="31"/>
  <c r="I286" i="31"/>
  <c r="I287" i="31"/>
  <c r="I288" i="31"/>
  <c r="I289" i="31"/>
  <c r="I290" i="31"/>
  <c r="I291" i="31"/>
  <c r="I292" i="31"/>
  <c r="I293" i="31"/>
  <c r="I294" i="31"/>
  <c r="I295" i="31"/>
  <c r="I296" i="31"/>
  <c r="I297" i="31"/>
  <c r="I298" i="31"/>
  <c r="I299" i="31"/>
  <c r="I300" i="31"/>
  <c r="I301" i="31"/>
  <c r="I302" i="31"/>
  <c r="I303" i="31"/>
  <c r="I304" i="31"/>
  <c r="I305" i="31"/>
  <c r="I306" i="31"/>
  <c r="I307" i="31"/>
  <c r="I308" i="31"/>
  <c r="I309" i="31"/>
  <c r="I310" i="31"/>
  <c r="I311" i="31"/>
  <c r="I312" i="31"/>
  <c r="I313" i="31"/>
  <c r="I314" i="31"/>
  <c r="I315" i="31"/>
  <c r="I316" i="31"/>
  <c r="I317" i="31"/>
  <c r="I318" i="31"/>
  <c r="I319" i="31"/>
  <c r="I320" i="31"/>
  <c r="I321" i="31"/>
  <c r="I322" i="31"/>
  <c r="I323" i="31"/>
  <c r="I324" i="31"/>
  <c r="I325" i="31"/>
  <c r="I326" i="31"/>
  <c r="I327" i="31"/>
  <c r="I328" i="31"/>
  <c r="I329" i="31"/>
  <c r="I330" i="31"/>
  <c r="I331" i="31"/>
  <c r="I332" i="31"/>
  <c r="I333" i="31"/>
  <c r="I334" i="31"/>
  <c r="I335" i="31"/>
  <c r="I336" i="31"/>
  <c r="I337" i="31"/>
  <c r="I338" i="31"/>
  <c r="I339" i="31"/>
  <c r="I340" i="31"/>
  <c r="I341" i="31"/>
  <c r="I342" i="31"/>
  <c r="I343" i="31"/>
  <c r="I344" i="31"/>
  <c r="I345" i="31"/>
  <c r="I346" i="31"/>
  <c r="I347" i="31"/>
  <c r="I348" i="31"/>
  <c r="I349" i="31"/>
  <c r="I350" i="31"/>
  <c r="I351" i="31"/>
  <c r="I352" i="31"/>
  <c r="I353" i="31"/>
  <c r="I354" i="31"/>
  <c r="I355" i="31"/>
  <c r="I356" i="31"/>
  <c r="I357" i="31"/>
  <c r="I358" i="31"/>
  <c r="I359" i="31"/>
  <c r="I360" i="31"/>
  <c r="I361" i="31"/>
  <c r="I362" i="31"/>
  <c r="I363" i="31"/>
  <c r="I364" i="31"/>
  <c r="I365" i="31"/>
  <c r="I366" i="31"/>
  <c r="I367" i="31"/>
  <c r="I368" i="31"/>
  <c r="I369" i="31"/>
  <c r="I370" i="31"/>
  <c r="I371" i="31"/>
  <c r="I372" i="31"/>
  <c r="I373" i="31"/>
  <c r="I374" i="31"/>
  <c r="I375" i="31"/>
  <c r="I376" i="31"/>
  <c r="I377" i="31"/>
  <c r="I378" i="31"/>
  <c r="I379" i="31"/>
  <c r="I380" i="31"/>
  <c r="I381" i="31"/>
  <c r="I382" i="31"/>
  <c r="I383" i="31"/>
  <c r="I384" i="31"/>
  <c r="I385" i="31"/>
  <c r="I386" i="31"/>
  <c r="I387" i="31"/>
  <c r="I388" i="31"/>
  <c r="I389" i="31"/>
  <c r="I390" i="31"/>
  <c r="I391" i="31"/>
  <c r="I392" i="31"/>
  <c r="I393" i="31"/>
  <c r="I394" i="31"/>
  <c r="I395" i="31"/>
  <c r="I396" i="31"/>
  <c r="I397" i="31"/>
  <c r="I398" i="31"/>
  <c r="I399" i="31"/>
  <c r="I400" i="31"/>
  <c r="I401" i="31"/>
  <c r="I402" i="31"/>
  <c r="I403" i="31"/>
  <c r="I404" i="31"/>
  <c r="I405" i="31"/>
  <c r="I406" i="31"/>
  <c r="I407" i="31"/>
  <c r="I408" i="31"/>
  <c r="I409" i="31"/>
  <c r="I410" i="31"/>
  <c r="I411" i="31"/>
  <c r="I412" i="31"/>
  <c r="I413" i="31"/>
  <c r="I414" i="31"/>
  <c r="I415" i="31"/>
  <c r="I416" i="31"/>
  <c r="I417" i="31"/>
  <c r="I418" i="31"/>
  <c r="I419" i="31"/>
  <c r="I420" i="31"/>
  <c r="I421" i="31"/>
  <c r="I422" i="31"/>
  <c r="I423" i="31"/>
  <c r="I424" i="31"/>
  <c r="I425" i="31"/>
  <c r="I426" i="31"/>
  <c r="I427" i="31"/>
  <c r="I428" i="31"/>
  <c r="I429" i="31"/>
  <c r="I430" i="31"/>
  <c r="I431" i="31"/>
  <c r="I432" i="31"/>
  <c r="I433" i="31"/>
  <c r="I434" i="31"/>
  <c r="I435" i="31"/>
  <c r="I436" i="31"/>
  <c r="I437" i="31"/>
  <c r="I438" i="31"/>
  <c r="I439" i="31"/>
  <c r="I440" i="31"/>
  <c r="I441" i="31"/>
  <c r="I442" i="31"/>
  <c r="I443" i="31"/>
  <c r="I444" i="31"/>
  <c r="I445" i="31"/>
  <c r="I446" i="31"/>
  <c r="I447" i="31"/>
  <c r="I448" i="31"/>
  <c r="I449" i="31"/>
  <c r="I450" i="31"/>
  <c r="I451" i="31"/>
  <c r="I452" i="31"/>
  <c r="I453" i="31"/>
  <c r="I454" i="31"/>
  <c r="I455" i="31"/>
  <c r="I456" i="31"/>
  <c r="I457" i="31"/>
  <c r="I458" i="31"/>
  <c r="I459" i="31"/>
  <c r="I460" i="31"/>
  <c r="I461" i="31"/>
  <c r="I462" i="31"/>
  <c r="I463" i="31"/>
  <c r="I464" i="31"/>
  <c r="I465" i="31"/>
  <c r="I466" i="31"/>
  <c r="I467" i="31"/>
  <c r="I468" i="31"/>
  <c r="I469" i="31"/>
  <c r="I470" i="31"/>
  <c r="I471" i="31"/>
  <c r="I472" i="31"/>
  <c r="I473" i="31"/>
  <c r="I474" i="31"/>
  <c r="I475" i="31"/>
  <c r="I476" i="31"/>
  <c r="I477" i="31"/>
  <c r="I478" i="31"/>
  <c r="I479" i="31"/>
  <c r="I480" i="31"/>
  <c r="I481" i="31"/>
  <c r="I482" i="31"/>
  <c r="I483" i="31"/>
  <c r="I484" i="31"/>
  <c r="I485" i="31"/>
  <c r="I486" i="31"/>
  <c r="I487" i="31"/>
  <c r="I488" i="31"/>
  <c r="I489" i="31"/>
  <c r="I490" i="31"/>
  <c r="I491" i="31"/>
  <c r="I492" i="31"/>
  <c r="I493" i="31"/>
  <c r="I494" i="31"/>
  <c r="I495" i="31"/>
  <c r="I496" i="31"/>
  <c r="I497" i="31"/>
  <c r="I498" i="31"/>
  <c r="I499" i="31"/>
  <c r="I500" i="31"/>
  <c r="I501" i="31"/>
  <c r="I502" i="31"/>
  <c r="I503" i="31"/>
  <c r="I504" i="31"/>
  <c r="I505" i="31"/>
  <c r="I506" i="31"/>
  <c r="I507" i="31"/>
  <c r="I508" i="31"/>
  <c r="I509" i="31"/>
  <c r="I510" i="31"/>
  <c r="I511" i="31"/>
  <c r="I512" i="31"/>
  <c r="I513" i="31"/>
  <c r="I514" i="31"/>
  <c r="I515" i="31"/>
  <c r="I516" i="31"/>
  <c r="I517" i="31"/>
  <c r="I518" i="31"/>
  <c r="I519" i="31"/>
  <c r="I520" i="31"/>
  <c r="I521" i="31"/>
  <c r="I522" i="31"/>
  <c r="I523" i="31"/>
  <c r="I524" i="31"/>
  <c r="G29" i="31"/>
  <c r="G30" i="31"/>
  <c r="G31" i="31"/>
  <c r="G32" i="31"/>
  <c r="G33" i="31"/>
  <c r="G34" i="31"/>
  <c r="G35" i="31"/>
  <c r="G36" i="31"/>
  <c r="G37" i="31"/>
  <c r="G38" i="31"/>
  <c r="G39" i="31"/>
  <c r="G40" i="31"/>
  <c r="G41" i="31"/>
  <c r="G42" i="31"/>
  <c r="G43" i="31"/>
  <c r="G44" i="31"/>
  <c r="G45" i="31"/>
  <c r="G46" i="31"/>
  <c r="G47" i="31"/>
  <c r="G48" i="31"/>
  <c r="G49" i="31"/>
  <c r="G50" i="31"/>
  <c r="G51" i="31"/>
  <c r="G52" i="31"/>
  <c r="G53" i="31"/>
  <c r="G54" i="31"/>
  <c r="G55" i="31"/>
  <c r="G56" i="31"/>
  <c r="G57" i="31"/>
  <c r="G58" i="31"/>
  <c r="G59" i="31"/>
  <c r="G60" i="31"/>
  <c r="G61" i="31"/>
  <c r="G62" i="31"/>
  <c r="G63" i="31"/>
  <c r="G64" i="31"/>
  <c r="G65" i="31"/>
  <c r="G66" i="31"/>
  <c r="G67" i="31"/>
  <c r="G68" i="31"/>
  <c r="G69" i="31"/>
  <c r="G70" i="31"/>
  <c r="G71" i="31"/>
  <c r="G72" i="31"/>
  <c r="G73" i="31"/>
  <c r="G74" i="31"/>
  <c r="G75" i="31"/>
  <c r="G76" i="31"/>
  <c r="G77" i="31"/>
  <c r="G78" i="31"/>
  <c r="G79" i="31"/>
  <c r="G80" i="31"/>
  <c r="G81" i="31"/>
  <c r="G82" i="31"/>
  <c r="G83" i="31"/>
  <c r="G84" i="31"/>
  <c r="G85" i="31"/>
  <c r="G86" i="31"/>
  <c r="G87" i="31"/>
  <c r="G88" i="31"/>
  <c r="G89" i="31"/>
  <c r="G90" i="31"/>
  <c r="G91" i="31"/>
  <c r="G92" i="31"/>
  <c r="G93" i="31"/>
  <c r="G94" i="31"/>
  <c r="G95" i="31"/>
  <c r="G96" i="31"/>
  <c r="G97" i="31"/>
  <c r="G98" i="31"/>
  <c r="G99" i="31"/>
  <c r="G100" i="31"/>
  <c r="G101" i="31"/>
  <c r="G102" i="31"/>
  <c r="G103" i="31"/>
  <c r="G104" i="31"/>
  <c r="G105" i="31"/>
  <c r="G106" i="31"/>
  <c r="G107" i="31"/>
  <c r="G108" i="31"/>
  <c r="G109" i="31"/>
  <c r="G110" i="31"/>
  <c r="G111" i="31"/>
  <c r="G112" i="31"/>
  <c r="G113" i="31"/>
  <c r="G114" i="31"/>
  <c r="G115" i="31"/>
  <c r="G116" i="31"/>
  <c r="G117" i="31"/>
  <c r="G118" i="31"/>
  <c r="G119" i="31"/>
  <c r="G120" i="31"/>
  <c r="G121" i="31"/>
  <c r="G122" i="31"/>
  <c r="G123" i="31"/>
  <c r="G124" i="31"/>
  <c r="G125" i="31"/>
  <c r="G126" i="31"/>
  <c r="G127" i="31"/>
  <c r="G128" i="31"/>
  <c r="G129" i="31"/>
  <c r="G130" i="31"/>
  <c r="G131" i="31"/>
  <c r="G132" i="31"/>
  <c r="G133" i="31"/>
  <c r="G134" i="31"/>
  <c r="G135" i="31"/>
  <c r="G136" i="31"/>
  <c r="G137" i="31"/>
  <c r="G138" i="31"/>
  <c r="G139" i="31"/>
  <c r="G140" i="31"/>
  <c r="G141" i="31"/>
  <c r="G142" i="31"/>
  <c r="G143" i="31"/>
  <c r="G144" i="31"/>
  <c r="G145" i="31"/>
  <c r="G146" i="31"/>
  <c r="G147" i="31"/>
  <c r="G148" i="31"/>
  <c r="G149" i="31"/>
  <c r="G150" i="31"/>
  <c r="G151" i="31"/>
  <c r="G152" i="31"/>
  <c r="G153" i="31"/>
  <c r="G154" i="31"/>
  <c r="G155" i="31"/>
  <c r="G156" i="31"/>
  <c r="G157" i="31"/>
  <c r="G158" i="31"/>
  <c r="G159" i="31"/>
  <c r="G160" i="31"/>
  <c r="G161" i="31"/>
  <c r="G162" i="31"/>
  <c r="G163" i="31"/>
  <c r="G164" i="31"/>
  <c r="G165" i="31"/>
  <c r="G166" i="31"/>
  <c r="G167" i="31"/>
  <c r="G168" i="31"/>
  <c r="G169" i="31"/>
  <c r="G170" i="31"/>
  <c r="G171" i="31"/>
  <c r="G172" i="31"/>
  <c r="G173" i="31"/>
  <c r="G174" i="31"/>
  <c r="G175" i="31"/>
  <c r="G176" i="31"/>
  <c r="G177" i="31"/>
  <c r="G178" i="31"/>
  <c r="G179" i="31"/>
  <c r="G180" i="31"/>
  <c r="G181" i="31"/>
  <c r="G182" i="31"/>
  <c r="G183" i="31"/>
  <c r="G184" i="31"/>
  <c r="G185" i="31"/>
  <c r="G186" i="31"/>
  <c r="G187" i="31"/>
  <c r="G188" i="31"/>
  <c r="G189" i="31"/>
  <c r="G190" i="31"/>
  <c r="G191" i="31"/>
  <c r="G192" i="31"/>
  <c r="G193" i="31"/>
  <c r="G194" i="31"/>
  <c r="G195" i="31"/>
  <c r="G196" i="31"/>
  <c r="G197" i="31"/>
  <c r="G198" i="31"/>
  <c r="G199" i="31"/>
  <c r="G200" i="31"/>
  <c r="G201" i="31"/>
  <c r="G202" i="31"/>
  <c r="G203" i="31"/>
  <c r="G204" i="31"/>
  <c r="G205" i="31"/>
  <c r="G206" i="31"/>
  <c r="G207" i="31"/>
  <c r="G208" i="31"/>
  <c r="G209" i="31"/>
  <c r="G210" i="31"/>
  <c r="G211" i="31"/>
  <c r="G212" i="31"/>
  <c r="G213" i="31"/>
  <c r="G214" i="31"/>
  <c r="G215" i="31"/>
  <c r="G216" i="31"/>
  <c r="G217" i="31"/>
  <c r="G218" i="31"/>
  <c r="G219" i="31"/>
  <c r="G220" i="31"/>
  <c r="G221" i="31"/>
  <c r="G222" i="31"/>
  <c r="G223" i="31"/>
  <c r="G224" i="31"/>
  <c r="G225" i="31"/>
  <c r="G226" i="31"/>
  <c r="G227" i="31"/>
  <c r="G228" i="31"/>
  <c r="G229" i="31"/>
  <c r="G230" i="31"/>
  <c r="G231" i="31"/>
  <c r="G232" i="31"/>
  <c r="G233" i="31"/>
  <c r="G234" i="31"/>
  <c r="G235" i="31"/>
  <c r="G236" i="31"/>
  <c r="G237" i="31"/>
  <c r="G238" i="31"/>
  <c r="G239" i="31"/>
  <c r="G240" i="31"/>
  <c r="G241" i="31"/>
  <c r="G242" i="31"/>
  <c r="G243" i="31"/>
  <c r="G244" i="31"/>
  <c r="G245" i="31"/>
  <c r="G246" i="31"/>
  <c r="G247" i="31"/>
  <c r="G248" i="31"/>
  <c r="G249" i="31"/>
  <c r="G250" i="31"/>
  <c r="G251" i="31"/>
  <c r="G252" i="31"/>
  <c r="G253" i="31"/>
  <c r="G254" i="31"/>
  <c r="G255" i="31"/>
  <c r="G256" i="31"/>
  <c r="G257" i="31"/>
  <c r="G258" i="31"/>
  <c r="G259" i="31"/>
  <c r="G260" i="31"/>
  <c r="G261" i="31"/>
  <c r="G262" i="31"/>
  <c r="G263" i="31"/>
  <c r="G264" i="31"/>
  <c r="G265" i="31"/>
  <c r="G266" i="31"/>
  <c r="G267" i="31"/>
  <c r="G268" i="31"/>
  <c r="G269" i="31"/>
  <c r="G270" i="31"/>
  <c r="G271" i="31"/>
  <c r="G272" i="31"/>
  <c r="G273" i="31"/>
  <c r="G274" i="31"/>
  <c r="G275" i="31"/>
  <c r="G276" i="31"/>
  <c r="G277" i="31"/>
  <c r="G278" i="31"/>
  <c r="G279" i="31"/>
  <c r="G280" i="31"/>
  <c r="G281" i="31"/>
  <c r="G282" i="31"/>
  <c r="G283" i="31"/>
  <c r="G284" i="31"/>
  <c r="G285" i="31"/>
  <c r="G286" i="31"/>
  <c r="G287" i="31"/>
  <c r="G288" i="31"/>
  <c r="G289" i="31"/>
  <c r="G290" i="31"/>
  <c r="G291" i="31"/>
  <c r="G292" i="31"/>
  <c r="G293" i="31"/>
  <c r="G294" i="31"/>
  <c r="G295" i="31"/>
  <c r="G296" i="31"/>
  <c r="G297" i="31"/>
  <c r="G298" i="31"/>
  <c r="G299" i="31"/>
  <c r="G300" i="31"/>
  <c r="G301" i="31"/>
  <c r="G302" i="31"/>
  <c r="G303" i="31"/>
  <c r="G304" i="31"/>
  <c r="G305" i="31"/>
  <c r="G306" i="31"/>
  <c r="G307" i="31"/>
  <c r="G308" i="31"/>
  <c r="G309" i="31"/>
  <c r="G310" i="31"/>
  <c r="G311" i="31"/>
  <c r="G312" i="31"/>
  <c r="G313" i="31"/>
  <c r="G314" i="31"/>
  <c r="G315" i="31"/>
  <c r="G316" i="31"/>
  <c r="G317" i="31"/>
  <c r="G318" i="31"/>
  <c r="G319" i="31"/>
  <c r="G320" i="31"/>
  <c r="G321" i="31"/>
  <c r="G322" i="31"/>
  <c r="G323" i="31"/>
  <c r="G324" i="31"/>
  <c r="G325" i="31"/>
  <c r="G326" i="31"/>
  <c r="G327" i="31"/>
  <c r="G328" i="31"/>
  <c r="G329" i="31"/>
  <c r="G330" i="31"/>
  <c r="G331" i="31"/>
  <c r="G332" i="31"/>
  <c r="G333" i="31"/>
  <c r="G334" i="31"/>
  <c r="G335" i="31"/>
  <c r="G336" i="31"/>
  <c r="G337" i="31"/>
  <c r="G338" i="31"/>
  <c r="G339" i="31"/>
  <c r="G340" i="31"/>
  <c r="G341" i="31"/>
  <c r="G342" i="31"/>
  <c r="G343" i="31"/>
  <c r="G344" i="31"/>
  <c r="G345" i="31"/>
  <c r="G346" i="31"/>
  <c r="G347" i="31"/>
  <c r="G348" i="31"/>
  <c r="G349" i="31"/>
  <c r="G350" i="31"/>
  <c r="G351" i="31"/>
  <c r="G352" i="31"/>
  <c r="G353" i="31"/>
  <c r="G354" i="31"/>
  <c r="G355" i="31"/>
  <c r="G356" i="31"/>
  <c r="G357" i="31"/>
  <c r="G358" i="31"/>
  <c r="G359" i="31"/>
  <c r="G360" i="31"/>
  <c r="G361" i="31"/>
  <c r="G362" i="31"/>
  <c r="G363" i="31"/>
  <c r="G364" i="31"/>
  <c r="G365" i="31"/>
  <c r="G366" i="31"/>
  <c r="G367" i="31"/>
  <c r="G368" i="31"/>
  <c r="G369" i="31"/>
  <c r="G370" i="31"/>
  <c r="G371" i="31"/>
  <c r="G372" i="31"/>
  <c r="G373" i="31"/>
  <c r="G374" i="31"/>
  <c r="G375" i="31"/>
  <c r="G376" i="31"/>
  <c r="G377" i="31"/>
  <c r="G378" i="31"/>
  <c r="G379" i="31"/>
  <c r="G380" i="31"/>
  <c r="G381" i="31"/>
  <c r="G382" i="31"/>
  <c r="G383" i="31"/>
  <c r="G384" i="31"/>
  <c r="G385" i="31"/>
  <c r="G386" i="31"/>
  <c r="G387" i="31"/>
  <c r="G388" i="31"/>
  <c r="G389" i="31"/>
  <c r="G390" i="31"/>
  <c r="G391" i="31"/>
  <c r="G392" i="31"/>
  <c r="G393" i="31"/>
  <c r="G394" i="31"/>
  <c r="G395" i="31"/>
  <c r="G396" i="31"/>
  <c r="G397" i="31"/>
  <c r="G398" i="31"/>
  <c r="G399" i="31"/>
  <c r="G400" i="31"/>
  <c r="G401" i="31"/>
  <c r="G402" i="31"/>
  <c r="G403" i="31"/>
  <c r="G404" i="31"/>
  <c r="G405" i="31"/>
  <c r="G406" i="31"/>
  <c r="G407" i="31"/>
  <c r="G408" i="31"/>
  <c r="G409" i="31"/>
  <c r="G410" i="31"/>
  <c r="G411" i="31"/>
  <c r="G412" i="31"/>
  <c r="G413" i="31"/>
  <c r="G414" i="31"/>
  <c r="G415" i="31"/>
  <c r="G416" i="31"/>
  <c r="G417" i="31"/>
  <c r="G418" i="31"/>
  <c r="G419" i="31"/>
  <c r="G420" i="31"/>
  <c r="G421" i="31"/>
  <c r="G422" i="31"/>
  <c r="G423" i="31"/>
  <c r="G424" i="31"/>
  <c r="G425" i="31"/>
  <c r="G426" i="31"/>
  <c r="G427" i="31"/>
  <c r="G428" i="31"/>
  <c r="G429" i="31"/>
  <c r="G430" i="31"/>
  <c r="G431" i="31"/>
  <c r="G432" i="31"/>
  <c r="G433" i="31"/>
  <c r="G434" i="31"/>
  <c r="G435" i="31"/>
  <c r="G436" i="31"/>
  <c r="G437" i="31"/>
  <c r="G438" i="31"/>
  <c r="G439" i="31"/>
  <c r="G440" i="31"/>
  <c r="G441" i="31"/>
  <c r="G442" i="31"/>
  <c r="G443" i="31"/>
  <c r="G444" i="31"/>
  <c r="G445" i="31"/>
  <c r="G446" i="31"/>
  <c r="G447" i="31"/>
  <c r="G448" i="31"/>
  <c r="G449" i="31"/>
  <c r="G450" i="31"/>
  <c r="G451" i="31"/>
  <c r="G452" i="31"/>
  <c r="G453" i="31"/>
  <c r="G454" i="31"/>
  <c r="G455" i="31"/>
  <c r="G456" i="31"/>
  <c r="G457" i="31"/>
  <c r="G458" i="31"/>
  <c r="G459" i="31"/>
  <c r="G460" i="31"/>
  <c r="G461" i="31"/>
  <c r="G462" i="31"/>
  <c r="G463" i="31"/>
  <c r="G464" i="31"/>
  <c r="G465" i="31"/>
  <c r="G466" i="31"/>
  <c r="G467" i="31"/>
  <c r="G468" i="31"/>
  <c r="G469" i="31"/>
  <c r="G470" i="31"/>
  <c r="G471" i="31"/>
  <c r="G472" i="31"/>
  <c r="G473" i="31"/>
  <c r="G474" i="31"/>
  <c r="G475" i="31"/>
  <c r="G476" i="31"/>
  <c r="G477" i="31"/>
  <c r="G478" i="31"/>
  <c r="G479" i="31"/>
  <c r="G480" i="31"/>
  <c r="G481" i="31"/>
  <c r="G482" i="31"/>
  <c r="G483" i="31"/>
  <c r="G484" i="31"/>
  <c r="G485" i="31"/>
  <c r="G486" i="31"/>
  <c r="G487" i="31"/>
  <c r="G488" i="31"/>
  <c r="G489" i="31"/>
  <c r="G490" i="31"/>
  <c r="G491" i="31"/>
  <c r="G492" i="31"/>
  <c r="G493" i="31"/>
  <c r="G494" i="31"/>
  <c r="G495" i="31"/>
  <c r="G496" i="31"/>
  <c r="G497" i="31"/>
  <c r="G498" i="31"/>
  <c r="G499" i="31"/>
  <c r="G500" i="31"/>
  <c r="G501" i="31"/>
  <c r="G502" i="31"/>
  <c r="G503" i="31"/>
  <c r="G504" i="31"/>
  <c r="G505" i="31"/>
  <c r="G506" i="31"/>
  <c r="G507" i="31"/>
  <c r="G508" i="31"/>
  <c r="G509" i="31"/>
  <c r="G510" i="31"/>
  <c r="G511" i="31"/>
  <c r="G512" i="31"/>
  <c r="G513" i="31"/>
  <c r="G514" i="31"/>
  <c r="G515" i="31"/>
  <c r="G516" i="31"/>
  <c r="G517" i="31"/>
  <c r="G518" i="31"/>
  <c r="G519" i="31"/>
  <c r="G520" i="31"/>
  <c r="G521" i="31"/>
  <c r="G522" i="31"/>
  <c r="G523" i="31"/>
  <c r="G524" i="31"/>
  <c r="G26" i="31"/>
  <c r="G27" i="31"/>
  <c r="G28" i="31"/>
  <c r="E29" i="31"/>
  <c r="E30" i="31"/>
  <c r="E31" i="31"/>
  <c r="E32" i="31"/>
  <c r="E33" i="31"/>
  <c r="E34" i="31"/>
  <c r="E35" i="31"/>
  <c r="E36" i="31"/>
  <c r="E37" i="31"/>
  <c r="E38" i="31"/>
  <c r="E39" i="31"/>
  <c r="E40" i="31"/>
  <c r="E41" i="31"/>
  <c r="E42" i="31"/>
  <c r="E43" i="31"/>
  <c r="E44" i="31"/>
  <c r="E45" i="31"/>
  <c r="E46" i="31"/>
  <c r="E47" i="31"/>
  <c r="E48" i="31"/>
  <c r="E49" i="31"/>
  <c r="E50" i="31"/>
  <c r="E51" i="31"/>
  <c r="E52" i="31"/>
  <c r="E53" i="31"/>
  <c r="E54" i="31"/>
  <c r="E55" i="31"/>
  <c r="E56" i="31"/>
  <c r="E57" i="31"/>
  <c r="E58" i="31"/>
  <c r="E59" i="31"/>
  <c r="E60" i="31"/>
  <c r="E61" i="31"/>
  <c r="E62" i="31"/>
  <c r="E63" i="31"/>
  <c r="E64" i="31"/>
  <c r="E65" i="31"/>
  <c r="E66" i="31"/>
  <c r="E67" i="31"/>
  <c r="E68" i="31"/>
  <c r="E69" i="31"/>
  <c r="E70" i="31"/>
  <c r="E71" i="31"/>
  <c r="E72" i="31"/>
  <c r="E73" i="31"/>
  <c r="E74" i="31"/>
  <c r="E75" i="31"/>
  <c r="E76" i="31"/>
  <c r="E77" i="31"/>
  <c r="E78" i="31"/>
  <c r="E79" i="31"/>
  <c r="E80" i="31"/>
  <c r="E81" i="31"/>
  <c r="E82" i="31"/>
  <c r="E83" i="31"/>
  <c r="E84" i="31"/>
  <c r="E85" i="31"/>
  <c r="E86" i="31"/>
  <c r="E87" i="31"/>
  <c r="E88" i="31"/>
  <c r="E89" i="31"/>
  <c r="E90" i="31"/>
  <c r="E91" i="31"/>
  <c r="E92" i="31"/>
  <c r="E93" i="31"/>
  <c r="E94" i="31"/>
  <c r="E95" i="31"/>
  <c r="E96" i="31"/>
  <c r="E97" i="31"/>
  <c r="E98" i="31"/>
  <c r="E99" i="31"/>
  <c r="E100" i="31"/>
  <c r="E101" i="31"/>
  <c r="E102" i="31"/>
  <c r="E103" i="31"/>
  <c r="E104" i="31"/>
  <c r="E105" i="31"/>
  <c r="E106" i="31"/>
  <c r="E107" i="31"/>
  <c r="E108" i="31"/>
  <c r="E109" i="31"/>
  <c r="E110" i="31"/>
  <c r="E111" i="31"/>
  <c r="E112" i="31"/>
  <c r="E113" i="31"/>
  <c r="E114" i="31"/>
  <c r="E115" i="31"/>
  <c r="E116" i="31"/>
  <c r="E117" i="31"/>
  <c r="E118" i="31"/>
  <c r="E119" i="31"/>
  <c r="E120" i="31"/>
  <c r="E121" i="31"/>
  <c r="E122" i="31"/>
  <c r="E123" i="31"/>
  <c r="E124" i="31"/>
  <c r="E125" i="31"/>
  <c r="E126" i="31"/>
  <c r="E127" i="31"/>
  <c r="E128" i="31"/>
  <c r="E129" i="31"/>
  <c r="E130" i="31"/>
  <c r="E131" i="31"/>
  <c r="E132" i="31"/>
  <c r="E133" i="31"/>
  <c r="E134" i="31"/>
  <c r="E135" i="31"/>
  <c r="E136" i="31"/>
  <c r="E137" i="31"/>
  <c r="E138" i="31"/>
  <c r="E139" i="31"/>
  <c r="E140" i="31"/>
  <c r="E141" i="31"/>
  <c r="E142" i="31"/>
  <c r="E143" i="31"/>
  <c r="E144" i="31"/>
  <c r="E145" i="31"/>
  <c r="E146" i="31"/>
  <c r="E147" i="31"/>
  <c r="E148" i="31"/>
  <c r="E149" i="31"/>
  <c r="E150" i="31"/>
  <c r="E151" i="31"/>
  <c r="E152" i="31"/>
  <c r="E153" i="31"/>
  <c r="E154" i="31"/>
  <c r="E155" i="31"/>
  <c r="E156" i="31"/>
  <c r="E157" i="31"/>
  <c r="E158" i="31"/>
  <c r="E159" i="31"/>
  <c r="E160" i="31"/>
  <c r="E161" i="31"/>
  <c r="E162" i="31"/>
  <c r="E163" i="31"/>
  <c r="E164" i="31"/>
  <c r="E165" i="31"/>
  <c r="E166" i="31"/>
  <c r="E167" i="31"/>
  <c r="E168" i="31"/>
  <c r="E169" i="31"/>
  <c r="E170" i="31"/>
  <c r="E171" i="31"/>
  <c r="E172" i="31"/>
  <c r="E173" i="31"/>
  <c r="E174" i="31"/>
  <c r="E175" i="31"/>
  <c r="E176" i="31"/>
  <c r="E177" i="31"/>
  <c r="E178" i="31"/>
  <c r="E179" i="31"/>
  <c r="E180" i="31"/>
  <c r="E181" i="31"/>
  <c r="E182" i="31"/>
  <c r="E183" i="31"/>
  <c r="E184" i="31"/>
  <c r="E185" i="31"/>
  <c r="E186" i="31"/>
  <c r="E187" i="31"/>
  <c r="E188" i="31"/>
  <c r="E189" i="31"/>
  <c r="E190" i="31"/>
  <c r="E191" i="31"/>
  <c r="E192" i="31"/>
  <c r="E193" i="31"/>
  <c r="E194" i="31"/>
  <c r="E195" i="31"/>
  <c r="E196" i="31"/>
  <c r="E197" i="31"/>
  <c r="E198" i="31"/>
  <c r="E199" i="31"/>
  <c r="E200" i="31"/>
  <c r="E201" i="31"/>
  <c r="E202" i="31"/>
  <c r="E203" i="31"/>
  <c r="E204" i="31"/>
  <c r="E205" i="31"/>
  <c r="E206" i="31"/>
  <c r="E207" i="31"/>
  <c r="E208" i="31"/>
  <c r="E209" i="31"/>
  <c r="E210" i="31"/>
  <c r="E211" i="31"/>
  <c r="E212" i="31"/>
  <c r="E213" i="31"/>
  <c r="E214" i="31"/>
  <c r="E215" i="31"/>
  <c r="E216" i="31"/>
  <c r="E217" i="31"/>
  <c r="E218" i="31"/>
  <c r="E219" i="31"/>
  <c r="E220" i="31"/>
  <c r="E221" i="31"/>
  <c r="E222" i="31"/>
  <c r="E223" i="31"/>
  <c r="E224" i="31"/>
  <c r="E225" i="31"/>
  <c r="E226" i="31"/>
  <c r="E227" i="31"/>
  <c r="E228" i="31"/>
  <c r="E229" i="31"/>
  <c r="E230" i="31"/>
  <c r="E231" i="31"/>
  <c r="E232" i="31"/>
  <c r="E233" i="31"/>
  <c r="E234" i="31"/>
  <c r="E235" i="31"/>
  <c r="E236" i="31"/>
  <c r="E237" i="31"/>
  <c r="E238" i="31"/>
  <c r="E239" i="31"/>
  <c r="E240" i="31"/>
  <c r="E241" i="31"/>
  <c r="E242" i="31"/>
  <c r="E243" i="31"/>
  <c r="E244" i="31"/>
  <c r="E245" i="31"/>
  <c r="E246" i="31"/>
  <c r="E247" i="31"/>
  <c r="E248" i="31"/>
  <c r="E249" i="31"/>
  <c r="E250" i="31"/>
  <c r="E251" i="31"/>
  <c r="E252" i="31"/>
  <c r="E253" i="31"/>
  <c r="E254" i="31"/>
  <c r="E255" i="31"/>
  <c r="E256" i="31"/>
  <c r="E257" i="31"/>
  <c r="E258" i="31"/>
  <c r="E259" i="31"/>
  <c r="E260" i="31"/>
  <c r="E261" i="31"/>
  <c r="E262" i="31"/>
  <c r="E263" i="31"/>
  <c r="E264" i="31"/>
  <c r="E265" i="31"/>
  <c r="E266" i="31"/>
  <c r="E267" i="31"/>
  <c r="E268" i="31"/>
  <c r="E269" i="31"/>
  <c r="E270" i="31"/>
  <c r="E271" i="31"/>
  <c r="E272" i="31"/>
  <c r="E273" i="31"/>
  <c r="E274" i="31"/>
  <c r="E275" i="31"/>
  <c r="E276" i="31"/>
  <c r="E277" i="31"/>
  <c r="E278" i="31"/>
  <c r="E279" i="31"/>
  <c r="E280" i="31"/>
  <c r="E281" i="31"/>
  <c r="E282" i="31"/>
  <c r="E283" i="31"/>
  <c r="E284" i="31"/>
  <c r="E285" i="31"/>
  <c r="E286" i="31"/>
  <c r="E287" i="31"/>
  <c r="E288" i="31"/>
  <c r="E289" i="31"/>
  <c r="E290" i="31"/>
  <c r="E291" i="31"/>
  <c r="E292" i="31"/>
  <c r="E293" i="31"/>
  <c r="E294" i="31"/>
  <c r="E295" i="31"/>
  <c r="E296" i="31"/>
  <c r="E297" i="31"/>
  <c r="E298" i="31"/>
  <c r="E299" i="31"/>
  <c r="E300" i="31"/>
  <c r="E301" i="31"/>
  <c r="E302" i="31"/>
  <c r="E303" i="31"/>
  <c r="E304" i="31"/>
  <c r="E305" i="31"/>
  <c r="E306" i="31"/>
  <c r="E307" i="31"/>
  <c r="E308" i="31"/>
  <c r="E309" i="31"/>
  <c r="E310" i="31"/>
  <c r="E311" i="31"/>
  <c r="E312" i="31"/>
  <c r="E313" i="31"/>
  <c r="E314" i="31"/>
  <c r="E315" i="31"/>
  <c r="E316" i="31"/>
  <c r="E317" i="31"/>
  <c r="E318" i="31"/>
  <c r="E319" i="31"/>
  <c r="E320" i="31"/>
  <c r="E321" i="31"/>
  <c r="E322" i="31"/>
  <c r="E323" i="31"/>
  <c r="E324" i="31"/>
  <c r="E325" i="31"/>
  <c r="E326" i="31"/>
  <c r="E327" i="31"/>
  <c r="E328" i="31"/>
  <c r="E329" i="31"/>
  <c r="E330" i="31"/>
  <c r="E331" i="31"/>
  <c r="E332" i="31"/>
  <c r="E333" i="31"/>
  <c r="E334" i="31"/>
  <c r="E335" i="31"/>
  <c r="E336" i="31"/>
  <c r="E337" i="31"/>
  <c r="E338" i="31"/>
  <c r="E339" i="31"/>
  <c r="E340" i="31"/>
  <c r="E341" i="31"/>
  <c r="E342" i="31"/>
  <c r="E343" i="31"/>
  <c r="E344" i="31"/>
  <c r="E345" i="31"/>
  <c r="E346" i="31"/>
  <c r="E347" i="31"/>
  <c r="E348" i="31"/>
  <c r="E349" i="31"/>
  <c r="E350" i="31"/>
  <c r="E351" i="31"/>
  <c r="E352" i="31"/>
  <c r="E353" i="31"/>
  <c r="E354" i="31"/>
  <c r="E355" i="31"/>
  <c r="E356" i="31"/>
  <c r="E357" i="31"/>
  <c r="E358" i="31"/>
  <c r="E359" i="31"/>
  <c r="E360" i="31"/>
  <c r="E361" i="31"/>
  <c r="E362" i="31"/>
  <c r="E363" i="31"/>
  <c r="E364" i="31"/>
  <c r="E365" i="31"/>
  <c r="E366" i="31"/>
  <c r="E367" i="31"/>
  <c r="E368" i="31"/>
  <c r="E369" i="31"/>
  <c r="E370" i="31"/>
  <c r="E371" i="31"/>
  <c r="E372" i="31"/>
  <c r="E373" i="31"/>
  <c r="E374" i="31"/>
  <c r="E375" i="31"/>
  <c r="E376" i="31"/>
  <c r="E377" i="31"/>
  <c r="E378" i="31"/>
  <c r="E379" i="31"/>
  <c r="E380" i="31"/>
  <c r="E381" i="31"/>
  <c r="E382" i="31"/>
  <c r="E383" i="31"/>
  <c r="E384" i="31"/>
  <c r="E385" i="31"/>
  <c r="E386" i="31"/>
  <c r="E387" i="31"/>
  <c r="E388" i="31"/>
  <c r="E389" i="31"/>
  <c r="E390" i="31"/>
  <c r="E391" i="31"/>
  <c r="E392" i="31"/>
  <c r="E393" i="31"/>
  <c r="E394" i="31"/>
  <c r="E395" i="31"/>
  <c r="E396" i="31"/>
  <c r="E397" i="31"/>
  <c r="E398" i="31"/>
  <c r="E399" i="31"/>
  <c r="E400" i="31"/>
  <c r="E401" i="31"/>
  <c r="E402" i="31"/>
  <c r="E403" i="31"/>
  <c r="E404" i="31"/>
  <c r="E405" i="31"/>
  <c r="E406" i="31"/>
  <c r="E407" i="31"/>
  <c r="E408" i="31"/>
  <c r="E409" i="31"/>
  <c r="E410" i="31"/>
  <c r="E411" i="31"/>
  <c r="E412" i="31"/>
  <c r="E413" i="31"/>
  <c r="E414" i="31"/>
  <c r="E415" i="31"/>
  <c r="E416" i="31"/>
  <c r="E417" i="31"/>
  <c r="E418" i="31"/>
  <c r="E419" i="31"/>
  <c r="E420" i="31"/>
  <c r="E421" i="31"/>
  <c r="E422" i="31"/>
  <c r="E423" i="31"/>
  <c r="E424" i="31"/>
  <c r="E425" i="31"/>
  <c r="E426" i="31"/>
  <c r="E427" i="31"/>
  <c r="E428" i="31"/>
  <c r="E429" i="31"/>
  <c r="E430" i="31"/>
  <c r="E431" i="31"/>
  <c r="E432" i="31"/>
  <c r="E433" i="31"/>
  <c r="E434" i="31"/>
  <c r="E435" i="31"/>
  <c r="E436" i="31"/>
  <c r="E437" i="31"/>
  <c r="E438" i="31"/>
  <c r="E439" i="31"/>
  <c r="E440" i="31"/>
  <c r="E441" i="31"/>
  <c r="E442" i="31"/>
  <c r="E443" i="31"/>
  <c r="E444" i="31"/>
  <c r="E445" i="31"/>
  <c r="E446" i="31"/>
  <c r="E447" i="31"/>
  <c r="E448" i="31"/>
  <c r="E449" i="31"/>
  <c r="E450" i="31"/>
  <c r="E451" i="31"/>
  <c r="E452" i="31"/>
  <c r="E453" i="31"/>
  <c r="E454" i="31"/>
  <c r="E455" i="31"/>
  <c r="E456" i="31"/>
  <c r="E457" i="31"/>
  <c r="E458" i="31"/>
  <c r="E459" i="31"/>
  <c r="E460" i="31"/>
  <c r="E461" i="31"/>
  <c r="E462" i="31"/>
  <c r="E463" i="31"/>
  <c r="E464" i="31"/>
  <c r="E465" i="31"/>
  <c r="E466" i="31"/>
  <c r="E467" i="31"/>
  <c r="E468" i="31"/>
  <c r="E469" i="31"/>
  <c r="E470" i="31"/>
  <c r="E471" i="31"/>
  <c r="E472" i="31"/>
  <c r="E473" i="31"/>
  <c r="E474" i="31"/>
  <c r="E475" i="31"/>
  <c r="E476" i="31"/>
  <c r="E477" i="31"/>
  <c r="E478" i="31"/>
  <c r="E479" i="31"/>
  <c r="E480" i="31"/>
  <c r="E481" i="31"/>
  <c r="E482" i="31"/>
  <c r="E483" i="31"/>
  <c r="E484" i="31"/>
  <c r="E485" i="31"/>
  <c r="E486" i="31"/>
  <c r="E487" i="31"/>
  <c r="E488" i="31"/>
  <c r="E489" i="31"/>
  <c r="E490" i="31"/>
  <c r="E491" i="31"/>
  <c r="E492" i="31"/>
  <c r="E493" i="31"/>
  <c r="E494" i="31"/>
  <c r="E495" i="31"/>
  <c r="E496" i="31"/>
  <c r="E497" i="31"/>
  <c r="E498" i="31"/>
  <c r="E499" i="31"/>
  <c r="E500" i="31"/>
  <c r="E501" i="31"/>
  <c r="E502" i="31"/>
  <c r="E503" i="31"/>
  <c r="E504" i="31"/>
  <c r="E505" i="31"/>
  <c r="E506" i="31"/>
  <c r="E507" i="31"/>
  <c r="E508" i="31"/>
  <c r="E509" i="31"/>
  <c r="E510" i="31"/>
  <c r="E511" i="31"/>
  <c r="E512" i="31"/>
  <c r="E513" i="31"/>
  <c r="E514" i="31"/>
  <c r="E515" i="31"/>
  <c r="E516" i="31"/>
  <c r="E517" i="31"/>
  <c r="E518" i="31"/>
  <c r="E519" i="31"/>
  <c r="E520" i="31"/>
  <c r="E521" i="31"/>
  <c r="E522" i="31"/>
  <c r="E523" i="31"/>
  <c r="E524" i="31"/>
  <c r="E26" i="31"/>
  <c r="E27" i="31"/>
  <c r="E28" i="31"/>
  <c r="P23" i="31"/>
  <c r="N23" i="31"/>
  <c r="L23" i="31"/>
  <c r="J23" i="31"/>
  <c r="H23" i="31"/>
  <c r="F23" i="31"/>
  <c r="Q25" i="31"/>
  <c r="O25" i="31"/>
  <c r="M25" i="31"/>
  <c r="K25" i="31"/>
  <c r="G25" i="31"/>
  <c r="E25" i="31"/>
  <c r="S422" i="31"/>
  <c r="S420" i="31"/>
  <c r="S418" i="31"/>
  <c r="S416" i="31"/>
  <c r="S414" i="31"/>
  <c r="S412" i="31"/>
  <c r="S410" i="31"/>
  <c r="S408" i="31"/>
  <c r="S406" i="31"/>
  <c r="S404" i="31"/>
  <c r="S402" i="31"/>
  <c r="S400" i="31"/>
  <c r="S398" i="31"/>
  <c r="S396" i="31"/>
  <c r="S394" i="31"/>
  <c r="S392" i="31"/>
  <c r="S390" i="31"/>
  <c r="S388" i="31"/>
  <c r="S386" i="31"/>
  <c r="S384" i="31"/>
  <c r="S382" i="31"/>
  <c r="S380" i="31"/>
  <c r="S378" i="31"/>
  <c r="S376" i="31"/>
  <c r="S374" i="31"/>
  <c r="S372" i="31"/>
  <c r="S370" i="31"/>
  <c r="S368" i="31"/>
  <c r="S366" i="31"/>
  <c r="S364" i="31"/>
  <c r="S362" i="31"/>
  <c r="S360" i="31"/>
  <c r="S358" i="31"/>
  <c r="S356" i="31"/>
  <c r="S354" i="31"/>
  <c r="S352" i="31"/>
  <c r="S350" i="31"/>
  <c r="S348" i="31"/>
  <c r="S346" i="31"/>
  <c r="S344" i="31"/>
  <c r="S342" i="31"/>
  <c r="S340" i="31"/>
  <c r="S338" i="31"/>
  <c r="S336" i="31"/>
  <c r="S334" i="31"/>
  <c r="S332" i="31"/>
  <c r="S330" i="31"/>
  <c r="S328" i="31"/>
  <c r="S326" i="31"/>
  <c r="S324" i="31"/>
  <c r="S322" i="31"/>
  <c r="S424" i="31"/>
  <c r="S320" i="31"/>
  <c r="S318" i="31"/>
  <c r="S316" i="31"/>
  <c r="S314" i="31"/>
  <c r="S312" i="31"/>
  <c r="S310" i="31"/>
  <c r="S308" i="31"/>
  <c r="S306" i="31"/>
  <c r="S304" i="31"/>
  <c r="S302" i="31"/>
  <c r="S300" i="31"/>
  <c r="S298" i="31"/>
  <c r="S296" i="31"/>
  <c r="S294" i="31"/>
  <c r="S292" i="31"/>
  <c r="S290" i="31"/>
  <c r="S288" i="31"/>
  <c r="S286" i="31"/>
  <c r="S284" i="31"/>
  <c r="S282" i="31"/>
  <c r="S280" i="31"/>
  <c r="S278" i="31"/>
  <c r="S276" i="31"/>
  <c r="S274" i="31"/>
  <c r="S272" i="31"/>
  <c r="S270" i="31"/>
  <c r="S268" i="31"/>
  <c r="S266" i="31"/>
  <c r="S264" i="31"/>
  <c r="S262" i="31"/>
  <c r="S260" i="31"/>
  <c r="S258" i="31"/>
  <c r="S256" i="31"/>
  <c r="S254" i="31"/>
  <c r="S253" i="31"/>
  <c r="S252" i="31"/>
  <c r="S251" i="31"/>
  <c r="S250" i="31"/>
  <c r="S249" i="31"/>
  <c r="S248" i="31"/>
  <c r="S247" i="31"/>
  <c r="S246" i="31"/>
  <c r="S245" i="31"/>
  <c r="S244" i="31"/>
  <c r="S243" i="31"/>
  <c r="S242" i="31"/>
  <c r="S241" i="31"/>
  <c r="S240" i="31"/>
  <c r="S239" i="31"/>
  <c r="S238" i="31"/>
  <c r="S237" i="31"/>
  <c r="S236" i="31"/>
  <c r="S235" i="31"/>
  <c r="S234" i="31"/>
  <c r="S233" i="31"/>
  <c r="S232" i="31"/>
  <c r="S231" i="31"/>
  <c r="S230" i="31"/>
  <c r="S229" i="31"/>
  <c r="S228" i="31"/>
  <c r="S227" i="31"/>
  <c r="S226" i="31"/>
  <c r="S225" i="31"/>
  <c r="S224" i="31"/>
  <c r="S223" i="31"/>
  <c r="S429" i="31"/>
  <c r="S428" i="31"/>
  <c r="S427" i="31"/>
  <c r="S426" i="31"/>
  <c r="S425" i="31"/>
  <c r="S222" i="31"/>
  <c r="S221" i="31"/>
  <c r="S220" i="31"/>
  <c r="S219" i="31"/>
  <c r="S218" i="31"/>
  <c r="S217" i="31"/>
  <c r="S216" i="31"/>
  <c r="S215" i="31"/>
  <c r="S214" i="31"/>
  <c r="S213" i="31"/>
  <c r="S212" i="31"/>
  <c r="S211" i="31"/>
  <c r="S210" i="31"/>
  <c r="S209" i="31"/>
  <c r="S208" i="31"/>
  <c r="S207" i="31"/>
  <c r="S206" i="31"/>
  <c r="S205" i="31"/>
  <c r="S204" i="31"/>
  <c r="S203" i="31"/>
  <c r="S202" i="31"/>
  <c r="S201" i="31"/>
  <c r="S200" i="31"/>
  <c r="S199" i="31"/>
  <c r="S198" i="31"/>
  <c r="S197" i="31"/>
  <c r="S196" i="31"/>
  <c r="S195" i="31"/>
  <c r="S194" i="31"/>
  <c r="S193" i="31"/>
  <c r="S192" i="31"/>
  <c r="S191" i="31"/>
  <c r="S190" i="31"/>
  <c r="S189" i="31"/>
  <c r="S188" i="31"/>
  <c r="S187" i="31"/>
  <c r="S186" i="31"/>
  <c r="S185" i="31"/>
  <c r="S184" i="31"/>
  <c r="S183" i="31"/>
  <c r="S182" i="31"/>
  <c r="S181" i="31"/>
  <c r="S180" i="31"/>
  <c r="S179" i="31"/>
  <c r="S178" i="31"/>
  <c r="S177" i="31"/>
  <c r="S176" i="31"/>
  <c r="S175" i="31"/>
  <c r="S174" i="31"/>
  <c r="S173" i="31"/>
  <c r="S172" i="31"/>
  <c r="S171" i="31"/>
  <c r="S170" i="31"/>
  <c r="S169" i="31"/>
  <c r="S168" i="31"/>
  <c r="S167" i="31"/>
  <c r="S166" i="31"/>
  <c r="S165" i="31"/>
  <c r="S164" i="31"/>
  <c r="S163" i="31"/>
  <c r="S162" i="31"/>
  <c r="S161" i="31"/>
  <c r="S160" i="31"/>
  <c r="S159" i="31"/>
  <c r="S158" i="31"/>
  <c r="S157" i="31"/>
  <c r="S156" i="31"/>
  <c r="S155" i="31"/>
  <c r="S154" i="31"/>
  <c r="S153" i="31"/>
  <c r="S152" i="31"/>
  <c r="S151" i="31"/>
  <c r="S150" i="31"/>
  <c r="S149" i="31"/>
  <c r="S148" i="31"/>
  <c r="S147" i="31"/>
  <c r="S146" i="31"/>
  <c r="S145" i="31"/>
  <c r="S144" i="31"/>
  <c r="S143" i="31"/>
  <c r="S142" i="31"/>
  <c r="S141" i="31"/>
  <c r="S140" i="31"/>
  <c r="S139" i="31"/>
  <c r="S138" i="31"/>
  <c r="S137" i="31"/>
  <c r="S136" i="31"/>
  <c r="S135" i="31"/>
  <c r="S134" i="31"/>
  <c r="S133" i="31"/>
  <c r="S132" i="31"/>
  <c r="S131" i="31"/>
  <c r="S130" i="31"/>
  <c r="S129" i="31"/>
  <c r="S128" i="31"/>
  <c r="S127" i="31"/>
  <c r="S126" i="31"/>
  <c r="S125" i="31"/>
  <c r="S124" i="31"/>
  <c r="S123" i="31"/>
  <c r="S497" i="31"/>
  <c r="S496" i="31"/>
  <c r="S495" i="31"/>
  <c r="S494" i="31"/>
  <c r="S493" i="31"/>
  <c r="S492" i="31"/>
  <c r="S491" i="31"/>
  <c r="S490" i="31"/>
  <c r="S489" i="31"/>
  <c r="S488" i="31"/>
  <c r="S487" i="31"/>
  <c r="S486" i="31"/>
  <c r="S485" i="31"/>
  <c r="S484" i="31"/>
  <c r="S483" i="31"/>
  <c r="S482" i="31"/>
  <c r="S481" i="31"/>
  <c r="S480" i="31"/>
  <c r="S479" i="31"/>
  <c r="S478" i="31"/>
  <c r="S477" i="31"/>
  <c r="S476" i="31"/>
  <c r="S475" i="31"/>
  <c r="S474" i="31"/>
  <c r="S473" i="31"/>
  <c r="S472" i="31"/>
  <c r="S471" i="31"/>
  <c r="S470" i="31"/>
  <c r="S469" i="31"/>
  <c r="S468" i="31"/>
  <c r="S444" i="31"/>
  <c r="S443" i="31"/>
  <c r="S442" i="31"/>
  <c r="S441" i="31"/>
  <c r="S440" i="31"/>
  <c r="S439" i="31"/>
  <c r="S438" i="31"/>
  <c r="S437" i="31"/>
  <c r="S436" i="31"/>
  <c r="S435" i="31"/>
  <c r="S434" i="31"/>
  <c r="S433" i="31"/>
  <c r="S432" i="31"/>
  <c r="S431" i="31"/>
  <c r="S430" i="31"/>
  <c r="S122" i="31"/>
  <c r="S121" i="31"/>
  <c r="S120" i="31"/>
  <c r="S119" i="31"/>
  <c r="S118" i="31"/>
  <c r="S117" i="31"/>
  <c r="S116" i="31"/>
  <c r="S115" i="31"/>
  <c r="S114" i="31"/>
  <c r="S113" i="31"/>
  <c r="S112" i="31"/>
  <c r="S506" i="31"/>
  <c r="S504" i="31"/>
  <c r="S502" i="31"/>
  <c r="S500" i="31"/>
  <c r="S498" i="31"/>
  <c r="S467" i="31"/>
  <c r="S466" i="31"/>
  <c r="S465" i="31"/>
  <c r="S464" i="31"/>
  <c r="S463" i="31"/>
  <c r="S462" i="31"/>
  <c r="S461" i="31"/>
  <c r="S460" i="31"/>
  <c r="S459" i="31"/>
  <c r="S458" i="31"/>
  <c r="S457" i="31"/>
  <c r="S456" i="31"/>
  <c r="S455" i="31"/>
  <c r="S454" i="31"/>
  <c r="S453" i="31"/>
  <c r="S452" i="31"/>
  <c r="S451" i="31"/>
  <c r="S450" i="31"/>
  <c r="S54" i="31"/>
  <c r="S53" i="31"/>
  <c r="S52" i="31"/>
  <c r="S51" i="31"/>
  <c r="S50" i="31"/>
  <c r="S49" i="31"/>
  <c r="S48" i="31"/>
  <c r="S47" i="31"/>
  <c r="S46" i="31"/>
  <c r="S45" i="31"/>
  <c r="S44" i="31"/>
  <c r="S43" i="31"/>
  <c r="S42" i="31"/>
  <c r="S41" i="31"/>
  <c r="S40" i="31"/>
  <c r="S39" i="31"/>
  <c r="S38" i="31"/>
  <c r="S37" i="31"/>
  <c r="S36" i="31"/>
  <c r="S35" i="31"/>
  <c r="S34" i="31"/>
  <c r="S33" i="31"/>
  <c r="S32" i="31"/>
  <c r="S77" i="31"/>
  <c r="S76" i="31"/>
  <c r="S75" i="31"/>
  <c r="S74" i="31"/>
  <c r="S73" i="31"/>
  <c r="S72" i="31"/>
  <c r="S71" i="31"/>
  <c r="S70" i="31"/>
  <c r="S69" i="31"/>
  <c r="S68" i="31"/>
  <c r="S67" i="31"/>
  <c r="S66" i="31"/>
  <c r="S65" i="31"/>
  <c r="S64" i="31"/>
  <c r="S63" i="31"/>
  <c r="S62" i="31"/>
  <c r="S61" i="31"/>
  <c r="S60" i="31"/>
  <c r="S59" i="31"/>
  <c r="S58" i="31"/>
  <c r="S57" i="31"/>
  <c r="S56" i="31"/>
  <c r="S55" i="31"/>
  <c r="S24" i="31"/>
  <c r="S97" i="31"/>
  <c r="S96" i="31"/>
  <c r="S95" i="31"/>
  <c r="S94" i="31"/>
  <c r="S93" i="31"/>
  <c r="S92" i="31"/>
  <c r="S91" i="31"/>
  <c r="S90" i="31"/>
  <c r="S89" i="31"/>
  <c r="S88" i="31"/>
  <c r="S87" i="31"/>
  <c r="S86" i="31"/>
  <c r="S85" i="31"/>
  <c r="S84" i="31"/>
  <c r="S83" i="31"/>
  <c r="S82" i="31"/>
  <c r="S81" i="31"/>
  <c r="S80" i="31"/>
  <c r="S79" i="31"/>
  <c r="S78" i="31"/>
  <c r="S31" i="31"/>
  <c r="S30" i="31"/>
  <c r="S29" i="31"/>
  <c r="S98" i="31"/>
  <c r="S99" i="31"/>
  <c r="S100" i="31"/>
  <c r="S101" i="31"/>
  <c r="S102" i="31"/>
  <c r="S103" i="31"/>
  <c r="S104" i="31"/>
  <c r="S105" i="31"/>
  <c r="S106" i="31"/>
  <c r="S107" i="31"/>
  <c r="S108" i="31"/>
  <c r="S109" i="31"/>
  <c r="S110" i="31"/>
  <c r="S111" i="31"/>
  <c r="S445" i="31"/>
  <c r="S446" i="31"/>
  <c r="S447" i="31"/>
  <c r="S448" i="31"/>
  <c r="S449" i="31"/>
  <c r="S507" i="31"/>
  <c r="S508" i="31"/>
  <c r="S509" i="31"/>
  <c r="S510" i="31"/>
  <c r="S511" i="31"/>
  <c r="S512" i="31"/>
  <c r="S513" i="31"/>
  <c r="S514" i="31"/>
  <c r="I48" i="37"/>
  <c r="J48" i="37" s="1"/>
  <c r="G48" i="37"/>
  <c r="H48" i="37" s="1"/>
  <c r="E48" i="37"/>
  <c r="F48" i="37" s="1"/>
  <c r="I55" i="34"/>
  <c r="J55" i="34" s="1"/>
  <c r="G55" i="34"/>
  <c r="H55" i="34" s="1"/>
  <c r="E55" i="34"/>
  <c r="F55" i="34" s="1"/>
  <c r="I48" i="40"/>
  <c r="J48" i="40" s="1"/>
  <c r="G48" i="40"/>
  <c r="H48" i="40" s="1"/>
  <c r="E48" i="40"/>
  <c r="F48" i="40" s="1"/>
  <c r="I53" i="39"/>
  <c r="J53" i="39"/>
  <c r="G53" i="39"/>
  <c r="H53" i="39"/>
  <c r="E53" i="39"/>
  <c r="F53" i="39"/>
  <c r="I42" i="36"/>
  <c r="J42" i="36" s="1"/>
  <c r="G42" i="36"/>
  <c r="H42" i="36" s="1"/>
  <c r="E42" i="36"/>
  <c r="F42" i="36" s="1"/>
  <c r="I44" i="35"/>
  <c r="J44" i="35" s="1"/>
  <c r="G44" i="35"/>
  <c r="H44" i="35" s="1"/>
  <c r="E44" i="35"/>
  <c r="F44" i="35" s="1"/>
  <c r="I54" i="33"/>
  <c r="J54" i="33" s="1"/>
  <c r="G54" i="33"/>
  <c r="E54" i="33"/>
  <c r="H493" i="3"/>
  <c r="AC493" i="3"/>
  <c r="BB493" i="3"/>
  <c r="BC493" i="3"/>
  <c r="BD493" i="3"/>
  <c r="BE493" i="3"/>
  <c r="BF493" i="3"/>
  <c r="BG493" i="3"/>
  <c r="BH493" i="3"/>
  <c r="BI493" i="3"/>
  <c r="BJ493" i="3"/>
  <c r="BK493" i="3"/>
  <c r="BM493" i="3"/>
  <c r="BN493" i="3"/>
  <c r="BO493" i="3"/>
  <c r="BP493" i="3"/>
  <c r="BR493" i="3"/>
  <c r="BS493" i="3"/>
  <c r="BT493" i="3"/>
  <c r="H494" i="3"/>
  <c r="AC494" i="3"/>
  <c r="BB494" i="3"/>
  <c r="BC494" i="3"/>
  <c r="BD494" i="3"/>
  <c r="BE494" i="3"/>
  <c r="BF494" i="3"/>
  <c r="BG494" i="3"/>
  <c r="BH494" i="3"/>
  <c r="BI494" i="3"/>
  <c r="BJ494" i="3"/>
  <c r="BK494" i="3"/>
  <c r="BM494" i="3"/>
  <c r="BN494" i="3"/>
  <c r="BO494" i="3"/>
  <c r="BP494" i="3"/>
  <c r="BQ494" i="3"/>
  <c r="BR494" i="3"/>
  <c r="BS494" i="3"/>
  <c r="BT494" i="3"/>
  <c r="H495" i="3"/>
  <c r="AC495" i="3"/>
  <c r="BB495" i="3"/>
  <c r="BC495" i="3"/>
  <c r="BD495" i="3"/>
  <c r="BE495" i="3"/>
  <c r="BF495" i="3"/>
  <c r="BG495" i="3"/>
  <c r="BH495" i="3"/>
  <c r="BI495" i="3"/>
  <c r="BJ495" i="3"/>
  <c r="BK495" i="3"/>
  <c r="BM495" i="3"/>
  <c r="BN495" i="3"/>
  <c r="BO495" i="3"/>
  <c r="BP495" i="3"/>
  <c r="BR495" i="3"/>
  <c r="BS495" i="3"/>
  <c r="BT495" i="3"/>
  <c r="H496" i="3"/>
  <c r="AC496" i="3"/>
  <c r="BB496" i="3"/>
  <c r="BC496" i="3"/>
  <c r="BD496" i="3"/>
  <c r="BE496" i="3"/>
  <c r="BF496" i="3"/>
  <c r="BG496" i="3"/>
  <c r="BH496" i="3"/>
  <c r="BI496" i="3"/>
  <c r="BJ496" i="3"/>
  <c r="BK496" i="3"/>
  <c r="BM496" i="3"/>
  <c r="BN496" i="3"/>
  <c r="BO496" i="3"/>
  <c r="BP496" i="3"/>
  <c r="BQ496" i="3"/>
  <c r="BR496" i="3"/>
  <c r="BS496" i="3"/>
  <c r="BT496" i="3"/>
  <c r="H497" i="3"/>
  <c r="AC497" i="3"/>
  <c r="BB497" i="3"/>
  <c r="BC497" i="3"/>
  <c r="BD497" i="3"/>
  <c r="BE497" i="3"/>
  <c r="BF497" i="3"/>
  <c r="BG497" i="3"/>
  <c r="BH497" i="3"/>
  <c r="BI497" i="3"/>
  <c r="BJ497" i="3"/>
  <c r="BK497" i="3"/>
  <c r="BM497" i="3"/>
  <c r="BN497" i="3"/>
  <c r="BO497" i="3"/>
  <c r="BP497" i="3"/>
  <c r="BR497" i="3"/>
  <c r="BS497" i="3"/>
  <c r="BT497" i="3"/>
  <c r="H498" i="3"/>
  <c r="AC498" i="3"/>
  <c r="BB498" i="3"/>
  <c r="BC498" i="3"/>
  <c r="BD498" i="3"/>
  <c r="BE498" i="3"/>
  <c r="BF498" i="3"/>
  <c r="BG498" i="3"/>
  <c r="BH498" i="3"/>
  <c r="BI498" i="3"/>
  <c r="BJ498" i="3"/>
  <c r="BK498" i="3"/>
  <c r="BM498" i="3"/>
  <c r="BN498" i="3"/>
  <c r="BO498" i="3"/>
  <c r="BP498" i="3"/>
  <c r="BQ498" i="3"/>
  <c r="BR498" i="3"/>
  <c r="BS498" i="3"/>
  <c r="BT498" i="3"/>
  <c r="H499" i="3"/>
  <c r="AC499" i="3"/>
  <c r="BB499" i="3"/>
  <c r="BC499" i="3"/>
  <c r="BD499" i="3"/>
  <c r="BE499" i="3"/>
  <c r="BF499" i="3"/>
  <c r="BG499" i="3"/>
  <c r="BH499" i="3"/>
  <c r="BI499" i="3"/>
  <c r="BJ499" i="3"/>
  <c r="BK499" i="3"/>
  <c r="BM499" i="3"/>
  <c r="BN499" i="3"/>
  <c r="BO499" i="3"/>
  <c r="BP499" i="3"/>
  <c r="BR499" i="3"/>
  <c r="BS499" i="3"/>
  <c r="BT499" i="3"/>
  <c r="H500" i="3"/>
  <c r="AC500" i="3"/>
  <c r="BB500" i="3"/>
  <c r="BC500" i="3"/>
  <c r="BD500" i="3"/>
  <c r="BE500" i="3"/>
  <c r="BF500" i="3"/>
  <c r="BG500" i="3"/>
  <c r="BH500" i="3"/>
  <c r="BI500" i="3"/>
  <c r="BJ500" i="3"/>
  <c r="BK500" i="3"/>
  <c r="BM500" i="3"/>
  <c r="BN500" i="3"/>
  <c r="BO500" i="3"/>
  <c r="BP500" i="3"/>
  <c r="BQ500" i="3"/>
  <c r="BR500" i="3"/>
  <c r="BS500" i="3"/>
  <c r="BT500" i="3"/>
  <c r="H501" i="3"/>
  <c r="AC501" i="3"/>
  <c r="BB501" i="3"/>
  <c r="BC501" i="3"/>
  <c r="BD501" i="3"/>
  <c r="BE501" i="3"/>
  <c r="BF501" i="3"/>
  <c r="BG501" i="3"/>
  <c r="BH501" i="3"/>
  <c r="BI501" i="3"/>
  <c r="BJ501" i="3"/>
  <c r="BK501" i="3"/>
  <c r="BM501" i="3"/>
  <c r="BN501" i="3"/>
  <c r="BO501" i="3"/>
  <c r="BP501" i="3"/>
  <c r="BR501" i="3"/>
  <c r="BS501" i="3"/>
  <c r="BT501" i="3"/>
  <c r="H502" i="3"/>
  <c r="AC502" i="3"/>
  <c r="BB502" i="3"/>
  <c r="BC502" i="3"/>
  <c r="BD502" i="3"/>
  <c r="BE502" i="3"/>
  <c r="BF502" i="3"/>
  <c r="BG502" i="3"/>
  <c r="BH502" i="3"/>
  <c r="BI502" i="3"/>
  <c r="BJ502" i="3"/>
  <c r="BK502" i="3"/>
  <c r="BM502" i="3"/>
  <c r="BN502" i="3"/>
  <c r="BO502" i="3"/>
  <c r="BP502" i="3"/>
  <c r="BQ502" i="3"/>
  <c r="BR502" i="3"/>
  <c r="BS502" i="3"/>
  <c r="BT502" i="3"/>
  <c r="H503" i="3"/>
  <c r="AC503" i="3"/>
  <c r="BB503" i="3"/>
  <c r="BC503" i="3"/>
  <c r="BD503" i="3"/>
  <c r="BE503" i="3"/>
  <c r="BF503" i="3"/>
  <c r="BG503" i="3"/>
  <c r="BH503" i="3"/>
  <c r="BI503" i="3"/>
  <c r="BJ503" i="3"/>
  <c r="BK503" i="3"/>
  <c r="BM503" i="3"/>
  <c r="BN503" i="3"/>
  <c r="BO503" i="3"/>
  <c r="BP503" i="3"/>
  <c r="BR503" i="3"/>
  <c r="BS503" i="3"/>
  <c r="BT503" i="3"/>
  <c r="H504" i="3"/>
  <c r="AC504" i="3"/>
  <c r="BB504" i="3"/>
  <c r="BC504" i="3"/>
  <c r="BD504" i="3"/>
  <c r="BE504" i="3"/>
  <c r="BF504" i="3"/>
  <c r="BG504" i="3"/>
  <c r="BH504" i="3"/>
  <c r="BI504" i="3"/>
  <c r="BJ504" i="3"/>
  <c r="BK504" i="3"/>
  <c r="BM504" i="3"/>
  <c r="BN504" i="3"/>
  <c r="BO504" i="3"/>
  <c r="BP504" i="3"/>
  <c r="BQ504" i="3"/>
  <c r="BR504" i="3"/>
  <c r="BS504" i="3"/>
  <c r="BT504" i="3"/>
  <c r="H505" i="3"/>
  <c r="AC505" i="3"/>
  <c r="BB505" i="3"/>
  <c r="BC505" i="3"/>
  <c r="BD505" i="3"/>
  <c r="BE505" i="3"/>
  <c r="BF505" i="3"/>
  <c r="BG505" i="3"/>
  <c r="BH505" i="3"/>
  <c r="BI505" i="3"/>
  <c r="BJ505" i="3"/>
  <c r="BK505" i="3"/>
  <c r="BM505" i="3"/>
  <c r="BN505" i="3"/>
  <c r="BO505" i="3"/>
  <c r="BP505" i="3"/>
  <c r="BR505" i="3"/>
  <c r="BS505" i="3"/>
  <c r="BT505" i="3"/>
  <c r="H506" i="3"/>
  <c r="AC506" i="3"/>
  <c r="BB506" i="3"/>
  <c r="BC506" i="3"/>
  <c r="BD506" i="3"/>
  <c r="BE506" i="3"/>
  <c r="BF506" i="3"/>
  <c r="BG506" i="3"/>
  <c r="BH506" i="3"/>
  <c r="BI506" i="3"/>
  <c r="BJ506" i="3"/>
  <c r="BK506" i="3"/>
  <c r="BM506" i="3"/>
  <c r="BN506" i="3"/>
  <c r="BO506" i="3"/>
  <c r="BP506" i="3"/>
  <c r="BQ506" i="3"/>
  <c r="BR506" i="3"/>
  <c r="BS506" i="3"/>
  <c r="BT506" i="3"/>
  <c r="H507" i="3"/>
  <c r="AC507" i="3"/>
  <c r="BB507" i="3"/>
  <c r="BC507" i="3"/>
  <c r="BD507" i="3"/>
  <c r="BE507" i="3"/>
  <c r="BF507" i="3"/>
  <c r="BG507" i="3"/>
  <c r="BH507" i="3"/>
  <c r="BI507" i="3"/>
  <c r="BJ507" i="3"/>
  <c r="BK507" i="3"/>
  <c r="BM507" i="3"/>
  <c r="BN507" i="3"/>
  <c r="BO507" i="3"/>
  <c r="BP507" i="3"/>
  <c r="BR507" i="3"/>
  <c r="BS507" i="3"/>
  <c r="BT507" i="3"/>
  <c r="H508" i="3"/>
  <c r="AC508" i="3"/>
  <c r="BB508" i="3"/>
  <c r="BC508" i="3"/>
  <c r="BD508" i="3"/>
  <c r="BE508" i="3"/>
  <c r="BF508" i="3"/>
  <c r="BG508" i="3"/>
  <c r="BH508" i="3"/>
  <c r="BI508" i="3"/>
  <c r="BJ508" i="3"/>
  <c r="BK508" i="3"/>
  <c r="BM508" i="3"/>
  <c r="BN508" i="3"/>
  <c r="BO508" i="3"/>
  <c r="BP508" i="3"/>
  <c r="BQ508" i="3"/>
  <c r="BR508" i="3"/>
  <c r="BS508" i="3"/>
  <c r="BT508" i="3"/>
  <c r="H509" i="3"/>
  <c r="BB509" i="3"/>
  <c r="BC509" i="3"/>
  <c r="BD509" i="3"/>
  <c r="BE509" i="3"/>
  <c r="BF509" i="3"/>
  <c r="BG509" i="3"/>
  <c r="BH509" i="3"/>
  <c r="BI509" i="3"/>
  <c r="BJ509" i="3"/>
  <c r="BK509" i="3"/>
  <c r="BM509" i="3"/>
  <c r="BN509" i="3"/>
  <c r="BO509" i="3"/>
  <c r="BP509" i="3"/>
  <c r="BR509" i="3"/>
  <c r="BS509" i="3"/>
  <c r="BT509" i="3"/>
  <c r="H510" i="3"/>
  <c r="AC510" i="3"/>
  <c r="BB510" i="3"/>
  <c r="BC510" i="3"/>
  <c r="BD510" i="3"/>
  <c r="BE510" i="3"/>
  <c r="BF510" i="3"/>
  <c r="BG510" i="3"/>
  <c r="BH510" i="3"/>
  <c r="BI510" i="3"/>
  <c r="BJ510" i="3"/>
  <c r="BK510" i="3"/>
  <c r="BM510" i="3"/>
  <c r="BN510" i="3"/>
  <c r="BO510" i="3"/>
  <c r="BP510" i="3"/>
  <c r="BQ510" i="3"/>
  <c r="BR510" i="3"/>
  <c r="BS510" i="3"/>
  <c r="BT510" i="3"/>
  <c r="H511" i="3"/>
  <c r="AC511" i="3"/>
  <c r="BB511" i="3"/>
  <c r="BC511" i="3"/>
  <c r="BD511" i="3"/>
  <c r="BE511" i="3"/>
  <c r="BF511" i="3"/>
  <c r="BG511" i="3"/>
  <c r="BH511" i="3"/>
  <c r="BI511" i="3"/>
  <c r="BJ511" i="3"/>
  <c r="BK511" i="3"/>
  <c r="BM511" i="3"/>
  <c r="BN511" i="3"/>
  <c r="BO511" i="3"/>
  <c r="BP511" i="3"/>
  <c r="BR511" i="3"/>
  <c r="BS511" i="3"/>
  <c r="BT511" i="3"/>
  <c r="H512" i="3"/>
  <c r="AC512" i="3"/>
  <c r="BB512" i="3"/>
  <c r="BC512" i="3"/>
  <c r="BD512" i="3"/>
  <c r="BE512" i="3"/>
  <c r="BF512" i="3"/>
  <c r="BG512" i="3"/>
  <c r="BH512" i="3"/>
  <c r="BI512" i="3"/>
  <c r="BJ512" i="3"/>
  <c r="BK512" i="3"/>
  <c r="BM512" i="3"/>
  <c r="BN512" i="3"/>
  <c r="BO512" i="3"/>
  <c r="BP512" i="3"/>
  <c r="BQ512" i="3"/>
  <c r="BR512" i="3"/>
  <c r="BS512" i="3"/>
  <c r="BT512" i="3"/>
  <c r="H513" i="3"/>
  <c r="AC513" i="3"/>
  <c r="BB513" i="3"/>
  <c r="BC513" i="3"/>
  <c r="BD513" i="3"/>
  <c r="BE513" i="3"/>
  <c r="BF513" i="3"/>
  <c r="BG513" i="3"/>
  <c r="BH513" i="3"/>
  <c r="BI513" i="3"/>
  <c r="BJ513" i="3"/>
  <c r="BK513" i="3"/>
  <c r="BM513" i="3"/>
  <c r="BN513" i="3"/>
  <c r="BO513" i="3"/>
  <c r="BP513" i="3"/>
  <c r="BR513" i="3"/>
  <c r="BS513" i="3"/>
  <c r="BT513" i="3"/>
  <c r="H514" i="3"/>
  <c r="AC514" i="3"/>
  <c r="BB514" i="3"/>
  <c r="BC514" i="3"/>
  <c r="BD514" i="3"/>
  <c r="BE514" i="3"/>
  <c r="BF514" i="3"/>
  <c r="BG514" i="3"/>
  <c r="BH514" i="3"/>
  <c r="BI514" i="3"/>
  <c r="BJ514" i="3"/>
  <c r="BK514" i="3"/>
  <c r="BM514" i="3"/>
  <c r="BN514" i="3"/>
  <c r="BO514" i="3"/>
  <c r="BP514" i="3"/>
  <c r="BQ514" i="3"/>
  <c r="BR514" i="3"/>
  <c r="BS514" i="3"/>
  <c r="BT514" i="3"/>
  <c r="H515" i="3"/>
  <c r="AC515" i="3"/>
  <c r="BB515" i="3"/>
  <c r="BC515" i="3"/>
  <c r="BD515" i="3"/>
  <c r="BE515" i="3"/>
  <c r="BF515" i="3"/>
  <c r="BG515" i="3"/>
  <c r="BH515" i="3"/>
  <c r="BI515" i="3"/>
  <c r="BJ515" i="3"/>
  <c r="BK515" i="3"/>
  <c r="BM515" i="3"/>
  <c r="BN515" i="3"/>
  <c r="BO515" i="3"/>
  <c r="BP515" i="3"/>
  <c r="BR515" i="3"/>
  <c r="BS515" i="3"/>
  <c r="BT515" i="3"/>
  <c r="H516" i="3"/>
  <c r="AC516" i="3"/>
  <c r="BB516" i="3"/>
  <c r="BC516" i="3"/>
  <c r="BD516" i="3"/>
  <c r="BE516" i="3"/>
  <c r="BF516" i="3"/>
  <c r="BG516" i="3"/>
  <c r="BH516" i="3"/>
  <c r="BI516" i="3"/>
  <c r="BJ516" i="3"/>
  <c r="BK516" i="3"/>
  <c r="BM516" i="3"/>
  <c r="BN516" i="3"/>
  <c r="BO516" i="3"/>
  <c r="BP516" i="3"/>
  <c r="BQ516" i="3"/>
  <c r="BR516" i="3"/>
  <c r="BS516" i="3"/>
  <c r="BT516" i="3"/>
  <c r="H517" i="3"/>
  <c r="AC517" i="3"/>
  <c r="BB517" i="3"/>
  <c r="BC517" i="3"/>
  <c r="BD517" i="3"/>
  <c r="BE517" i="3"/>
  <c r="BF517" i="3"/>
  <c r="BG517" i="3"/>
  <c r="BH517" i="3"/>
  <c r="BI517" i="3"/>
  <c r="BJ517" i="3"/>
  <c r="BK517" i="3"/>
  <c r="BM517" i="3"/>
  <c r="BN517" i="3"/>
  <c r="BO517" i="3"/>
  <c r="BP517" i="3"/>
  <c r="BR517" i="3"/>
  <c r="BS517" i="3"/>
  <c r="BT517" i="3"/>
  <c r="H518" i="3"/>
  <c r="AC518" i="3"/>
  <c r="BB518" i="3"/>
  <c r="BC518" i="3"/>
  <c r="BD518" i="3"/>
  <c r="BE518" i="3"/>
  <c r="BF518" i="3"/>
  <c r="BG518" i="3"/>
  <c r="BH518" i="3"/>
  <c r="BI518" i="3"/>
  <c r="BJ518" i="3"/>
  <c r="BK518" i="3"/>
  <c r="BM518" i="3"/>
  <c r="BN518" i="3"/>
  <c r="BO518" i="3"/>
  <c r="BP518" i="3"/>
  <c r="BQ518" i="3"/>
  <c r="BR518" i="3"/>
  <c r="BS518" i="3"/>
  <c r="BT518" i="3"/>
  <c r="H519" i="3"/>
  <c r="AC519" i="3"/>
  <c r="BB519" i="3"/>
  <c r="BC519" i="3"/>
  <c r="BD519" i="3"/>
  <c r="BE519" i="3"/>
  <c r="BF519" i="3"/>
  <c r="BG519" i="3"/>
  <c r="BH519" i="3"/>
  <c r="BI519" i="3"/>
  <c r="BJ519" i="3"/>
  <c r="BK519" i="3"/>
  <c r="BM519" i="3"/>
  <c r="BN519" i="3"/>
  <c r="BO519" i="3"/>
  <c r="BP519" i="3"/>
  <c r="BR519" i="3"/>
  <c r="BS519" i="3"/>
  <c r="BT519" i="3"/>
  <c r="H520" i="3"/>
  <c r="AC520" i="3"/>
  <c r="BB520" i="3"/>
  <c r="BC520" i="3"/>
  <c r="BD520" i="3"/>
  <c r="BE520" i="3"/>
  <c r="BF520" i="3"/>
  <c r="BG520" i="3"/>
  <c r="BH520" i="3"/>
  <c r="BI520" i="3"/>
  <c r="BJ520" i="3"/>
  <c r="BK520" i="3"/>
  <c r="BM520" i="3"/>
  <c r="BN520" i="3"/>
  <c r="BO520" i="3"/>
  <c r="BP520" i="3"/>
  <c r="BQ520" i="3"/>
  <c r="BR520" i="3"/>
  <c r="BS520" i="3"/>
  <c r="BT520" i="3"/>
  <c r="H521" i="3"/>
  <c r="BB521" i="3"/>
  <c r="BC521" i="3"/>
  <c r="BD521" i="3"/>
  <c r="BE521" i="3"/>
  <c r="BF521" i="3"/>
  <c r="BG521" i="3"/>
  <c r="BH521" i="3"/>
  <c r="BI521" i="3"/>
  <c r="BJ521" i="3"/>
  <c r="BK521" i="3"/>
  <c r="BM521" i="3"/>
  <c r="BN521" i="3"/>
  <c r="BO521" i="3"/>
  <c r="BP521" i="3"/>
  <c r="BR521" i="3"/>
  <c r="BS521" i="3"/>
  <c r="BT521" i="3"/>
  <c r="H522" i="3"/>
  <c r="AC522" i="3"/>
  <c r="BB522" i="3"/>
  <c r="BC522" i="3"/>
  <c r="BD522" i="3"/>
  <c r="BE522" i="3"/>
  <c r="BF522" i="3"/>
  <c r="BG522" i="3"/>
  <c r="BH522" i="3"/>
  <c r="BI522" i="3"/>
  <c r="BJ522" i="3"/>
  <c r="BK522" i="3"/>
  <c r="BM522" i="3"/>
  <c r="BN522" i="3"/>
  <c r="BO522" i="3"/>
  <c r="BP522" i="3"/>
  <c r="BQ522" i="3"/>
  <c r="BR522" i="3"/>
  <c r="BS522" i="3"/>
  <c r="BT522" i="3"/>
  <c r="H523" i="3"/>
  <c r="AC523" i="3"/>
  <c r="BB523" i="3"/>
  <c r="BC523" i="3"/>
  <c r="BD523" i="3"/>
  <c r="BE523" i="3"/>
  <c r="BF523" i="3"/>
  <c r="BG523" i="3"/>
  <c r="BH523" i="3"/>
  <c r="BI523" i="3"/>
  <c r="BJ523" i="3"/>
  <c r="BK523" i="3"/>
  <c r="BM523" i="3"/>
  <c r="BN523" i="3"/>
  <c r="BO523" i="3"/>
  <c r="BP523" i="3"/>
  <c r="BR523" i="3"/>
  <c r="BS523" i="3"/>
  <c r="BT523" i="3"/>
  <c r="H524" i="3"/>
  <c r="AC524" i="3"/>
  <c r="BB524" i="3"/>
  <c r="BC524" i="3"/>
  <c r="BD524" i="3"/>
  <c r="BE524" i="3"/>
  <c r="BF524" i="3"/>
  <c r="BG524" i="3"/>
  <c r="BH524" i="3"/>
  <c r="BI524" i="3"/>
  <c r="BJ524" i="3"/>
  <c r="BK524" i="3"/>
  <c r="BM524" i="3"/>
  <c r="BN524" i="3"/>
  <c r="BO524" i="3"/>
  <c r="BP524" i="3"/>
  <c r="BQ524" i="3"/>
  <c r="BR524" i="3"/>
  <c r="BS524" i="3"/>
  <c r="BT524" i="3"/>
  <c r="H525" i="3"/>
  <c r="AC525" i="3"/>
  <c r="BB525" i="3"/>
  <c r="BC525" i="3"/>
  <c r="BD525" i="3"/>
  <c r="BE525" i="3"/>
  <c r="BF525" i="3"/>
  <c r="BG525" i="3"/>
  <c r="BH525" i="3"/>
  <c r="BI525" i="3"/>
  <c r="BJ525" i="3"/>
  <c r="BK525" i="3"/>
  <c r="BM525" i="3"/>
  <c r="BN525" i="3"/>
  <c r="BO525" i="3"/>
  <c r="BP525" i="3"/>
  <c r="BR525" i="3"/>
  <c r="BS525" i="3"/>
  <c r="BT525" i="3"/>
  <c r="H526" i="3"/>
  <c r="AC526" i="3"/>
  <c r="G526" i="3"/>
  <c r="BB526" i="3"/>
  <c r="BC526" i="3"/>
  <c r="BD526" i="3"/>
  <c r="BE526" i="3"/>
  <c r="BF526" i="3"/>
  <c r="BG526" i="3"/>
  <c r="BH526" i="3"/>
  <c r="BI526" i="3"/>
  <c r="BJ526" i="3"/>
  <c r="BK526" i="3"/>
  <c r="BM526" i="3"/>
  <c r="BN526" i="3"/>
  <c r="BO526" i="3"/>
  <c r="BP526" i="3"/>
  <c r="BQ526" i="3"/>
  <c r="BR526" i="3"/>
  <c r="BS526" i="3"/>
  <c r="BT526" i="3"/>
  <c r="H527" i="3"/>
  <c r="AC527" i="3"/>
  <c r="BB527" i="3"/>
  <c r="BC527" i="3"/>
  <c r="BD527" i="3"/>
  <c r="BE527" i="3"/>
  <c r="BF527" i="3"/>
  <c r="BG527" i="3"/>
  <c r="BH527" i="3"/>
  <c r="BI527" i="3"/>
  <c r="BJ527" i="3"/>
  <c r="BK527" i="3"/>
  <c r="BM527" i="3"/>
  <c r="BN527" i="3"/>
  <c r="BO527" i="3"/>
  <c r="BP527" i="3"/>
  <c r="BR527" i="3"/>
  <c r="BS527" i="3"/>
  <c r="BT527" i="3"/>
  <c r="H528" i="3"/>
  <c r="AC528" i="3"/>
  <c r="BB528" i="3"/>
  <c r="BC528" i="3"/>
  <c r="BD528" i="3"/>
  <c r="BE528" i="3"/>
  <c r="BF528" i="3"/>
  <c r="BG528" i="3"/>
  <c r="BH528" i="3"/>
  <c r="BI528" i="3"/>
  <c r="BJ528" i="3"/>
  <c r="BK528" i="3"/>
  <c r="BM528" i="3"/>
  <c r="BN528" i="3"/>
  <c r="BO528" i="3"/>
  <c r="BP528" i="3"/>
  <c r="BQ528" i="3"/>
  <c r="BR528" i="3"/>
  <c r="BS528" i="3"/>
  <c r="BT528" i="3"/>
  <c r="H529" i="3"/>
  <c r="AC529" i="3"/>
  <c r="BB529" i="3"/>
  <c r="BC529" i="3"/>
  <c r="BD529" i="3"/>
  <c r="BE529" i="3"/>
  <c r="BF529" i="3"/>
  <c r="BG529" i="3"/>
  <c r="BH529" i="3"/>
  <c r="BI529" i="3"/>
  <c r="BJ529" i="3"/>
  <c r="BK529" i="3"/>
  <c r="BM529" i="3"/>
  <c r="BN529" i="3"/>
  <c r="BO529" i="3"/>
  <c r="BP529" i="3"/>
  <c r="BR529" i="3"/>
  <c r="BS529" i="3"/>
  <c r="BT529" i="3"/>
  <c r="H530" i="3"/>
  <c r="AC530" i="3"/>
  <c r="BB530" i="3"/>
  <c r="BC530" i="3"/>
  <c r="BD530" i="3"/>
  <c r="BE530" i="3"/>
  <c r="BF530" i="3"/>
  <c r="BG530" i="3"/>
  <c r="BH530" i="3"/>
  <c r="BI530" i="3"/>
  <c r="BJ530" i="3"/>
  <c r="BK530" i="3"/>
  <c r="BM530" i="3"/>
  <c r="BN530" i="3"/>
  <c r="BO530" i="3"/>
  <c r="BP530" i="3"/>
  <c r="BQ530" i="3"/>
  <c r="BR530" i="3"/>
  <c r="BS530" i="3"/>
  <c r="BT530" i="3"/>
  <c r="H531" i="3"/>
  <c r="AC531" i="3"/>
  <c r="BB531" i="3"/>
  <c r="BC531" i="3"/>
  <c r="BD531" i="3"/>
  <c r="BE531" i="3"/>
  <c r="BF531" i="3"/>
  <c r="BG531" i="3"/>
  <c r="BH531" i="3"/>
  <c r="BI531" i="3"/>
  <c r="BJ531" i="3"/>
  <c r="BK531" i="3"/>
  <c r="BM531" i="3"/>
  <c r="BN531" i="3"/>
  <c r="BO531" i="3"/>
  <c r="BP531" i="3"/>
  <c r="BR531" i="3"/>
  <c r="BS531" i="3"/>
  <c r="BT531" i="3"/>
  <c r="H532" i="3"/>
  <c r="AC532" i="3"/>
  <c r="BB532" i="3"/>
  <c r="BC532" i="3"/>
  <c r="BD532" i="3"/>
  <c r="BE532" i="3"/>
  <c r="BF532" i="3"/>
  <c r="BG532" i="3"/>
  <c r="BH532" i="3"/>
  <c r="BI532" i="3"/>
  <c r="BJ532" i="3"/>
  <c r="BK532" i="3"/>
  <c r="BM532" i="3"/>
  <c r="BN532" i="3"/>
  <c r="BO532" i="3"/>
  <c r="BP532" i="3"/>
  <c r="BQ532" i="3"/>
  <c r="BR532" i="3"/>
  <c r="BS532" i="3"/>
  <c r="BT532" i="3"/>
  <c r="H533" i="3"/>
  <c r="AC533" i="3"/>
  <c r="BB533" i="3"/>
  <c r="BC533" i="3"/>
  <c r="BD533" i="3"/>
  <c r="BE533" i="3"/>
  <c r="BF533" i="3"/>
  <c r="BG533" i="3"/>
  <c r="BH533" i="3"/>
  <c r="BI533" i="3"/>
  <c r="BJ533" i="3"/>
  <c r="BK533" i="3"/>
  <c r="BM533" i="3"/>
  <c r="BN533" i="3"/>
  <c r="BO533" i="3"/>
  <c r="BP533" i="3"/>
  <c r="BR533" i="3"/>
  <c r="BS533" i="3"/>
  <c r="BT533" i="3"/>
  <c r="H534" i="3"/>
  <c r="AC534" i="3"/>
  <c r="BB534" i="3"/>
  <c r="BC534" i="3"/>
  <c r="BD534" i="3"/>
  <c r="BE534" i="3"/>
  <c r="BF534" i="3"/>
  <c r="BG534" i="3"/>
  <c r="BH534" i="3"/>
  <c r="BI534" i="3"/>
  <c r="BJ534" i="3"/>
  <c r="BK534" i="3"/>
  <c r="BM534" i="3"/>
  <c r="BN534" i="3"/>
  <c r="BO534" i="3"/>
  <c r="BP534" i="3"/>
  <c r="BQ534" i="3"/>
  <c r="BR534" i="3"/>
  <c r="BS534" i="3"/>
  <c r="BT534" i="3"/>
  <c r="H535" i="3"/>
  <c r="AC535" i="3"/>
  <c r="BB535" i="3"/>
  <c r="BC535" i="3"/>
  <c r="BD535" i="3"/>
  <c r="BE535" i="3"/>
  <c r="BF535" i="3"/>
  <c r="BG535" i="3"/>
  <c r="BH535" i="3"/>
  <c r="BI535" i="3"/>
  <c r="BJ535" i="3"/>
  <c r="BK535" i="3"/>
  <c r="BM535" i="3"/>
  <c r="BN535" i="3"/>
  <c r="BO535" i="3"/>
  <c r="BP535" i="3"/>
  <c r="BR535" i="3"/>
  <c r="BS535" i="3"/>
  <c r="BT535" i="3"/>
  <c r="H536" i="3"/>
  <c r="AC536" i="3"/>
  <c r="BB536" i="3"/>
  <c r="BC536" i="3"/>
  <c r="BD536" i="3"/>
  <c r="BE536" i="3"/>
  <c r="BF536" i="3"/>
  <c r="BG536" i="3"/>
  <c r="BH536" i="3"/>
  <c r="BI536" i="3"/>
  <c r="BJ536" i="3"/>
  <c r="BK536" i="3"/>
  <c r="BM536" i="3"/>
  <c r="BN536" i="3"/>
  <c r="BO536" i="3"/>
  <c r="BP536" i="3"/>
  <c r="BQ536" i="3"/>
  <c r="BR536" i="3"/>
  <c r="BS536" i="3"/>
  <c r="BT536" i="3"/>
  <c r="H537" i="3"/>
  <c r="AC537" i="3"/>
  <c r="BB537" i="3"/>
  <c r="BC537" i="3"/>
  <c r="BD537" i="3"/>
  <c r="BE537" i="3"/>
  <c r="BF537" i="3"/>
  <c r="BG537" i="3"/>
  <c r="BH537" i="3"/>
  <c r="BI537" i="3"/>
  <c r="BJ537" i="3"/>
  <c r="BK537" i="3"/>
  <c r="BM537" i="3"/>
  <c r="BN537" i="3"/>
  <c r="BO537" i="3"/>
  <c r="BP537" i="3"/>
  <c r="BR537" i="3"/>
  <c r="BS537" i="3"/>
  <c r="BT537" i="3"/>
  <c r="H538" i="3"/>
  <c r="AC538" i="3"/>
  <c r="BB538" i="3"/>
  <c r="BC538" i="3"/>
  <c r="BD538" i="3"/>
  <c r="BE538" i="3"/>
  <c r="BF538" i="3"/>
  <c r="BG538" i="3"/>
  <c r="BH538" i="3"/>
  <c r="BI538" i="3"/>
  <c r="BJ538" i="3"/>
  <c r="BK538" i="3"/>
  <c r="BM538" i="3"/>
  <c r="BN538" i="3"/>
  <c r="BO538" i="3"/>
  <c r="BP538" i="3"/>
  <c r="BQ538" i="3"/>
  <c r="BR538" i="3"/>
  <c r="BS538" i="3"/>
  <c r="BT538" i="3"/>
  <c r="H539" i="3"/>
  <c r="AC539" i="3"/>
  <c r="BB539" i="3"/>
  <c r="BC539" i="3"/>
  <c r="BD539" i="3"/>
  <c r="BE539" i="3"/>
  <c r="BF539" i="3"/>
  <c r="BG539" i="3"/>
  <c r="BH539" i="3"/>
  <c r="BI539" i="3"/>
  <c r="BJ539" i="3"/>
  <c r="BK539" i="3"/>
  <c r="BM539" i="3"/>
  <c r="BN539" i="3"/>
  <c r="BO539" i="3"/>
  <c r="BP539" i="3"/>
  <c r="BR539" i="3"/>
  <c r="BS539" i="3"/>
  <c r="BT539" i="3"/>
  <c r="H540" i="3"/>
  <c r="AC540" i="3"/>
  <c r="BB540" i="3"/>
  <c r="BC540" i="3"/>
  <c r="BD540" i="3"/>
  <c r="BE540" i="3"/>
  <c r="BF540" i="3"/>
  <c r="BG540" i="3"/>
  <c r="BH540" i="3"/>
  <c r="BI540" i="3"/>
  <c r="BJ540" i="3"/>
  <c r="BK540" i="3"/>
  <c r="BM540" i="3"/>
  <c r="BN540" i="3"/>
  <c r="BO540" i="3"/>
  <c r="BP540" i="3"/>
  <c r="BQ540" i="3"/>
  <c r="BR540" i="3"/>
  <c r="BS540" i="3"/>
  <c r="BT540" i="3"/>
  <c r="H541" i="3"/>
  <c r="AC541" i="3"/>
  <c r="BB541" i="3"/>
  <c r="BC541" i="3"/>
  <c r="BD541" i="3"/>
  <c r="BE541" i="3"/>
  <c r="BF541" i="3"/>
  <c r="BG541" i="3"/>
  <c r="BH541" i="3"/>
  <c r="BI541" i="3"/>
  <c r="BJ541" i="3"/>
  <c r="BK541" i="3"/>
  <c r="BM541" i="3"/>
  <c r="BN541" i="3"/>
  <c r="BO541" i="3"/>
  <c r="BP541" i="3"/>
  <c r="BR541" i="3"/>
  <c r="BS541" i="3"/>
  <c r="BT541" i="3"/>
  <c r="H542" i="3"/>
  <c r="AC542" i="3"/>
  <c r="G542" i="3"/>
  <c r="BB542" i="3"/>
  <c r="BC542" i="3"/>
  <c r="BD542" i="3"/>
  <c r="BE542" i="3"/>
  <c r="BF542" i="3"/>
  <c r="BG542" i="3"/>
  <c r="BH542" i="3"/>
  <c r="BI542" i="3"/>
  <c r="BJ542" i="3"/>
  <c r="BK542" i="3"/>
  <c r="BM542" i="3"/>
  <c r="BN542" i="3"/>
  <c r="BO542" i="3"/>
  <c r="BP542" i="3"/>
  <c r="BQ542" i="3"/>
  <c r="BR542" i="3"/>
  <c r="BS542" i="3"/>
  <c r="BT542" i="3"/>
  <c r="H543" i="3"/>
  <c r="AC543" i="3"/>
  <c r="BB543" i="3"/>
  <c r="BC543" i="3"/>
  <c r="BD543" i="3"/>
  <c r="BE543" i="3"/>
  <c r="BF543" i="3"/>
  <c r="BG543" i="3"/>
  <c r="BH543" i="3"/>
  <c r="BI543" i="3"/>
  <c r="BJ543" i="3"/>
  <c r="BK543" i="3"/>
  <c r="BM543" i="3"/>
  <c r="BN543" i="3"/>
  <c r="BO543" i="3"/>
  <c r="BP543" i="3"/>
  <c r="BR543" i="3"/>
  <c r="BS543" i="3"/>
  <c r="BT543" i="3"/>
  <c r="H544" i="3"/>
  <c r="AC544" i="3"/>
  <c r="BB544" i="3"/>
  <c r="BC544" i="3"/>
  <c r="BD544" i="3"/>
  <c r="BE544" i="3"/>
  <c r="BF544" i="3"/>
  <c r="BG544" i="3"/>
  <c r="BH544" i="3"/>
  <c r="BI544" i="3"/>
  <c r="BJ544" i="3"/>
  <c r="BK544" i="3"/>
  <c r="BM544" i="3"/>
  <c r="BN544" i="3"/>
  <c r="BO544" i="3"/>
  <c r="BP544" i="3"/>
  <c r="BQ544" i="3"/>
  <c r="BR544" i="3"/>
  <c r="BS544" i="3"/>
  <c r="BT544" i="3"/>
  <c r="H545" i="3"/>
  <c r="AC545" i="3"/>
  <c r="BB545" i="3"/>
  <c r="BC545" i="3"/>
  <c r="BD545" i="3"/>
  <c r="BE545" i="3"/>
  <c r="BF545" i="3"/>
  <c r="BG545" i="3"/>
  <c r="BH545" i="3"/>
  <c r="BI545" i="3"/>
  <c r="BJ545" i="3"/>
  <c r="BK545" i="3"/>
  <c r="BM545" i="3"/>
  <c r="BN545" i="3"/>
  <c r="BO545" i="3"/>
  <c r="BP545" i="3"/>
  <c r="BR545" i="3"/>
  <c r="BS545" i="3"/>
  <c r="BT545" i="3"/>
  <c r="H546" i="3"/>
  <c r="AC546" i="3"/>
  <c r="BB546" i="3"/>
  <c r="BC546" i="3"/>
  <c r="BD546" i="3"/>
  <c r="BE546" i="3"/>
  <c r="BF546" i="3"/>
  <c r="BG546" i="3"/>
  <c r="BH546" i="3"/>
  <c r="BI546" i="3"/>
  <c r="BJ546" i="3"/>
  <c r="BK546" i="3"/>
  <c r="BM546" i="3"/>
  <c r="BN546" i="3"/>
  <c r="BO546" i="3"/>
  <c r="BP546" i="3"/>
  <c r="BQ546" i="3"/>
  <c r="BR546" i="3"/>
  <c r="BS546" i="3"/>
  <c r="BT546" i="3"/>
  <c r="H547" i="3"/>
  <c r="AC547" i="3"/>
  <c r="BB547" i="3"/>
  <c r="BC547" i="3"/>
  <c r="BD547" i="3"/>
  <c r="BE547" i="3"/>
  <c r="BF547" i="3"/>
  <c r="BG547" i="3"/>
  <c r="BH547" i="3"/>
  <c r="BI547" i="3"/>
  <c r="BJ547" i="3"/>
  <c r="BK547" i="3"/>
  <c r="BM547" i="3"/>
  <c r="BN547" i="3"/>
  <c r="BO547" i="3"/>
  <c r="BP547" i="3"/>
  <c r="BR547" i="3"/>
  <c r="BS547" i="3"/>
  <c r="BT547" i="3"/>
  <c r="H548" i="3"/>
  <c r="AC548" i="3"/>
  <c r="BB548" i="3"/>
  <c r="BC548" i="3"/>
  <c r="BD548" i="3"/>
  <c r="BE548" i="3"/>
  <c r="BF548" i="3"/>
  <c r="BG548" i="3"/>
  <c r="BH548" i="3"/>
  <c r="BI548" i="3"/>
  <c r="BJ548" i="3"/>
  <c r="BK548" i="3"/>
  <c r="BM548" i="3"/>
  <c r="BN548" i="3"/>
  <c r="BO548" i="3"/>
  <c r="BP548" i="3"/>
  <c r="BL548" i="3"/>
  <c r="AZ548" i="3"/>
  <c r="BQ548" i="3"/>
  <c r="BR548" i="3"/>
  <c r="BS548" i="3"/>
  <c r="BT548" i="3"/>
  <c r="H549" i="3"/>
  <c r="AC549" i="3"/>
  <c r="BB549" i="3"/>
  <c r="BC549" i="3"/>
  <c r="BD549" i="3"/>
  <c r="BE549" i="3"/>
  <c r="BF549" i="3"/>
  <c r="BG549" i="3"/>
  <c r="BH549" i="3"/>
  <c r="BI549" i="3"/>
  <c r="BJ549" i="3"/>
  <c r="BK549" i="3"/>
  <c r="BM549" i="3"/>
  <c r="BN549" i="3"/>
  <c r="BO549" i="3"/>
  <c r="BP549" i="3"/>
  <c r="BR549" i="3"/>
  <c r="BS549" i="3"/>
  <c r="BT549" i="3"/>
  <c r="H550" i="3"/>
  <c r="AC550" i="3"/>
  <c r="BB550" i="3"/>
  <c r="BA550" i="3"/>
  <c r="BC550" i="3"/>
  <c r="BD550" i="3"/>
  <c r="BE550" i="3"/>
  <c r="BF550" i="3"/>
  <c r="BG550" i="3"/>
  <c r="BH550" i="3"/>
  <c r="BI550" i="3"/>
  <c r="BJ550" i="3"/>
  <c r="BK550" i="3"/>
  <c r="BM550" i="3"/>
  <c r="BN550" i="3"/>
  <c r="BO550" i="3"/>
  <c r="BL550" i="3"/>
  <c r="BP550" i="3"/>
  <c r="BQ550" i="3"/>
  <c r="BR550" i="3"/>
  <c r="BS550" i="3"/>
  <c r="BT550" i="3"/>
  <c r="H551" i="3"/>
  <c r="G551" i="3"/>
  <c r="AC551" i="3"/>
  <c r="BB551" i="3"/>
  <c r="BC551" i="3"/>
  <c r="BD551" i="3"/>
  <c r="BA551" i="3"/>
  <c r="BE551" i="3"/>
  <c r="BF551" i="3"/>
  <c r="BG551" i="3"/>
  <c r="BH551" i="3"/>
  <c r="BI551" i="3"/>
  <c r="BJ551" i="3"/>
  <c r="BK551" i="3"/>
  <c r="BM551" i="3"/>
  <c r="BN551" i="3"/>
  <c r="BO551" i="3"/>
  <c r="BP551" i="3"/>
  <c r="BR551" i="3"/>
  <c r="BS551" i="3"/>
  <c r="BT551" i="3"/>
  <c r="H552" i="3"/>
  <c r="AC552" i="3"/>
  <c r="G552" i="3"/>
  <c r="BB552" i="3"/>
  <c r="BC552" i="3"/>
  <c r="BD552" i="3"/>
  <c r="BE552" i="3"/>
  <c r="BF552" i="3"/>
  <c r="BG552" i="3"/>
  <c r="BH552" i="3"/>
  <c r="BI552" i="3"/>
  <c r="BJ552" i="3"/>
  <c r="BK552" i="3"/>
  <c r="BM552" i="3"/>
  <c r="BN552" i="3"/>
  <c r="BO552" i="3"/>
  <c r="BP552" i="3"/>
  <c r="BQ552" i="3"/>
  <c r="BR552" i="3"/>
  <c r="BS552" i="3"/>
  <c r="BT552" i="3"/>
  <c r="H553" i="3"/>
  <c r="AC553" i="3"/>
  <c r="BB553" i="3"/>
  <c r="BC553" i="3"/>
  <c r="BD553" i="3"/>
  <c r="BE553" i="3"/>
  <c r="BF553" i="3"/>
  <c r="BG553" i="3"/>
  <c r="BH553" i="3"/>
  <c r="BI553" i="3"/>
  <c r="BJ553" i="3"/>
  <c r="BK553" i="3"/>
  <c r="BM553" i="3"/>
  <c r="BN553" i="3"/>
  <c r="BO553" i="3"/>
  <c r="BP553" i="3"/>
  <c r="BR553" i="3"/>
  <c r="BS553" i="3"/>
  <c r="BT553" i="3"/>
  <c r="H554" i="3"/>
  <c r="AC554" i="3"/>
  <c r="BB554" i="3"/>
  <c r="BC554" i="3"/>
  <c r="BD554" i="3"/>
  <c r="BE554" i="3"/>
  <c r="BF554" i="3"/>
  <c r="BG554" i="3"/>
  <c r="BH554" i="3"/>
  <c r="BI554" i="3"/>
  <c r="BJ554" i="3"/>
  <c r="BK554" i="3"/>
  <c r="BM554" i="3"/>
  <c r="BN554" i="3"/>
  <c r="BO554" i="3"/>
  <c r="BP554" i="3"/>
  <c r="BQ554" i="3"/>
  <c r="BR554" i="3"/>
  <c r="BS554" i="3"/>
  <c r="BT554" i="3"/>
  <c r="H555" i="3"/>
  <c r="AC555" i="3"/>
  <c r="BB555" i="3"/>
  <c r="BC555" i="3"/>
  <c r="BD555" i="3"/>
  <c r="BE555" i="3"/>
  <c r="BF555" i="3"/>
  <c r="BG555" i="3"/>
  <c r="BH555" i="3"/>
  <c r="BI555" i="3"/>
  <c r="BJ555" i="3"/>
  <c r="BK555" i="3"/>
  <c r="BM555" i="3"/>
  <c r="BN555" i="3"/>
  <c r="BO555" i="3"/>
  <c r="BP555" i="3"/>
  <c r="BR555" i="3"/>
  <c r="BS555" i="3"/>
  <c r="BT555" i="3"/>
  <c r="H556" i="3"/>
  <c r="AC556" i="3"/>
  <c r="G556" i="3"/>
  <c r="BB556" i="3"/>
  <c r="BC556" i="3"/>
  <c r="BD556" i="3"/>
  <c r="BE556" i="3"/>
  <c r="BF556" i="3"/>
  <c r="BG556" i="3"/>
  <c r="BH556" i="3"/>
  <c r="BI556" i="3"/>
  <c r="BJ556" i="3"/>
  <c r="BK556" i="3"/>
  <c r="BM556" i="3"/>
  <c r="BN556" i="3"/>
  <c r="BO556" i="3"/>
  <c r="BP556" i="3"/>
  <c r="BQ556" i="3"/>
  <c r="BR556" i="3"/>
  <c r="BS556" i="3"/>
  <c r="BT556" i="3"/>
  <c r="H557" i="3"/>
  <c r="BB557" i="3"/>
  <c r="BC557" i="3"/>
  <c r="BD557" i="3"/>
  <c r="BE557" i="3"/>
  <c r="BF557" i="3"/>
  <c r="BG557" i="3"/>
  <c r="BH557" i="3"/>
  <c r="BI557" i="3"/>
  <c r="BJ557" i="3"/>
  <c r="BK557" i="3"/>
  <c r="BM557" i="3"/>
  <c r="BN557" i="3"/>
  <c r="BO557" i="3"/>
  <c r="BP557" i="3"/>
  <c r="BR557" i="3"/>
  <c r="BS557" i="3"/>
  <c r="BT557" i="3"/>
  <c r="H558" i="3"/>
  <c r="AC558" i="3"/>
  <c r="G558" i="3"/>
  <c r="BB558" i="3"/>
  <c r="BC558" i="3"/>
  <c r="BD558" i="3"/>
  <c r="BE558" i="3"/>
  <c r="BF558" i="3"/>
  <c r="BG558" i="3"/>
  <c r="BH558" i="3"/>
  <c r="BI558" i="3"/>
  <c r="BJ558" i="3"/>
  <c r="BK558" i="3"/>
  <c r="BM558" i="3"/>
  <c r="BN558" i="3"/>
  <c r="BO558" i="3"/>
  <c r="BP558" i="3"/>
  <c r="BQ558" i="3"/>
  <c r="BR558" i="3"/>
  <c r="BS558" i="3"/>
  <c r="BT558" i="3"/>
  <c r="H559" i="3"/>
  <c r="AC559" i="3"/>
  <c r="BB559" i="3"/>
  <c r="BC559" i="3"/>
  <c r="BD559" i="3"/>
  <c r="BE559" i="3"/>
  <c r="BF559" i="3"/>
  <c r="BG559" i="3"/>
  <c r="BH559" i="3"/>
  <c r="BI559" i="3"/>
  <c r="BJ559" i="3"/>
  <c r="BK559" i="3"/>
  <c r="BM559" i="3"/>
  <c r="BN559" i="3"/>
  <c r="BO559" i="3"/>
  <c r="BP559" i="3"/>
  <c r="BR559" i="3"/>
  <c r="BS559" i="3"/>
  <c r="BT559" i="3"/>
  <c r="H560" i="3"/>
  <c r="AC560" i="3"/>
  <c r="BB560" i="3"/>
  <c r="BC560" i="3"/>
  <c r="BD560" i="3"/>
  <c r="BE560" i="3"/>
  <c r="BF560" i="3"/>
  <c r="BG560" i="3"/>
  <c r="BH560" i="3"/>
  <c r="BI560" i="3"/>
  <c r="BJ560" i="3"/>
  <c r="BK560" i="3"/>
  <c r="BM560" i="3"/>
  <c r="BN560" i="3"/>
  <c r="BO560" i="3"/>
  <c r="BP560" i="3"/>
  <c r="BQ560" i="3"/>
  <c r="BR560" i="3"/>
  <c r="BS560" i="3"/>
  <c r="BT560" i="3"/>
  <c r="H561" i="3"/>
  <c r="AC561" i="3"/>
  <c r="BB561" i="3"/>
  <c r="BC561" i="3"/>
  <c r="BD561" i="3"/>
  <c r="BE561" i="3"/>
  <c r="BF561" i="3"/>
  <c r="BG561" i="3"/>
  <c r="BH561" i="3"/>
  <c r="BI561" i="3"/>
  <c r="BJ561" i="3"/>
  <c r="BK561" i="3"/>
  <c r="BM561" i="3"/>
  <c r="BN561" i="3"/>
  <c r="BO561" i="3"/>
  <c r="BP561" i="3"/>
  <c r="BR561" i="3"/>
  <c r="BS561" i="3"/>
  <c r="BT561" i="3"/>
  <c r="H562" i="3"/>
  <c r="AC562" i="3"/>
  <c r="G562" i="3"/>
  <c r="BB562" i="3"/>
  <c r="BC562" i="3"/>
  <c r="BD562" i="3"/>
  <c r="BE562" i="3"/>
  <c r="BF562" i="3"/>
  <c r="BG562" i="3"/>
  <c r="BH562" i="3"/>
  <c r="BI562" i="3"/>
  <c r="BJ562" i="3"/>
  <c r="BK562" i="3"/>
  <c r="BM562" i="3"/>
  <c r="BN562" i="3"/>
  <c r="BO562" i="3"/>
  <c r="BP562" i="3"/>
  <c r="BQ562" i="3"/>
  <c r="BR562" i="3"/>
  <c r="BS562" i="3"/>
  <c r="BT562" i="3"/>
  <c r="H563" i="3"/>
  <c r="AC563" i="3"/>
  <c r="BB563" i="3"/>
  <c r="BC563" i="3"/>
  <c r="BD563" i="3"/>
  <c r="BE563" i="3"/>
  <c r="BF563" i="3"/>
  <c r="BG563" i="3"/>
  <c r="BH563" i="3"/>
  <c r="BI563" i="3"/>
  <c r="BJ563" i="3"/>
  <c r="BK563" i="3"/>
  <c r="BM563" i="3"/>
  <c r="BN563" i="3"/>
  <c r="BO563" i="3"/>
  <c r="BP563" i="3"/>
  <c r="BR563" i="3"/>
  <c r="BS563" i="3"/>
  <c r="BT563" i="3"/>
  <c r="H564" i="3"/>
  <c r="AC564" i="3"/>
  <c r="BB564" i="3"/>
  <c r="BC564" i="3"/>
  <c r="BD564" i="3"/>
  <c r="BE564" i="3"/>
  <c r="BF564" i="3"/>
  <c r="BG564" i="3"/>
  <c r="BH564" i="3"/>
  <c r="BI564" i="3"/>
  <c r="BJ564" i="3"/>
  <c r="BK564" i="3"/>
  <c r="BM564" i="3"/>
  <c r="BN564" i="3"/>
  <c r="BO564" i="3"/>
  <c r="BP564" i="3"/>
  <c r="BQ564" i="3"/>
  <c r="BR564" i="3"/>
  <c r="BS564" i="3"/>
  <c r="BT564" i="3"/>
  <c r="H565" i="3"/>
  <c r="AC565" i="3"/>
  <c r="BB565" i="3"/>
  <c r="BC565" i="3"/>
  <c r="BD565" i="3"/>
  <c r="BE565" i="3"/>
  <c r="BF565" i="3"/>
  <c r="BG565" i="3"/>
  <c r="BH565" i="3"/>
  <c r="BI565" i="3"/>
  <c r="BJ565" i="3"/>
  <c r="BK565" i="3"/>
  <c r="BM565" i="3"/>
  <c r="BN565" i="3"/>
  <c r="BO565" i="3"/>
  <c r="BP565" i="3"/>
  <c r="BR565" i="3"/>
  <c r="BS565" i="3"/>
  <c r="BT565" i="3"/>
  <c r="H566" i="3"/>
  <c r="AC566" i="3"/>
  <c r="G566" i="3"/>
  <c r="BB566" i="3"/>
  <c r="BC566" i="3"/>
  <c r="BD566" i="3"/>
  <c r="BE566" i="3"/>
  <c r="BF566" i="3"/>
  <c r="BG566" i="3"/>
  <c r="BH566" i="3"/>
  <c r="BI566" i="3"/>
  <c r="BJ566" i="3"/>
  <c r="BK566" i="3"/>
  <c r="BM566" i="3"/>
  <c r="BN566" i="3"/>
  <c r="BO566" i="3"/>
  <c r="BP566" i="3"/>
  <c r="BQ566" i="3"/>
  <c r="BR566" i="3"/>
  <c r="BS566" i="3"/>
  <c r="BT566" i="3"/>
  <c r="H567" i="3"/>
  <c r="AC567" i="3"/>
  <c r="BB567" i="3"/>
  <c r="BC567" i="3"/>
  <c r="BD567" i="3"/>
  <c r="BE567" i="3"/>
  <c r="BF567" i="3"/>
  <c r="BG567" i="3"/>
  <c r="BH567" i="3"/>
  <c r="BI567" i="3"/>
  <c r="BJ567" i="3"/>
  <c r="BK567" i="3"/>
  <c r="BM567" i="3"/>
  <c r="BN567" i="3"/>
  <c r="BO567" i="3"/>
  <c r="BP567" i="3"/>
  <c r="BR567" i="3"/>
  <c r="BS567" i="3"/>
  <c r="BT567" i="3"/>
  <c r="H568" i="3"/>
  <c r="AC568" i="3"/>
  <c r="BB568" i="3"/>
  <c r="BC568" i="3"/>
  <c r="BD568" i="3"/>
  <c r="BE568" i="3"/>
  <c r="BF568" i="3"/>
  <c r="BG568" i="3"/>
  <c r="BH568" i="3"/>
  <c r="BI568" i="3"/>
  <c r="BJ568" i="3"/>
  <c r="BK568" i="3"/>
  <c r="BM568" i="3"/>
  <c r="BN568" i="3"/>
  <c r="BO568" i="3"/>
  <c r="BP568" i="3"/>
  <c r="BQ568" i="3"/>
  <c r="BR568" i="3"/>
  <c r="BS568" i="3"/>
  <c r="BT568" i="3"/>
  <c r="H569" i="3"/>
  <c r="AC569" i="3"/>
  <c r="BB569" i="3"/>
  <c r="BC569" i="3"/>
  <c r="BD569" i="3"/>
  <c r="BE569" i="3"/>
  <c r="BF569" i="3"/>
  <c r="BG569" i="3"/>
  <c r="BH569" i="3"/>
  <c r="BI569" i="3"/>
  <c r="BJ569" i="3"/>
  <c r="BK569" i="3"/>
  <c r="BM569" i="3"/>
  <c r="BN569" i="3"/>
  <c r="BO569" i="3"/>
  <c r="BP569" i="3"/>
  <c r="BR569" i="3"/>
  <c r="BS569" i="3"/>
  <c r="BT569" i="3"/>
  <c r="H570" i="3"/>
  <c r="AC570" i="3"/>
  <c r="G570" i="3"/>
  <c r="BB570" i="3"/>
  <c r="BC570" i="3"/>
  <c r="BD570" i="3"/>
  <c r="BE570" i="3"/>
  <c r="BF570" i="3"/>
  <c r="BG570" i="3"/>
  <c r="BH570" i="3"/>
  <c r="BI570" i="3"/>
  <c r="BJ570" i="3"/>
  <c r="BK570" i="3"/>
  <c r="BM570" i="3"/>
  <c r="BN570" i="3"/>
  <c r="BO570" i="3"/>
  <c r="BP570" i="3"/>
  <c r="BQ570" i="3"/>
  <c r="BR570" i="3"/>
  <c r="BS570" i="3"/>
  <c r="BT570" i="3"/>
  <c r="H571" i="3"/>
  <c r="AC571" i="3"/>
  <c r="BB571" i="3"/>
  <c r="BC571" i="3"/>
  <c r="BD571" i="3"/>
  <c r="BE571" i="3"/>
  <c r="BF571" i="3"/>
  <c r="BG571" i="3"/>
  <c r="BH571" i="3"/>
  <c r="BI571" i="3"/>
  <c r="BJ571" i="3"/>
  <c r="BK571" i="3"/>
  <c r="BM571" i="3"/>
  <c r="BN571" i="3"/>
  <c r="BO571" i="3"/>
  <c r="BP571" i="3"/>
  <c r="BR571" i="3"/>
  <c r="BS571" i="3"/>
  <c r="BT571" i="3"/>
  <c r="H572" i="3"/>
  <c r="AC572" i="3"/>
  <c r="BB572" i="3"/>
  <c r="BC572" i="3"/>
  <c r="BD572" i="3"/>
  <c r="BE572" i="3"/>
  <c r="BF572" i="3"/>
  <c r="BG572" i="3"/>
  <c r="BH572" i="3"/>
  <c r="BI572" i="3"/>
  <c r="BJ572" i="3"/>
  <c r="BK572" i="3"/>
  <c r="BM572" i="3"/>
  <c r="BN572" i="3"/>
  <c r="BO572" i="3"/>
  <c r="BP572" i="3"/>
  <c r="BQ572" i="3"/>
  <c r="BR572" i="3"/>
  <c r="BS572" i="3"/>
  <c r="BT572" i="3"/>
  <c r="H573" i="3"/>
  <c r="AC573" i="3"/>
  <c r="BB573" i="3"/>
  <c r="BC573" i="3"/>
  <c r="BD573" i="3"/>
  <c r="BE573" i="3"/>
  <c r="BF573" i="3"/>
  <c r="BG573" i="3"/>
  <c r="BH573" i="3"/>
  <c r="BI573" i="3"/>
  <c r="BJ573" i="3"/>
  <c r="BK573" i="3"/>
  <c r="BM573" i="3"/>
  <c r="BN573" i="3"/>
  <c r="BO573" i="3"/>
  <c r="BP573" i="3"/>
  <c r="BR573" i="3"/>
  <c r="BS573" i="3"/>
  <c r="BT573" i="3"/>
  <c r="H574" i="3"/>
  <c r="AC574" i="3"/>
  <c r="G574" i="3"/>
  <c r="BB574" i="3"/>
  <c r="BC574" i="3"/>
  <c r="BD574" i="3"/>
  <c r="BE574" i="3"/>
  <c r="BF574" i="3"/>
  <c r="BG574" i="3"/>
  <c r="BH574" i="3"/>
  <c r="BI574" i="3"/>
  <c r="BJ574" i="3"/>
  <c r="BK574" i="3"/>
  <c r="BM574" i="3"/>
  <c r="BN574" i="3"/>
  <c r="BO574" i="3"/>
  <c r="BP574" i="3"/>
  <c r="BQ574" i="3"/>
  <c r="BR574" i="3"/>
  <c r="BS574" i="3"/>
  <c r="BT574" i="3"/>
  <c r="H575" i="3"/>
  <c r="AC575" i="3"/>
  <c r="BB575" i="3"/>
  <c r="BC575" i="3"/>
  <c r="BD575" i="3"/>
  <c r="BE575" i="3"/>
  <c r="BF575" i="3"/>
  <c r="BG575" i="3"/>
  <c r="BH575" i="3"/>
  <c r="BI575" i="3"/>
  <c r="BJ575" i="3"/>
  <c r="BK575" i="3"/>
  <c r="BM575" i="3"/>
  <c r="BN575" i="3"/>
  <c r="BO575" i="3"/>
  <c r="BP575" i="3"/>
  <c r="BR575" i="3"/>
  <c r="BS575" i="3"/>
  <c r="BT575" i="3"/>
  <c r="H576" i="3"/>
  <c r="AC576" i="3"/>
  <c r="BB576" i="3"/>
  <c r="BC576" i="3"/>
  <c r="BD576" i="3"/>
  <c r="BE576" i="3"/>
  <c r="BF576" i="3"/>
  <c r="BG576" i="3"/>
  <c r="BH576" i="3"/>
  <c r="BI576" i="3"/>
  <c r="BJ576" i="3"/>
  <c r="BK576" i="3"/>
  <c r="BM576" i="3"/>
  <c r="BN576" i="3"/>
  <c r="BO576" i="3"/>
  <c r="BP576" i="3"/>
  <c r="BQ576" i="3"/>
  <c r="BR576" i="3"/>
  <c r="BS576" i="3"/>
  <c r="BT576" i="3"/>
  <c r="H577" i="3"/>
  <c r="AC577" i="3"/>
  <c r="BB577" i="3"/>
  <c r="BC577" i="3"/>
  <c r="BD577" i="3"/>
  <c r="BE577" i="3"/>
  <c r="BF577" i="3"/>
  <c r="BG577" i="3"/>
  <c r="BH577" i="3"/>
  <c r="BI577" i="3"/>
  <c r="BJ577" i="3"/>
  <c r="BK577" i="3"/>
  <c r="BM577" i="3"/>
  <c r="BN577" i="3"/>
  <c r="BO577" i="3"/>
  <c r="BP577" i="3"/>
  <c r="BR577" i="3"/>
  <c r="BS577" i="3"/>
  <c r="BT577" i="3"/>
  <c r="H578" i="3"/>
  <c r="AC578" i="3"/>
  <c r="G578" i="3"/>
  <c r="BB578" i="3"/>
  <c r="BC578" i="3"/>
  <c r="BD578" i="3"/>
  <c r="BE578" i="3"/>
  <c r="BF578" i="3"/>
  <c r="BG578" i="3"/>
  <c r="BH578" i="3"/>
  <c r="BI578" i="3"/>
  <c r="BJ578" i="3"/>
  <c r="BK578" i="3"/>
  <c r="BM578" i="3"/>
  <c r="BN578" i="3"/>
  <c r="BO578" i="3"/>
  <c r="BP578" i="3"/>
  <c r="BQ578" i="3"/>
  <c r="BR578" i="3"/>
  <c r="BS578" i="3"/>
  <c r="BT578" i="3"/>
  <c r="H579" i="3"/>
  <c r="AC579" i="3"/>
  <c r="BB579" i="3"/>
  <c r="BC579" i="3"/>
  <c r="BD579" i="3"/>
  <c r="BE579" i="3"/>
  <c r="BF579" i="3"/>
  <c r="BG579" i="3"/>
  <c r="BH579" i="3"/>
  <c r="BI579" i="3"/>
  <c r="BJ579" i="3"/>
  <c r="BK579" i="3"/>
  <c r="BM579" i="3"/>
  <c r="BN579" i="3"/>
  <c r="BO579" i="3"/>
  <c r="BP579" i="3"/>
  <c r="BR579" i="3"/>
  <c r="BS579" i="3"/>
  <c r="BT579" i="3"/>
  <c r="H580" i="3"/>
  <c r="AC580" i="3"/>
  <c r="BB580" i="3"/>
  <c r="BC580" i="3"/>
  <c r="BD580" i="3"/>
  <c r="BE580" i="3"/>
  <c r="BF580" i="3"/>
  <c r="BG580" i="3"/>
  <c r="BH580" i="3"/>
  <c r="BI580" i="3"/>
  <c r="BJ580" i="3"/>
  <c r="BK580" i="3"/>
  <c r="BM580" i="3"/>
  <c r="BN580" i="3"/>
  <c r="BO580" i="3"/>
  <c r="BP580" i="3"/>
  <c r="BQ580" i="3"/>
  <c r="BR580" i="3"/>
  <c r="BS580" i="3"/>
  <c r="BT580" i="3"/>
  <c r="H581" i="3"/>
  <c r="AC581" i="3"/>
  <c r="BB581" i="3"/>
  <c r="BC581" i="3"/>
  <c r="BD581" i="3"/>
  <c r="BE581" i="3"/>
  <c r="BF581" i="3"/>
  <c r="BG581" i="3"/>
  <c r="BH581" i="3"/>
  <c r="BI581" i="3"/>
  <c r="BJ581" i="3"/>
  <c r="BK581" i="3"/>
  <c r="BM581" i="3"/>
  <c r="BN581" i="3"/>
  <c r="BO581" i="3"/>
  <c r="BP581" i="3"/>
  <c r="BR581" i="3"/>
  <c r="BS581" i="3"/>
  <c r="BT581" i="3"/>
  <c r="H582" i="3"/>
  <c r="AC582" i="3"/>
  <c r="G582" i="3"/>
  <c r="BB582" i="3"/>
  <c r="BC582" i="3"/>
  <c r="BD582" i="3"/>
  <c r="BE582" i="3"/>
  <c r="BF582" i="3"/>
  <c r="BG582" i="3"/>
  <c r="BH582" i="3"/>
  <c r="BI582" i="3"/>
  <c r="BJ582" i="3"/>
  <c r="BK582" i="3"/>
  <c r="BM582" i="3"/>
  <c r="BN582" i="3"/>
  <c r="BO582" i="3"/>
  <c r="BP582" i="3"/>
  <c r="BQ582" i="3"/>
  <c r="BR582" i="3"/>
  <c r="BS582" i="3"/>
  <c r="BT582" i="3"/>
  <c r="H583" i="3"/>
  <c r="AC583" i="3"/>
  <c r="BB583" i="3"/>
  <c r="BC583" i="3"/>
  <c r="BD583" i="3"/>
  <c r="BE583" i="3"/>
  <c r="BF583" i="3"/>
  <c r="BG583" i="3"/>
  <c r="BH583" i="3"/>
  <c r="BI583" i="3"/>
  <c r="BJ583" i="3"/>
  <c r="BK583" i="3"/>
  <c r="BM583" i="3"/>
  <c r="BN583" i="3"/>
  <c r="BO583" i="3"/>
  <c r="BP583" i="3"/>
  <c r="BR583" i="3"/>
  <c r="BS583" i="3"/>
  <c r="BT583" i="3"/>
  <c r="H584" i="3"/>
  <c r="AC584" i="3"/>
  <c r="BB584" i="3"/>
  <c r="BC584" i="3"/>
  <c r="BD584" i="3"/>
  <c r="BE584" i="3"/>
  <c r="BF584" i="3"/>
  <c r="BG584" i="3"/>
  <c r="BH584" i="3"/>
  <c r="BI584" i="3"/>
  <c r="BJ584" i="3"/>
  <c r="BK584" i="3"/>
  <c r="BM584" i="3"/>
  <c r="BN584" i="3"/>
  <c r="BO584" i="3"/>
  <c r="BP584" i="3"/>
  <c r="BQ584" i="3"/>
  <c r="BR584" i="3"/>
  <c r="BS584" i="3"/>
  <c r="BT584" i="3"/>
  <c r="H7" i="12"/>
  <c r="I7" i="12"/>
  <c r="J7" i="12"/>
  <c r="K7" i="12"/>
  <c r="H111" i="21"/>
  <c r="B109" i="39"/>
  <c r="B111" i="39"/>
  <c r="J30" i="36"/>
  <c r="H30" i="36"/>
  <c r="F30" i="36"/>
  <c r="AA30" i="36" s="1"/>
  <c r="C26" i="35"/>
  <c r="C79" i="35" s="1"/>
  <c r="J31" i="35"/>
  <c r="W31" i="35" s="1"/>
  <c r="H31" i="35"/>
  <c r="F31" i="35"/>
  <c r="D87" i="35"/>
  <c r="E87" i="35"/>
  <c r="F87" i="35"/>
  <c r="G87" i="35"/>
  <c r="H87" i="35"/>
  <c r="I87" i="35"/>
  <c r="J87" i="35"/>
  <c r="K87" i="35"/>
  <c r="L87" i="35"/>
  <c r="M87" i="35"/>
  <c r="H34" i="37"/>
  <c r="D101" i="37"/>
  <c r="F34" i="37"/>
  <c r="D99" i="37"/>
  <c r="E99" i="37"/>
  <c r="F99" i="37"/>
  <c r="G99" i="37"/>
  <c r="H99" i="37"/>
  <c r="I99" i="37"/>
  <c r="J99" i="37"/>
  <c r="K99" i="37"/>
  <c r="L99" i="37"/>
  <c r="M99" i="37"/>
  <c r="H42" i="34"/>
  <c r="J42" i="34"/>
  <c r="W42" i="34"/>
  <c r="F42" i="34"/>
  <c r="J38" i="34"/>
  <c r="W38" i="34"/>
  <c r="D114" i="34"/>
  <c r="F38" i="34"/>
  <c r="S38" i="34"/>
  <c r="D112" i="34"/>
  <c r="E112" i="34"/>
  <c r="F112" i="34"/>
  <c r="G112" i="34"/>
  <c r="H112" i="34"/>
  <c r="I112" i="34"/>
  <c r="J112" i="34"/>
  <c r="K112" i="34"/>
  <c r="L112" i="34"/>
  <c r="M112" i="34"/>
  <c r="F40" i="33"/>
  <c r="J41" i="33"/>
  <c r="D113" i="33"/>
  <c r="F37" i="33"/>
  <c r="D111" i="33"/>
  <c r="E111" i="33"/>
  <c r="F111" i="33"/>
  <c r="S515" i="31"/>
  <c r="S516" i="31"/>
  <c r="S517" i="31"/>
  <c r="S518" i="31"/>
  <c r="S519" i="31"/>
  <c r="S520" i="31"/>
  <c r="S521" i="31"/>
  <c r="S522" i="31"/>
  <c r="S523" i="31"/>
  <c r="S524" i="31"/>
  <c r="F41" i="21"/>
  <c r="J41" i="21"/>
  <c r="AC41" i="21"/>
  <c r="H41" i="21"/>
  <c r="U41" i="21"/>
  <c r="D80" i="39"/>
  <c r="E80" i="39" s="1"/>
  <c r="F80" i="39" s="1"/>
  <c r="G80" i="39" s="1"/>
  <c r="H80" i="39" s="1"/>
  <c r="I80" i="39" s="1"/>
  <c r="J80" i="39" s="1"/>
  <c r="K80" i="39" s="1"/>
  <c r="L80" i="39" s="1"/>
  <c r="M80" i="39" s="1"/>
  <c r="D76" i="40"/>
  <c r="E76" i="40" s="1"/>
  <c r="B120" i="40"/>
  <c r="B118" i="40"/>
  <c r="J39" i="40"/>
  <c r="B116" i="40"/>
  <c r="F38" i="40"/>
  <c r="AA38" i="40" s="1"/>
  <c r="D115" i="40"/>
  <c r="E115" i="40" s="1"/>
  <c r="F115" i="40" s="1"/>
  <c r="G115" i="40" s="1"/>
  <c r="H115" i="40" s="1"/>
  <c r="I115" i="40" s="1"/>
  <c r="J115" i="40" s="1"/>
  <c r="K115" i="40" s="1"/>
  <c r="L115" i="40" s="1"/>
  <c r="M115" i="40" s="1"/>
  <c r="D113" i="40"/>
  <c r="E113" i="40" s="1"/>
  <c r="D111" i="40"/>
  <c r="E111" i="40"/>
  <c r="M107" i="40"/>
  <c r="L107" i="40"/>
  <c r="K107" i="40"/>
  <c r="J107" i="40"/>
  <c r="H107" i="40"/>
  <c r="G107" i="40"/>
  <c r="F107" i="40"/>
  <c r="E107" i="40"/>
  <c r="D107" i="40"/>
  <c r="C107" i="40"/>
  <c r="B105" i="40"/>
  <c r="J33" i="40"/>
  <c r="W33" i="40" s="1"/>
  <c r="B103" i="40"/>
  <c r="J32" i="40"/>
  <c r="AC32" i="40"/>
  <c r="B101" i="40"/>
  <c r="J31" i="40"/>
  <c r="AC31" i="40"/>
  <c r="D100" i="40"/>
  <c r="E100" i="40" s="1"/>
  <c r="F100" i="40" s="1"/>
  <c r="G100" i="40" s="1"/>
  <c r="H100" i="40" s="1"/>
  <c r="I100" i="40" s="1"/>
  <c r="J100" i="40" s="1"/>
  <c r="K100" i="40" s="1"/>
  <c r="L100" i="40" s="1"/>
  <c r="M100" i="40" s="1"/>
  <c r="D98" i="40"/>
  <c r="J28" i="40"/>
  <c r="AC28" i="40" s="1"/>
  <c r="D96" i="40"/>
  <c r="E96" i="40"/>
  <c r="F96" i="40"/>
  <c r="G96" i="40"/>
  <c r="H96" i="40"/>
  <c r="I96" i="40"/>
  <c r="J96" i="40"/>
  <c r="K96" i="40"/>
  <c r="L96" i="40"/>
  <c r="M96" i="40"/>
  <c r="B95" i="40"/>
  <c r="D92" i="40"/>
  <c r="E92" i="40" s="1"/>
  <c r="D90" i="40"/>
  <c r="E90" i="40" s="1"/>
  <c r="F90" i="40" s="1"/>
  <c r="G90" i="40" s="1"/>
  <c r="D88" i="40"/>
  <c r="E88" i="40" s="1"/>
  <c r="F88" i="40" s="1"/>
  <c r="G88" i="40" s="1"/>
  <c r="D86" i="40"/>
  <c r="E86" i="40" s="1"/>
  <c r="F86" i="40" s="1"/>
  <c r="G86" i="40" s="1"/>
  <c r="D84" i="40"/>
  <c r="E84" i="40"/>
  <c r="F84" i="40"/>
  <c r="G84" i="40" s="1"/>
  <c r="B81" i="40"/>
  <c r="B79" i="40"/>
  <c r="B77" i="40"/>
  <c r="J12" i="40"/>
  <c r="M74" i="40"/>
  <c r="L74" i="40"/>
  <c r="K74" i="40"/>
  <c r="J74" i="40"/>
  <c r="I74" i="40"/>
  <c r="H74" i="40"/>
  <c r="G74" i="40"/>
  <c r="F74" i="40"/>
  <c r="E74" i="40"/>
  <c r="D74" i="40"/>
  <c r="C74" i="40"/>
  <c r="P43" i="40"/>
  <c r="P42" i="40"/>
  <c r="V41" i="40"/>
  <c r="T41" i="40"/>
  <c r="R41" i="40"/>
  <c r="P41" i="40"/>
  <c r="Q40" i="40"/>
  <c r="Z40" i="40" s="1"/>
  <c r="J40" i="40"/>
  <c r="W40" i="40" s="1"/>
  <c r="H40" i="40"/>
  <c r="AB40" i="40" s="1"/>
  <c r="F40" i="40"/>
  <c r="AA40" i="40" s="1"/>
  <c r="Q39" i="40"/>
  <c r="Z39" i="40" s="1"/>
  <c r="H39" i="40"/>
  <c r="U39" i="40" s="1"/>
  <c r="Q38" i="40"/>
  <c r="Z38" i="40" s="1"/>
  <c r="J38" i="40"/>
  <c r="AC38" i="40" s="1"/>
  <c r="H38" i="40"/>
  <c r="AB38" i="40" s="1"/>
  <c r="Q37" i="40"/>
  <c r="Z37" i="40"/>
  <c r="Q36" i="40"/>
  <c r="Z36" i="40"/>
  <c r="Q35" i="40"/>
  <c r="Z35" i="40"/>
  <c r="Q34" i="40"/>
  <c r="Z34" i="40"/>
  <c r="J34" i="40"/>
  <c r="AC34" i="40" s="1"/>
  <c r="H34" i="40"/>
  <c r="AB34" i="40" s="1"/>
  <c r="F34" i="40"/>
  <c r="AA34" i="40" s="1"/>
  <c r="Q33" i="40"/>
  <c r="Z33" i="40" s="1"/>
  <c r="Q32" i="40"/>
  <c r="Z32" i="40"/>
  <c r="Q31" i="40"/>
  <c r="Z31" i="40" s="1"/>
  <c r="Q30" i="40"/>
  <c r="Z30" i="40"/>
  <c r="Q28" i="40"/>
  <c r="Z28" i="40" s="1"/>
  <c r="Q27" i="40"/>
  <c r="Z27" i="40"/>
  <c r="Q23" i="40"/>
  <c r="Z23" i="40"/>
  <c r="Q21" i="40"/>
  <c r="Z21" i="40"/>
  <c r="Q19" i="40"/>
  <c r="Z19" i="40"/>
  <c r="Q17" i="40"/>
  <c r="Z17" i="40"/>
  <c r="Q15" i="40"/>
  <c r="Z15" i="40"/>
  <c r="Q14" i="40"/>
  <c r="Z14" i="40" s="1"/>
  <c r="Q13" i="40"/>
  <c r="Z13" i="40" s="1"/>
  <c r="Q12" i="40"/>
  <c r="Z12" i="40" s="1"/>
  <c r="Q11" i="40"/>
  <c r="Z11" i="40"/>
  <c r="Q10" i="40"/>
  <c r="Z10" i="40"/>
  <c r="Q9" i="40"/>
  <c r="Z9" i="40"/>
  <c r="J9" i="40"/>
  <c r="W9" i="40" s="1"/>
  <c r="H9" i="40"/>
  <c r="AB9" i="40" s="1"/>
  <c r="F9" i="40"/>
  <c r="S9" i="40" s="1"/>
  <c r="J8" i="40"/>
  <c r="AC8" i="40" s="1"/>
  <c r="H8" i="40"/>
  <c r="AB8" i="40" s="1"/>
  <c r="F8" i="40"/>
  <c r="AA8" i="40"/>
  <c r="J38" i="39"/>
  <c r="W38" i="39" s="1"/>
  <c r="H38" i="39"/>
  <c r="AB38" i="39" s="1"/>
  <c r="F38" i="39"/>
  <c r="AA38" i="39" s="1"/>
  <c r="D123" i="39"/>
  <c r="E123" i="39" s="1"/>
  <c r="F123" i="39"/>
  <c r="G123" i="39" s="1"/>
  <c r="H123" i="39" s="1"/>
  <c r="I123" i="39" s="1"/>
  <c r="J123" i="39" s="1"/>
  <c r="K123" i="39" s="1"/>
  <c r="L123" i="39" s="1"/>
  <c r="M123" i="39" s="1"/>
  <c r="D119" i="39"/>
  <c r="E119" i="39" s="1"/>
  <c r="F119" i="39" s="1"/>
  <c r="G119" i="39" s="1"/>
  <c r="H119" i="39" s="1"/>
  <c r="I119" i="39" s="1"/>
  <c r="J119" i="39" s="1"/>
  <c r="K119" i="39" s="1"/>
  <c r="L119" i="39" s="1"/>
  <c r="M119" i="39" s="1"/>
  <c r="B113" i="39"/>
  <c r="J37" i="39" s="1"/>
  <c r="D108" i="39"/>
  <c r="F34" i="39"/>
  <c r="AA34" i="39"/>
  <c r="D106" i="39"/>
  <c r="E106" i="39"/>
  <c r="D104" i="39"/>
  <c r="E104" i="39"/>
  <c r="F104" i="39" s="1"/>
  <c r="G104" i="39" s="1"/>
  <c r="H104" i="39" s="1"/>
  <c r="I104" i="39" s="1"/>
  <c r="J104" i="39" s="1"/>
  <c r="K104" i="39" s="1"/>
  <c r="L104" i="39" s="1"/>
  <c r="M104" i="39" s="1"/>
  <c r="D100" i="39"/>
  <c r="D98" i="39"/>
  <c r="E98" i="39" s="1"/>
  <c r="F98" i="39" s="1"/>
  <c r="G98" i="39" s="1"/>
  <c r="Q39" i="39"/>
  <c r="Z39" i="39" s="1"/>
  <c r="Q40" i="39"/>
  <c r="Z40" i="39" s="1"/>
  <c r="Q41" i="39"/>
  <c r="Z41" i="39" s="1"/>
  <c r="Q42" i="39"/>
  <c r="Z42" i="39" s="1"/>
  <c r="Q43" i="39"/>
  <c r="Z43" i="39" s="1"/>
  <c r="Q44" i="39"/>
  <c r="Z44" i="39" s="1"/>
  <c r="Q45" i="39"/>
  <c r="Z45" i="39" s="1"/>
  <c r="Q38" i="39"/>
  <c r="Z38" i="39" s="1"/>
  <c r="Q36" i="39"/>
  <c r="Z36" i="39" s="1"/>
  <c r="Q37" i="39"/>
  <c r="Z37" i="39" s="1"/>
  <c r="B130" i="39"/>
  <c r="H45" i="39" s="1"/>
  <c r="B128" i="39"/>
  <c r="H44" i="39" s="1"/>
  <c r="B126" i="39"/>
  <c r="J43" i="39" s="1"/>
  <c r="D125" i="39"/>
  <c r="E125" i="39" s="1"/>
  <c r="F125" i="39"/>
  <c r="G125" i="39" s="1"/>
  <c r="H125" i="39" s="1"/>
  <c r="I125" i="39" s="1"/>
  <c r="J125" i="39" s="1"/>
  <c r="K125" i="39" s="1"/>
  <c r="L125" i="39" s="1"/>
  <c r="M125" i="39" s="1"/>
  <c r="D121" i="39"/>
  <c r="E121" i="39" s="1"/>
  <c r="F121" i="39" s="1"/>
  <c r="G121" i="39" s="1"/>
  <c r="H121" i="39" s="1"/>
  <c r="I121" i="39" s="1"/>
  <c r="J121" i="39" s="1"/>
  <c r="K121" i="39" s="1"/>
  <c r="L121" i="39" s="1"/>
  <c r="M121" i="39" s="1"/>
  <c r="H35" i="39"/>
  <c r="AB35" i="39" s="1"/>
  <c r="B103" i="39"/>
  <c r="D96" i="39"/>
  <c r="J23" i="39"/>
  <c r="AC23" i="39" s="1"/>
  <c r="D94" i="39"/>
  <c r="E94" i="39" s="1"/>
  <c r="F94" i="39"/>
  <c r="D92" i="39"/>
  <c r="E92" i="39"/>
  <c r="F92" i="39" s="1"/>
  <c r="G92" i="39" s="1"/>
  <c r="D90" i="39"/>
  <c r="E90" i="39"/>
  <c r="F90" i="39" s="1"/>
  <c r="G90" i="39"/>
  <c r="D88" i="39"/>
  <c r="E88" i="39"/>
  <c r="F88" i="39" s="1"/>
  <c r="G88" i="39" s="1"/>
  <c r="B85" i="39"/>
  <c r="B83" i="39"/>
  <c r="B81" i="39"/>
  <c r="J12" i="39"/>
  <c r="M78" i="39"/>
  <c r="L78" i="39"/>
  <c r="K78" i="39"/>
  <c r="J78" i="39"/>
  <c r="I78" i="39"/>
  <c r="H78" i="39"/>
  <c r="G78" i="39"/>
  <c r="F78" i="39"/>
  <c r="E78" i="39"/>
  <c r="D78" i="39"/>
  <c r="C78" i="39"/>
  <c r="P48" i="39"/>
  <c r="P47" i="39"/>
  <c r="V46" i="39"/>
  <c r="T46" i="39"/>
  <c r="R46" i="39"/>
  <c r="P46" i="39"/>
  <c r="F44" i="39"/>
  <c r="AA44" i="39" s="1"/>
  <c r="J40" i="39"/>
  <c r="AC40" i="39" s="1"/>
  <c r="F40" i="39"/>
  <c r="AA40" i="39" s="1"/>
  <c r="Q35" i="39"/>
  <c r="Z35" i="39" s="1"/>
  <c r="Q34" i="39"/>
  <c r="Z34" i="39" s="1"/>
  <c r="Q32" i="39"/>
  <c r="Z32" i="39" s="1"/>
  <c r="Q31" i="39"/>
  <c r="Z31" i="39" s="1"/>
  <c r="Q27" i="39"/>
  <c r="Z27" i="39" s="1"/>
  <c r="Q25" i="39"/>
  <c r="Z25" i="39" s="1"/>
  <c r="Q23" i="39"/>
  <c r="Z23" i="39" s="1"/>
  <c r="Q21" i="39"/>
  <c r="Z21" i="39" s="1"/>
  <c r="Q19" i="39"/>
  <c r="Z19" i="39" s="1"/>
  <c r="Q17" i="39"/>
  <c r="Z17" i="39" s="1"/>
  <c r="Q15" i="39"/>
  <c r="Z15" i="39" s="1"/>
  <c r="Q14" i="39"/>
  <c r="Z14" i="39" s="1"/>
  <c r="Q13" i="39"/>
  <c r="Z13" i="39" s="1"/>
  <c r="Q12" i="39"/>
  <c r="Z12" i="39"/>
  <c r="Q11" i="39"/>
  <c r="Z11" i="39"/>
  <c r="Q10" i="39"/>
  <c r="Z10" i="39"/>
  <c r="Q9" i="39"/>
  <c r="Z9" i="39"/>
  <c r="J9" i="39"/>
  <c r="AC9" i="39"/>
  <c r="H9" i="39"/>
  <c r="AB9" i="39" s="1"/>
  <c r="F9" i="39"/>
  <c r="AA9" i="39" s="1"/>
  <c r="J8" i="39"/>
  <c r="AC8" i="39" s="1"/>
  <c r="H8" i="39"/>
  <c r="U8" i="39" s="1"/>
  <c r="F8" i="39"/>
  <c r="AA8" i="39" s="1"/>
  <c r="C20" i="36"/>
  <c r="C20" i="35"/>
  <c r="C16" i="36"/>
  <c r="C16" i="35"/>
  <c r="C14" i="36"/>
  <c r="C14" i="35"/>
  <c r="B80" i="37"/>
  <c r="H25" i="37"/>
  <c r="U25" i="37"/>
  <c r="B110" i="37"/>
  <c r="J39" i="37"/>
  <c r="AC39" i="37"/>
  <c r="B108" i="37"/>
  <c r="C23" i="37"/>
  <c r="C19" i="37"/>
  <c r="C17" i="37"/>
  <c r="C15" i="37"/>
  <c r="B112" i="37"/>
  <c r="D107" i="37"/>
  <c r="E107" i="37"/>
  <c r="D105" i="37"/>
  <c r="E105" i="37"/>
  <c r="D103" i="37"/>
  <c r="J35" i="37"/>
  <c r="W35" i="37"/>
  <c r="F97" i="37"/>
  <c r="E97" i="37"/>
  <c r="D97" i="37"/>
  <c r="C97" i="37"/>
  <c r="D96" i="37"/>
  <c r="E96" i="37"/>
  <c r="D94" i="37"/>
  <c r="M90" i="37"/>
  <c r="L90" i="37"/>
  <c r="K90" i="37"/>
  <c r="J90" i="37"/>
  <c r="I90" i="37"/>
  <c r="H90" i="37"/>
  <c r="G90" i="37"/>
  <c r="F90" i="37"/>
  <c r="E90" i="37"/>
  <c r="D90" i="37"/>
  <c r="C90" i="37"/>
  <c r="D89" i="37"/>
  <c r="B86" i="37"/>
  <c r="B84" i="37"/>
  <c r="H27" i="37"/>
  <c r="U27" i="37"/>
  <c r="B82" i="37"/>
  <c r="D79" i="37"/>
  <c r="E79" i="37"/>
  <c r="D75" i="37"/>
  <c r="E75" i="37"/>
  <c r="D73" i="37"/>
  <c r="E73" i="37"/>
  <c r="F73" i="37"/>
  <c r="D71" i="37"/>
  <c r="H15" i="37"/>
  <c r="AB15" i="37"/>
  <c r="B68" i="37"/>
  <c r="H14" i="37"/>
  <c r="AB14" i="37"/>
  <c r="B66" i="37"/>
  <c r="B64" i="37"/>
  <c r="D63" i="37"/>
  <c r="E63" i="37"/>
  <c r="M61" i="37"/>
  <c r="L61" i="37"/>
  <c r="K61" i="37"/>
  <c r="J61" i="37"/>
  <c r="I61" i="37"/>
  <c r="H61" i="37"/>
  <c r="G61" i="37"/>
  <c r="F61" i="37"/>
  <c r="E61" i="37"/>
  <c r="D61" i="37"/>
  <c r="C61" i="37"/>
  <c r="C57" i="37"/>
  <c r="P43" i="37"/>
  <c r="P42" i="37"/>
  <c r="V41" i="37"/>
  <c r="T41" i="37"/>
  <c r="R41" i="37"/>
  <c r="P41" i="37"/>
  <c r="Q40" i="37"/>
  <c r="Z40" i="37"/>
  <c r="Q39" i="37"/>
  <c r="Z39" i="37"/>
  <c r="Q38" i="37"/>
  <c r="Z38" i="37"/>
  <c r="Q37" i="37"/>
  <c r="Z37" i="37"/>
  <c r="Q36" i="37"/>
  <c r="Z36" i="37"/>
  <c r="Q35" i="37"/>
  <c r="Z35" i="37"/>
  <c r="Q34" i="37"/>
  <c r="Z34" i="37"/>
  <c r="Q33" i="37"/>
  <c r="Z33" i="37"/>
  <c r="Q32" i="37"/>
  <c r="Z32" i="37"/>
  <c r="Q31" i="37"/>
  <c r="Z31" i="37"/>
  <c r="J31" i="37"/>
  <c r="AC31" i="37"/>
  <c r="Q30" i="37"/>
  <c r="Z30" i="37"/>
  <c r="J30" i="37"/>
  <c r="AC30" i="37" s="1"/>
  <c r="H30" i="37"/>
  <c r="AB30" i="37" s="1"/>
  <c r="F30" i="37"/>
  <c r="AA30" i="37" s="1"/>
  <c r="Q29" i="37"/>
  <c r="Z29" i="37"/>
  <c r="H29" i="37"/>
  <c r="AB29" i="37"/>
  <c r="Q28" i="37"/>
  <c r="Z28" i="37"/>
  <c r="Q27" i="37"/>
  <c r="Z27" i="37"/>
  <c r="Q26" i="37"/>
  <c r="Z26" i="37"/>
  <c r="J26" i="37"/>
  <c r="AC26" i="37"/>
  <c r="H26" i="37"/>
  <c r="AB26" i="37"/>
  <c r="F26" i="37"/>
  <c r="AA26" i="37"/>
  <c r="Q25" i="37"/>
  <c r="Z25" i="37"/>
  <c r="J25" i="37"/>
  <c r="AC25" i="37"/>
  <c r="F25" i="37"/>
  <c r="AA25" i="37"/>
  <c r="Q23" i="37"/>
  <c r="Z23" i="37"/>
  <c r="Q19" i="37"/>
  <c r="Z19" i="37"/>
  <c r="Q17" i="37"/>
  <c r="Z17" i="37"/>
  <c r="Q15" i="37"/>
  <c r="Z15" i="37"/>
  <c r="Q14" i="37"/>
  <c r="Z14" i="37"/>
  <c r="Q13" i="37"/>
  <c r="Z13" i="37"/>
  <c r="Q12" i="37"/>
  <c r="Z12" i="37"/>
  <c r="Q11" i="37"/>
  <c r="Z11" i="37"/>
  <c r="Q10" i="37"/>
  <c r="Z10" i="37"/>
  <c r="F10" i="37"/>
  <c r="AA10" i="37" s="1"/>
  <c r="Q9" i="37"/>
  <c r="Z9" i="37"/>
  <c r="J8" i="37"/>
  <c r="W8" i="37" s="1"/>
  <c r="H8" i="37"/>
  <c r="AB8" i="37" s="1"/>
  <c r="F8" i="37"/>
  <c r="S8" i="37" s="1"/>
  <c r="J31" i="36"/>
  <c r="AC31" i="36" s="1"/>
  <c r="H31" i="36"/>
  <c r="AB31" i="36" s="1"/>
  <c r="F31" i="36"/>
  <c r="S31" i="36" s="1"/>
  <c r="M86" i="36"/>
  <c r="L86" i="36"/>
  <c r="K86" i="36"/>
  <c r="J86" i="36"/>
  <c r="I86" i="36"/>
  <c r="H86" i="36"/>
  <c r="G86" i="36"/>
  <c r="F86" i="36"/>
  <c r="E86" i="36"/>
  <c r="D86" i="36"/>
  <c r="C86" i="36"/>
  <c r="D85" i="36"/>
  <c r="H29" i="36"/>
  <c r="D81" i="36"/>
  <c r="E81" i="36"/>
  <c r="F81" i="36"/>
  <c r="G81" i="36"/>
  <c r="H81" i="36"/>
  <c r="I81" i="36"/>
  <c r="J81" i="36"/>
  <c r="K81" i="36"/>
  <c r="L81" i="36"/>
  <c r="M81" i="36"/>
  <c r="F79" i="36"/>
  <c r="E79" i="36"/>
  <c r="D79" i="36"/>
  <c r="C79" i="36"/>
  <c r="B93" i="36"/>
  <c r="H33" i="36"/>
  <c r="B91" i="36"/>
  <c r="F32" i="36"/>
  <c r="B95" i="36"/>
  <c r="H34" i="36"/>
  <c r="D83" i="36"/>
  <c r="E83" i="36"/>
  <c r="F83" i="36"/>
  <c r="G83" i="36"/>
  <c r="H83" i="36"/>
  <c r="I83" i="36"/>
  <c r="J83" i="36"/>
  <c r="K83" i="36"/>
  <c r="L83" i="36"/>
  <c r="M83" i="36"/>
  <c r="D78" i="36"/>
  <c r="E78" i="36"/>
  <c r="F78" i="36"/>
  <c r="G78" i="36"/>
  <c r="H78" i="36"/>
  <c r="I78" i="36"/>
  <c r="J78" i="36"/>
  <c r="K78" i="36"/>
  <c r="L78" i="36"/>
  <c r="M78" i="36"/>
  <c r="B75" i="36"/>
  <c r="B73" i="36"/>
  <c r="J24" i="36"/>
  <c r="AC24" i="36"/>
  <c r="B71" i="36"/>
  <c r="D70" i="36"/>
  <c r="H22" i="36"/>
  <c r="AB22" i="36"/>
  <c r="D68" i="36"/>
  <c r="E68" i="36"/>
  <c r="F68" i="36"/>
  <c r="G68" i="36"/>
  <c r="D64" i="36"/>
  <c r="E64" i="36"/>
  <c r="F64" i="36"/>
  <c r="G64" i="36"/>
  <c r="J16" i="36"/>
  <c r="W16" i="36"/>
  <c r="D62" i="36"/>
  <c r="E62" i="36"/>
  <c r="F62" i="36"/>
  <c r="G62" i="36"/>
  <c r="B59" i="36"/>
  <c r="B57" i="36"/>
  <c r="J12" i="36"/>
  <c r="B55" i="36"/>
  <c r="C51" i="36"/>
  <c r="P37" i="36"/>
  <c r="P36" i="36"/>
  <c r="V35" i="36"/>
  <c r="T35" i="36"/>
  <c r="R35" i="36"/>
  <c r="P35" i="36"/>
  <c r="Q34" i="36"/>
  <c r="Z34" i="36"/>
  <c r="Q33" i="36"/>
  <c r="Z33" i="36"/>
  <c r="Q32" i="36"/>
  <c r="Z32" i="36"/>
  <c r="Q31" i="36"/>
  <c r="Z31" i="36"/>
  <c r="Q30" i="36"/>
  <c r="Z30" i="36"/>
  <c r="AC30" i="36"/>
  <c r="Q29" i="36"/>
  <c r="Z29" i="36"/>
  <c r="Q28" i="36"/>
  <c r="Z28" i="36"/>
  <c r="J28" i="36"/>
  <c r="AC28" i="36" s="1"/>
  <c r="Q27" i="36"/>
  <c r="Z27" i="36"/>
  <c r="Q26" i="36"/>
  <c r="Z26" i="36"/>
  <c r="H26" i="36"/>
  <c r="AB26" i="36"/>
  <c r="Q25" i="36"/>
  <c r="Z25" i="36"/>
  <c r="Q24" i="36"/>
  <c r="Z24" i="36"/>
  <c r="H24" i="36"/>
  <c r="AB24" i="36"/>
  <c r="Q23" i="36"/>
  <c r="Z23" i="36"/>
  <c r="J23" i="36"/>
  <c r="AC23" i="36"/>
  <c r="H23" i="36"/>
  <c r="AB23" i="36"/>
  <c r="F23" i="36"/>
  <c r="AA23" i="36"/>
  <c r="Q22" i="36"/>
  <c r="Z22" i="36"/>
  <c r="J22" i="36"/>
  <c r="AC22" i="36"/>
  <c r="Q20" i="36"/>
  <c r="Z20" i="36"/>
  <c r="Q16" i="36"/>
  <c r="Z16" i="36"/>
  <c r="Q14" i="36"/>
  <c r="Z14" i="36"/>
  <c r="Q13" i="36"/>
  <c r="Z13" i="36"/>
  <c r="Q12" i="36"/>
  <c r="Z12" i="36"/>
  <c r="H12" i="36"/>
  <c r="U12" i="36"/>
  <c r="Q11" i="36"/>
  <c r="Z11" i="36"/>
  <c r="Q10" i="36"/>
  <c r="Z10" i="36"/>
  <c r="F10" i="36"/>
  <c r="AA10" i="36" s="1"/>
  <c r="Q9" i="36"/>
  <c r="Z9" i="36"/>
  <c r="J9" i="36"/>
  <c r="AC9" i="36" s="1"/>
  <c r="H9" i="36"/>
  <c r="AB9" i="36" s="1"/>
  <c r="F9" i="36"/>
  <c r="AA9" i="36" s="1"/>
  <c r="J8" i="36"/>
  <c r="AC8" i="36" s="1"/>
  <c r="H8" i="36"/>
  <c r="U8" i="36" s="1"/>
  <c r="F8" i="36"/>
  <c r="AA8" i="36" s="1"/>
  <c r="D89" i="35"/>
  <c r="M90" i="35"/>
  <c r="L90" i="35"/>
  <c r="K90" i="35"/>
  <c r="J90" i="35"/>
  <c r="I90" i="35"/>
  <c r="H90" i="35"/>
  <c r="G90" i="35"/>
  <c r="F90" i="35"/>
  <c r="E90" i="35"/>
  <c r="D90" i="35"/>
  <c r="C90" i="35"/>
  <c r="F85" i="35"/>
  <c r="E85" i="35"/>
  <c r="D85" i="35"/>
  <c r="C85" i="35"/>
  <c r="J27" i="35"/>
  <c r="W27" i="35"/>
  <c r="H27" i="35"/>
  <c r="U27" i="35"/>
  <c r="F27" i="35"/>
  <c r="AA27" i="35"/>
  <c r="J22" i="35"/>
  <c r="AC22" i="35"/>
  <c r="B101" i="35"/>
  <c r="H36" i="35"/>
  <c r="AB36" i="35"/>
  <c r="B99" i="35"/>
  <c r="B97" i="35"/>
  <c r="B77" i="35"/>
  <c r="B75" i="35"/>
  <c r="J24" i="35"/>
  <c r="AC24" i="35"/>
  <c r="B73" i="35"/>
  <c r="H23" i="35"/>
  <c r="U23" i="35"/>
  <c r="B57" i="35"/>
  <c r="B61" i="35"/>
  <c r="B59" i="35"/>
  <c r="B131" i="34"/>
  <c r="B129" i="34"/>
  <c r="B127" i="34"/>
  <c r="B99" i="34"/>
  <c r="B97" i="34"/>
  <c r="B95" i="34"/>
  <c r="B93" i="34"/>
  <c r="B75" i="34"/>
  <c r="B73" i="34"/>
  <c r="B71" i="34"/>
  <c r="B130" i="33"/>
  <c r="B128" i="33"/>
  <c r="B126" i="33"/>
  <c r="B98" i="33"/>
  <c r="B96" i="33"/>
  <c r="B94" i="33"/>
  <c r="B74" i="33"/>
  <c r="B72" i="33"/>
  <c r="B70" i="33"/>
  <c r="J12" i="33"/>
  <c r="D96" i="35"/>
  <c r="E96" i="35"/>
  <c r="F96" i="35"/>
  <c r="G96" i="35"/>
  <c r="D94" i="35"/>
  <c r="E94" i="35"/>
  <c r="F94" i="35"/>
  <c r="G94" i="35"/>
  <c r="H94" i="35"/>
  <c r="I94" i="35"/>
  <c r="J94" i="35"/>
  <c r="K94" i="35"/>
  <c r="L94" i="35"/>
  <c r="M94" i="35"/>
  <c r="D84" i="35"/>
  <c r="E84" i="35"/>
  <c r="F84" i="35"/>
  <c r="G84" i="35"/>
  <c r="H84" i="35"/>
  <c r="I84" i="35"/>
  <c r="J84" i="35"/>
  <c r="K84" i="35"/>
  <c r="L84" i="35"/>
  <c r="M84" i="35"/>
  <c r="D80" i="35"/>
  <c r="E80" i="35"/>
  <c r="F80" i="35"/>
  <c r="G80" i="35"/>
  <c r="H80" i="35"/>
  <c r="I80" i="35"/>
  <c r="J80" i="35"/>
  <c r="K80" i="35"/>
  <c r="L80" i="35"/>
  <c r="M80" i="35"/>
  <c r="D72" i="35"/>
  <c r="E72" i="35"/>
  <c r="F72" i="35"/>
  <c r="G72" i="35"/>
  <c r="D70" i="35"/>
  <c r="E70" i="35"/>
  <c r="F70" i="35"/>
  <c r="G70" i="35"/>
  <c r="D66" i="35"/>
  <c r="E66" i="35"/>
  <c r="F66" i="35"/>
  <c r="G66" i="35"/>
  <c r="D64" i="35"/>
  <c r="E64" i="35"/>
  <c r="F64" i="35"/>
  <c r="G64" i="35"/>
  <c r="J14" i="35"/>
  <c r="W14" i="35"/>
  <c r="C53" i="35"/>
  <c r="J9" i="35"/>
  <c r="P39" i="35"/>
  <c r="P38" i="35"/>
  <c r="V37" i="35"/>
  <c r="T37" i="35"/>
  <c r="R37" i="35"/>
  <c r="P37" i="35"/>
  <c r="Q36" i="35"/>
  <c r="Z36" i="35"/>
  <c r="J36" i="35"/>
  <c r="AC36" i="35"/>
  <c r="Q35" i="35"/>
  <c r="Z35" i="35"/>
  <c r="Q34" i="35"/>
  <c r="Z34" i="35"/>
  <c r="J34" i="35"/>
  <c r="AC34" i="35"/>
  <c r="H34" i="35"/>
  <c r="AB34" i="35"/>
  <c r="F34" i="35"/>
  <c r="AA34" i="35"/>
  <c r="Q33" i="35"/>
  <c r="Z33" i="35"/>
  <c r="Q32" i="35"/>
  <c r="Z32" i="35"/>
  <c r="H32" i="35"/>
  <c r="AB32" i="35" s="1"/>
  <c r="F32" i="35"/>
  <c r="AA32" i="35" s="1"/>
  <c r="Q31" i="35"/>
  <c r="Z31" i="35"/>
  <c r="AC31" i="35"/>
  <c r="AB31" i="35"/>
  <c r="AA31" i="35"/>
  <c r="Q30" i="35"/>
  <c r="Z30" i="35"/>
  <c r="Q29" i="35"/>
  <c r="Z29" i="35"/>
  <c r="Q28" i="35"/>
  <c r="Z28" i="35"/>
  <c r="J28" i="35"/>
  <c r="AC28" i="35"/>
  <c r="H28" i="35"/>
  <c r="AB28" i="35"/>
  <c r="F28" i="35"/>
  <c r="AA28" i="35"/>
  <c r="Q27" i="35"/>
  <c r="Z27" i="35"/>
  <c r="Q26" i="35"/>
  <c r="Z26" i="35"/>
  <c r="Q25" i="35"/>
  <c r="Z25" i="35"/>
  <c r="Q24" i="35"/>
  <c r="Z24" i="35"/>
  <c r="Q23" i="35"/>
  <c r="Z23" i="35"/>
  <c r="J23" i="35"/>
  <c r="AC23" i="35"/>
  <c r="Q22" i="35"/>
  <c r="Z22" i="35"/>
  <c r="Q20" i="35"/>
  <c r="Z20" i="35"/>
  <c r="Q16" i="35"/>
  <c r="Z16" i="35"/>
  <c r="Q14" i="35"/>
  <c r="Z14" i="35"/>
  <c r="Q13" i="35"/>
  <c r="Z13" i="35"/>
  <c r="Q12" i="35"/>
  <c r="Z12" i="35"/>
  <c r="J12" i="35"/>
  <c r="W12" i="35" s="1"/>
  <c r="H12" i="35"/>
  <c r="U12" i="35" s="1"/>
  <c r="F12" i="35"/>
  <c r="S12" i="35" s="1"/>
  <c r="Q11" i="35"/>
  <c r="Z11" i="35"/>
  <c r="Q10" i="35"/>
  <c r="Z10" i="35"/>
  <c r="Q9" i="35"/>
  <c r="Z9" i="35"/>
  <c r="J8" i="35"/>
  <c r="W8" i="35" s="1"/>
  <c r="H8" i="35"/>
  <c r="AB8" i="35" s="1"/>
  <c r="F8" i="35"/>
  <c r="AA8" i="35" s="1"/>
  <c r="D120" i="34"/>
  <c r="E120" i="34"/>
  <c r="F120" i="34"/>
  <c r="G120" i="34"/>
  <c r="H120" i="34"/>
  <c r="I120" i="34"/>
  <c r="J120" i="34"/>
  <c r="K120" i="34"/>
  <c r="L120" i="34"/>
  <c r="M120" i="34"/>
  <c r="D90" i="34"/>
  <c r="E90" i="34"/>
  <c r="F90" i="34"/>
  <c r="G90" i="34"/>
  <c r="H90" i="34"/>
  <c r="I90" i="34"/>
  <c r="J90" i="34"/>
  <c r="K90" i="34"/>
  <c r="L90" i="34"/>
  <c r="M90" i="34"/>
  <c r="C15" i="34"/>
  <c r="D126" i="34"/>
  <c r="E126" i="34"/>
  <c r="F126" i="34"/>
  <c r="G126" i="34"/>
  <c r="D124" i="34"/>
  <c r="E124" i="34"/>
  <c r="F124" i="34"/>
  <c r="G124" i="34"/>
  <c r="H124" i="34"/>
  <c r="I124" i="34"/>
  <c r="J124" i="34"/>
  <c r="K124" i="34"/>
  <c r="L124" i="34"/>
  <c r="M124" i="34"/>
  <c r="H43" i="34"/>
  <c r="AB43" i="34"/>
  <c r="D118" i="34"/>
  <c r="E118" i="34"/>
  <c r="F118" i="34"/>
  <c r="G118" i="34"/>
  <c r="D116" i="34"/>
  <c r="E116" i="34"/>
  <c r="F116" i="34"/>
  <c r="G116" i="34"/>
  <c r="H116" i="34"/>
  <c r="I116" i="34"/>
  <c r="J116" i="34"/>
  <c r="K116" i="34"/>
  <c r="L116" i="34"/>
  <c r="M116" i="34"/>
  <c r="F110" i="34"/>
  <c r="E110" i="34"/>
  <c r="D110" i="34"/>
  <c r="C110" i="34"/>
  <c r="D109" i="34"/>
  <c r="E109" i="34"/>
  <c r="F109" i="34"/>
  <c r="G109" i="34"/>
  <c r="H109" i="34"/>
  <c r="I109" i="34"/>
  <c r="J109" i="34"/>
  <c r="K109" i="34"/>
  <c r="L109" i="34"/>
  <c r="M109" i="34"/>
  <c r="D107" i="34"/>
  <c r="E107" i="34"/>
  <c r="F107" i="34"/>
  <c r="G107" i="34"/>
  <c r="H107" i="34"/>
  <c r="I107" i="34"/>
  <c r="J107" i="34"/>
  <c r="K107" i="34"/>
  <c r="L107" i="34"/>
  <c r="M107" i="34"/>
  <c r="F35" i="34"/>
  <c r="AA35" i="34"/>
  <c r="M103" i="34"/>
  <c r="L103" i="34"/>
  <c r="K103" i="34"/>
  <c r="J103" i="34"/>
  <c r="I103" i="34"/>
  <c r="H103" i="34"/>
  <c r="G103" i="34"/>
  <c r="F103" i="34"/>
  <c r="E103" i="34"/>
  <c r="D103" i="34"/>
  <c r="C103" i="34"/>
  <c r="D102" i="34"/>
  <c r="E102" i="34"/>
  <c r="F102" i="34"/>
  <c r="G102" i="34"/>
  <c r="H102" i="34"/>
  <c r="I102" i="34"/>
  <c r="J102" i="34"/>
  <c r="K102" i="34"/>
  <c r="L102" i="34"/>
  <c r="M102" i="34"/>
  <c r="D92" i="34"/>
  <c r="E92" i="34"/>
  <c r="F92" i="34"/>
  <c r="G92" i="34"/>
  <c r="H92" i="34"/>
  <c r="I92" i="34"/>
  <c r="J92" i="34"/>
  <c r="K92" i="34"/>
  <c r="L92" i="34"/>
  <c r="M92" i="34"/>
  <c r="B91" i="34"/>
  <c r="B89" i="34"/>
  <c r="J27" i="34"/>
  <c r="D88" i="34"/>
  <c r="E88" i="34"/>
  <c r="F88" i="34"/>
  <c r="G88" i="34"/>
  <c r="H88" i="34"/>
  <c r="I88" i="34"/>
  <c r="J88" i="34"/>
  <c r="K88" i="34"/>
  <c r="L88" i="34"/>
  <c r="M88" i="34"/>
  <c r="D86" i="34"/>
  <c r="E86" i="34"/>
  <c r="F86" i="34"/>
  <c r="G86" i="34"/>
  <c r="D82" i="34"/>
  <c r="E82" i="34"/>
  <c r="F82" i="34"/>
  <c r="G82" i="34"/>
  <c r="D80" i="34"/>
  <c r="E80" i="34"/>
  <c r="F80" i="34"/>
  <c r="G80" i="34"/>
  <c r="D78" i="34"/>
  <c r="E78" i="34"/>
  <c r="F78" i="34"/>
  <c r="G78" i="34"/>
  <c r="D70" i="34"/>
  <c r="E70" i="34"/>
  <c r="M68" i="34"/>
  <c r="L68" i="34"/>
  <c r="K68" i="34"/>
  <c r="J68" i="34"/>
  <c r="I68" i="34"/>
  <c r="H68" i="34"/>
  <c r="G68" i="34"/>
  <c r="F68" i="34"/>
  <c r="E68" i="34"/>
  <c r="D68" i="34"/>
  <c r="C68" i="34"/>
  <c r="C64" i="34"/>
  <c r="P50" i="34"/>
  <c r="P49" i="34"/>
  <c r="V48" i="34"/>
  <c r="T48" i="34"/>
  <c r="R48" i="34"/>
  <c r="P48" i="34"/>
  <c r="Q47" i="34"/>
  <c r="Z47" i="34"/>
  <c r="Q46" i="34"/>
  <c r="Z46" i="34"/>
  <c r="Q45" i="34"/>
  <c r="Z45" i="34"/>
  <c r="Q44" i="34"/>
  <c r="Z44" i="34"/>
  <c r="Q43" i="34"/>
  <c r="Z43" i="34"/>
  <c r="Q42" i="34"/>
  <c r="Z42" i="34"/>
  <c r="Q41" i="34"/>
  <c r="Z41" i="34"/>
  <c r="Q40" i="34"/>
  <c r="Z40" i="34"/>
  <c r="Q39" i="34"/>
  <c r="Z39" i="34"/>
  <c r="H39" i="34"/>
  <c r="AB39" i="34"/>
  <c r="Q38" i="34"/>
  <c r="Z38" i="34"/>
  <c r="Q37" i="34"/>
  <c r="Z37" i="34"/>
  <c r="Q36" i="34"/>
  <c r="Z36" i="34"/>
  <c r="Q35" i="34"/>
  <c r="Z35" i="34"/>
  <c r="Q34" i="34"/>
  <c r="Z34" i="34"/>
  <c r="J34" i="34"/>
  <c r="AC34" i="34" s="1"/>
  <c r="H34" i="34"/>
  <c r="AB34" i="34" s="1"/>
  <c r="F34" i="34"/>
  <c r="AA34" i="34" s="1"/>
  <c r="Q33" i="34"/>
  <c r="Z33" i="34"/>
  <c r="Q32" i="34"/>
  <c r="Z32" i="34"/>
  <c r="Q31" i="34"/>
  <c r="Z31" i="34"/>
  <c r="Q30" i="34"/>
  <c r="Z30" i="34"/>
  <c r="Q29" i="34"/>
  <c r="Z29" i="34"/>
  <c r="Q28" i="34"/>
  <c r="Z28" i="34"/>
  <c r="Q27" i="34"/>
  <c r="Z27" i="34"/>
  <c r="Q25" i="34"/>
  <c r="Z25" i="34"/>
  <c r="Q23" i="34"/>
  <c r="Z23" i="34"/>
  <c r="C23" i="34"/>
  <c r="Q19" i="34"/>
  <c r="Z19" i="34"/>
  <c r="C19" i="34"/>
  <c r="Q17" i="34"/>
  <c r="Z17" i="34"/>
  <c r="C17" i="34"/>
  <c r="Q15" i="34"/>
  <c r="Z15" i="34"/>
  <c r="Q14" i="34"/>
  <c r="Z14" i="34"/>
  <c r="Q13" i="34"/>
  <c r="Z13" i="34"/>
  <c r="Q12" i="34"/>
  <c r="Z12" i="34"/>
  <c r="J12" i="34"/>
  <c r="W12" i="34" s="1"/>
  <c r="H12" i="34"/>
  <c r="F12" i="34"/>
  <c r="S12" i="34" s="1"/>
  <c r="Q11" i="34"/>
  <c r="Z11" i="34"/>
  <c r="Q10" i="34"/>
  <c r="Z10" i="34"/>
  <c r="F10" i="34"/>
  <c r="AA10" i="34" s="1"/>
  <c r="Q9" i="34"/>
  <c r="Z9" i="34"/>
  <c r="J9" i="34"/>
  <c r="AC9" i="34" s="1"/>
  <c r="H9" i="34"/>
  <c r="F9" i="34"/>
  <c r="AA9" i="34" s="1"/>
  <c r="J8" i="34"/>
  <c r="AC8" i="34" s="1"/>
  <c r="H8" i="34"/>
  <c r="U8" i="34" s="1"/>
  <c r="F8" i="34"/>
  <c r="D121" i="33"/>
  <c r="E121" i="33"/>
  <c r="F109" i="33"/>
  <c r="E109" i="33"/>
  <c r="D109" i="33"/>
  <c r="C109" i="33"/>
  <c r="D91" i="33"/>
  <c r="E91" i="33"/>
  <c r="B88" i="33"/>
  <c r="J26" i="33"/>
  <c r="C23" i="33"/>
  <c r="C19" i="33"/>
  <c r="C17" i="33"/>
  <c r="C15" i="33"/>
  <c r="C15" i="21"/>
  <c r="D125" i="33"/>
  <c r="D123" i="33"/>
  <c r="D117" i="33"/>
  <c r="E117" i="33"/>
  <c r="F117" i="33"/>
  <c r="G117" i="33"/>
  <c r="D115" i="33"/>
  <c r="E115" i="33"/>
  <c r="F115" i="33"/>
  <c r="G115" i="33"/>
  <c r="H115" i="33"/>
  <c r="I115" i="33"/>
  <c r="J115" i="33"/>
  <c r="K115" i="33"/>
  <c r="L115" i="33"/>
  <c r="M115" i="33"/>
  <c r="D108" i="33"/>
  <c r="E108" i="33"/>
  <c r="F108" i="33"/>
  <c r="D106" i="33"/>
  <c r="E106" i="33"/>
  <c r="M102" i="33"/>
  <c r="L102" i="33"/>
  <c r="K102" i="33"/>
  <c r="J102" i="33"/>
  <c r="I102" i="33"/>
  <c r="H102" i="33"/>
  <c r="G102" i="33"/>
  <c r="F102" i="33"/>
  <c r="E102" i="33"/>
  <c r="D102" i="33"/>
  <c r="C102" i="33"/>
  <c r="D101" i="33"/>
  <c r="E101" i="33"/>
  <c r="B92" i="33"/>
  <c r="B90" i="33"/>
  <c r="D87" i="33"/>
  <c r="E87" i="33"/>
  <c r="D85" i="33"/>
  <c r="E85" i="33"/>
  <c r="D81" i="33"/>
  <c r="E81" i="33"/>
  <c r="D79" i="33"/>
  <c r="E79" i="33"/>
  <c r="D77" i="33"/>
  <c r="E77" i="33"/>
  <c r="F77" i="33"/>
  <c r="G77" i="33"/>
  <c r="D69" i="33"/>
  <c r="E69" i="33"/>
  <c r="F69" i="33"/>
  <c r="G69" i="33"/>
  <c r="H69" i="33"/>
  <c r="I69" i="33"/>
  <c r="J69" i="33"/>
  <c r="K69" i="33"/>
  <c r="L69" i="33"/>
  <c r="M69" i="33"/>
  <c r="M67" i="33"/>
  <c r="L67" i="33"/>
  <c r="K67" i="33"/>
  <c r="J67" i="33"/>
  <c r="I67" i="33"/>
  <c r="H67" i="33"/>
  <c r="G67" i="33"/>
  <c r="F67" i="33"/>
  <c r="E67" i="33"/>
  <c r="D67" i="33"/>
  <c r="C67" i="33"/>
  <c r="C63" i="33"/>
  <c r="H54" i="33"/>
  <c r="F54" i="33"/>
  <c r="P49" i="33"/>
  <c r="P48" i="33"/>
  <c r="V47" i="33"/>
  <c r="T47" i="33"/>
  <c r="R47" i="33"/>
  <c r="P47" i="33"/>
  <c r="Q46" i="33"/>
  <c r="Z46" i="33"/>
  <c r="Q45" i="33"/>
  <c r="Z45" i="33"/>
  <c r="Q44" i="33"/>
  <c r="Z44" i="33"/>
  <c r="Q43" i="33"/>
  <c r="Z43" i="33"/>
  <c r="Q42" i="33"/>
  <c r="Z42" i="33"/>
  <c r="J42" i="33"/>
  <c r="AC42" i="33"/>
  <c r="AC41" i="33"/>
  <c r="W41" i="33"/>
  <c r="Q41" i="33"/>
  <c r="Z41" i="33"/>
  <c r="Q40" i="33"/>
  <c r="Z40" i="33"/>
  <c r="J40" i="33"/>
  <c r="AC40" i="33"/>
  <c r="H40" i="33"/>
  <c r="AB40" i="33"/>
  <c r="AA40" i="33"/>
  <c r="Q39" i="33"/>
  <c r="Z39" i="33"/>
  <c r="J39" i="33"/>
  <c r="AC39" i="33"/>
  <c r="Q38" i="33"/>
  <c r="Z38" i="33"/>
  <c r="J38" i="33"/>
  <c r="AC38" i="33"/>
  <c r="H38" i="33"/>
  <c r="AB38" i="33"/>
  <c r="F38" i="33"/>
  <c r="AA38" i="33"/>
  <c r="Q37" i="33"/>
  <c r="Z37" i="33"/>
  <c r="Q36" i="33"/>
  <c r="Z36" i="33"/>
  <c r="Q35" i="33"/>
  <c r="Z35" i="33"/>
  <c r="H35" i="33"/>
  <c r="AB35" i="33"/>
  <c r="Q34" i="33"/>
  <c r="Z34" i="33"/>
  <c r="Q33" i="33"/>
  <c r="Z33" i="33"/>
  <c r="J33" i="33"/>
  <c r="AC33" i="33" s="1"/>
  <c r="H33" i="33"/>
  <c r="AB33" i="33" s="1"/>
  <c r="F33" i="33"/>
  <c r="AA33" i="33" s="1"/>
  <c r="Q32" i="33"/>
  <c r="Z32" i="33"/>
  <c r="Q31" i="33"/>
  <c r="Z31" i="33"/>
  <c r="Q30" i="33"/>
  <c r="Z30" i="33"/>
  <c r="Q29" i="33"/>
  <c r="Z29" i="33"/>
  <c r="Q28" i="33"/>
  <c r="Z28" i="33"/>
  <c r="Q27" i="33"/>
  <c r="Z27" i="33"/>
  <c r="Q26" i="33"/>
  <c r="Z26" i="33"/>
  <c r="Q25" i="33"/>
  <c r="Z25" i="33"/>
  <c r="Q23" i="33"/>
  <c r="Z23" i="33"/>
  <c r="Q19" i="33"/>
  <c r="Z19" i="33"/>
  <c r="Q17" i="33"/>
  <c r="Z17" i="33"/>
  <c r="Q15" i="33"/>
  <c r="Z15" i="33"/>
  <c r="F15" i="33"/>
  <c r="AA15" i="33"/>
  <c r="Q14" i="33"/>
  <c r="Z14" i="33"/>
  <c r="Q13" i="33"/>
  <c r="Z13" i="33"/>
  <c r="Q12" i="33"/>
  <c r="Z12" i="33"/>
  <c r="H12" i="33"/>
  <c r="U12" i="33" s="1"/>
  <c r="Q11" i="33"/>
  <c r="Z11" i="33"/>
  <c r="Q10" i="33"/>
  <c r="Z10" i="33"/>
  <c r="Q9" i="33"/>
  <c r="Z9" i="33"/>
  <c r="J9" i="33"/>
  <c r="AC9" i="33" s="1"/>
  <c r="H9" i="33"/>
  <c r="AB9" i="33" s="1"/>
  <c r="F9" i="33"/>
  <c r="AA9" i="33" s="1"/>
  <c r="J8" i="33"/>
  <c r="AC8" i="33" s="1"/>
  <c r="H8" i="33"/>
  <c r="AB8" i="33" s="1"/>
  <c r="F8" i="33"/>
  <c r="AA8" i="33" s="1"/>
  <c r="M102" i="21"/>
  <c r="D102" i="21"/>
  <c r="E102" i="21"/>
  <c r="F102" i="21"/>
  <c r="G102" i="21"/>
  <c r="H102" i="21"/>
  <c r="I102" i="21"/>
  <c r="J102" i="21"/>
  <c r="K102" i="21"/>
  <c r="L102" i="21"/>
  <c r="C102" i="21"/>
  <c r="C63" i="21"/>
  <c r="F9" i="21"/>
  <c r="G18" i="20"/>
  <c r="B90" i="43"/>
  <c r="G19" i="20"/>
  <c r="B87" i="43" s="1"/>
  <c r="G16" i="20"/>
  <c r="B84" i="43" s="1"/>
  <c r="G15" i="20"/>
  <c r="B83" i="43" s="1"/>
  <c r="C24" i="20"/>
  <c r="B75" i="43"/>
  <c r="C21" i="20"/>
  <c r="B76" i="43"/>
  <c r="C20" i="20"/>
  <c r="B79" i="43"/>
  <c r="C18" i="20"/>
  <c r="B73" i="43"/>
  <c r="C17" i="20"/>
  <c r="B61" i="43"/>
  <c r="C16" i="20"/>
  <c r="C17" i="39" s="1"/>
  <c r="C15" i="20"/>
  <c r="B72" i="43"/>
  <c r="E54" i="21"/>
  <c r="F54" i="21" s="1"/>
  <c r="I54" i="21"/>
  <c r="J54" i="21" s="1"/>
  <c r="G54" i="21"/>
  <c r="H54" i="21" s="1"/>
  <c r="D125" i="21"/>
  <c r="E125" i="21"/>
  <c r="F125" i="21"/>
  <c r="G125" i="21"/>
  <c r="D123" i="21"/>
  <c r="E123" i="21"/>
  <c r="F123" i="21"/>
  <c r="F42" i="21"/>
  <c r="AA42" i="21"/>
  <c r="D119" i="21"/>
  <c r="F40" i="21"/>
  <c r="AA40" i="21"/>
  <c r="D117" i="21"/>
  <c r="E117" i="21"/>
  <c r="F117" i="21"/>
  <c r="G117" i="21"/>
  <c r="D115" i="21"/>
  <c r="E115" i="21"/>
  <c r="F115" i="21"/>
  <c r="G115" i="21"/>
  <c r="H115" i="21"/>
  <c r="I115" i="21"/>
  <c r="J115" i="21"/>
  <c r="K115" i="21"/>
  <c r="L115" i="21"/>
  <c r="M115" i="21"/>
  <c r="D113" i="21"/>
  <c r="E113" i="21"/>
  <c r="F113" i="21"/>
  <c r="G113" i="21"/>
  <c r="H113" i="21"/>
  <c r="D110" i="21"/>
  <c r="E110" i="21"/>
  <c r="F110" i="21"/>
  <c r="G110" i="21"/>
  <c r="H110" i="21"/>
  <c r="I110" i="21"/>
  <c r="J110" i="21"/>
  <c r="K110" i="21"/>
  <c r="L110" i="21"/>
  <c r="M110" i="21"/>
  <c r="J36" i="21"/>
  <c r="AC36" i="21"/>
  <c r="D108" i="21"/>
  <c r="E108" i="21"/>
  <c r="F108" i="21"/>
  <c r="G108" i="21"/>
  <c r="H108" i="21"/>
  <c r="I108" i="21"/>
  <c r="J108" i="21"/>
  <c r="K108" i="21"/>
  <c r="L108" i="21"/>
  <c r="M108" i="21"/>
  <c r="D106" i="21"/>
  <c r="E106" i="21"/>
  <c r="F106" i="21"/>
  <c r="G106" i="21"/>
  <c r="H106" i="21"/>
  <c r="I106" i="21"/>
  <c r="J106" i="21"/>
  <c r="K106" i="21"/>
  <c r="L106" i="21"/>
  <c r="M106" i="21"/>
  <c r="D101" i="21"/>
  <c r="E101" i="21"/>
  <c r="F101" i="21"/>
  <c r="G101" i="21"/>
  <c r="H101" i="21"/>
  <c r="D89" i="21"/>
  <c r="E89" i="21"/>
  <c r="F89" i="21"/>
  <c r="G89" i="21"/>
  <c r="H89" i="21"/>
  <c r="I89" i="21"/>
  <c r="J89" i="21"/>
  <c r="K89" i="21"/>
  <c r="L89" i="21"/>
  <c r="M89" i="21"/>
  <c r="D67" i="21"/>
  <c r="E67" i="21"/>
  <c r="F67" i="21"/>
  <c r="G67" i="21"/>
  <c r="H67" i="21"/>
  <c r="I67" i="21"/>
  <c r="J67" i="21"/>
  <c r="K67" i="21"/>
  <c r="L67" i="21"/>
  <c r="M67" i="21"/>
  <c r="C67" i="21"/>
  <c r="D69" i="21"/>
  <c r="E69" i="21"/>
  <c r="F69" i="21"/>
  <c r="G69" i="21"/>
  <c r="H69" i="21"/>
  <c r="I69" i="21"/>
  <c r="J69" i="21"/>
  <c r="K69" i="21"/>
  <c r="L69" i="21"/>
  <c r="M69" i="21"/>
  <c r="D111" i="21"/>
  <c r="E111" i="21"/>
  <c r="F111" i="21"/>
  <c r="C111" i="21"/>
  <c r="D79" i="21"/>
  <c r="E79" i="21"/>
  <c r="F79" i="21"/>
  <c r="G79" i="21"/>
  <c r="D85" i="21"/>
  <c r="F19" i="21"/>
  <c r="AA19" i="21"/>
  <c r="E81" i="21"/>
  <c r="F81" i="21"/>
  <c r="G81" i="21"/>
  <c r="D77" i="21"/>
  <c r="E77" i="21"/>
  <c r="B130" i="21"/>
  <c r="B128" i="21"/>
  <c r="J45" i="21"/>
  <c r="W45" i="21"/>
  <c r="B126" i="21"/>
  <c r="B98" i="21"/>
  <c r="H31" i="21"/>
  <c r="B96" i="21"/>
  <c r="B94" i="21"/>
  <c r="J29" i="21"/>
  <c r="AC29" i="21"/>
  <c r="B92" i="21"/>
  <c r="B90" i="21"/>
  <c r="J27" i="21"/>
  <c r="W27" i="21"/>
  <c r="B74" i="21"/>
  <c r="B72" i="21"/>
  <c r="H13" i="21"/>
  <c r="B70" i="21"/>
  <c r="F12" i="21"/>
  <c r="S12" i="21" s="1"/>
  <c r="C19" i="21"/>
  <c r="C17" i="21"/>
  <c r="C23" i="21"/>
  <c r="Q9" i="21"/>
  <c r="Z9" i="21"/>
  <c r="Q10" i="21"/>
  <c r="Z10" i="21"/>
  <c r="Q11" i="21"/>
  <c r="Z11" i="21"/>
  <c r="Q12" i="21"/>
  <c r="Z12" i="21"/>
  <c r="Q13" i="21"/>
  <c r="Z13" i="21"/>
  <c r="Q14" i="21"/>
  <c r="Z14" i="21"/>
  <c r="Q15" i="21"/>
  <c r="Z15" i="21"/>
  <c r="Q17" i="21"/>
  <c r="Z17" i="21"/>
  <c r="Q19" i="21"/>
  <c r="Z19" i="21"/>
  <c r="Q23" i="21"/>
  <c r="Z23" i="21"/>
  <c r="Q25" i="21"/>
  <c r="Z25" i="21"/>
  <c r="Q26" i="21"/>
  <c r="Z26" i="21"/>
  <c r="Q27" i="21"/>
  <c r="Z27" i="21"/>
  <c r="Q28" i="21"/>
  <c r="Z28" i="21"/>
  <c r="Q29" i="21"/>
  <c r="Z29" i="21"/>
  <c r="Q30" i="21"/>
  <c r="Z30" i="21"/>
  <c r="Q31" i="21"/>
  <c r="Z31" i="21"/>
  <c r="Q32" i="21"/>
  <c r="Z32" i="21"/>
  <c r="Q33" i="21"/>
  <c r="Z33" i="21"/>
  <c r="Q34" i="21"/>
  <c r="Z34" i="21"/>
  <c r="J35" i="21"/>
  <c r="W35" i="21"/>
  <c r="Q35" i="21"/>
  <c r="Z35" i="21"/>
  <c r="Q36" i="21"/>
  <c r="Z36" i="21"/>
  <c r="Q37" i="21"/>
  <c r="Z37" i="21"/>
  <c r="J38" i="21"/>
  <c r="W38" i="21"/>
  <c r="Q38" i="21"/>
  <c r="Z38" i="21"/>
  <c r="J39" i="21"/>
  <c r="AC39" i="21"/>
  <c r="Q39" i="21"/>
  <c r="Z39" i="21"/>
  <c r="H40" i="21"/>
  <c r="AB40" i="21"/>
  <c r="Q40" i="21"/>
  <c r="Z40" i="21"/>
  <c r="Q41" i="21"/>
  <c r="Z41" i="21"/>
  <c r="Q42" i="21"/>
  <c r="Z42" i="21"/>
  <c r="J43" i="21"/>
  <c r="AC43" i="21"/>
  <c r="Q43" i="21"/>
  <c r="Z43" i="21"/>
  <c r="Q44" i="21"/>
  <c r="Z44" i="21"/>
  <c r="Q45" i="21"/>
  <c r="Z45" i="21"/>
  <c r="Q46" i="21"/>
  <c r="Z46" i="21"/>
  <c r="P47" i="21"/>
  <c r="R47" i="21"/>
  <c r="T47" i="21"/>
  <c r="V47" i="21"/>
  <c r="P48" i="21"/>
  <c r="P49" i="21"/>
  <c r="F8" i="21"/>
  <c r="AA8" i="21" s="1"/>
  <c r="E10" i="11"/>
  <c r="E9" i="11"/>
  <c r="C7" i="12"/>
  <c r="BB12" i="3"/>
  <c r="F7" i="12"/>
  <c r="D7" i="12"/>
  <c r="E7" i="12"/>
  <c r="G7" i="12"/>
  <c r="K5" i="3"/>
  <c r="J5" i="3"/>
  <c r="BE10" i="3"/>
  <c r="BB585" i="3"/>
  <c r="BC585" i="3"/>
  <c r="BD585" i="3"/>
  <c r="BE585" i="3"/>
  <c r="BF585" i="3"/>
  <c r="BG585" i="3"/>
  <c r="BH585" i="3"/>
  <c r="BI585" i="3"/>
  <c r="BJ585" i="3"/>
  <c r="BK585" i="3"/>
  <c r="BM585" i="3"/>
  <c r="BN585" i="3"/>
  <c r="BO585" i="3"/>
  <c r="BP585" i="3"/>
  <c r="BQ585" i="3"/>
  <c r="BR585" i="3"/>
  <c r="BS585" i="3"/>
  <c r="BL585" i="3"/>
  <c r="AZ585" i="3"/>
  <c r="BT585" i="3"/>
  <c r="BB586" i="3"/>
  <c r="BC586" i="3"/>
  <c r="BD586" i="3"/>
  <c r="BE586" i="3"/>
  <c r="BF586" i="3"/>
  <c r="BG586" i="3"/>
  <c r="BH586" i="3"/>
  <c r="BI586" i="3"/>
  <c r="BJ586" i="3"/>
  <c r="BK586" i="3"/>
  <c r="BM586" i="3"/>
  <c r="BL586" i="3"/>
  <c r="BN586" i="3"/>
  <c r="BO586" i="3"/>
  <c r="BP586" i="3"/>
  <c r="BQ586" i="3"/>
  <c r="BR586" i="3"/>
  <c r="BS586" i="3"/>
  <c r="BT586" i="3"/>
  <c r="BB587" i="3"/>
  <c r="BC587" i="3"/>
  <c r="BD587" i="3"/>
  <c r="BE587" i="3"/>
  <c r="BF587" i="3"/>
  <c r="BG587" i="3"/>
  <c r="BH587" i="3"/>
  <c r="BI587" i="3"/>
  <c r="BJ587" i="3"/>
  <c r="BK587" i="3"/>
  <c r="BM587" i="3"/>
  <c r="BN587" i="3"/>
  <c r="BO587" i="3"/>
  <c r="BP587" i="3"/>
  <c r="BQ587" i="3"/>
  <c r="BR587" i="3"/>
  <c r="BS587" i="3"/>
  <c r="BT587" i="3"/>
  <c r="AC585" i="3"/>
  <c r="AC586" i="3"/>
  <c r="AC587" i="3"/>
  <c r="BM12" i="3"/>
  <c r="BN12" i="3"/>
  <c r="BO12" i="3"/>
  <c r="BP12" i="3"/>
  <c r="BQ12" i="3"/>
  <c r="BR12" i="3"/>
  <c r="BS12" i="3"/>
  <c r="BT12" i="3"/>
  <c r="BD12" i="3"/>
  <c r="BE12" i="3"/>
  <c r="BF12" i="3"/>
  <c r="BG12" i="3"/>
  <c r="BH12" i="3"/>
  <c r="BI12" i="3"/>
  <c r="BJ12" i="3"/>
  <c r="BK12" i="3"/>
  <c r="BC12" i="3"/>
  <c r="BT11" i="3"/>
  <c r="BT10" i="3"/>
  <c r="BS11" i="3"/>
  <c r="BS10" i="3"/>
  <c r="BR11" i="3"/>
  <c r="BR10" i="3"/>
  <c r="BQ11" i="3"/>
  <c r="BQ10" i="3"/>
  <c r="BP11" i="3"/>
  <c r="BP10" i="3"/>
  <c r="BO11" i="3"/>
  <c r="BO10" i="3"/>
  <c r="BN11" i="3"/>
  <c r="BN10" i="3"/>
  <c r="BM11" i="3"/>
  <c r="BM10" i="3"/>
  <c r="BK11" i="3"/>
  <c r="BK10" i="3"/>
  <c r="BJ11" i="3"/>
  <c r="BJ10" i="3"/>
  <c r="BI11" i="3"/>
  <c r="BI10" i="3"/>
  <c r="BH11" i="3"/>
  <c r="BH10" i="3"/>
  <c r="BG11" i="3"/>
  <c r="BG10" i="3"/>
  <c r="BF11" i="3"/>
  <c r="BF10" i="3"/>
  <c r="BE11" i="3"/>
  <c r="AE5" i="3"/>
  <c r="AF5" i="3"/>
  <c r="AG5" i="3"/>
  <c r="AI5" i="3"/>
  <c r="AJ5" i="3"/>
  <c r="AK5" i="3"/>
  <c r="AM5" i="3"/>
  <c r="AN5" i="3"/>
  <c r="AO5" i="3"/>
  <c r="AQ5" i="3"/>
  <c r="AR5" i="3"/>
  <c r="AS5" i="3"/>
  <c r="L5" i="3"/>
  <c r="M5" i="3"/>
  <c r="N5" i="3"/>
  <c r="O5" i="3"/>
  <c r="P5" i="3"/>
  <c r="Q5" i="3"/>
  <c r="R5" i="3"/>
  <c r="S5" i="3"/>
  <c r="T5" i="3"/>
  <c r="U5" i="3"/>
  <c r="V5" i="3"/>
  <c r="W5" i="3"/>
  <c r="X5" i="3"/>
  <c r="Y5" i="3"/>
  <c r="Z5" i="3"/>
  <c r="AA5" i="3"/>
  <c r="AB5" i="3"/>
  <c r="H585" i="3"/>
  <c r="G585" i="3"/>
  <c r="H586" i="3"/>
  <c r="G586" i="3"/>
  <c r="H587" i="3"/>
  <c r="G587" i="3"/>
  <c r="F5" i="3"/>
  <c r="F34" i="21"/>
  <c r="AA34" i="21"/>
  <c r="H34" i="21"/>
  <c r="AB34" i="21"/>
  <c r="F43" i="21"/>
  <c r="S43" i="21"/>
  <c r="H38" i="21"/>
  <c r="U38" i="21"/>
  <c r="H43" i="21"/>
  <c r="AB43" i="21"/>
  <c r="F38" i="21"/>
  <c r="S38" i="21"/>
  <c r="F36" i="21"/>
  <c r="S36" i="21"/>
  <c r="F39" i="21"/>
  <c r="AA39" i="21"/>
  <c r="J40" i="21"/>
  <c r="W40" i="21"/>
  <c r="H35" i="21"/>
  <c r="AB35" i="21"/>
  <c r="J8" i="21"/>
  <c r="AC8" i="21" s="1"/>
  <c r="H8" i="21"/>
  <c r="U8" i="21" s="1"/>
  <c r="H10" i="21"/>
  <c r="AB10" i="21" s="1"/>
  <c r="H39" i="21"/>
  <c r="U39" i="21"/>
  <c r="J34" i="21"/>
  <c r="W34" i="21"/>
  <c r="H36" i="21"/>
  <c r="U36" i="21"/>
  <c r="F35" i="21"/>
  <c r="AA35" i="21"/>
  <c r="J10" i="21"/>
  <c r="AC10" i="21" s="1"/>
  <c r="H26" i="21"/>
  <c r="AB26" i="21"/>
  <c r="AB19" i="21"/>
  <c r="J19" i="21"/>
  <c r="W19" i="21"/>
  <c r="J12" i="21"/>
  <c r="AC12" i="21" s="1"/>
  <c r="H12" i="21"/>
  <c r="AB12" i="21" s="1"/>
  <c r="J26" i="21"/>
  <c r="W26" i="21"/>
  <c r="F26" i="21"/>
  <c r="S26" i="21"/>
  <c r="AB41" i="21"/>
  <c r="S41" i="21"/>
  <c r="AA41" i="21"/>
  <c r="F45" i="39"/>
  <c r="S45" i="39"/>
  <c r="J45" i="39"/>
  <c r="W45" i="39"/>
  <c r="J44" i="39"/>
  <c r="AC44" i="39"/>
  <c r="F36" i="39"/>
  <c r="S36" i="39"/>
  <c r="H36" i="39"/>
  <c r="AB36" i="39"/>
  <c r="J35" i="39"/>
  <c r="AC35" i="39"/>
  <c r="F35" i="39"/>
  <c r="AA35" i="39"/>
  <c r="J36" i="39"/>
  <c r="AC36" i="39"/>
  <c r="U9" i="39"/>
  <c r="W40" i="39"/>
  <c r="W25" i="37"/>
  <c r="U30" i="37"/>
  <c r="W31" i="37"/>
  <c r="E103" i="37"/>
  <c r="F103" i="37"/>
  <c r="G103" i="37"/>
  <c r="H103" i="37"/>
  <c r="I103" i="37"/>
  <c r="J103" i="37"/>
  <c r="K103" i="37"/>
  <c r="L103" i="37"/>
  <c r="M103" i="37"/>
  <c r="F39" i="37"/>
  <c r="S39" i="37"/>
  <c r="U14" i="37"/>
  <c r="F29" i="36"/>
  <c r="AA29" i="36" s="1"/>
  <c r="F16" i="36"/>
  <c r="AA16" i="36"/>
  <c r="U9" i="36"/>
  <c r="W28" i="36"/>
  <c r="U31" i="36"/>
  <c r="J33" i="36"/>
  <c r="AC33" i="36" s="1"/>
  <c r="H22" i="35"/>
  <c r="AB22" i="35"/>
  <c r="AC27" i="35"/>
  <c r="W28" i="35"/>
  <c r="U31" i="35"/>
  <c r="S34" i="35"/>
  <c r="W34" i="35"/>
  <c r="W36" i="35"/>
  <c r="W22" i="35"/>
  <c r="S31" i="35"/>
  <c r="U34" i="35"/>
  <c r="F36" i="34"/>
  <c r="J35" i="34"/>
  <c r="W9" i="34"/>
  <c r="U34" i="34"/>
  <c r="H39" i="33"/>
  <c r="AB39" i="33"/>
  <c r="F26" i="33"/>
  <c r="AA26" i="33"/>
  <c r="U33" i="33"/>
  <c r="U35" i="33"/>
  <c r="S40" i="33"/>
  <c r="W33" i="33"/>
  <c r="W39" i="33"/>
  <c r="H39" i="37"/>
  <c r="AB39" i="37"/>
  <c r="S27" i="35"/>
  <c r="W8" i="40"/>
  <c r="AB39" i="40"/>
  <c r="AC40" i="40"/>
  <c r="AC9" i="40"/>
  <c r="S34" i="40"/>
  <c r="U38" i="40"/>
  <c r="S40" i="40"/>
  <c r="W31" i="40"/>
  <c r="U34" i="40"/>
  <c r="S38" i="40"/>
  <c r="U40" i="40"/>
  <c r="F42" i="39"/>
  <c r="AA42" i="39" s="1"/>
  <c r="F41" i="39"/>
  <c r="S41" i="39" s="1"/>
  <c r="H40" i="39"/>
  <c r="AB40" i="39" s="1"/>
  <c r="H39" i="39"/>
  <c r="U39" i="39" s="1"/>
  <c r="S38" i="39"/>
  <c r="S34" i="39"/>
  <c r="H34" i="39"/>
  <c r="U34" i="39" s="1"/>
  <c r="E108" i="39"/>
  <c r="H31" i="39"/>
  <c r="AB31" i="39"/>
  <c r="F31" i="39"/>
  <c r="AA31" i="39"/>
  <c r="E100" i="39"/>
  <c r="H19" i="39"/>
  <c r="AB19" i="39" s="1"/>
  <c r="F19" i="39"/>
  <c r="AA19" i="39" s="1"/>
  <c r="H17" i="39"/>
  <c r="AB17" i="39" s="1"/>
  <c r="F17" i="39"/>
  <c r="AA17" i="39" s="1"/>
  <c r="F21" i="40"/>
  <c r="AA21" i="40" s="1"/>
  <c r="J21" i="40"/>
  <c r="W21" i="40" s="1"/>
  <c r="H42" i="39"/>
  <c r="AB42" i="39" s="1"/>
  <c r="J34" i="39"/>
  <c r="AC34" i="39" s="1"/>
  <c r="F108" i="39"/>
  <c r="G108" i="39" s="1"/>
  <c r="H108" i="39" s="1"/>
  <c r="I108" i="39" s="1"/>
  <c r="J108" i="39" s="1"/>
  <c r="K108" i="39" s="1"/>
  <c r="L108" i="39" s="1"/>
  <c r="M108" i="39" s="1"/>
  <c r="J31" i="39"/>
  <c r="F100" i="39"/>
  <c r="H27" i="39"/>
  <c r="U27" i="39" s="1"/>
  <c r="J19" i="39"/>
  <c r="AC19" i="39" s="1"/>
  <c r="J17" i="39"/>
  <c r="J27" i="39"/>
  <c r="AC27" i="39"/>
  <c r="F27" i="39"/>
  <c r="F11" i="21"/>
  <c r="S11" i="21" s="1"/>
  <c r="S40" i="21"/>
  <c r="U34" i="21"/>
  <c r="S34" i="21"/>
  <c r="C25" i="39"/>
  <c r="C27" i="39"/>
  <c r="C21" i="39"/>
  <c r="H11" i="39"/>
  <c r="S40" i="39"/>
  <c r="C15" i="39"/>
  <c r="H32" i="33"/>
  <c r="AB32" i="33"/>
  <c r="H11" i="21"/>
  <c r="U11" i="21" s="1"/>
  <c r="J11" i="21"/>
  <c r="W11" i="21" s="1"/>
  <c r="H37" i="40"/>
  <c r="U37" i="40" s="1"/>
  <c r="H36" i="40"/>
  <c r="AB36" i="40" s="1"/>
  <c r="F35" i="40"/>
  <c r="AA35" i="40" s="1"/>
  <c r="H17" i="40"/>
  <c r="U17" i="40" s="1"/>
  <c r="J15" i="40"/>
  <c r="W15" i="40" s="1"/>
  <c r="AB8" i="39"/>
  <c r="AB12" i="33"/>
  <c r="AC12" i="34"/>
  <c r="AA12" i="34"/>
  <c r="AB12" i="35"/>
  <c r="AB12" i="36"/>
  <c r="W32" i="40"/>
  <c r="S44" i="39"/>
  <c r="F37" i="39"/>
  <c r="AA37" i="39"/>
  <c r="J34" i="36"/>
  <c r="W34" i="36" s="1"/>
  <c r="U30" i="36"/>
  <c r="J30" i="35"/>
  <c r="W30" i="35" s="1"/>
  <c r="H30" i="35"/>
  <c r="AB30" i="35" s="1"/>
  <c r="F22" i="35"/>
  <c r="AA22" i="35"/>
  <c r="H10" i="35"/>
  <c r="U10" i="35" s="1"/>
  <c r="AC16" i="36"/>
  <c r="F33" i="36"/>
  <c r="AA33" i="36"/>
  <c r="W30" i="36"/>
  <c r="H16" i="36"/>
  <c r="AB16" i="36"/>
  <c r="E85" i="36"/>
  <c r="F85" i="36"/>
  <c r="G85" i="36"/>
  <c r="H85" i="36"/>
  <c r="I85" i="36"/>
  <c r="J85" i="36"/>
  <c r="K85" i="36"/>
  <c r="L85" i="36"/>
  <c r="M85" i="36"/>
  <c r="J29" i="36"/>
  <c r="AC29" i="36" s="1"/>
  <c r="F12" i="36"/>
  <c r="F24" i="36"/>
  <c r="AA24" i="36"/>
  <c r="F34" i="36"/>
  <c r="S34" i="36"/>
  <c r="F14" i="35"/>
  <c r="AA14" i="35"/>
  <c r="F23" i="35"/>
  <c r="AA23" i="35"/>
  <c r="J32" i="35"/>
  <c r="AC32" i="35" s="1"/>
  <c r="J16" i="35"/>
  <c r="AC16" i="35"/>
  <c r="H16" i="35"/>
  <c r="U16" i="35"/>
  <c r="F16" i="35"/>
  <c r="S16" i="35"/>
  <c r="H14" i="35"/>
  <c r="AB14" i="35"/>
  <c r="J29" i="35"/>
  <c r="H33" i="35"/>
  <c r="AB33" i="35"/>
  <c r="J20" i="35"/>
  <c r="W20" i="35"/>
  <c r="F35" i="37"/>
  <c r="S35" i="37"/>
  <c r="E101" i="37"/>
  <c r="F101" i="37"/>
  <c r="G101" i="37"/>
  <c r="H101" i="37"/>
  <c r="I101" i="37"/>
  <c r="J101" i="37"/>
  <c r="K101" i="37"/>
  <c r="L101" i="37"/>
  <c r="M101" i="37"/>
  <c r="J34" i="37"/>
  <c r="W34" i="37"/>
  <c r="AA39" i="37"/>
  <c r="AB34" i="37"/>
  <c r="J33" i="37"/>
  <c r="AC33" i="37" s="1"/>
  <c r="U42" i="34"/>
  <c r="H40" i="34"/>
  <c r="U40" i="34"/>
  <c r="E114" i="34"/>
  <c r="H36" i="34"/>
  <c r="U36" i="34"/>
  <c r="F37" i="34"/>
  <c r="AA37" i="34" s="1"/>
  <c r="S35" i="34"/>
  <c r="F28" i="34"/>
  <c r="AA28" i="34"/>
  <c r="F27" i="34"/>
  <c r="AA27" i="34"/>
  <c r="F25" i="34"/>
  <c r="S25" i="34"/>
  <c r="H23" i="34"/>
  <c r="U23" i="34"/>
  <c r="J23" i="34"/>
  <c r="F19" i="34"/>
  <c r="H17" i="34"/>
  <c r="U17" i="34"/>
  <c r="F15" i="34"/>
  <c r="J15" i="34"/>
  <c r="H15" i="34"/>
  <c r="AB15" i="34"/>
  <c r="W8" i="34"/>
  <c r="J28" i="34"/>
  <c r="W28" i="34"/>
  <c r="F41" i="33"/>
  <c r="AA41" i="33"/>
  <c r="S38" i="33"/>
  <c r="E113" i="33"/>
  <c r="F32" i="33"/>
  <c r="AA32" i="33"/>
  <c r="J19" i="33"/>
  <c r="AC19" i="33"/>
  <c r="J15" i="33"/>
  <c r="AC15" i="33"/>
  <c r="F11" i="33"/>
  <c r="AA11" i="33" s="1"/>
  <c r="S26" i="33"/>
  <c r="U40" i="33"/>
  <c r="W40" i="33"/>
  <c r="F37" i="40"/>
  <c r="S37" i="40" s="1"/>
  <c r="H28" i="40"/>
  <c r="U28" i="40" s="1"/>
  <c r="F17" i="40"/>
  <c r="AA17" i="40" s="1"/>
  <c r="J17" i="40"/>
  <c r="W17" i="40" s="1"/>
  <c r="F15" i="40"/>
  <c r="S15" i="40" s="1"/>
  <c r="H15" i="40"/>
  <c r="AB15" i="40" s="1"/>
  <c r="S12" i="36"/>
  <c r="AA12" i="36"/>
  <c r="AB30" i="36"/>
  <c r="U33" i="35"/>
  <c r="F29" i="35"/>
  <c r="S29" i="35" s="1"/>
  <c r="H29" i="35"/>
  <c r="AB29" i="35" s="1"/>
  <c r="H33" i="37"/>
  <c r="AB33" i="37" s="1"/>
  <c r="F33" i="37"/>
  <c r="AA33" i="37" s="1"/>
  <c r="U34" i="37"/>
  <c r="S34" i="37"/>
  <c r="AA34" i="37"/>
  <c r="J43" i="34"/>
  <c r="AB42" i="34"/>
  <c r="J40" i="34"/>
  <c r="F114" i="34"/>
  <c r="G114" i="34"/>
  <c r="H114" i="34"/>
  <c r="I114" i="34"/>
  <c r="J114" i="34"/>
  <c r="K114" i="34"/>
  <c r="L114" i="34"/>
  <c r="M114" i="34"/>
  <c r="H38" i="34"/>
  <c r="AB38" i="34"/>
  <c r="J36" i="34"/>
  <c r="W36" i="34"/>
  <c r="H37" i="34"/>
  <c r="U37" i="34" s="1"/>
  <c r="H25" i="34"/>
  <c r="AB25" i="34"/>
  <c r="J25" i="34"/>
  <c r="AC25" i="34"/>
  <c r="AB23" i="34"/>
  <c r="F23" i="34"/>
  <c r="AA23" i="34"/>
  <c r="J19" i="34"/>
  <c r="AC19" i="34"/>
  <c r="F17" i="34"/>
  <c r="AA17" i="34"/>
  <c r="J17" i="34"/>
  <c r="W17" i="34"/>
  <c r="AB17" i="34"/>
  <c r="AA15" i="34"/>
  <c r="S15" i="34"/>
  <c r="S41" i="33"/>
  <c r="F113" i="33"/>
  <c r="G113" i="33"/>
  <c r="H113" i="33"/>
  <c r="I113" i="33"/>
  <c r="J113" i="33"/>
  <c r="K113" i="33"/>
  <c r="L113" i="33"/>
  <c r="M113" i="33"/>
  <c r="H37" i="33"/>
  <c r="AB37" i="33"/>
  <c r="H15" i="33"/>
  <c r="AB15" i="33"/>
  <c r="H11" i="33"/>
  <c r="AB11" i="33" s="1"/>
  <c r="F28" i="40"/>
  <c r="AA28" i="40"/>
  <c r="AA29" i="35"/>
  <c r="AA42" i="34"/>
  <c r="S42" i="34"/>
  <c r="AC38" i="34"/>
  <c r="AA38" i="34"/>
  <c r="J37" i="34"/>
  <c r="AC37" i="34" s="1"/>
  <c r="J11" i="33"/>
  <c r="W11" i="33" s="1"/>
  <c r="S28" i="34"/>
  <c r="G123" i="21"/>
  <c r="H123" i="21"/>
  <c r="I123" i="21"/>
  <c r="J123" i="21"/>
  <c r="K123" i="21"/>
  <c r="L123" i="21"/>
  <c r="M123" i="21"/>
  <c r="J42" i="21"/>
  <c r="AC42" i="21"/>
  <c r="H42" i="21"/>
  <c r="U42" i="21"/>
  <c r="J44" i="34"/>
  <c r="F44" i="34"/>
  <c r="AA44" i="34"/>
  <c r="J10" i="35"/>
  <c r="AC10" i="35" s="1"/>
  <c r="BL587" i="3"/>
  <c r="J14" i="21"/>
  <c r="W14" i="21"/>
  <c r="F14" i="21"/>
  <c r="S14" i="21"/>
  <c r="H14" i="21"/>
  <c r="U14" i="21"/>
  <c r="H28" i="21"/>
  <c r="AB28" i="21"/>
  <c r="F28" i="21"/>
  <c r="AA28" i="21"/>
  <c r="J28" i="21"/>
  <c r="W28" i="21"/>
  <c r="H30" i="21"/>
  <c r="U30" i="21"/>
  <c r="F30" i="21"/>
  <c r="S30" i="21"/>
  <c r="J30" i="21"/>
  <c r="AC30" i="21"/>
  <c r="J44" i="21"/>
  <c r="AC44" i="21"/>
  <c r="H44" i="21"/>
  <c r="U44" i="21"/>
  <c r="F44" i="21"/>
  <c r="AA44" i="21"/>
  <c r="H46" i="21"/>
  <c r="U46" i="21"/>
  <c r="J46" i="21"/>
  <c r="W46" i="21"/>
  <c r="F46" i="21"/>
  <c r="AA46" i="21"/>
  <c r="E119" i="21"/>
  <c r="F119" i="21"/>
  <c r="G119" i="21"/>
  <c r="H119" i="21"/>
  <c r="I119" i="21"/>
  <c r="J119" i="21"/>
  <c r="K119" i="21"/>
  <c r="L119" i="21"/>
  <c r="M119" i="21"/>
  <c r="H26" i="33"/>
  <c r="U26" i="33"/>
  <c r="H28" i="33"/>
  <c r="U28" i="33"/>
  <c r="F28" i="33"/>
  <c r="AA28" i="33"/>
  <c r="J28" i="33"/>
  <c r="W28" i="33"/>
  <c r="F33" i="35"/>
  <c r="S33" i="35"/>
  <c r="J33" i="35"/>
  <c r="AC33" i="35" s="1"/>
  <c r="F30" i="35"/>
  <c r="S30" i="35" s="1"/>
  <c r="E89" i="35"/>
  <c r="F89" i="35"/>
  <c r="G89" i="35"/>
  <c r="H89" i="35"/>
  <c r="I89" i="35"/>
  <c r="J89" i="35"/>
  <c r="K89" i="35"/>
  <c r="L89" i="35"/>
  <c r="M89" i="35"/>
  <c r="H10" i="36"/>
  <c r="AB10" i="36" s="1"/>
  <c r="J14" i="36"/>
  <c r="AC14" i="36"/>
  <c r="H14" i="36"/>
  <c r="U14" i="36"/>
  <c r="F28" i="36"/>
  <c r="AA28" i="36" s="1"/>
  <c r="J13" i="21"/>
  <c r="AC13" i="21"/>
  <c r="H27" i="21"/>
  <c r="AB27" i="21"/>
  <c r="F27" i="21"/>
  <c r="AA27" i="21"/>
  <c r="H29" i="21"/>
  <c r="U29" i="21"/>
  <c r="J31" i="21"/>
  <c r="AC31" i="21"/>
  <c r="F31" i="21"/>
  <c r="S31" i="21"/>
  <c r="F45" i="21"/>
  <c r="AA45" i="21"/>
  <c r="F27" i="33"/>
  <c r="AA27" i="33"/>
  <c r="J13" i="33"/>
  <c r="H13" i="33"/>
  <c r="U13" i="33" s="1"/>
  <c r="F13" i="33"/>
  <c r="S13" i="33"/>
  <c r="J29" i="33"/>
  <c r="AC29" i="33"/>
  <c r="H29" i="33"/>
  <c r="U29" i="33"/>
  <c r="F29" i="33"/>
  <c r="S29" i="33"/>
  <c r="J31" i="33"/>
  <c r="W31" i="33"/>
  <c r="H31" i="33"/>
  <c r="F31" i="33"/>
  <c r="H45" i="33"/>
  <c r="U45" i="33"/>
  <c r="J45" i="33"/>
  <c r="W45" i="33"/>
  <c r="F45" i="33"/>
  <c r="AA45" i="33"/>
  <c r="J14" i="34"/>
  <c r="W14" i="34"/>
  <c r="F14" i="34"/>
  <c r="S14" i="34"/>
  <c r="H14" i="34"/>
  <c r="H30" i="34"/>
  <c r="F30" i="34"/>
  <c r="S30" i="34"/>
  <c r="J30" i="34"/>
  <c r="W30" i="34"/>
  <c r="H32" i="34"/>
  <c r="F32" i="34"/>
  <c r="J32" i="34"/>
  <c r="W32" i="34"/>
  <c r="H46" i="34"/>
  <c r="U46" i="34"/>
  <c r="F46" i="34"/>
  <c r="J46" i="34"/>
  <c r="H11" i="35"/>
  <c r="AB11" i="35" s="1"/>
  <c r="J11" i="35"/>
  <c r="W11" i="35" s="1"/>
  <c r="AC11" i="35"/>
  <c r="F11" i="35"/>
  <c r="S11" i="35" s="1"/>
  <c r="J26" i="36"/>
  <c r="W26" i="36"/>
  <c r="H28" i="36"/>
  <c r="U28" i="36" s="1"/>
  <c r="H32" i="36"/>
  <c r="AB32" i="36" s="1"/>
  <c r="J32" i="36"/>
  <c r="W32" i="36" s="1"/>
  <c r="J11" i="36"/>
  <c r="AC11" i="36" s="1"/>
  <c r="H11" i="36"/>
  <c r="U11" i="36" s="1"/>
  <c r="F11" i="36"/>
  <c r="AA11" i="36" s="1"/>
  <c r="H13" i="36"/>
  <c r="AB13" i="36"/>
  <c r="J13" i="36"/>
  <c r="F13" i="36"/>
  <c r="S13" i="36"/>
  <c r="E89" i="37"/>
  <c r="F89" i="37"/>
  <c r="G89" i="37"/>
  <c r="H89" i="37"/>
  <c r="I89" i="37"/>
  <c r="J89" i="37"/>
  <c r="K89" i="37"/>
  <c r="L89" i="37"/>
  <c r="M89" i="37"/>
  <c r="J29" i="37"/>
  <c r="W29" i="37"/>
  <c r="F29" i="37"/>
  <c r="S29" i="37"/>
  <c r="F105" i="37"/>
  <c r="H36" i="37"/>
  <c r="AB36" i="37"/>
  <c r="F107" i="37"/>
  <c r="J37" i="37"/>
  <c r="AC37" i="37"/>
  <c r="H37" i="37"/>
  <c r="U37" i="37"/>
  <c r="H40" i="37"/>
  <c r="U40" i="37"/>
  <c r="J40" i="37"/>
  <c r="AC40" i="37"/>
  <c r="F40" i="37"/>
  <c r="AA40" i="37"/>
  <c r="AC12" i="40"/>
  <c r="W12" i="40"/>
  <c r="H14" i="33"/>
  <c r="U14" i="33"/>
  <c r="F14" i="33"/>
  <c r="S14" i="33"/>
  <c r="J14" i="33"/>
  <c r="H30" i="33"/>
  <c r="AB30" i="33"/>
  <c r="F30" i="33"/>
  <c r="J30" i="33"/>
  <c r="H44" i="33"/>
  <c r="J44" i="33"/>
  <c r="AC44" i="33"/>
  <c r="F44" i="33"/>
  <c r="S44" i="33"/>
  <c r="J46" i="33"/>
  <c r="AC46" i="33"/>
  <c r="F46" i="33"/>
  <c r="AA46" i="33"/>
  <c r="H46" i="33"/>
  <c r="AB46" i="33"/>
  <c r="H13" i="34"/>
  <c r="U13" i="34"/>
  <c r="J13" i="34"/>
  <c r="W13" i="34"/>
  <c r="F13" i="34"/>
  <c r="AA13" i="34" s="1"/>
  <c r="J29" i="34"/>
  <c r="F29" i="34"/>
  <c r="S29" i="34"/>
  <c r="H29" i="34"/>
  <c r="AB29" i="34"/>
  <c r="J31" i="34"/>
  <c r="AC31" i="34"/>
  <c r="H31" i="34"/>
  <c r="AB31" i="34"/>
  <c r="F31" i="34"/>
  <c r="S31" i="34"/>
  <c r="H45" i="34"/>
  <c r="U45" i="34"/>
  <c r="J45" i="34"/>
  <c r="W45" i="34"/>
  <c r="F45" i="34"/>
  <c r="S45" i="34"/>
  <c r="H47" i="34"/>
  <c r="U47" i="34"/>
  <c r="F47" i="34"/>
  <c r="S47" i="34"/>
  <c r="J47" i="34"/>
  <c r="AC47" i="34"/>
  <c r="F13" i="35"/>
  <c r="S13" i="35"/>
  <c r="J13" i="35"/>
  <c r="AC13" i="35"/>
  <c r="H13" i="35"/>
  <c r="U13" i="35"/>
  <c r="J25" i="35"/>
  <c r="W25" i="35"/>
  <c r="F25" i="35"/>
  <c r="S25" i="35"/>
  <c r="H25" i="35"/>
  <c r="AB25" i="35"/>
  <c r="J35" i="35"/>
  <c r="AC35" i="35"/>
  <c r="F35" i="35"/>
  <c r="AA35" i="35"/>
  <c r="H35" i="35"/>
  <c r="AB35" i="35"/>
  <c r="J25" i="36"/>
  <c r="W25" i="36"/>
  <c r="F25" i="36"/>
  <c r="S25" i="36"/>
  <c r="H25" i="36"/>
  <c r="AB25" i="36"/>
  <c r="H13" i="37"/>
  <c r="AB13" i="37" s="1"/>
  <c r="F13" i="37"/>
  <c r="S13" i="37"/>
  <c r="J13" i="37"/>
  <c r="W13" i="37" s="1"/>
  <c r="F28" i="37"/>
  <c r="AA28" i="37"/>
  <c r="J28" i="37"/>
  <c r="AC28" i="37"/>
  <c r="H28" i="37"/>
  <c r="U28" i="37"/>
  <c r="H38" i="37"/>
  <c r="AB38" i="37"/>
  <c r="J38" i="37"/>
  <c r="AC38" i="37"/>
  <c r="F38" i="37"/>
  <c r="S38" i="37"/>
  <c r="F43" i="39"/>
  <c r="AA43" i="39"/>
  <c r="H43" i="39"/>
  <c r="J14" i="39"/>
  <c r="AC14" i="39" s="1"/>
  <c r="F14" i="39"/>
  <c r="H14" i="39"/>
  <c r="AB14" i="39"/>
  <c r="F12" i="40"/>
  <c r="S12" i="40"/>
  <c r="H12" i="40"/>
  <c r="AB12" i="40" s="1"/>
  <c r="H30" i="40"/>
  <c r="AB30" i="40" s="1"/>
  <c r="F33" i="40"/>
  <c r="AA33" i="40"/>
  <c r="H33" i="40"/>
  <c r="U33" i="40" s="1"/>
  <c r="J35" i="40"/>
  <c r="AC35" i="40" s="1"/>
  <c r="J37" i="40"/>
  <c r="AC37" i="40" s="1"/>
  <c r="H13" i="40"/>
  <c r="U13" i="40" s="1"/>
  <c r="J13" i="40"/>
  <c r="W13" i="40"/>
  <c r="F13" i="40"/>
  <c r="AA13" i="40" s="1"/>
  <c r="F14" i="37"/>
  <c r="S14" i="37"/>
  <c r="F27" i="37"/>
  <c r="AA27" i="37"/>
  <c r="F13" i="39"/>
  <c r="J13" i="39"/>
  <c r="W13" i="39" s="1"/>
  <c r="H13" i="39"/>
  <c r="H14" i="40"/>
  <c r="AB14" i="40"/>
  <c r="J14" i="40"/>
  <c r="W14" i="40"/>
  <c r="F14" i="40"/>
  <c r="AA14" i="40"/>
  <c r="J14" i="37"/>
  <c r="AC14" i="37"/>
  <c r="J27" i="37"/>
  <c r="AC27" i="37"/>
  <c r="AA44" i="33"/>
  <c r="AA13" i="35"/>
  <c r="U31" i="34"/>
  <c r="U46" i="33"/>
  <c r="AA14" i="33"/>
  <c r="J36" i="37"/>
  <c r="AC36" i="37"/>
  <c r="G105" i="37"/>
  <c r="J10" i="36"/>
  <c r="AC10" i="36" s="1"/>
  <c r="AB26" i="33"/>
  <c r="AB30" i="21"/>
  <c r="AA14" i="37"/>
  <c r="W31" i="34"/>
  <c r="AC13" i="36"/>
  <c r="W13" i="36"/>
  <c r="S11" i="36"/>
  <c r="AB46" i="34"/>
  <c r="AC30" i="34"/>
  <c r="AA14" i="34"/>
  <c r="S45" i="33"/>
  <c r="AB45" i="33"/>
  <c r="AB31" i="33"/>
  <c r="U31" i="33"/>
  <c r="W29" i="33"/>
  <c r="AC28" i="21"/>
  <c r="S44" i="34"/>
  <c r="BA586" i="3"/>
  <c r="BA585" i="3"/>
  <c r="F17" i="21"/>
  <c r="AA17" i="21"/>
  <c r="H17" i="21"/>
  <c r="AB17" i="21"/>
  <c r="F15" i="21"/>
  <c r="S15" i="21"/>
  <c r="J41" i="39"/>
  <c r="W41" i="39" s="1"/>
  <c r="AC45" i="39"/>
  <c r="W44" i="39"/>
  <c r="W36" i="39"/>
  <c r="W35" i="39"/>
  <c r="U36" i="39"/>
  <c r="S35" i="39"/>
  <c r="G544" i="3"/>
  <c r="G540" i="3"/>
  <c r="G536" i="3"/>
  <c r="G535" i="3"/>
  <c r="G532" i="3"/>
  <c r="G531" i="3"/>
  <c r="G528" i="3"/>
  <c r="G527" i="3"/>
  <c r="G523" i="3"/>
  <c r="G518" i="3"/>
  <c r="G514" i="3"/>
  <c r="G510" i="3"/>
  <c r="G508" i="3"/>
  <c r="G504" i="3"/>
  <c r="G500" i="3"/>
  <c r="G496" i="3"/>
  <c r="G584" i="3"/>
  <c r="G580" i="3"/>
  <c r="G576" i="3"/>
  <c r="G572" i="3"/>
  <c r="G568" i="3"/>
  <c r="G564" i="3"/>
  <c r="G560" i="3"/>
  <c r="G554" i="3"/>
  <c r="G550" i="3"/>
  <c r="BL584" i="3"/>
  <c r="BL580" i="3"/>
  <c r="BL576" i="3"/>
  <c r="BL572" i="3"/>
  <c r="BL568" i="3"/>
  <c r="BL564" i="3"/>
  <c r="BL560" i="3"/>
  <c r="BL554" i="3"/>
  <c r="BL546" i="3"/>
  <c r="BL542" i="3"/>
  <c r="BL538" i="3"/>
  <c r="BL534" i="3"/>
  <c r="BL530" i="3"/>
  <c r="BL526" i="3"/>
  <c r="BL522" i="3"/>
  <c r="BL516" i="3"/>
  <c r="BL512" i="3"/>
  <c r="BL506" i="3"/>
  <c r="BL502" i="3"/>
  <c r="BL498" i="3"/>
  <c r="BL494" i="3"/>
  <c r="BL582" i="3"/>
  <c r="BL578" i="3"/>
  <c r="BL574" i="3"/>
  <c r="BL570" i="3"/>
  <c r="BL566" i="3"/>
  <c r="BL562" i="3"/>
  <c r="BL556" i="3"/>
  <c r="BL552" i="3"/>
  <c r="BL544" i="3"/>
  <c r="BL540" i="3"/>
  <c r="BL536" i="3"/>
  <c r="G533" i="3"/>
  <c r="BL532" i="3"/>
  <c r="G529" i="3"/>
  <c r="BL528" i="3"/>
  <c r="G525" i="3"/>
  <c r="BL524" i="3"/>
  <c r="BL518" i="3"/>
  <c r="BL514" i="3"/>
  <c r="BL510" i="3"/>
  <c r="BL504" i="3"/>
  <c r="BL500" i="3"/>
  <c r="BL496" i="3"/>
  <c r="G493" i="3"/>
  <c r="BA584" i="3"/>
  <c r="BA582" i="3"/>
  <c r="AZ582" i="3"/>
  <c r="BA580" i="3"/>
  <c r="AZ580" i="3"/>
  <c r="BA578" i="3"/>
  <c r="AZ578" i="3"/>
  <c r="BA576" i="3"/>
  <c r="AZ576" i="3"/>
  <c r="BA574" i="3"/>
  <c r="AZ574" i="3"/>
  <c r="BA572" i="3"/>
  <c r="AZ572" i="3"/>
  <c r="BA570" i="3"/>
  <c r="AZ570" i="3"/>
  <c r="BA568" i="3"/>
  <c r="AZ568" i="3"/>
  <c r="BA566" i="3"/>
  <c r="AZ566" i="3"/>
  <c r="BA564" i="3"/>
  <c r="AZ564" i="3"/>
  <c r="BA562" i="3"/>
  <c r="AZ562" i="3"/>
  <c r="BA560" i="3"/>
  <c r="BA558" i="3"/>
  <c r="AZ558" i="3"/>
  <c r="BA556" i="3"/>
  <c r="AZ556" i="3"/>
  <c r="BA554" i="3"/>
  <c r="AZ554" i="3"/>
  <c r="BA552" i="3"/>
  <c r="AZ552" i="3"/>
  <c r="BA548" i="3"/>
  <c r="BA546" i="3"/>
  <c r="BA544" i="3"/>
  <c r="AZ544" i="3"/>
  <c r="BA542" i="3"/>
  <c r="AZ542" i="3"/>
  <c r="BA540" i="3"/>
  <c r="AZ540" i="3"/>
  <c r="BA538" i="3"/>
  <c r="AZ538" i="3"/>
  <c r="BA536" i="3"/>
  <c r="AZ536" i="3"/>
  <c r="BA534" i="3"/>
  <c r="AZ534" i="3"/>
  <c r="BA532" i="3"/>
  <c r="AZ532" i="3"/>
  <c r="BA530" i="3"/>
  <c r="BA528" i="3"/>
  <c r="AZ528" i="3"/>
  <c r="BA526" i="3"/>
  <c r="AZ526" i="3"/>
  <c r="BA524" i="3"/>
  <c r="AZ524" i="3"/>
  <c r="BA522" i="3"/>
  <c r="BA520" i="3"/>
  <c r="BA518" i="3"/>
  <c r="AZ518" i="3"/>
  <c r="BA516" i="3"/>
  <c r="AZ516" i="3"/>
  <c r="BA514" i="3"/>
  <c r="BA512" i="3"/>
  <c r="AZ512" i="3"/>
  <c r="BA510" i="3"/>
  <c r="AZ510" i="3"/>
  <c r="BA508" i="3"/>
  <c r="BA506" i="3"/>
  <c r="BA504" i="3"/>
  <c r="AZ504" i="3"/>
  <c r="BA502" i="3"/>
  <c r="BA500" i="3"/>
  <c r="BA498" i="3"/>
  <c r="AZ498" i="3"/>
  <c r="BA496" i="3"/>
  <c r="BA494" i="3"/>
  <c r="BA587" i="3"/>
  <c r="AZ587" i="3"/>
  <c r="BA583" i="3"/>
  <c r="BA581" i="3"/>
  <c r="AZ581" i="3"/>
  <c r="BA579" i="3"/>
  <c r="BA577" i="3"/>
  <c r="BA575" i="3"/>
  <c r="BA573" i="3"/>
  <c r="BA571" i="3"/>
  <c r="BA569" i="3"/>
  <c r="BA567" i="3"/>
  <c r="BA565" i="3"/>
  <c r="BA563" i="3"/>
  <c r="BA561" i="3"/>
  <c r="BA559" i="3"/>
  <c r="BA555" i="3"/>
  <c r="BA553" i="3"/>
  <c r="BA549" i="3"/>
  <c r="BA547" i="3"/>
  <c r="BA545" i="3"/>
  <c r="BA543" i="3"/>
  <c r="BA541" i="3"/>
  <c r="BA539" i="3"/>
  <c r="BA537" i="3"/>
  <c r="BA535" i="3"/>
  <c r="BA533" i="3"/>
  <c r="BA531" i="3"/>
  <c r="BA529" i="3"/>
  <c r="BA527" i="3"/>
  <c r="BA525" i="3"/>
  <c r="BA523" i="3"/>
  <c r="BA519" i="3"/>
  <c r="BA517" i="3"/>
  <c r="BA515" i="3"/>
  <c r="BA513" i="3"/>
  <c r="BA511" i="3"/>
  <c r="BA507" i="3"/>
  <c r="BA505" i="3"/>
  <c r="BA503" i="3"/>
  <c r="BA501" i="3"/>
  <c r="BA499" i="3"/>
  <c r="BA497" i="3"/>
  <c r="BA495" i="3"/>
  <c r="BA493" i="3"/>
  <c r="AZ560" i="3"/>
  <c r="G583" i="3"/>
  <c r="G581" i="3"/>
  <c r="G579" i="3"/>
  <c r="G577" i="3"/>
  <c r="G575" i="3"/>
  <c r="G573" i="3"/>
  <c r="G571" i="3"/>
  <c r="G569" i="3"/>
  <c r="G567" i="3"/>
  <c r="G565" i="3"/>
  <c r="G563" i="3"/>
  <c r="G561" i="3"/>
  <c r="BL558" i="3"/>
  <c r="BA557" i="3"/>
  <c r="AZ557" i="3"/>
  <c r="AC557" i="3"/>
  <c r="G557" i="3"/>
  <c r="BQ557" i="3"/>
  <c r="BL557" i="3"/>
  <c r="BQ583" i="3"/>
  <c r="BL583" i="3"/>
  <c r="AZ583" i="3"/>
  <c r="BQ581" i="3"/>
  <c r="BL581" i="3"/>
  <c r="BQ579" i="3"/>
  <c r="BL579" i="3"/>
  <c r="AZ579" i="3"/>
  <c r="BQ577" i="3"/>
  <c r="BL577" i="3"/>
  <c r="AZ577" i="3"/>
  <c r="BQ575" i="3"/>
  <c r="BL575" i="3"/>
  <c r="AZ575" i="3"/>
  <c r="BQ573" i="3"/>
  <c r="BL573" i="3"/>
  <c r="AZ573" i="3"/>
  <c r="BQ571" i="3"/>
  <c r="BL571" i="3"/>
  <c r="AZ571" i="3"/>
  <c r="BQ569" i="3"/>
  <c r="BL569" i="3"/>
  <c r="AZ569" i="3"/>
  <c r="BQ567" i="3"/>
  <c r="BL567" i="3"/>
  <c r="AZ567" i="3"/>
  <c r="BQ565" i="3"/>
  <c r="BL565" i="3"/>
  <c r="AZ565" i="3"/>
  <c r="BQ563" i="3"/>
  <c r="BL563" i="3"/>
  <c r="BQ561" i="3"/>
  <c r="BL561" i="3"/>
  <c r="AZ561" i="3"/>
  <c r="BQ559" i="3"/>
  <c r="BL559" i="3"/>
  <c r="AZ559" i="3"/>
  <c r="G559" i="3"/>
  <c r="G555" i="3"/>
  <c r="G553" i="3"/>
  <c r="G549" i="3"/>
  <c r="G547" i="3"/>
  <c r="G545" i="3"/>
  <c r="G543" i="3"/>
  <c r="G541" i="3"/>
  <c r="G539" i="3"/>
  <c r="G537" i="3"/>
  <c r="BQ555" i="3"/>
  <c r="BL555" i="3"/>
  <c r="AZ555" i="3"/>
  <c r="BQ553" i="3"/>
  <c r="BL553" i="3"/>
  <c r="AZ553" i="3"/>
  <c r="BQ551" i="3"/>
  <c r="BL551" i="3"/>
  <c r="BQ549" i="3"/>
  <c r="BQ547" i="3"/>
  <c r="BL547" i="3"/>
  <c r="AZ547" i="3"/>
  <c r="BQ545" i="3"/>
  <c r="BL545" i="3"/>
  <c r="AZ545" i="3"/>
  <c r="BQ543" i="3"/>
  <c r="BL543" i="3"/>
  <c r="AZ543" i="3"/>
  <c r="BQ541" i="3"/>
  <c r="BL541" i="3"/>
  <c r="AZ541" i="3"/>
  <c r="BQ539" i="3"/>
  <c r="BL539" i="3"/>
  <c r="AZ539" i="3"/>
  <c r="BQ537" i="3"/>
  <c r="BL537" i="3"/>
  <c r="AZ537" i="3"/>
  <c r="BQ535" i="3"/>
  <c r="BL535" i="3"/>
  <c r="AZ535" i="3"/>
  <c r="BQ533" i="3"/>
  <c r="BL533" i="3"/>
  <c r="AZ533" i="3"/>
  <c r="BQ531" i="3"/>
  <c r="BL531" i="3"/>
  <c r="AZ531" i="3"/>
  <c r="BQ529" i="3"/>
  <c r="BL529" i="3"/>
  <c r="AZ529" i="3"/>
  <c r="BQ527" i="3"/>
  <c r="BL527" i="3"/>
  <c r="AZ527" i="3"/>
  <c r="BQ525" i="3"/>
  <c r="BL525" i="3"/>
  <c r="AZ525" i="3"/>
  <c r="BQ523" i="3"/>
  <c r="BL523" i="3"/>
  <c r="AZ523" i="3"/>
  <c r="BA521" i="3"/>
  <c r="AZ521" i="3"/>
  <c r="AC521" i="3"/>
  <c r="G521" i="3"/>
  <c r="BQ521" i="3"/>
  <c r="BL521" i="3"/>
  <c r="BL520" i="3"/>
  <c r="AZ520" i="3"/>
  <c r="G519" i="3"/>
  <c r="G517" i="3"/>
  <c r="G515" i="3"/>
  <c r="G513" i="3"/>
  <c r="G511" i="3"/>
  <c r="BQ519" i="3"/>
  <c r="BL519" i="3"/>
  <c r="AZ519" i="3"/>
  <c r="BQ517" i="3"/>
  <c r="BL517" i="3"/>
  <c r="AZ517" i="3"/>
  <c r="BQ515" i="3"/>
  <c r="BL515" i="3"/>
  <c r="AZ515" i="3"/>
  <c r="BQ513" i="3"/>
  <c r="BL513" i="3"/>
  <c r="AZ513" i="3"/>
  <c r="BQ511" i="3"/>
  <c r="BL511" i="3"/>
  <c r="AZ511" i="3"/>
  <c r="BA509" i="3"/>
  <c r="AC509" i="3"/>
  <c r="BQ509" i="3"/>
  <c r="BL509" i="3"/>
  <c r="BL508" i="3"/>
  <c r="AZ508" i="3"/>
  <c r="G507" i="3"/>
  <c r="G505" i="3"/>
  <c r="G503" i="3"/>
  <c r="G501" i="3"/>
  <c r="G499" i="3"/>
  <c r="G497" i="3"/>
  <c r="G495" i="3"/>
  <c r="BQ507" i="3"/>
  <c r="BL507" i="3"/>
  <c r="AZ507" i="3"/>
  <c r="BQ505" i="3"/>
  <c r="BL505" i="3"/>
  <c r="AZ505" i="3"/>
  <c r="BQ503" i="3"/>
  <c r="BL503" i="3"/>
  <c r="AZ503" i="3"/>
  <c r="BQ501" i="3"/>
  <c r="BL501" i="3"/>
  <c r="BQ499" i="3"/>
  <c r="BL499" i="3"/>
  <c r="BQ497" i="3"/>
  <c r="BL497" i="3"/>
  <c r="BQ495" i="3"/>
  <c r="BL495" i="3"/>
  <c r="AZ495" i="3"/>
  <c r="BQ493" i="3"/>
  <c r="AZ584" i="3"/>
  <c r="S505" i="31"/>
  <c r="S503" i="31"/>
  <c r="S501" i="31"/>
  <c r="S499" i="31"/>
  <c r="O27" i="31"/>
  <c r="O28" i="31"/>
  <c r="O26" i="31"/>
  <c r="M27" i="31"/>
  <c r="M28" i="31"/>
  <c r="M26" i="31"/>
  <c r="I26" i="31"/>
  <c r="I25" i="31"/>
  <c r="S25" i="31"/>
  <c r="Q26" i="31"/>
  <c r="K26" i="31"/>
  <c r="I27" i="31"/>
  <c r="Q27" i="31"/>
  <c r="K27" i="31"/>
  <c r="I28" i="31"/>
  <c r="Q28" i="31"/>
  <c r="K28" i="31"/>
  <c r="AC28" i="34"/>
  <c r="S21" i="40"/>
  <c r="AA12" i="21"/>
  <c r="H25" i="21"/>
  <c r="U25" i="21"/>
  <c r="F25" i="21"/>
  <c r="S25" i="21"/>
  <c r="J25" i="21"/>
  <c r="AC25" i="21"/>
  <c r="E125" i="33"/>
  <c r="F125" i="33"/>
  <c r="H43" i="33"/>
  <c r="AB43" i="33"/>
  <c r="H17" i="37"/>
  <c r="U17" i="37"/>
  <c r="AB27" i="37"/>
  <c r="U32" i="33"/>
  <c r="AA36" i="39"/>
  <c r="F39" i="33"/>
  <c r="AA39" i="33"/>
  <c r="E123" i="33"/>
  <c r="F42" i="33"/>
  <c r="AA42" i="33"/>
  <c r="H28" i="34"/>
  <c r="AB28" i="34"/>
  <c r="F14" i="36"/>
  <c r="AA14" i="36"/>
  <c r="F22" i="36"/>
  <c r="S22" i="36"/>
  <c r="F26" i="36"/>
  <c r="S26" i="36"/>
  <c r="H27" i="34"/>
  <c r="AB27" i="34"/>
  <c r="H35" i="34"/>
  <c r="U35" i="34"/>
  <c r="F41" i="34"/>
  <c r="S41" i="34"/>
  <c r="H41" i="34"/>
  <c r="U41" i="34"/>
  <c r="J41" i="34"/>
  <c r="AC41" i="34"/>
  <c r="F10" i="35"/>
  <c r="S10" i="35" s="1"/>
  <c r="F24" i="35"/>
  <c r="AA24" i="35"/>
  <c r="H24" i="35"/>
  <c r="AB24" i="35"/>
  <c r="H23" i="37"/>
  <c r="AB23" i="37"/>
  <c r="J32" i="37"/>
  <c r="AC32" i="37"/>
  <c r="F36" i="37"/>
  <c r="AA36" i="37"/>
  <c r="F37" i="37"/>
  <c r="AA37" i="37"/>
  <c r="F31" i="40"/>
  <c r="AA31" i="40"/>
  <c r="H31" i="40"/>
  <c r="U31" i="40" s="1"/>
  <c r="F32" i="40"/>
  <c r="S32" i="40" s="1"/>
  <c r="H32" i="40"/>
  <c r="AB32" i="40" s="1"/>
  <c r="AA41" i="34"/>
  <c r="H19" i="37"/>
  <c r="AB19" i="37"/>
  <c r="F123" i="33"/>
  <c r="G123" i="33"/>
  <c r="H123" i="33"/>
  <c r="I123" i="33"/>
  <c r="J123" i="33"/>
  <c r="K123" i="33"/>
  <c r="L123" i="33"/>
  <c r="M123" i="33"/>
  <c r="H42" i="33"/>
  <c r="AB42" i="33"/>
  <c r="G125" i="33"/>
  <c r="J43" i="33"/>
  <c r="AC43" i="33"/>
  <c r="U43" i="33"/>
  <c r="S28" i="31"/>
  <c r="S27" i="31"/>
  <c r="S26" i="31"/>
  <c r="U14" i="40"/>
  <c r="U35" i="35"/>
  <c r="AA12" i="35"/>
  <c r="W23" i="35"/>
  <c r="W14" i="37"/>
  <c r="AB28" i="37"/>
  <c r="U33" i="37"/>
  <c r="U39" i="37"/>
  <c r="W26" i="37"/>
  <c r="U26" i="37"/>
  <c r="W47" i="34"/>
  <c r="AB13" i="34"/>
  <c r="AC36" i="34"/>
  <c r="AA13" i="33"/>
  <c r="AC31" i="33"/>
  <c r="AC45" i="33"/>
  <c r="W44" i="33"/>
  <c r="U11" i="33"/>
  <c r="U19" i="21"/>
  <c r="W44" i="21"/>
  <c r="U26" i="21"/>
  <c r="AC46" i="21"/>
  <c r="U12" i="21"/>
  <c r="AB38" i="21"/>
  <c r="F43" i="33"/>
  <c r="AA43" i="33"/>
  <c r="W15" i="34"/>
  <c r="AC15" i="34"/>
  <c r="W16" i="35"/>
  <c r="W40" i="37"/>
  <c r="G107" i="37"/>
  <c r="H107" i="37"/>
  <c r="I107" i="37"/>
  <c r="J107" i="37"/>
  <c r="K107" i="37"/>
  <c r="L107" i="37"/>
  <c r="M107" i="37"/>
  <c r="H37" i="21"/>
  <c r="U37" i="21" s="1"/>
  <c r="S42" i="21"/>
  <c r="H19" i="34"/>
  <c r="AB19" i="34"/>
  <c r="F36" i="35"/>
  <c r="S36" i="35"/>
  <c r="J9" i="37"/>
  <c r="W9" i="37" s="1"/>
  <c r="H9" i="37"/>
  <c r="U9" i="37" s="1"/>
  <c r="F9" i="37"/>
  <c r="S9" i="37" s="1"/>
  <c r="J12" i="37"/>
  <c r="W12" i="37" s="1"/>
  <c r="H12" i="37"/>
  <c r="AB12" i="37" s="1"/>
  <c r="F12" i="37"/>
  <c r="S12" i="37" s="1"/>
  <c r="E71" i="37"/>
  <c r="F15" i="37"/>
  <c r="AA15" i="37"/>
  <c r="E94" i="37"/>
  <c r="F31" i="37"/>
  <c r="S31" i="37"/>
  <c r="F12" i="39"/>
  <c r="S12" i="39" s="1"/>
  <c r="J42" i="39"/>
  <c r="AC42" i="39" s="1"/>
  <c r="H21" i="40"/>
  <c r="U21" i="40" s="1"/>
  <c r="AC12" i="37"/>
  <c r="F94" i="37"/>
  <c r="G94" i="37"/>
  <c r="H94" i="37"/>
  <c r="I94" i="37"/>
  <c r="J94" i="37"/>
  <c r="K94" i="37"/>
  <c r="L94" i="37"/>
  <c r="M94" i="37"/>
  <c r="H31" i="37"/>
  <c r="U31" i="37"/>
  <c r="F71" i="37"/>
  <c r="G71" i="37"/>
  <c r="J15" i="37"/>
  <c r="W15" i="37"/>
  <c r="AT6" i="3"/>
  <c r="H5" i="3"/>
  <c r="AA25" i="21"/>
  <c r="S14" i="40"/>
  <c r="AC13" i="40"/>
  <c r="AB33" i="40"/>
  <c r="W23" i="39"/>
  <c r="AC43" i="39"/>
  <c r="W43" i="39"/>
  <c r="U45" i="39"/>
  <c r="AB45" i="39"/>
  <c r="AB44" i="39"/>
  <c r="U44" i="39"/>
  <c r="G100" i="39"/>
  <c r="H37" i="39"/>
  <c r="AB37" i="39"/>
  <c r="AC37" i="39"/>
  <c r="W37" i="39"/>
  <c r="H25" i="39"/>
  <c r="AB25" i="39"/>
  <c r="J25" i="39"/>
  <c r="F25" i="39"/>
  <c r="AA25" i="39" s="1"/>
  <c r="F15" i="39"/>
  <c r="AA15" i="39" s="1"/>
  <c r="H15" i="39"/>
  <c r="U15" i="39" s="1"/>
  <c r="J15" i="39"/>
  <c r="W15" i="39" s="1"/>
  <c r="H41" i="39"/>
  <c r="AB41" i="39" s="1"/>
  <c r="W27" i="39"/>
  <c r="AB34" i="39"/>
  <c r="U40" i="39"/>
  <c r="S42" i="39"/>
  <c r="AA41" i="39"/>
  <c r="W9" i="39"/>
  <c r="W8" i="39"/>
  <c r="J19" i="40"/>
  <c r="AC19" i="40" s="1"/>
  <c r="J50" i="40"/>
  <c r="H103" i="9"/>
  <c r="D8" i="53" s="1"/>
  <c r="B16" i="53"/>
  <c r="B33" i="72" s="1"/>
  <c r="C7" i="37"/>
  <c r="C7" i="34"/>
  <c r="C7" i="36"/>
  <c r="C46" i="36" s="1"/>
  <c r="D46" i="36" s="1"/>
  <c r="E46" i="36" s="1"/>
  <c r="F46" i="36" s="1"/>
  <c r="G46" i="36" s="1"/>
  <c r="H46" i="36" s="1"/>
  <c r="I46" i="36" s="1"/>
  <c r="J11" i="39"/>
  <c r="W11" i="39"/>
  <c r="F11" i="39"/>
  <c r="AA11" i="39"/>
  <c r="S11" i="39"/>
  <c r="G4" i="4"/>
  <c r="I4" i="4"/>
  <c r="F61" i="43"/>
  <c r="H64" i="43" s="1"/>
  <c r="AZ24" i="3"/>
  <c r="AZ28" i="3"/>
  <c r="AZ32" i="3"/>
  <c r="AZ497" i="3"/>
  <c r="BL549" i="3"/>
  <c r="AZ494" i="3"/>
  <c r="AZ502" i="3"/>
  <c r="AZ514" i="3"/>
  <c r="AZ522" i="3"/>
  <c r="AZ530" i="3"/>
  <c r="AZ546" i="3"/>
  <c r="G546" i="3"/>
  <c r="G524" i="3"/>
  <c r="G303" i="3"/>
  <c r="BL304" i="3"/>
  <c r="G305" i="3"/>
  <c r="BL306" i="3"/>
  <c r="BA308" i="3"/>
  <c r="AZ308" i="3"/>
  <c r="BA309" i="3"/>
  <c r="BL309" i="3"/>
  <c r="G310" i="3"/>
  <c r="BA311" i="3"/>
  <c r="G319" i="3"/>
  <c r="BL320" i="3"/>
  <c r="G321" i="3"/>
  <c r="BL322" i="3"/>
  <c r="BA324" i="3"/>
  <c r="AZ324" i="3"/>
  <c r="BA325" i="3"/>
  <c r="BL325" i="3"/>
  <c r="G326" i="3"/>
  <c r="BA327" i="3"/>
  <c r="G335" i="3"/>
  <c r="BL336" i="3"/>
  <c r="G337" i="3"/>
  <c r="BL338" i="3"/>
  <c r="BA340" i="3"/>
  <c r="AZ340" i="3"/>
  <c r="BA341" i="3"/>
  <c r="BL341" i="3"/>
  <c r="BA343" i="3"/>
  <c r="BA345" i="3"/>
  <c r="BL355" i="3"/>
  <c r="G356" i="3"/>
  <c r="BL357" i="3"/>
  <c r="BA359" i="3"/>
  <c r="AZ359" i="3"/>
  <c r="BA360" i="3"/>
  <c r="BL360" i="3"/>
  <c r="G361" i="3"/>
  <c r="BA362" i="3"/>
  <c r="AZ362" i="3"/>
  <c r="G370" i="3"/>
  <c r="BL371" i="3"/>
  <c r="G372" i="3"/>
  <c r="BL373" i="3"/>
  <c r="BA375" i="3"/>
  <c r="AZ375" i="3"/>
  <c r="BA376" i="3"/>
  <c r="BL376" i="3"/>
  <c r="G377" i="3"/>
  <c r="BA378" i="3"/>
  <c r="AZ378" i="3"/>
  <c r="BL378" i="3"/>
  <c r="G379" i="3"/>
  <c r="BA380" i="3"/>
  <c r="G388" i="3"/>
  <c r="BL389" i="3"/>
  <c r="G390" i="3"/>
  <c r="BL391" i="3"/>
  <c r="BA393" i="3"/>
  <c r="AZ393" i="3"/>
  <c r="BA394" i="3"/>
  <c r="BL394" i="3"/>
  <c r="G113" i="3"/>
  <c r="BA115" i="3"/>
  <c r="AZ115" i="3"/>
  <c r="BL116" i="3"/>
  <c r="AZ116" i="3"/>
  <c r="G117" i="3"/>
  <c r="BA119" i="3"/>
  <c r="AZ119" i="3"/>
  <c r="BL120" i="3"/>
  <c r="G121" i="3"/>
  <c r="BA123" i="3"/>
  <c r="AZ123" i="3"/>
  <c r="BL124" i="3"/>
  <c r="AZ124" i="3"/>
  <c r="G125" i="3"/>
  <c r="BA127" i="3"/>
  <c r="AZ127" i="3"/>
  <c r="BL128" i="3"/>
  <c r="G129" i="3"/>
  <c r="BA131" i="3"/>
  <c r="AZ131" i="3"/>
  <c r="BL132" i="3"/>
  <c r="AZ132" i="3"/>
  <c r="G133" i="3"/>
  <c r="BA135" i="3"/>
  <c r="AZ135" i="3"/>
  <c r="BL136" i="3"/>
  <c r="G137" i="3"/>
  <c r="BA139" i="3"/>
  <c r="AZ139" i="3"/>
  <c r="BL140" i="3"/>
  <c r="AZ140" i="3"/>
  <c r="G141" i="3"/>
  <c r="BA143" i="3"/>
  <c r="AZ143" i="3"/>
  <c r="BL144" i="3"/>
  <c r="G145" i="3"/>
  <c r="BA147" i="3"/>
  <c r="AZ147" i="3"/>
  <c r="BL148" i="3"/>
  <c r="AZ148" i="3"/>
  <c r="G149" i="3"/>
  <c r="BA151" i="3"/>
  <c r="AZ151" i="3"/>
  <c r="BL152" i="3"/>
  <c r="G153" i="3"/>
  <c r="BA155" i="3"/>
  <c r="AZ155" i="3"/>
  <c r="BL156" i="3"/>
  <c r="AZ156" i="3"/>
  <c r="G157" i="3"/>
  <c r="BA159" i="3"/>
  <c r="AZ159" i="3"/>
  <c r="BL160" i="3"/>
  <c r="G161" i="3"/>
  <c r="BA163" i="3"/>
  <c r="AZ163" i="3"/>
  <c r="BL164" i="3"/>
  <c r="AZ164" i="3"/>
  <c r="G165" i="3"/>
  <c r="BA167" i="3"/>
  <c r="AZ167" i="3"/>
  <c r="BL168" i="3"/>
  <c r="G169" i="3"/>
  <c r="BA171" i="3"/>
  <c r="AZ171" i="3"/>
  <c r="BL172" i="3"/>
  <c r="AZ172" i="3"/>
  <c r="G173" i="3"/>
  <c r="BA175" i="3"/>
  <c r="AZ175" i="3"/>
  <c r="BL176" i="3"/>
  <c r="G177" i="3"/>
  <c r="BA179" i="3"/>
  <c r="AZ179" i="3"/>
  <c r="BL180" i="3"/>
  <c r="AZ180" i="3"/>
  <c r="G181" i="3"/>
  <c r="BA183" i="3"/>
  <c r="AZ183" i="3"/>
  <c r="BL184" i="3"/>
  <c r="G185" i="3"/>
  <c r="BA187" i="3"/>
  <c r="AZ187" i="3"/>
  <c r="BL188" i="3"/>
  <c r="AZ188" i="3"/>
  <c r="G189" i="3"/>
  <c r="BA191" i="3"/>
  <c r="AZ191" i="3"/>
  <c r="BL192" i="3"/>
  <c r="G193" i="3"/>
  <c r="BA195" i="3"/>
  <c r="AZ195" i="3"/>
  <c r="BL196" i="3"/>
  <c r="AZ196" i="3"/>
  <c r="G197" i="3"/>
  <c r="BA199" i="3"/>
  <c r="AZ199" i="3"/>
  <c r="BL200" i="3"/>
  <c r="G201" i="3"/>
  <c r="BA203" i="3"/>
  <c r="AZ203" i="3"/>
  <c r="BL204" i="3"/>
  <c r="AZ204" i="3"/>
  <c r="AZ39" i="3"/>
  <c r="AZ43" i="3"/>
  <c r="AZ47" i="3"/>
  <c r="AZ51" i="3"/>
  <c r="AZ55" i="3"/>
  <c r="AZ59" i="3"/>
  <c r="AZ63" i="3"/>
  <c r="AZ67" i="3"/>
  <c r="AZ71" i="3"/>
  <c r="AZ75" i="3"/>
  <c r="AZ79" i="3"/>
  <c r="AZ83" i="3"/>
  <c r="AZ136" i="3"/>
  <c r="AZ144" i="3"/>
  <c r="AZ152" i="3"/>
  <c r="AZ160" i="3"/>
  <c r="AZ168" i="3"/>
  <c r="AZ176" i="3"/>
  <c r="AZ184" i="3"/>
  <c r="AZ192" i="3"/>
  <c r="AZ200" i="3"/>
  <c r="AZ85" i="3"/>
  <c r="AZ89" i="3"/>
  <c r="AZ93" i="3"/>
  <c r="AZ97" i="3"/>
  <c r="AZ101" i="3"/>
  <c r="AZ105" i="3"/>
  <c r="AZ109" i="3"/>
  <c r="AZ120" i="3"/>
  <c r="AZ128" i="3"/>
  <c r="G534" i="3"/>
  <c r="G530" i="3"/>
  <c r="G522" i="3"/>
  <c r="G516" i="3"/>
  <c r="G512" i="3"/>
  <c r="G506" i="3"/>
  <c r="G498" i="3"/>
  <c r="G494" i="3"/>
  <c r="G16" i="3"/>
  <c r="G15" i="3"/>
  <c r="BA304" i="3"/>
  <c r="AZ304" i="3"/>
  <c r="BA305" i="3"/>
  <c r="AZ305" i="3"/>
  <c r="BL305" i="3"/>
  <c r="G306" i="3"/>
  <c r="G309" i="3"/>
  <c r="BL310" i="3"/>
  <c r="BA312" i="3"/>
  <c r="AZ312" i="3"/>
  <c r="BA313" i="3"/>
  <c r="BL313" i="3"/>
  <c r="AZ313" i="3"/>
  <c r="G314" i="3"/>
  <c r="G317" i="3"/>
  <c r="BL318" i="3"/>
  <c r="BA320" i="3"/>
  <c r="AZ320" i="3"/>
  <c r="BA321" i="3"/>
  <c r="AZ321" i="3"/>
  <c r="BL321" i="3"/>
  <c r="G322" i="3"/>
  <c r="G325" i="3"/>
  <c r="BL326" i="3"/>
  <c r="BA328" i="3"/>
  <c r="AZ328" i="3"/>
  <c r="BA329" i="3"/>
  <c r="BL329" i="3"/>
  <c r="AZ329" i="3"/>
  <c r="G330" i="3"/>
  <c r="G333" i="3"/>
  <c r="BL334" i="3"/>
  <c r="BA336" i="3"/>
  <c r="AZ336" i="3"/>
  <c r="BA337" i="3"/>
  <c r="AZ337" i="3"/>
  <c r="BL337" i="3"/>
  <c r="G338" i="3"/>
  <c r="G341" i="3"/>
  <c r="BA342" i="3"/>
  <c r="BL342" i="3"/>
  <c r="AZ342" i="3"/>
  <c r="BA344" i="3"/>
  <c r="BL344" i="3"/>
  <c r="AZ344" i="3"/>
  <c r="BA346" i="3"/>
  <c r="AZ346" i="3"/>
  <c r="BA347" i="3"/>
  <c r="AZ347" i="3"/>
  <c r="BL347" i="3"/>
  <c r="G350" i="3"/>
  <c r="BA351" i="3"/>
  <c r="AZ351" i="3"/>
  <c r="BL351" i="3"/>
  <c r="G352" i="3"/>
  <c r="G354" i="3"/>
  <c r="BA355" i="3"/>
  <c r="AZ355" i="3"/>
  <c r="BA356" i="3"/>
  <c r="BL356" i="3"/>
  <c r="G357" i="3"/>
  <c r="G360" i="3"/>
  <c r="BL361" i="3"/>
  <c r="BA363" i="3"/>
  <c r="AZ363" i="3"/>
  <c r="BA364" i="3"/>
  <c r="BL364" i="3"/>
  <c r="G365" i="3"/>
  <c r="G368" i="3"/>
  <c r="BL369" i="3"/>
  <c r="BA371" i="3"/>
  <c r="AZ371" i="3"/>
  <c r="BA372" i="3"/>
  <c r="AZ372" i="3"/>
  <c r="BL372" i="3"/>
  <c r="G373" i="3"/>
  <c r="G376" i="3"/>
  <c r="BL377" i="3"/>
  <c r="BL379" i="3"/>
  <c r="BA381" i="3"/>
  <c r="AZ381" i="3"/>
  <c r="BA382" i="3"/>
  <c r="BL382" i="3"/>
  <c r="G383" i="3"/>
  <c r="G386" i="3"/>
  <c r="BL387" i="3"/>
  <c r="BA389" i="3"/>
  <c r="AZ389" i="3"/>
  <c r="BA390" i="3"/>
  <c r="BL390" i="3"/>
  <c r="G391" i="3"/>
  <c r="G394" i="3"/>
  <c r="AZ138" i="3"/>
  <c r="AZ142" i="3"/>
  <c r="AZ146" i="3"/>
  <c r="AZ150" i="3"/>
  <c r="AZ154" i="3"/>
  <c r="AZ158" i="3"/>
  <c r="AZ162" i="3"/>
  <c r="AZ166" i="3"/>
  <c r="AZ170" i="3"/>
  <c r="AZ174" i="3"/>
  <c r="AZ178" i="3"/>
  <c r="AZ182" i="3"/>
  <c r="AZ186" i="3"/>
  <c r="AZ190" i="3"/>
  <c r="AZ194" i="3"/>
  <c r="AZ198" i="3"/>
  <c r="AZ202" i="3"/>
  <c r="AZ206" i="3"/>
  <c r="AZ500" i="3"/>
  <c r="BA16" i="3"/>
  <c r="AZ16" i="3" s="1"/>
  <c r="BL303" i="3"/>
  <c r="G304" i="3"/>
  <c r="BA306" i="3"/>
  <c r="AZ306" i="3"/>
  <c r="BL307" i="3"/>
  <c r="AZ307" i="3"/>
  <c r="G308" i="3"/>
  <c r="BA310" i="3"/>
  <c r="AZ310" i="3"/>
  <c r="BL311" i="3"/>
  <c r="AZ311" i="3"/>
  <c r="G312" i="3"/>
  <c r="BA314" i="3"/>
  <c r="AZ314" i="3"/>
  <c r="BL315" i="3"/>
  <c r="AZ315" i="3"/>
  <c r="G316" i="3"/>
  <c r="BA318" i="3"/>
  <c r="AZ318" i="3"/>
  <c r="BL319" i="3"/>
  <c r="G320" i="3"/>
  <c r="BA322" i="3"/>
  <c r="AZ322" i="3"/>
  <c r="BL323" i="3"/>
  <c r="AZ323" i="3"/>
  <c r="G324" i="3"/>
  <c r="BA326" i="3"/>
  <c r="AZ326" i="3"/>
  <c r="BL327" i="3"/>
  <c r="AZ327" i="3"/>
  <c r="G328" i="3"/>
  <c r="BA330" i="3"/>
  <c r="AZ330" i="3"/>
  <c r="BL331" i="3"/>
  <c r="AZ331" i="3"/>
  <c r="G332" i="3"/>
  <c r="BA334" i="3"/>
  <c r="AZ334" i="3"/>
  <c r="BL335" i="3"/>
  <c r="G336" i="3"/>
  <c r="BA338" i="3"/>
  <c r="AZ338" i="3"/>
  <c r="BL339" i="3"/>
  <c r="AZ339" i="3"/>
  <c r="G340" i="3"/>
  <c r="BL343" i="3"/>
  <c r="G344" i="3"/>
  <c r="G348" i="3"/>
  <c r="G355" i="3"/>
  <c r="AZ209" i="3"/>
  <c r="AZ214" i="3"/>
  <c r="AZ218" i="3"/>
  <c r="AZ222" i="3"/>
  <c r="AZ303" i="3"/>
  <c r="AZ319" i="3"/>
  <c r="AZ335" i="3"/>
  <c r="G342" i="3"/>
  <c r="BL345" i="3"/>
  <c r="AZ345" i="3"/>
  <c r="G346" i="3"/>
  <c r="AZ348" i="3"/>
  <c r="BL349" i="3"/>
  <c r="AZ349" i="3"/>
  <c r="BL352" i="3"/>
  <c r="G353" i="3"/>
  <c r="BA357" i="3"/>
  <c r="AZ357" i="3"/>
  <c r="BL358" i="3"/>
  <c r="AZ358" i="3"/>
  <c r="G359" i="3"/>
  <c r="BA361" i="3"/>
  <c r="AZ361" i="3"/>
  <c r="BL362" i="3"/>
  <c r="G363" i="3"/>
  <c r="BA365" i="3"/>
  <c r="AZ365" i="3"/>
  <c r="BL366" i="3"/>
  <c r="AZ366" i="3"/>
  <c r="G367" i="3"/>
  <c r="BA369" i="3"/>
  <c r="AZ369" i="3"/>
  <c r="BL370" i="3"/>
  <c r="G371" i="3"/>
  <c r="BA373" i="3"/>
  <c r="AZ373" i="3"/>
  <c r="BL374" i="3"/>
  <c r="AZ374" i="3"/>
  <c r="G375" i="3"/>
  <c r="BA377" i="3"/>
  <c r="AZ377" i="3"/>
  <c r="AZ229" i="3"/>
  <c r="AZ233" i="3"/>
  <c r="AZ237" i="3"/>
  <c r="AZ241" i="3"/>
  <c r="AZ245" i="3"/>
  <c r="AZ249" i="3"/>
  <c r="AZ253" i="3"/>
  <c r="AZ257" i="3"/>
  <c r="AZ261" i="3"/>
  <c r="AZ265" i="3"/>
  <c r="AZ269" i="3"/>
  <c r="AZ273" i="3"/>
  <c r="AZ370" i="3"/>
  <c r="BA379" i="3"/>
  <c r="AZ379" i="3"/>
  <c r="BL380" i="3"/>
  <c r="G381" i="3"/>
  <c r="BA383" i="3"/>
  <c r="AZ383" i="3"/>
  <c r="BL384" i="3"/>
  <c r="G385" i="3"/>
  <c r="BA387" i="3"/>
  <c r="AZ387" i="3"/>
  <c r="BL388" i="3"/>
  <c r="G389" i="3"/>
  <c r="BA391" i="3"/>
  <c r="AZ391" i="3"/>
  <c r="BL392" i="3"/>
  <c r="G393" i="3"/>
  <c r="AZ263" i="3"/>
  <c r="AZ275" i="3"/>
  <c r="AZ279" i="3"/>
  <c r="AZ283" i="3"/>
  <c r="AZ287" i="3"/>
  <c r="AZ291" i="3"/>
  <c r="AZ295" i="3"/>
  <c r="AZ299" i="3"/>
  <c r="BO5" i="3"/>
  <c r="BM5" i="3"/>
  <c r="BJ5" i="3"/>
  <c r="BH5" i="3"/>
  <c r="BF5" i="3"/>
  <c r="BD5" i="3"/>
  <c r="AZ309" i="3"/>
  <c r="AZ317" i="3"/>
  <c r="AZ325" i="3"/>
  <c r="AZ333" i="3"/>
  <c r="AZ341" i="3"/>
  <c r="BQ5" i="3"/>
  <c r="F28" i="6" s="1"/>
  <c r="AC5" i="3"/>
  <c r="AZ549" i="3"/>
  <c r="AZ506" i="3"/>
  <c r="AZ496" i="3"/>
  <c r="G548" i="3"/>
  <c r="G538" i="3"/>
  <c r="G520" i="3"/>
  <c r="G502" i="3"/>
  <c r="BS5" i="3"/>
  <c r="BP5" i="3"/>
  <c r="BN5" i="3"/>
  <c r="AZ343" i="3"/>
  <c r="BK5" i="3"/>
  <c r="BI5" i="3"/>
  <c r="BG5" i="3"/>
  <c r="BE5" i="3"/>
  <c r="G17" i="3"/>
  <c r="BA17" i="3"/>
  <c r="BT5" i="3"/>
  <c r="AZ350" i="3"/>
  <c r="AZ352" i="3"/>
  <c r="AZ356" i="3"/>
  <c r="AZ360" i="3"/>
  <c r="AZ364" i="3"/>
  <c r="AZ368" i="3"/>
  <c r="BA15" i="3"/>
  <c r="BB5" i="3"/>
  <c r="F19" i="6" s="1"/>
  <c r="BR5" i="3"/>
  <c r="AZ380" i="3"/>
  <c r="AZ384" i="3"/>
  <c r="AZ388" i="3"/>
  <c r="AZ392" i="3"/>
  <c r="AZ396" i="3"/>
  <c r="AZ394" i="3"/>
  <c r="AZ499" i="3"/>
  <c r="AZ509" i="3"/>
  <c r="G509" i="3"/>
  <c r="BL493" i="3"/>
  <c r="AZ491" i="3"/>
  <c r="AZ376" i="3"/>
  <c r="AZ390" i="3"/>
  <c r="AZ382" i="3"/>
  <c r="AZ493" i="3"/>
  <c r="F83" i="43"/>
  <c r="H85" i="43" s="1"/>
  <c r="F50" i="43"/>
  <c r="H54" i="43" s="1"/>
  <c r="F72" i="43"/>
  <c r="H75" i="43" s="1"/>
  <c r="U17" i="39"/>
  <c r="S14" i="35"/>
  <c r="U43" i="21"/>
  <c r="U35" i="21"/>
  <c r="AC35" i="21"/>
  <c r="G8" i="1"/>
  <c r="G10" i="1"/>
  <c r="AC11" i="39"/>
  <c r="AZ563" i="3"/>
  <c r="AZ501" i="3"/>
  <c r="W37" i="37"/>
  <c r="W44" i="34"/>
  <c r="AC44" i="34"/>
  <c r="S15" i="37"/>
  <c r="U13" i="37"/>
  <c r="AA12" i="40"/>
  <c r="J37" i="33"/>
  <c r="W37" i="33"/>
  <c r="AC17" i="34"/>
  <c r="F106" i="33"/>
  <c r="G106" i="33"/>
  <c r="H106" i="33"/>
  <c r="I106" i="33"/>
  <c r="J106" i="33"/>
  <c r="K106" i="33"/>
  <c r="L106" i="33"/>
  <c r="M106" i="33"/>
  <c r="J34" i="33"/>
  <c r="W34" i="33"/>
  <c r="F33" i="34"/>
  <c r="S33" i="34"/>
  <c r="W12" i="36"/>
  <c r="AC12" i="36"/>
  <c r="H20" i="36"/>
  <c r="U20" i="36"/>
  <c r="J20" i="36"/>
  <c r="W20" i="36"/>
  <c r="W24" i="36"/>
  <c r="J27" i="36"/>
  <c r="W27" i="36" s="1"/>
  <c r="AB25" i="37"/>
  <c r="AC33" i="40"/>
  <c r="F111" i="40"/>
  <c r="G111" i="40"/>
  <c r="H111" i="40" s="1"/>
  <c r="I111" i="40" s="1"/>
  <c r="J111" i="40" s="1"/>
  <c r="K111" i="40" s="1"/>
  <c r="L111" i="40" s="1"/>
  <c r="M111" i="40" s="1"/>
  <c r="H35" i="40"/>
  <c r="AB35" i="40" s="1"/>
  <c r="AC29" i="35"/>
  <c r="W29" i="35"/>
  <c r="H35" i="37"/>
  <c r="U35" i="37"/>
  <c r="AC14" i="35"/>
  <c r="H20" i="35"/>
  <c r="U20" i="35"/>
  <c r="F20" i="35"/>
  <c r="AA20" i="35"/>
  <c r="AB23" i="35"/>
  <c r="AB29" i="36"/>
  <c r="U29" i="36"/>
  <c r="H32" i="37"/>
  <c r="AB32" i="37"/>
  <c r="F96" i="37"/>
  <c r="H27" i="40"/>
  <c r="U27" i="40"/>
  <c r="J27" i="40"/>
  <c r="AC27" i="40"/>
  <c r="F27" i="40"/>
  <c r="S27" i="40"/>
  <c r="J30" i="40"/>
  <c r="AC30" i="40" s="1"/>
  <c r="F30" i="40"/>
  <c r="S30" i="40" s="1"/>
  <c r="S31" i="39"/>
  <c r="E98" i="40"/>
  <c r="F98" i="40" s="1"/>
  <c r="G98" i="40" s="1"/>
  <c r="H98" i="40" s="1"/>
  <c r="I98" i="40" s="1"/>
  <c r="J98" i="40" s="1"/>
  <c r="K98" i="40" s="1"/>
  <c r="L98" i="40" s="1"/>
  <c r="M98" i="40" s="1"/>
  <c r="F10" i="33"/>
  <c r="S10" i="33" s="1"/>
  <c r="F34" i="33"/>
  <c r="S34" i="33"/>
  <c r="H34" i="33"/>
  <c r="U34" i="33"/>
  <c r="F35" i="33"/>
  <c r="S35" i="33"/>
  <c r="F39" i="34"/>
  <c r="S39" i="34"/>
  <c r="J39" i="34"/>
  <c r="W39" i="34"/>
  <c r="F40" i="34"/>
  <c r="S40" i="34"/>
  <c r="F43" i="34"/>
  <c r="AA43" i="34"/>
  <c r="H44" i="34"/>
  <c r="AB44" i="34"/>
  <c r="AC38" i="39"/>
  <c r="F39" i="39"/>
  <c r="S39" i="39" s="1"/>
  <c r="J39" i="39"/>
  <c r="AC39" i="39" s="1"/>
  <c r="E96" i="39"/>
  <c r="F96" i="39" s="1"/>
  <c r="G96" i="39" s="1"/>
  <c r="AZ353" i="3"/>
  <c r="AZ354" i="3"/>
  <c r="AZ386" i="3"/>
  <c r="C40" i="11"/>
  <c r="AZ215" i="3"/>
  <c r="AZ223" i="3"/>
  <c r="AZ227" i="3"/>
  <c r="AZ232" i="3"/>
  <c r="AZ235" i="3"/>
  <c r="AZ240" i="3"/>
  <c r="AZ243" i="3"/>
  <c r="AZ248" i="3"/>
  <c r="AZ251" i="3"/>
  <c r="AZ256" i="3"/>
  <c r="AZ259" i="3"/>
  <c r="AZ268" i="3"/>
  <c r="AZ271" i="3"/>
  <c r="AZ280" i="3"/>
  <c r="AZ288" i="3"/>
  <c r="AZ296" i="3"/>
  <c r="AZ114" i="3"/>
  <c r="AZ117" i="3"/>
  <c r="AZ130" i="3"/>
  <c r="AZ133" i="3"/>
  <c r="AZ21" i="3"/>
  <c r="AZ29" i="3"/>
  <c r="AZ31" i="3"/>
  <c r="AZ33" i="3"/>
  <c r="AZ37" i="3"/>
  <c r="AZ42" i="3"/>
  <c r="AZ45" i="3"/>
  <c r="AZ50" i="3"/>
  <c r="AZ53" i="3"/>
  <c r="AZ58" i="3"/>
  <c r="AZ61" i="3"/>
  <c r="AZ66" i="3"/>
  <c r="AZ69" i="3"/>
  <c r="AZ72" i="3"/>
  <c r="AZ74" i="3"/>
  <c r="AZ77" i="3"/>
  <c r="AZ82" i="3"/>
  <c r="AZ86" i="3"/>
  <c r="AZ94" i="3"/>
  <c r="AZ102" i="3"/>
  <c r="AZ110" i="3"/>
  <c r="F23" i="39"/>
  <c r="AA23" i="39"/>
  <c r="H27" i="36"/>
  <c r="U27" i="36" s="1"/>
  <c r="F27" i="36"/>
  <c r="AA27" i="36" s="1"/>
  <c r="H33" i="34"/>
  <c r="U33" i="34"/>
  <c r="F32" i="37"/>
  <c r="AA32" i="37"/>
  <c r="G96" i="37"/>
  <c r="H96" i="37"/>
  <c r="I96" i="37"/>
  <c r="J96" i="37"/>
  <c r="K96" i="37"/>
  <c r="L96" i="37"/>
  <c r="M96" i="37"/>
  <c r="F20" i="36"/>
  <c r="AA20" i="36"/>
  <c r="J33" i="34"/>
  <c r="AC33" i="34"/>
  <c r="H23" i="39"/>
  <c r="U23" i="39" s="1"/>
  <c r="K9" i="1"/>
  <c r="M9" i="1" s="1"/>
  <c r="D93" i="9"/>
  <c r="G29" i="6"/>
  <c r="AC26" i="33"/>
  <c r="W26" i="33"/>
  <c r="W27" i="34"/>
  <c r="AC27" i="34"/>
  <c r="AB34" i="36"/>
  <c r="U34" i="36"/>
  <c r="AB33" i="36"/>
  <c r="U33" i="36"/>
  <c r="AC12" i="39"/>
  <c r="W12" i="39"/>
  <c r="AC39" i="40"/>
  <c r="W39" i="40"/>
  <c r="AZ401" i="3"/>
  <c r="AZ412" i="3"/>
  <c r="AZ417" i="3"/>
  <c r="AZ428" i="3"/>
  <c r="AZ433" i="3"/>
  <c r="AZ465" i="3"/>
  <c r="AZ586" i="3"/>
  <c r="W12" i="33"/>
  <c r="AC12" i="33"/>
  <c r="AA32" i="36"/>
  <c r="S32" i="36"/>
  <c r="AZ551" i="3"/>
  <c r="AZ550" i="3"/>
  <c r="AZ408" i="3"/>
  <c r="AZ437" i="3"/>
  <c r="AZ441" i="3"/>
  <c r="AZ457" i="3"/>
  <c r="AZ473" i="3"/>
  <c r="AZ490" i="3"/>
  <c r="AA39" i="34"/>
  <c r="BL14" i="3"/>
  <c r="AZ266" i="3"/>
  <c r="U30" i="33"/>
  <c r="AC13" i="34"/>
  <c r="AA47" i="34"/>
  <c r="W28" i="37"/>
  <c r="S19" i="39"/>
  <c r="F12" i="33"/>
  <c r="H12" i="39"/>
  <c r="AB12" i="39"/>
  <c r="F39" i="40"/>
  <c r="BA14" i="3"/>
  <c r="AZ14" i="3" s="1"/>
  <c r="AZ367" i="3"/>
  <c r="AZ213" i="3"/>
  <c r="AZ224" i="3"/>
  <c r="AZ234" i="3"/>
  <c r="AZ238" i="3"/>
  <c r="AZ250" i="3"/>
  <c r="AZ254" i="3"/>
  <c r="AZ281" i="3"/>
  <c r="AZ286" i="3"/>
  <c r="AZ297" i="3"/>
  <c r="AZ149" i="3"/>
  <c r="AZ157" i="3"/>
  <c r="AZ165" i="3"/>
  <c r="AZ173" i="3"/>
  <c r="AZ181" i="3"/>
  <c r="AZ189" i="3"/>
  <c r="AZ197" i="3"/>
  <c r="AZ26" i="3"/>
  <c r="AZ35" i="3"/>
  <c r="AZ41" i="3"/>
  <c r="B12" i="1"/>
  <c r="B10" i="1"/>
  <c r="AZ80" i="3"/>
  <c r="AZ84" i="3"/>
  <c r="AZ88" i="3"/>
  <c r="AZ107" i="3"/>
  <c r="AZ111" i="3"/>
  <c r="K12" i="1"/>
  <c r="M12" i="1" s="1"/>
  <c r="S13" i="1"/>
  <c r="AR13" i="1" s="1"/>
  <c r="R13" i="1"/>
  <c r="J51" i="67"/>
  <c r="C42" i="1"/>
  <c r="C24" i="12" s="1"/>
  <c r="AC34" i="33"/>
  <c r="AA34" i="33"/>
  <c r="B41" i="1"/>
  <c r="F48" i="9" s="1"/>
  <c r="O52" i="9" s="1"/>
  <c r="W38" i="40"/>
  <c r="AA32" i="40"/>
  <c r="S17" i="40"/>
  <c r="AB27" i="40"/>
  <c r="S28" i="40"/>
  <c r="AA27" i="40"/>
  <c r="U37" i="39"/>
  <c r="S43" i="39"/>
  <c r="S37" i="39"/>
  <c r="U35" i="39"/>
  <c r="F32" i="39"/>
  <c r="F106" i="39"/>
  <c r="G106" i="39" s="1"/>
  <c r="H106" i="39" s="1"/>
  <c r="I106" i="39" s="1"/>
  <c r="J106" i="39" s="1"/>
  <c r="K106" i="39" s="1"/>
  <c r="L106" i="39" s="1"/>
  <c r="M106" i="39" s="1"/>
  <c r="U25" i="39"/>
  <c r="AB27" i="39"/>
  <c r="U31" i="39"/>
  <c r="J21" i="39"/>
  <c r="W21" i="39" s="1"/>
  <c r="F21" i="39"/>
  <c r="G94" i="39"/>
  <c r="H21" i="39"/>
  <c r="W19" i="39"/>
  <c r="U19" i="39"/>
  <c r="S17" i="39"/>
  <c r="S15" i="39"/>
  <c r="AA12" i="39"/>
  <c r="S9" i="39"/>
  <c r="U14" i="39"/>
  <c r="AC13" i="39"/>
  <c r="U12" i="39"/>
  <c r="S23" i="36"/>
  <c r="U13" i="36"/>
  <c r="U26" i="36"/>
  <c r="S33" i="36"/>
  <c r="AA26" i="36"/>
  <c r="AA34" i="36"/>
  <c r="AC26" i="36"/>
  <c r="AA22" i="36"/>
  <c r="W14" i="36"/>
  <c r="AB14" i="36"/>
  <c r="U22" i="36"/>
  <c r="S16" i="36"/>
  <c r="AA25" i="36"/>
  <c r="S24" i="36"/>
  <c r="U24" i="36"/>
  <c r="U23" i="36"/>
  <c r="AB20" i="36"/>
  <c r="U16" i="36"/>
  <c r="S14" i="36"/>
  <c r="AA25" i="35"/>
  <c r="S23" i="35"/>
  <c r="W24" i="35"/>
  <c r="AB13" i="35"/>
  <c r="U29" i="35"/>
  <c r="U28" i="35"/>
  <c r="AB27" i="35"/>
  <c r="U36" i="35"/>
  <c r="U32" i="35"/>
  <c r="AA33" i="35"/>
  <c r="AC30" i="35"/>
  <c r="S32" i="35"/>
  <c r="AA36" i="35"/>
  <c r="S28" i="35"/>
  <c r="AB16" i="35"/>
  <c r="U22" i="35"/>
  <c r="S20" i="35"/>
  <c r="AC20" i="35"/>
  <c r="S22" i="35"/>
  <c r="U14" i="35"/>
  <c r="AA11" i="35"/>
  <c r="AC9" i="35"/>
  <c r="W9" i="35"/>
  <c r="AC12" i="35"/>
  <c r="W13" i="35"/>
  <c r="F9" i="35"/>
  <c r="S9" i="35" s="1"/>
  <c r="H9" i="35"/>
  <c r="U9" i="35" s="1"/>
  <c r="AB40" i="37"/>
  <c r="S25" i="37"/>
  <c r="W27" i="37"/>
  <c r="S26" i="37"/>
  <c r="AC29" i="37"/>
  <c r="U29" i="37"/>
  <c r="S32" i="37"/>
  <c r="AB31" i="37"/>
  <c r="W30" i="37"/>
  <c r="S36" i="37"/>
  <c r="AA38" i="37"/>
  <c r="U32" i="37"/>
  <c r="W38" i="37"/>
  <c r="AC35" i="37"/>
  <c r="W39" i="37"/>
  <c r="S30" i="37"/>
  <c r="S37" i="37"/>
  <c r="AC15" i="37"/>
  <c r="J17" i="37"/>
  <c r="W17" i="37"/>
  <c r="G73" i="37"/>
  <c r="F17" i="37"/>
  <c r="AA17" i="37"/>
  <c r="AB17" i="37"/>
  <c r="F75" i="37"/>
  <c r="F19" i="37"/>
  <c r="F79" i="37"/>
  <c r="F23" i="37"/>
  <c r="S23" i="37"/>
  <c r="U23" i="37"/>
  <c r="U15" i="37"/>
  <c r="AC13" i="37"/>
  <c r="AA13" i="37"/>
  <c r="H10" i="37"/>
  <c r="AB10" i="37" s="1"/>
  <c r="F63" i="37"/>
  <c r="F11" i="37"/>
  <c r="S11" i="37" s="1"/>
  <c r="S27" i="34"/>
  <c r="W25" i="34"/>
  <c r="AB8" i="34"/>
  <c r="AA33" i="34"/>
  <c r="U44" i="34"/>
  <c r="U43" i="34"/>
  <c r="AC39" i="34"/>
  <c r="W41" i="34"/>
  <c r="AC42" i="34"/>
  <c r="AB35" i="34"/>
  <c r="U39" i="34"/>
  <c r="S43" i="34"/>
  <c r="AB41" i="34"/>
  <c r="AA45" i="34"/>
  <c r="AA25" i="34"/>
  <c r="U28" i="34"/>
  <c r="S17" i="34"/>
  <c r="AA29" i="34"/>
  <c r="U27" i="34"/>
  <c r="S23" i="34"/>
  <c r="U15" i="34"/>
  <c r="S13" i="34"/>
  <c r="H10" i="34"/>
  <c r="AB10" i="34" s="1"/>
  <c r="F11" i="34"/>
  <c r="S11" i="34" s="1"/>
  <c r="F70" i="34"/>
  <c r="W42" i="33"/>
  <c r="AA35" i="33"/>
  <c r="S27" i="33"/>
  <c r="S32" i="33"/>
  <c r="AA29" i="33"/>
  <c r="AB29" i="33"/>
  <c r="W38" i="33"/>
  <c r="H41" i="33"/>
  <c r="F121" i="33"/>
  <c r="G121" i="33"/>
  <c r="H121" i="33"/>
  <c r="I121" i="33"/>
  <c r="J121" i="33"/>
  <c r="K121" i="33"/>
  <c r="L121" i="33"/>
  <c r="M121" i="33"/>
  <c r="U42" i="33"/>
  <c r="S42" i="33"/>
  <c r="F36" i="33"/>
  <c r="AA36" i="33" s="1"/>
  <c r="G111" i="33"/>
  <c r="G108" i="33"/>
  <c r="H108" i="33"/>
  <c r="I108" i="33"/>
  <c r="J108" i="33"/>
  <c r="K108" i="33"/>
  <c r="L108" i="33"/>
  <c r="M108" i="33"/>
  <c r="J35" i="33"/>
  <c r="S37" i="33"/>
  <c r="AA37" i="33"/>
  <c r="S39" i="33"/>
  <c r="F101" i="33"/>
  <c r="G101" i="33"/>
  <c r="H101" i="33"/>
  <c r="I101" i="33"/>
  <c r="J101" i="33"/>
  <c r="K101" i="33"/>
  <c r="L101" i="33"/>
  <c r="M101" i="33"/>
  <c r="J32" i="33"/>
  <c r="S46" i="33"/>
  <c r="W43" i="33"/>
  <c r="S43" i="33"/>
  <c r="F91" i="33"/>
  <c r="H27" i="33"/>
  <c r="F87" i="33"/>
  <c r="H25" i="33"/>
  <c r="F25" i="33"/>
  <c r="J23" i="33"/>
  <c r="F85" i="33"/>
  <c r="H23" i="33"/>
  <c r="F81" i="33"/>
  <c r="F19" i="33"/>
  <c r="S19" i="33"/>
  <c r="W19" i="33"/>
  <c r="J17" i="33"/>
  <c r="F79" i="33"/>
  <c r="S15" i="33"/>
  <c r="W15" i="33"/>
  <c r="U9" i="33"/>
  <c r="J10" i="33"/>
  <c r="W10" i="33" s="1"/>
  <c r="H10" i="33"/>
  <c r="U10" i="33" s="1"/>
  <c r="AC11" i="33"/>
  <c r="AB14" i="33"/>
  <c r="W43" i="21"/>
  <c r="W36" i="21"/>
  <c r="W41" i="21"/>
  <c r="AB39" i="21"/>
  <c r="AA43" i="21"/>
  <c r="S39" i="21"/>
  <c r="AA38" i="21"/>
  <c r="AA36" i="21"/>
  <c r="AC40" i="21"/>
  <c r="J15" i="21"/>
  <c r="W15" i="21"/>
  <c r="F77" i="21"/>
  <c r="G77" i="21"/>
  <c r="F23" i="21"/>
  <c r="S23" i="21"/>
  <c r="E85" i="21"/>
  <c r="AA14" i="21"/>
  <c r="D120" i="9"/>
  <c r="D121" i="9" s="1"/>
  <c r="D7" i="52" s="1"/>
  <c r="C18" i="9"/>
  <c r="D18" i="9"/>
  <c r="F34" i="67"/>
  <c r="F62" i="67" s="1"/>
  <c r="M20" i="67"/>
  <c r="F34" i="15"/>
  <c r="F62" i="15" s="1"/>
  <c r="G13" i="3"/>
  <c r="BA13" i="3"/>
  <c r="BL17" i="3"/>
  <c r="AZ17" i="3" s="1"/>
  <c r="BL13" i="3"/>
  <c r="J56" i="9"/>
  <c r="J57" i="9" s="1"/>
  <c r="J59" i="9" s="1"/>
  <c r="J61" i="9" s="1"/>
  <c r="A24" i="51"/>
  <c r="B18" i="72" s="1"/>
  <c r="U29" i="34"/>
  <c r="E5" i="6"/>
  <c r="E32" i="6"/>
  <c r="G1" i="68"/>
  <c r="K1" i="12"/>
  <c r="E19" i="69"/>
  <c r="E19" i="68"/>
  <c r="E19" i="11"/>
  <c r="E1" i="73"/>
  <c r="G22" i="69"/>
  <c r="G22" i="68"/>
  <c r="G26" i="12"/>
  <c r="G22" i="11"/>
  <c r="C6" i="43"/>
  <c r="B19" i="53"/>
  <c r="B37" i="72" s="1"/>
  <c r="C7" i="39"/>
  <c r="C67" i="39" s="1"/>
  <c r="C7" i="35"/>
  <c r="C7" i="33"/>
  <c r="C7" i="21"/>
  <c r="C7" i="40"/>
  <c r="C63" i="40" s="1"/>
  <c r="M47" i="9"/>
  <c r="G23" i="43"/>
  <c r="C52" i="37"/>
  <c r="D52" i="37" s="1"/>
  <c r="A4" i="51"/>
  <c r="B6" i="72" s="1"/>
  <c r="C48" i="35"/>
  <c r="D48" i="35" s="1"/>
  <c r="H67" i="43"/>
  <c r="L20" i="6"/>
  <c r="B6" i="1"/>
  <c r="E6" i="1" s="1"/>
  <c r="K11" i="1"/>
  <c r="M11" i="1" s="1"/>
  <c r="O11" i="1" s="1"/>
  <c r="B9" i="1"/>
  <c r="K7" i="1"/>
  <c r="M7" i="1" s="1"/>
  <c r="O7" i="1" s="1"/>
  <c r="P7" i="1" s="1"/>
  <c r="G1" i="15"/>
  <c r="G1" i="69"/>
  <c r="G1" i="67"/>
  <c r="U32" i="40"/>
  <c r="AB31" i="40"/>
  <c r="AB28" i="40"/>
  <c r="W28" i="40"/>
  <c r="W34" i="40"/>
  <c r="W27" i="40"/>
  <c r="AC14" i="40"/>
  <c r="S33" i="40"/>
  <c r="AA15" i="40"/>
  <c r="S31" i="40"/>
  <c r="U15" i="40"/>
  <c r="U8" i="40"/>
  <c r="S8" i="40"/>
  <c r="AA39" i="39"/>
  <c r="AC41" i="39"/>
  <c r="U42" i="39"/>
  <c r="U41" i="39"/>
  <c r="W25" i="39"/>
  <c r="AC25" i="39"/>
  <c r="U13" i="39"/>
  <c r="AB13" i="39"/>
  <c r="AA13" i="39"/>
  <c r="S13" i="39"/>
  <c r="S14" i="39"/>
  <c r="AA14" i="39"/>
  <c r="U43" i="39"/>
  <c r="AB43" i="39"/>
  <c r="AB11" i="39"/>
  <c r="U11" i="39"/>
  <c r="AA27" i="39"/>
  <c r="S27" i="39"/>
  <c r="W17" i="39"/>
  <c r="AC17" i="39"/>
  <c r="W31" i="39"/>
  <c r="AC31" i="39"/>
  <c r="S23" i="39"/>
  <c r="AA45" i="39"/>
  <c r="AB39" i="39"/>
  <c r="W34" i="39"/>
  <c r="U38" i="39"/>
  <c r="S8" i="39"/>
  <c r="S20" i="36"/>
  <c r="AC25" i="36"/>
  <c r="U32" i="36"/>
  <c r="W29" i="36"/>
  <c r="AC20" i="36"/>
  <c r="U25" i="36"/>
  <c r="AB28" i="36"/>
  <c r="AA13" i="36"/>
  <c r="W9" i="36"/>
  <c r="W22" i="36"/>
  <c r="W23" i="36"/>
  <c r="S9" i="36"/>
  <c r="AB20" i="35"/>
  <c r="AC25" i="35"/>
  <c r="U25" i="35"/>
  <c r="S24" i="35"/>
  <c r="U24" i="35"/>
  <c r="S35" i="35"/>
  <c r="W35" i="35"/>
  <c r="AA16" i="35"/>
  <c r="AA35" i="37"/>
  <c r="W36" i="37"/>
  <c r="S27" i="37"/>
  <c r="S28" i="37"/>
  <c r="W32" i="37"/>
  <c r="U36" i="37"/>
  <c r="S40" i="37"/>
  <c r="U38" i="37"/>
  <c r="AB37" i="37"/>
  <c r="AC34" i="37"/>
  <c r="AB35" i="37"/>
  <c r="AA31" i="37"/>
  <c r="U19" i="37"/>
  <c r="AA29" i="37"/>
  <c r="U8" i="37"/>
  <c r="AA40" i="34"/>
  <c r="AB40" i="34"/>
  <c r="U19" i="34"/>
  <c r="W19" i="34"/>
  <c r="AB33" i="34"/>
  <c r="AC45" i="34"/>
  <c r="AA31" i="34"/>
  <c r="AA30" i="34"/>
  <c r="AB45" i="34"/>
  <c r="AB47" i="34"/>
  <c r="U25" i="34"/>
  <c r="AB36" i="34"/>
  <c r="W33" i="34"/>
  <c r="AC14" i="34"/>
  <c r="AC32" i="34"/>
  <c r="AC29" i="34"/>
  <c r="W29" i="34"/>
  <c r="W46" i="34"/>
  <c r="AC46" i="34"/>
  <c r="S32" i="34"/>
  <c r="AA32" i="34"/>
  <c r="U30" i="34"/>
  <c r="AB30" i="34"/>
  <c r="S37" i="34"/>
  <c r="U38" i="34"/>
  <c r="AC40" i="34"/>
  <c r="W40" i="34"/>
  <c r="AA19" i="34"/>
  <c r="S19" i="34"/>
  <c r="AA36" i="34"/>
  <c r="S36" i="34"/>
  <c r="AA8" i="34"/>
  <c r="S8" i="34"/>
  <c r="AB9" i="34"/>
  <c r="U9" i="34"/>
  <c r="S46" i="34"/>
  <c r="AA46" i="34"/>
  <c r="U32" i="34"/>
  <c r="AB32" i="34"/>
  <c r="U14" i="34"/>
  <c r="AB14" i="34"/>
  <c r="AC43" i="34"/>
  <c r="W43" i="34"/>
  <c r="W23" i="34"/>
  <c r="AC23" i="34"/>
  <c r="AC35" i="34"/>
  <c r="W35" i="34"/>
  <c r="U12" i="34"/>
  <c r="AB12" i="34"/>
  <c r="AB28" i="33"/>
  <c r="AC37" i="33"/>
  <c r="W46" i="33"/>
  <c r="U39" i="33"/>
  <c r="U38" i="33"/>
  <c r="S33" i="33"/>
  <c r="AB34" i="33"/>
  <c r="U44" i="33"/>
  <c r="AB44" i="33"/>
  <c r="S30" i="33"/>
  <c r="AA30" i="33"/>
  <c r="AC14" i="33"/>
  <c r="W14" i="33"/>
  <c r="AC30" i="33"/>
  <c r="W30" i="33"/>
  <c r="S31" i="33"/>
  <c r="AA31" i="33"/>
  <c r="W13" i="33"/>
  <c r="AC13" i="33"/>
  <c r="U15" i="33"/>
  <c r="S11" i="33"/>
  <c r="U37" i="33"/>
  <c r="AC28" i="33"/>
  <c r="S28" i="33"/>
  <c r="W9" i="33"/>
  <c r="W8" i="33"/>
  <c r="S44" i="21"/>
  <c r="AB42" i="21"/>
  <c r="U28" i="21"/>
  <c r="S45" i="21"/>
  <c r="I101" i="21"/>
  <c r="J101" i="21"/>
  <c r="K101" i="21"/>
  <c r="L101" i="21"/>
  <c r="M101" i="21"/>
  <c r="F33" i="21"/>
  <c r="AA33" i="21" s="1"/>
  <c r="J33" i="21"/>
  <c r="AC33" i="21" s="1"/>
  <c r="H33" i="21"/>
  <c r="AB33" i="21" s="1"/>
  <c r="F37" i="21"/>
  <c r="AA37" i="21"/>
  <c r="AA26" i="21"/>
  <c r="AB14" i="21"/>
  <c r="AB46" i="21"/>
  <c r="U40" i="21"/>
  <c r="AB31" i="21"/>
  <c r="U31" i="21"/>
  <c r="AC15" i="21"/>
  <c r="U13" i="21"/>
  <c r="AB13" i="21"/>
  <c r="S35" i="21"/>
  <c r="J37" i="21"/>
  <c r="W37" i="21" s="1"/>
  <c r="H15" i="21"/>
  <c r="U15" i="21"/>
  <c r="J17" i="21"/>
  <c r="AC17" i="21"/>
  <c r="AC19" i="21"/>
  <c r="W39" i="21"/>
  <c r="AC14" i="21"/>
  <c r="W30" i="21"/>
  <c r="S46" i="21"/>
  <c r="H45" i="21"/>
  <c r="U45" i="21"/>
  <c r="F29" i="21"/>
  <c r="S29" i="21"/>
  <c r="F13" i="21"/>
  <c r="AA13" i="21"/>
  <c r="AC38" i="21"/>
  <c r="H32" i="21"/>
  <c r="H9" i="21"/>
  <c r="J9" i="21"/>
  <c r="J32" i="21"/>
  <c r="W32" i="21" s="1"/>
  <c r="F32" i="21"/>
  <c r="AA31" i="21"/>
  <c r="U17" i="21"/>
  <c r="W29" i="21"/>
  <c r="S19" i="21"/>
  <c r="S9" i="21"/>
  <c r="AA9" i="21"/>
  <c r="K141" i="21"/>
  <c r="K144" i="21"/>
  <c r="K143" i="21"/>
  <c r="U27" i="21"/>
  <c r="AB25" i="21"/>
  <c r="AB44" i="21"/>
  <c r="AA30" i="21"/>
  <c r="W13" i="21"/>
  <c r="W42" i="21"/>
  <c r="AC45" i="21"/>
  <c r="F10" i="21"/>
  <c r="AA10" i="21" s="1"/>
  <c r="K145" i="21"/>
  <c r="W17" i="21"/>
  <c r="W25" i="21"/>
  <c r="AA29" i="21"/>
  <c r="W31" i="21"/>
  <c r="S27" i="21"/>
  <c r="S17" i="21"/>
  <c r="AA15" i="21"/>
  <c r="AC27" i="21"/>
  <c r="AC26" i="21"/>
  <c r="AB29" i="21"/>
  <c r="S28" i="21"/>
  <c r="AC34" i="21"/>
  <c r="W12" i="21"/>
  <c r="AB36" i="21"/>
  <c r="C19" i="39"/>
  <c r="C15" i="40"/>
  <c r="C17" i="40"/>
  <c r="C23" i="40"/>
  <c r="C21" i="40"/>
  <c r="U30" i="40"/>
  <c r="B56" i="43"/>
  <c r="B67" i="43"/>
  <c r="B51" i="43"/>
  <c r="B54" i="43"/>
  <c r="B58" i="43"/>
  <c r="B62" i="43"/>
  <c r="B65" i="43"/>
  <c r="B69" i="43"/>
  <c r="D23" i="15"/>
  <c r="D22" i="15"/>
  <c r="E4" i="4"/>
  <c r="B5" i="62" s="1"/>
  <c r="B73" i="72" s="1"/>
  <c r="C4" i="4"/>
  <c r="F30" i="68"/>
  <c r="F48" i="68" s="1"/>
  <c r="F30" i="11"/>
  <c r="C48" i="11" s="1"/>
  <c r="F28" i="67"/>
  <c r="F31" i="12"/>
  <c r="F52" i="9"/>
  <c r="M18" i="67"/>
  <c r="F32" i="67"/>
  <c r="F60" i="67" s="1"/>
  <c r="F30" i="69"/>
  <c r="F48" i="69" s="1"/>
  <c r="F32" i="15"/>
  <c r="F60" i="15" s="1"/>
  <c r="M18" i="15"/>
  <c r="F28" i="15"/>
  <c r="AA39" i="40"/>
  <c r="S39" i="40"/>
  <c r="S12" i="33"/>
  <c r="AA12" i="33"/>
  <c r="D68" i="9"/>
  <c r="F54" i="9"/>
  <c r="J32" i="39"/>
  <c r="H32" i="39"/>
  <c r="AB32" i="39" s="1"/>
  <c r="AA32" i="39"/>
  <c r="S32" i="39"/>
  <c r="AB21" i="39"/>
  <c r="U21" i="39"/>
  <c r="AA21" i="39"/>
  <c r="S21" i="39"/>
  <c r="AC17" i="37"/>
  <c r="S17" i="37"/>
  <c r="J19" i="37"/>
  <c r="G75" i="37"/>
  <c r="S19" i="37"/>
  <c r="AA19" i="37"/>
  <c r="AA23" i="37"/>
  <c r="J23" i="37"/>
  <c r="G79" i="37"/>
  <c r="J10" i="37"/>
  <c r="W10" i="37" s="1"/>
  <c r="G63" i="37"/>
  <c r="H11" i="37"/>
  <c r="AB11" i="37" s="1"/>
  <c r="G70" i="34"/>
  <c r="H11" i="34"/>
  <c r="U11" i="34" s="1"/>
  <c r="J10" i="34"/>
  <c r="AC10" i="34" s="1"/>
  <c r="AB41" i="33"/>
  <c r="U41" i="33"/>
  <c r="W35" i="33"/>
  <c r="AC35" i="33"/>
  <c r="H111" i="33"/>
  <c r="I111" i="33"/>
  <c r="J111" i="33"/>
  <c r="K111" i="33"/>
  <c r="L111" i="33"/>
  <c r="M111" i="33"/>
  <c r="J36" i="33"/>
  <c r="W36" i="33" s="1"/>
  <c r="H36" i="33"/>
  <c r="U36" i="33" s="1"/>
  <c r="S36" i="33"/>
  <c r="AC32" i="33"/>
  <c r="W32" i="33"/>
  <c r="U27" i="33"/>
  <c r="AB27" i="33"/>
  <c r="G91" i="33"/>
  <c r="H91" i="33"/>
  <c r="I91" i="33"/>
  <c r="J91" i="33"/>
  <c r="K91" i="33"/>
  <c r="L91" i="33"/>
  <c r="M91" i="33"/>
  <c r="J27" i="33"/>
  <c r="U25" i="33"/>
  <c r="AB25" i="33"/>
  <c r="S25" i="33"/>
  <c r="AA25" i="33"/>
  <c r="G87" i="33"/>
  <c r="H87" i="33"/>
  <c r="I87" i="33"/>
  <c r="J87" i="33"/>
  <c r="K87" i="33"/>
  <c r="L87" i="33"/>
  <c r="M87" i="33"/>
  <c r="J25" i="33"/>
  <c r="AB23" i="33"/>
  <c r="U23" i="33"/>
  <c r="F23" i="33"/>
  <c r="G85" i="33"/>
  <c r="AC23" i="33"/>
  <c r="W23" i="33"/>
  <c r="AA19" i="33"/>
  <c r="H19" i="33"/>
  <c r="G81" i="33"/>
  <c r="G79" i="33"/>
  <c r="H17" i="33"/>
  <c r="F17" i="33"/>
  <c r="W17" i="33"/>
  <c r="AC17" i="33"/>
  <c r="S37" i="21"/>
  <c r="AA23" i="21"/>
  <c r="AB15" i="21"/>
  <c r="J23" i="21"/>
  <c r="F85" i="21"/>
  <c r="G85" i="21"/>
  <c r="H23" i="21"/>
  <c r="S13" i="21"/>
  <c r="D6" i="52"/>
  <c r="AP7" i="1"/>
  <c r="AB45" i="21"/>
  <c r="AB9" i="21"/>
  <c r="U9" i="21"/>
  <c r="AA32" i="21"/>
  <c r="S32" i="21"/>
  <c r="W9" i="21"/>
  <c r="AC9" i="21"/>
  <c r="AB32" i="21"/>
  <c r="U32" i="21"/>
  <c r="U32" i="39"/>
  <c r="AC32" i="39"/>
  <c r="W32" i="39"/>
  <c r="W19" i="37"/>
  <c r="AC19" i="37"/>
  <c r="W23" i="37"/>
  <c r="AC23" i="37"/>
  <c r="H63" i="37"/>
  <c r="I63" i="37"/>
  <c r="J63" i="37"/>
  <c r="K63" i="37"/>
  <c r="L63" i="37"/>
  <c r="M63" i="37"/>
  <c r="J11" i="37"/>
  <c r="AC11" i="37" s="1"/>
  <c r="H70" i="34"/>
  <c r="I70" i="34"/>
  <c r="J70" i="34"/>
  <c r="K70" i="34"/>
  <c r="L70" i="34"/>
  <c r="M70" i="34"/>
  <c r="J11" i="34"/>
  <c r="W11" i="34" s="1"/>
  <c r="AB36" i="33"/>
  <c r="W27" i="33"/>
  <c r="AC27" i="33"/>
  <c r="W25" i="33"/>
  <c r="AC25" i="33"/>
  <c r="AA23" i="33"/>
  <c r="S23" i="33"/>
  <c r="AB19" i="33"/>
  <c r="U19" i="33"/>
  <c r="AA17" i="33"/>
  <c r="S17" i="33"/>
  <c r="U17" i="33"/>
  <c r="AB17" i="33"/>
  <c r="U23" i="21"/>
  <c r="AB23" i="21"/>
  <c r="AC23" i="21"/>
  <c r="W23" i="21"/>
  <c r="H109" i="9"/>
  <c r="D16" i="53" s="1"/>
  <c r="B34" i="72" s="1"/>
  <c r="AD3" i="71"/>
  <c r="J1" i="73"/>
  <c r="H69" i="43"/>
  <c r="C22" i="71"/>
  <c r="D22" i="71"/>
  <c r="D23" i="71"/>
  <c r="D24" i="71"/>
  <c r="U24" i="71"/>
  <c r="S24" i="71"/>
  <c r="T24" i="71"/>
  <c r="AB22" i="71"/>
  <c r="X20" i="71"/>
  <c r="X19" i="71"/>
  <c r="AA20" i="71"/>
  <c r="AA19" i="71"/>
  <c r="X23" i="71"/>
  <c r="Z18" i="71"/>
  <c r="Y19" i="71"/>
  <c r="Z19" i="71" s="1"/>
  <c r="AB20" i="71"/>
  <c r="AB19" i="71"/>
  <c r="S20" i="71"/>
  <c r="F21" i="71"/>
  <c r="F20" i="71"/>
  <c r="Y20" i="71"/>
  <c r="Z20" i="71" s="1"/>
  <c r="X3" i="71"/>
  <c r="C21" i="71"/>
  <c r="E21" i="71"/>
  <c r="E20" i="71"/>
  <c r="V20" i="71"/>
  <c r="C20" i="71"/>
  <c r="D21" i="71"/>
  <c r="D18" i="71"/>
  <c r="T20" i="71"/>
  <c r="D19" i="71"/>
  <c r="D20" i="71"/>
  <c r="U20" i="71"/>
  <c r="M24" i="67"/>
  <c r="B7" i="76"/>
  <c r="B8" i="76"/>
  <c r="L48" i="15"/>
  <c r="M26" i="15"/>
  <c r="M23" i="15"/>
  <c r="J15" i="15"/>
  <c r="F9" i="15"/>
  <c r="F20" i="31"/>
  <c r="B9" i="76"/>
  <c r="F13" i="67"/>
  <c r="B10" i="76"/>
  <c r="M29" i="67"/>
  <c r="M8" i="67"/>
  <c r="F13" i="15"/>
  <c r="M9" i="67"/>
  <c r="D6" i="73"/>
  <c r="F7" i="73"/>
  <c r="F40" i="15"/>
  <c r="M9" i="15"/>
  <c r="F42" i="67"/>
  <c r="M23" i="67"/>
  <c r="B13" i="76"/>
  <c r="D4" i="73"/>
  <c r="M6" i="15"/>
  <c r="E2" i="68"/>
  <c r="F9" i="67"/>
  <c r="E2" i="69"/>
  <c r="F36" i="15"/>
  <c r="F16" i="67"/>
  <c r="F38" i="15"/>
  <c r="F4" i="73"/>
  <c r="F26" i="15"/>
  <c r="E13" i="76"/>
  <c r="L47" i="67"/>
  <c r="B11" i="76"/>
  <c r="F26" i="67"/>
  <c r="J15" i="67"/>
  <c r="F37" i="67"/>
  <c r="M26" i="67"/>
  <c r="C76" i="67"/>
  <c r="F40" i="67"/>
  <c r="F6" i="67"/>
  <c r="L47" i="15"/>
  <c r="F42" i="15"/>
  <c r="M28" i="67"/>
  <c r="E7" i="76"/>
  <c r="M24" i="15"/>
  <c r="E8" i="76"/>
  <c r="E9" i="76"/>
  <c r="F37" i="15"/>
  <c r="E11" i="76"/>
  <c r="M22" i="67"/>
  <c r="B12" i="76"/>
  <c r="D7" i="73"/>
  <c r="F16" i="15"/>
  <c r="D3" i="73"/>
  <c r="E10" i="76"/>
  <c r="F5" i="73"/>
  <c r="F8" i="67"/>
  <c r="L48" i="67"/>
  <c r="M28" i="15"/>
  <c r="M8" i="15"/>
  <c r="F3" i="73"/>
  <c r="C76" i="15"/>
  <c r="F6" i="73"/>
  <c r="M22" i="15"/>
  <c r="AO13" i="1"/>
  <c r="F43" i="67"/>
  <c r="F7" i="67"/>
  <c r="F38" i="67"/>
  <c r="F36" i="67"/>
  <c r="E12" i="76"/>
  <c r="F8" i="15"/>
  <c r="M6" i="67"/>
  <c r="D5" i="73"/>
  <c r="BA20" i="3" l="1"/>
  <c r="AZ20" i="3" s="1"/>
  <c r="E19" i="6"/>
  <c r="K6" i="1" s="1"/>
  <c r="F29" i="6"/>
  <c r="BA19" i="3"/>
  <c r="BL19" i="3"/>
  <c r="BL5" i="3" s="1"/>
  <c r="C40" i="69"/>
  <c r="C21" i="68"/>
  <c r="F36" i="40"/>
  <c r="AA36" i="40" s="1"/>
  <c r="F113" i="40"/>
  <c r="G113" i="40" s="1"/>
  <c r="H50" i="43"/>
  <c r="AB37" i="40"/>
  <c r="AA37" i="40"/>
  <c r="W37" i="40"/>
  <c r="U36" i="40"/>
  <c r="S35" i="40"/>
  <c r="W35" i="40"/>
  <c r="U35" i="40"/>
  <c r="AA30" i="40"/>
  <c r="W30" i="40"/>
  <c r="F92" i="40"/>
  <c r="G92" i="40" s="1"/>
  <c r="J23" i="40"/>
  <c r="F23" i="40"/>
  <c r="AA23" i="40" s="1"/>
  <c r="H23" i="40"/>
  <c r="AB23" i="40" s="1"/>
  <c r="H19" i="40"/>
  <c r="F19" i="40"/>
  <c r="S19" i="40" s="1"/>
  <c r="U12" i="40"/>
  <c r="AB13" i="40"/>
  <c r="S13" i="40"/>
  <c r="F76" i="40"/>
  <c r="AA9" i="40"/>
  <c r="U9" i="40"/>
  <c r="W25" i="40"/>
  <c r="S25" i="40"/>
  <c r="U25" i="40"/>
  <c r="AC21" i="40"/>
  <c r="AB21" i="40"/>
  <c r="W19" i="40"/>
  <c r="AA19" i="40"/>
  <c r="AB17" i="40"/>
  <c r="AC17" i="40"/>
  <c r="AC15" i="40"/>
  <c r="AZ15" i="3"/>
  <c r="BA18" i="3"/>
  <c r="AZ18" i="3" s="1"/>
  <c r="G5" i="3"/>
  <c r="B3" i="3" s="1"/>
  <c r="E156" i="3" s="1"/>
  <c r="AZ19" i="3"/>
  <c r="BA5" i="3"/>
  <c r="G28" i="6"/>
  <c r="A15" i="62"/>
  <c r="B61" i="72" s="1"/>
  <c r="A2" i="9"/>
  <c r="A4" i="52"/>
  <c r="B41" i="72" s="1"/>
  <c r="A118" i="9"/>
  <c r="C28" i="67"/>
  <c r="H83" i="43"/>
  <c r="S22" i="31"/>
  <c r="R22" i="31" s="1"/>
  <c r="D74" i="43"/>
  <c r="E50" i="43"/>
  <c r="B48" i="43" s="1"/>
  <c r="H78" i="43"/>
  <c r="AC32" i="36"/>
  <c r="W31" i="36"/>
  <c r="W33" i="36"/>
  <c r="AC34" i="36"/>
  <c r="AA31" i="36"/>
  <c r="S28" i="36"/>
  <c r="S30" i="36"/>
  <c r="S29" i="36"/>
  <c r="W8" i="36"/>
  <c r="AB8" i="36"/>
  <c r="W11" i="36"/>
  <c r="S8" i="36"/>
  <c r="AB11" i="36"/>
  <c r="AB10" i="35"/>
  <c r="U30" i="35"/>
  <c r="AA30" i="35"/>
  <c r="W32" i="35"/>
  <c r="W33" i="35"/>
  <c r="AA9" i="35"/>
  <c r="S8" i="35"/>
  <c r="AB9" i="35"/>
  <c r="U11" i="35"/>
  <c r="AB37" i="21"/>
  <c r="AC37" i="21"/>
  <c r="S33" i="21"/>
  <c r="AC36" i="33"/>
  <c r="S33" i="37"/>
  <c r="AC9" i="37"/>
  <c r="W11" i="37"/>
  <c r="AA8" i="37"/>
  <c r="AA9" i="37"/>
  <c r="AA12" i="37"/>
  <c r="AB9" i="37"/>
  <c r="U11" i="37"/>
  <c r="U12" i="37"/>
  <c r="AC8" i="37"/>
  <c r="AB37" i="34"/>
  <c r="S9" i="34"/>
  <c r="AC11" i="34"/>
  <c r="U33" i="21"/>
  <c r="AB13" i="33"/>
  <c r="S9" i="33"/>
  <c r="S8" i="33"/>
  <c r="U8" i="33"/>
  <c r="W8" i="21"/>
  <c r="S8" i="21"/>
  <c r="AA11" i="21"/>
  <c r="AC11" i="21"/>
  <c r="AB11" i="21"/>
  <c r="C30" i="69"/>
  <c r="F53" i="9"/>
  <c r="C5" i="11"/>
  <c r="C4" i="12"/>
  <c r="E14" i="6"/>
  <c r="E63" i="39" s="1"/>
  <c r="I4" i="6"/>
  <c r="C11" i="40" s="1"/>
  <c r="F11" i="40" s="1"/>
  <c r="E29" i="6"/>
  <c r="K15" i="1" s="1"/>
  <c r="F30" i="6"/>
  <c r="G30" i="6"/>
  <c r="G31" i="6" s="1"/>
  <c r="E28" i="6"/>
  <c r="L19" i="6"/>
  <c r="L27" i="6" s="1"/>
  <c r="T13" i="1"/>
  <c r="C58" i="21"/>
  <c r="D58" i="21" s="1"/>
  <c r="C58" i="33"/>
  <c r="C59" i="34"/>
  <c r="D59" i="34" s="1"/>
  <c r="E59" i="34" s="1"/>
  <c r="F59" i="34" s="1"/>
  <c r="G59" i="34" s="1"/>
  <c r="H59" i="34" s="1"/>
  <c r="I59" i="34" s="1"/>
  <c r="J59" i="34" s="1"/>
  <c r="C28" i="15"/>
  <c r="F31" i="15"/>
  <c r="F31" i="67"/>
  <c r="W10" i="36"/>
  <c r="U10" i="36"/>
  <c r="S10" i="36"/>
  <c r="AA10" i="35"/>
  <c r="W10" i="35"/>
  <c r="U10" i="37"/>
  <c r="S10" i="37"/>
  <c r="AC10" i="37"/>
  <c r="W10" i="34"/>
  <c r="U10" i="34"/>
  <c r="S10" i="34"/>
  <c r="AA10" i="33"/>
  <c r="AC10" i="33"/>
  <c r="AB10" i="33"/>
  <c r="U10" i="21"/>
  <c r="S10" i="21"/>
  <c r="W10" i="21"/>
  <c r="AB27" i="36"/>
  <c r="S27" i="36"/>
  <c r="AC27" i="36"/>
  <c r="AC8" i="35"/>
  <c r="U8" i="35"/>
  <c r="H26" i="35"/>
  <c r="F26" i="35"/>
  <c r="J26" i="35"/>
  <c r="W33" i="37"/>
  <c r="AA11" i="37"/>
  <c r="W34" i="34"/>
  <c r="W37" i="34"/>
  <c r="S34" i="34"/>
  <c r="AB11" i="34"/>
  <c r="AA11" i="34"/>
  <c r="AC32" i="21"/>
  <c r="W33" i="21"/>
  <c r="AB8" i="21"/>
  <c r="P74" i="67"/>
  <c r="H62" i="43"/>
  <c r="H58" i="43"/>
  <c r="H51" i="43"/>
  <c r="H56" i="43"/>
  <c r="H65" i="43"/>
  <c r="D72" i="43"/>
  <c r="D76" i="43"/>
  <c r="D80" i="43"/>
  <c r="D61" i="43"/>
  <c r="P61" i="15"/>
  <c r="C94" i="9"/>
  <c r="C92" i="9"/>
  <c r="C48" i="69"/>
  <c r="C31" i="12"/>
  <c r="C48" i="68"/>
  <c r="C30" i="68"/>
  <c r="C77" i="9"/>
  <c r="C74" i="9" s="1"/>
  <c r="C30" i="11"/>
  <c r="C21" i="69"/>
  <c r="J84" i="43"/>
  <c r="J85" i="43"/>
  <c r="J86" i="43"/>
  <c r="J87" i="43"/>
  <c r="J88" i="43"/>
  <c r="J89" i="43"/>
  <c r="J90" i="43"/>
  <c r="D83" i="43"/>
  <c r="E83" i="43" s="1"/>
  <c r="B81" i="43" s="1"/>
  <c r="D66" i="43"/>
  <c r="D64" i="43"/>
  <c r="D62" i="43"/>
  <c r="D67" i="43"/>
  <c r="D65" i="43"/>
  <c r="D63" i="43"/>
  <c r="D69" i="43"/>
  <c r="D73" i="43"/>
  <c r="D75" i="43"/>
  <c r="D79" i="43"/>
  <c r="D22" i="67"/>
  <c r="AQ13" i="1"/>
  <c r="Q16" i="1"/>
  <c r="F27" i="69" s="1"/>
  <c r="E8" i="6"/>
  <c r="F27" i="6" s="1"/>
  <c r="E12" i="6"/>
  <c r="E57" i="40" s="1"/>
  <c r="E125" i="3"/>
  <c r="E366" i="3"/>
  <c r="E553" i="3"/>
  <c r="E282" i="3"/>
  <c r="N6" i="3"/>
  <c r="E239" i="3"/>
  <c r="E516" i="3"/>
  <c r="E569" i="3"/>
  <c r="E396" i="3"/>
  <c r="E229" i="3"/>
  <c r="E151" i="3"/>
  <c r="E358" i="3"/>
  <c r="E559" i="3"/>
  <c r="E551" i="3"/>
  <c r="V6" i="3"/>
  <c r="E407" i="3"/>
  <c r="E320" i="3"/>
  <c r="E294" i="3"/>
  <c r="E230" i="3"/>
  <c r="E130" i="3"/>
  <c r="E114" i="3"/>
  <c r="E415" i="3"/>
  <c r="E395" i="3"/>
  <c r="E260" i="3"/>
  <c r="E550" i="3"/>
  <c r="E117" i="3"/>
  <c r="E290" i="3"/>
  <c r="E61" i="3"/>
  <c r="E245" i="3"/>
  <c r="E382" i="3"/>
  <c r="E578" i="3"/>
  <c r="E518" i="3"/>
  <c r="E293" i="3"/>
  <c r="E336" i="3"/>
  <c r="E583" i="3"/>
  <c r="E15" i="6"/>
  <c r="E64" i="39" s="1"/>
  <c r="E11" i="6"/>
  <c r="E60" i="39" s="1"/>
  <c r="E10" i="6"/>
  <c r="E13" i="6"/>
  <c r="H16" i="1"/>
  <c r="P11" i="1"/>
  <c r="E59" i="40"/>
  <c r="K14" i="1"/>
  <c r="D9" i="11"/>
  <c r="C9" i="11" s="1"/>
  <c r="D19" i="12"/>
  <c r="C19" i="12" s="1"/>
  <c r="AZ13" i="3"/>
  <c r="AZ5" i="3" s="1"/>
  <c r="O9" i="1"/>
  <c r="P9" i="1" s="1"/>
  <c r="O12" i="1"/>
  <c r="P12" i="1" s="1"/>
  <c r="O8" i="1"/>
  <c r="P8" i="1" s="1"/>
  <c r="H73" i="43"/>
  <c r="H90" i="43"/>
  <c r="C23" i="43"/>
  <c r="O23" i="43"/>
  <c r="I18" i="43"/>
  <c r="E17" i="43" s="1"/>
  <c r="C17" i="43" s="1"/>
  <c r="C24" i="43"/>
  <c r="A1" i="79"/>
  <c r="H55" i="43"/>
  <c r="H86" i="43"/>
  <c r="H87" i="43"/>
  <c r="H89" i="43"/>
  <c r="H88" i="43"/>
  <c r="H84" i="43"/>
  <c r="C69" i="39"/>
  <c r="D67" i="39"/>
  <c r="D69" i="39" s="1"/>
  <c r="A19" i="51"/>
  <c r="B14" i="72" s="1"/>
  <c r="T35" i="4"/>
  <c r="H110" i="9"/>
  <c r="H52" i="43"/>
  <c r="K5" i="4"/>
  <c r="B47" i="48" s="1"/>
  <c r="Y8" i="71"/>
  <c r="Z8" i="71" s="1"/>
  <c r="X8" i="71"/>
  <c r="AB8" i="71"/>
  <c r="AA8" i="71"/>
  <c r="H76" i="43"/>
  <c r="H72" i="43"/>
  <c r="H63" i="43"/>
  <c r="H61" i="43"/>
  <c r="H53" i="43"/>
  <c r="H79" i="43"/>
  <c r="D17" i="53"/>
  <c r="B36" i="72" s="1"/>
  <c r="D124" i="9"/>
  <c r="H74" i="43"/>
  <c r="H57" i="43"/>
  <c r="H66" i="43"/>
  <c r="H68" i="43"/>
  <c r="H80" i="43"/>
  <c r="H77" i="43"/>
  <c r="E44" i="43"/>
  <c r="C44" i="43" s="1"/>
  <c r="AC21" i="39"/>
  <c r="AB23" i="39"/>
  <c r="AB15" i="39"/>
  <c r="AC15" i="39"/>
  <c r="S25" i="39"/>
  <c r="W39" i="39"/>
  <c r="W42" i="39"/>
  <c r="W14" i="39"/>
  <c r="S29" i="39"/>
  <c r="G21" i="43"/>
  <c r="C20" i="43" s="1"/>
  <c r="E11" i="43"/>
  <c r="E9" i="43"/>
  <c r="E10" i="43"/>
  <c r="E8" i="43"/>
  <c r="G16" i="1"/>
  <c r="F10" i="39" s="1"/>
  <c r="D23" i="67"/>
  <c r="G25" i="12"/>
  <c r="G41" i="11"/>
  <c r="G27" i="12"/>
  <c r="G41" i="68"/>
  <c r="K59" i="34"/>
  <c r="L59" i="34" s="1"/>
  <c r="M59" i="34" s="1"/>
  <c r="N59" i="34" s="1"/>
  <c r="O59" i="34" s="1"/>
  <c r="J46" i="36"/>
  <c r="K46" i="36" s="1"/>
  <c r="L46" i="36" s="1"/>
  <c r="M46" i="36" s="1"/>
  <c r="N46" i="36" s="1"/>
  <c r="O46" i="36" s="1"/>
  <c r="H7" i="36"/>
  <c r="E52" i="37"/>
  <c r="F52" i="37" s="1"/>
  <c r="G52" i="37" s="1"/>
  <c r="H52" i="37" s="1"/>
  <c r="I52" i="37" s="1"/>
  <c r="J52" i="37" s="1"/>
  <c r="K52" i="37" s="1"/>
  <c r="L52" i="37" s="1"/>
  <c r="M52" i="37" s="1"/>
  <c r="N52" i="37" s="1"/>
  <c r="O52" i="37" s="1"/>
  <c r="J7" i="37"/>
  <c r="J7" i="36"/>
  <c r="F7" i="36"/>
  <c r="E48" i="35"/>
  <c r="D63" i="40"/>
  <c r="C65" i="40"/>
  <c r="D58" i="33"/>
  <c r="E58" i="33" s="1"/>
  <c r="F58" i="33" s="1"/>
  <c r="G58" i="33" s="1"/>
  <c r="H58" i="33" s="1"/>
  <c r="I58" i="33" s="1"/>
  <c r="J58" i="33" s="1"/>
  <c r="K58" i="33" s="1"/>
  <c r="L58" i="33" s="1"/>
  <c r="M58" i="33" s="1"/>
  <c r="N58" i="33" s="1"/>
  <c r="O58" i="33" s="1"/>
  <c r="K4" i="4"/>
  <c r="B46" i="48" s="1"/>
  <c r="B4" i="72" s="1"/>
  <c r="B4" i="62"/>
  <c r="B71" i="72" s="1"/>
  <c r="D9" i="53"/>
  <c r="B25" i="72" s="1"/>
  <c r="B24" i="72"/>
  <c r="K120" i="9"/>
  <c r="A18" i="62" s="1"/>
  <c r="B64" i="72" s="1"/>
  <c r="D15" i="71"/>
  <c r="C14" i="71"/>
  <c r="Y16" i="71"/>
  <c r="Z16" i="71" s="1"/>
  <c r="Y15" i="71"/>
  <c r="Z15" i="71" s="1"/>
  <c r="AA16" i="71"/>
  <c r="AB3" i="71"/>
  <c r="B16" i="71"/>
  <c r="B15" i="71" s="1"/>
  <c r="B14" i="71" s="1"/>
  <c r="B13" i="71" s="1"/>
  <c r="B12" i="71" s="1"/>
  <c r="B11" i="71" s="1"/>
  <c r="B10" i="71" s="1"/>
  <c r="B9" i="71" s="1"/>
  <c r="B8" i="71" s="1"/>
  <c r="B7" i="71" s="1"/>
  <c r="B6" i="71" s="1"/>
  <c r="B5" i="71" s="1"/>
  <c r="X16" i="71"/>
  <c r="AB16" i="71"/>
  <c r="Y3" i="71"/>
  <c r="Z3" i="71" s="1"/>
  <c r="D16" i="71"/>
  <c r="F16" i="71"/>
  <c r="F15" i="71" s="1"/>
  <c r="F14" i="71" s="1"/>
  <c r="F13" i="71" s="1"/>
  <c r="F12" i="71" s="1"/>
  <c r="F11" i="71" s="1"/>
  <c r="F10" i="71" s="1"/>
  <c r="F9" i="71" s="1"/>
  <c r="F8" i="71" s="1"/>
  <c r="F7" i="71" s="1"/>
  <c r="F6" i="71" s="1"/>
  <c r="F5" i="71" s="1"/>
  <c r="AF3" i="71"/>
  <c r="P26" i="43" s="1"/>
  <c r="C6" i="67"/>
  <c r="Q71" i="15"/>
  <c r="J53" i="15"/>
  <c r="L56" i="15" s="1"/>
  <c r="J57" i="15"/>
  <c r="J55" i="15" s="1"/>
  <c r="J58" i="15" s="1"/>
  <c r="Q50" i="15" s="1"/>
  <c r="I54" i="15"/>
  <c r="K1" i="73"/>
  <c r="B20" i="31"/>
  <c r="B21" i="31" s="1"/>
  <c r="I1" i="73"/>
  <c r="B39" i="1" s="1"/>
  <c r="F51" i="67"/>
  <c r="F65" i="67"/>
  <c r="J53" i="67"/>
  <c r="J57" i="67"/>
  <c r="J55" i="67" s="1"/>
  <c r="J58" i="67" s="1"/>
  <c r="Q50" i="67" s="1"/>
  <c r="L56" i="67"/>
  <c r="I54" i="67"/>
  <c r="F51" i="15"/>
  <c r="F66" i="67"/>
  <c r="L59" i="15"/>
  <c r="N59" i="15"/>
  <c r="L58" i="15"/>
  <c r="M59" i="15"/>
  <c r="F66" i="15"/>
  <c r="Q71" i="67"/>
  <c r="F64" i="15"/>
  <c r="C27" i="67"/>
  <c r="F71" i="67"/>
  <c r="C27" i="15"/>
  <c r="F65" i="15"/>
  <c r="N59" i="67"/>
  <c r="L59" i="67"/>
  <c r="L58" i="67"/>
  <c r="M59" i="67"/>
  <c r="B13" i="70"/>
  <c r="M7" i="67"/>
  <c r="J6" i="67" s="1"/>
  <c r="F50" i="67"/>
  <c r="F68" i="67"/>
  <c r="F64" i="67"/>
  <c r="F68" i="15"/>
  <c r="C36" i="68"/>
  <c r="D9" i="69"/>
  <c r="D9" i="68"/>
  <c r="M29" i="15"/>
  <c r="F43" i="15"/>
  <c r="C16" i="67"/>
  <c r="G1" i="73"/>
  <c r="F7" i="15"/>
  <c r="M7" i="15" l="1"/>
  <c r="J6" i="15" s="1"/>
  <c r="F50" i="15"/>
  <c r="F71" i="15"/>
  <c r="AA6" i="3"/>
  <c r="E280" i="3"/>
  <c r="E353" i="3"/>
  <c r="AN6" i="3"/>
  <c r="E402" i="3"/>
  <c r="E303" i="3"/>
  <c r="E159" i="3"/>
  <c r="E254" i="3"/>
  <c r="E221" i="3"/>
  <c r="E302" i="3"/>
  <c r="E17" i="3"/>
  <c r="E213" i="3"/>
  <c r="E565" i="3"/>
  <c r="E304" i="3"/>
  <c r="E237" i="3"/>
  <c r="E169" i="3"/>
  <c r="E298" i="3"/>
  <c r="E321" i="3"/>
  <c r="E338" i="3"/>
  <c r="E418" i="3"/>
  <c r="E506" i="3"/>
  <c r="E523" i="3"/>
  <c r="S6" i="3"/>
  <c r="E390" i="3"/>
  <c r="E97" i="3"/>
  <c r="E285" i="3"/>
  <c r="E359" i="3"/>
  <c r="E574" i="3"/>
  <c r="O6" i="3"/>
  <c r="E328" i="3"/>
  <c r="E426" i="3"/>
  <c r="E153" i="3"/>
  <c r="E501" i="3"/>
  <c r="E319" i="3"/>
  <c r="E53" i="3"/>
  <c r="E27" i="3"/>
  <c r="E171" i="3"/>
  <c r="E576" i="3"/>
  <c r="X6" i="3"/>
  <c r="E246" i="3"/>
  <c r="E385" i="3"/>
  <c r="AI6" i="3"/>
  <c r="E423" i="3"/>
  <c r="E263" i="3"/>
  <c r="E191" i="3"/>
  <c r="E135" i="3"/>
  <c r="E161" i="3"/>
  <c r="E535" i="3"/>
  <c r="E445" i="3"/>
  <c r="E172" i="3"/>
  <c r="E563" i="3"/>
  <c r="E278" i="3"/>
  <c r="E69" i="3"/>
  <c r="E189" i="3"/>
  <c r="E215" i="3"/>
  <c r="E335" i="3"/>
  <c r="E387" i="3"/>
  <c r="AB6" i="3"/>
  <c r="M6" i="3"/>
  <c r="E570" i="3"/>
  <c r="E514" i="3"/>
  <c r="E311" i="3"/>
  <c r="E201" i="3"/>
  <c r="E247" i="3"/>
  <c r="E431" i="3"/>
  <c r="E579" i="3"/>
  <c r="E509" i="3"/>
  <c r="AJ6" i="3"/>
  <c r="E322" i="3"/>
  <c r="E268" i="3"/>
  <c r="E526" i="3"/>
  <c r="E217" i="3"/>
  <c r="AS6" i="3"/>
  <c r="AP6" i="1"/>
  <c r="C36" i="69" s="1"/>
  <c r="E295" i="3"/>
  <c r="K16" i="1"/>
  <c r="L25" i="1" s="1"/>
  <c r="E347" i="3"/>
  <c r="E399" i="3"/>
  <c r="E124" i="3"/>
  <c r="E495" i="3"/>
  <c r="E586" i="3"/>
  <c r="E350" i="3"/>
  <c r="E301" i="3"/>
  <c r="E134" i="3"/>
  <c r="E91" i="3"/>
  <c r="E180" i="3"/>
  <c r="E503" i="3"/>
  <c r="E361" i="3"/>
  <c r="E183" i="3"/>
  <c r="E528" i="3"/>
  <c r="E261" i="3"/>
  <c r="E185" i="3"/>
  <c r="E216" i="3"/>
  <c r="E231" i="3"/>
  <c r="E380" i="3"/>
  <c r="E439" i="3"/>
  <c r="E538" i="3"/>
  <c r="E561" i="3"/>
  <c r="AR6" i="3"/>
  <c r="E533" i="3"/>
  <c r="E270" i="3"/>
  <c r="E143" i="3"/>
  <c r="E337" i="3"/>
  <c r="E410" i="3"/>
  <c r="E555" i="3"/>
  <c r="E388" i="3"/>
  <c r="E508" i="3"/>
  <c r="E305" i="3"/>
  <c r="E343" i="3"/>
  <c r="E530" i="3"/>
  <c r="E175" i="3"/>
  <c r="M6" i="1"/>
  <c r="E384" i="3"/>
  <c r="E443" i="3"/>
  <c r="E441" i="3"/>
  <c r="E186" i="3"/>
  <c r="E581" i="3"/>
  <c r="E207" i="3"/>
  <c r="H11" i="40"/>
  <c r="U11" i="40" s="1"/>
  <c r="AA11" i="40"/>
  <c r="S11" i="40"/>
  <c r="E334" i="3"/>
  <c r="E447" i="3"/>
  <c r="P6" i="3"/>
  <c r="E55" i="3"/>
  <c r="N25" i="1"/>
  <c r="N24" i="1" s="1"/>
  <c r="L24" i="1"/>
  <c r="S36" i="40"/>
  <c r="H113" i="40"/>
  <c r="I113" i="40" s="1"/>
  <c r="J113" i="40" s="1"/>
  <c r="K113" i="40" s="1"/>
  <c r="L113" i="40" s="1"/>
  <c r="M113" i="40" s="1"/>
  <c r="J36" i="40"/>
  <c r="S23" i="40"/>
  <c r="U23" i="40"/>
  <c r="AC23" i="40"/>
  <c r="W23" i="40"/>
  <c r="U19" i="40"/>
  <c r="AB19" i="40"/>
  <c r="AB11" i="40"/>
  <c r="G76" i="40"/>
  <c r="H76" i="40" s="1"/>
  <c r="I76" i="40" s="1"/>
  <c r="J76" i="40" s="1"/>
  <c r="K76" i="40" s="1"/>
  <c r="L76" i="40" s="1"/>
  <c r="M76" i="40" s="1"/>
  <c r="J11" i="40"/>
  <c r="E44" i="3"/>
  <c r="E210" i="3"/>
  <c r="E121" i="3"/>
  <c r="E476" i="3"/>
  <c r="E477" i="3"/>
  <c r="E515" i="3"/>
  <c r="E32" i="3"/>
  <c r="E480" i="3"/>
  <c r="E331" i="3"/>
  <c r="E162" i="3"/>
  <c r="E404" i="3"/>
  <c r="E505" i="3"/>
  <c r="AO6" i="3"/>
  <c r="E196" i="3"/>
  <c r="E474" i="3"/>
  <c r="P6" i="1"/>
  <c r="C13" i="12" s="1"/>
  <c r="E30" i="3"/>
  <c r="E316" i="3"/>
  <c r="E166" i="3"/>
  <c r="E88" i="3"/>
  <c r="E444" i="3"/>
  <c r="E558" i="3"/>
  <c r="E485" i="3"/>
  <c r="E107" i="3"/>
  <c r="E580" i="3"/>
  <c r="E228" i="3"/>
  <c r="E109" i="3"/>
  <c r="E572" i="3"/>
  <c r="E377" i="3"/>
  <c r="E273" i="3"/>
  <c r="E211" i="3"/>
  <c r="E182" i="3"/>
  <c r="E70" i="3"/>
  <c r="E28" i="3"/>
  <c r="E489" i="3"/>
  <c r="E531" i="3"/>
  <c r="E557" i="3"/>
  <c r="E345" i="3"/>
  <c r="E414" i="3"/>
  <c r="E448" i="3"/>
  <c r="E585" i="3"/>
  <c r="E252" i="3"/>
  <c r="E567" i="3"/>
  <c r="E214" i="3"/>
  <c r="E465" i="3"/>
  <c r="E29" i="3"/>
  <c r="AM6" i="3"/>
  <c r="E317" i="3"/>
  <c r="E291" i="3"/>
  <c r="E272" i="3"/>
  <c r="E126" i="3"/>
  <c r="E92" i="3"/>
  <c r="E71" i="3"/>
  <c r="E546" i="3"/>
  <c r="E403" i="3"/>
  <c r="E547" i="3"/>
  <c r="E367" i="3"/>
  <c r="E400" i="3"/>
  <c r="E478" i="3"/>
  <c r="AG6" i="3"/>
  <c r="E164" i="3"/>
  <c r="E549" i="3"/>
  <c r="E394" i="3"/>
  <c r="E471" i="3"/>
  <c r="E136" i="3"/>
  <c r="E432" i="3"/>
  <c r="E548" i="3"/>
  <c r="E411" i="3"/>
  <c r="U6" i="3"/>
  <c r="E379" i="3"/>
  <c r="E145" i="3"/>
  <c r="E269" i="3"/>
  <c r="I6" i="3"/>
  <c r="E93" i="3"/>
  <c r="E357" i="3"/>
  <c r="E203" i="3"/>
  <c r="E429" i="3"/>
  <c r="E560" i="3"/>
  <c r="E568" i="3"/>
  <c r="Z6" i="3"/>
  <c r="E327" i="3"/>
  <c r="E271" i="3"/>
  <c r="E236" i="3"/>
  <c r="E397" i="3"/>
  <c r="E31" i="3"/>
  <c r="E257" i="3"/>
  <c r="E54" i="3"/>
  <c r="E587" i="3"/>
  <c r="E224" i="3"/>
  <c r="E14" i="3"/>
  <c r="E315" i="3"/>
  <c r="E256" i="3"/>
  <c r="E168" i="3"/>
  <c r="E475" i="3"/>
  <c r="E537" i="3"/>
  <c r="E457" i="3"/>
  <c r="E532" i="3"/>
  <c r="E306" i="3"/>
  <c r="E122" i="3"/>
  <c r="E204" i="3"/>
  <c r="E89" i="3"/>
  <c r="E368" i="3"/>
  <c r="E227" i="3"/>
  <c r="E74" i="3"/>
  <c r="E362" i="3"/>
  <c r="E274" i="3"/>
  <c r="E208" i="3"/>
  <c r="E73" i="3"/>
  <c r="E496" i="3"/>
  <c r="W6" i="3"/>
  <c r="E527" i="3"/>
  <c r="E133" i="3"/>
  <c r="E545" i="3"/>
  <c r="E146" i="3"/>
  <c r="E106" i="3"/>
  <c r="E454" i="3"/>
  <c r="E468" i="3"/>
  <c r="E577" i="3"/>
  <c r="E562" i="3"/>
  <c r="E438" i="3"/>
  <c r="E472" i="3"/>
  <c r="K6" i="3"/>
  <c r="E277" i="3"/>
  <c r="AK6" i="3"/>
  <c r="E181" i="3"/>
  <c r="E77" i="3"/>
  <c r="E318" i="3"/>
  <c r="E351" i="3"/>
  <c r="E279" i="3"/>
  <c r="E150" i="3"/>
  <c r="E111" i="3"/>
  <c r="E72" i="3"/>
  <c r="E433" i="3"/>
  <c r="E450" i="3"/>
  <c r="E571" i="3"/>
  <c r="E288" i="3"/>
  <c r="E406" i="3"/>
  <c r="E529" i="3"/>
  <c r="E313" i="3"/>
  <c r="E157" i="3"/>
  <c r="E352" i="3"/>
  <c r="E461" i="3"/>
  <c r="E458" i="3"/>
  <c r="E573" i="3"/>
  <c r="E519" i="3"/>
  <c r="E193" i="3"/>
  <c r="E45" i="3"/>
  <c r="E99" i="3"/>
  <c r="E511" i="3"/>
  <c r="E314" i="3"/>
  <c r="E85" i="3"/>
  <c r="E453" i="3"/>
  <c r="E253" i="3"/>
  <c r="AE6" i="3"/>
  <c r="E344" i="3"/>
  <c r="E424" i="3"/>
  <c r="E481" i="3"/>
  <c r="E437" i="3"/>
  <c r="Q6" i="3"/>
  <c r="E330" i="3"/>
  <c r="E177" i="3"/>
  <c r="E120" i="3"/>
  <c r="E262" i="3"/>
  <c r="E128" i="3"/>
  <c r="E434" i="3"/>
  <c r="E238" i="3"/>
  <c r="E510" i="3"/>
  <c r="E329" i="3"/>
  <c r="E16" i="3"/>
  <c r="E188" i="3"/>
  <c r="E223" i="3"/>
  <c r="E116" i="3"/>
  <c r="E105" i="3"/>
  <c r="E393" i="3"/>
  <c r="E493" i="3"/>
  <c r="E564" i="3"/>
  <c r="E543" i="3"/>
  <c r="E427" i="3"/>
  <c r="E486" i="3"/>
  <c r="E507" i="3"/>
  <c r="E422" i="3"/>
  <c r="E440" i="3"/>
  <c r="E490" i="3"/>
  <c r="E376" i="3"/>
  <c r="AH6" i="3"/>
  <c r="J6" i="3"/>
  <c r="E498" i="3"/>
  <c r="E419" i="3"/>
  <c r="E483" i="3"/>
  <c r="E401" i="3"/>
  <c r="E463" i="3"/>
  <c r="E40" i="3"/>
  <c r="E25" i="3"/>
  <c r="E108" i="3"/>
  <c r="E178" i="3"/>
  <c r="E119" i="3"/>
  <c r="E202" i="3"/>
  <c r="E242" i="3"/>
  <c r="E226" i="3"/>
  <c r="E276" i="3"/>
  <c r="E346" i="3"/>
  <c r="E333" i="3"/>
  <c r="E372" i="3"/>
  <c r="L6" i="3"/>
  <c r="E60" i="3"/>
  <c r="E43" i="3"/>
  <c r="E540" i="3"/>
  <c r="E473" i="3"/>
  <c r="E15" i="3"/>
  <c r="E455" i="3"/>
  <c r="E79" i="3"/>
  <c r="E38" i="3"/>
  <c r="E100" i="3"/>
  <c r="E170" i="3"/>
  <c r="E137" i="3"/>
  <c r="E194" i="3"/>
  <c r="E234" i="3"/>
  <c r="E219" i="3"/>
  <c r="E299" i="3"/>
  <c r="E339" i="3"/>
  <c r="E325" i="3"/>
  <c r="E392" i="3"/>
  <c r="AQ6" i="3"/>
  <c r="E52" i="3"/>
  <c r="E36" i="3"/>
  <c r="E112" i="3"/>
  <c r="E123" i="3"/>
  <c r="E147" i="3"/>
  <c r="E289" i="3"/>
  <c r="E340" i="3"/>
  <c r="E364" i="3"/>
  <c r="E50" i="3"/>
  <c r="E20" i="3"/>
  <c r="E62" i="3"/>
  <c r="E176" i="3"/>
  <c r="E218" i="3"/>
  <c r="E265" i="3"/>
  <c r="E365" i="3"/>
  <c r="E524" i="3"/>
  <c r="E101" i="3"/>
  <c r="E466" i="3"/>
  <c r="I3" i="6"/>
  <c r="E517" i="3"/>
  <c r="E491" i="3"/>
  <c r="E479" i="3"/>
  <c r="E37" i="3"/>
  <c r="E95" i="3"/>
  <c r="E132" i="3"/>
  <c r="E192" i="3"/>
  <c r="E241" i="3"/>
  <c r="E363" i="3"/>
  <c r="E539" i="3"/>
  <c r="E536" i="3"/>
  <c r="E148" i="3"/>
  <c r="E212" i="3"/>
  <c r="E199" i="3"/>
  <c r="E286" i="3"/>
  <c r="E575" i="3"/>
  <c r="E499" i="3"/>
  <c r="R6" i="3"/>
  <c r="E502" i="3"/>
  <c r="E442" i="3"/>
  <c r="E541" i="3"/>
  <c r="E430" i="3"/>
  <c r="E449" i="3"/>
  <c r="E255" i="3"/>
  <c r="AP6" i="3"/>
  <c r="E554" i="3"/>
  <c r="E435" i="3"/>
  <c r="E417" i="3"/>
  <c r="E56" i="3"/>
  <c r="E152" i="3"/>
  <c r="E258" i="3"/>
  <c r="E292" i="3"/>
  <c r="E205" i="3"/>
  <c r="E296" i="3"/>
  <c r="E140" i="3"/>
  <c r="E197" i="3"/>
  <c r="E173" i="3"/>
  <c r="E369" i="3"/>
  <c r="E525" i="3"/>
  <c r="E534" i="3"/>
  <c r="T6" i="3"/>
  <c r="E405" i="3"/>
  <c r="E456" i="3"/>
  <c r="E469" i="3"/>
  <c r="E512" i="3"/>
  <c r="E408" i="3"/>
  <c r="E451" i="3"/>
  <c r="E360" i="3"/>
  <c r="E556" i="3"/>
  <c r="E497" i="3"/>
  <c r="E13" i="3"/>
  <c r="E494" i="3"/>
  <c r="E452" i="3"/>
  <c r="E470" i="3"/>
  <c r="E420" i="3"/>
  <c r="E26" i="3"/>
  <c r="E104" i="3"/>
  <c r="E41" i="3"/>
  <c r="E115" i="3"/>
  <c r="E198" i="3"/>
  <c r="E139" i="3"/>
  <c r="E225" i="3"/>
  <c r="E281" i="3"/>
  <c r="E243" i="3"/>
  <c r="E332" i="3"/>
  <c r="E391" i="3"/>
  <c r="E356" i="3"/>
  <c r="AL6" i="3"/>
  <c r="E42" i="3"/>
  <c r="E94" i="3"/>
  <c r="E75" i="3"/>
  <c r="E428" i="3"/>
  <c r="E482" i="3"/>
  <c r="E412" i="3"/>
  <c r="E18" i="3"/>
  <c r="E96" i="3"/>
  <c r="E78" i="3"/>
  <c r="E129" i="3"/>
  <c r="E190" i="3"/>
  <c r="E174" i="3"/>
  <c r="E220" i="3"/>
  <c r="E275" i="3"/>
  <c r="E235" i="3"/>
  <c r="E324" i="3"/>
  <c r="E383" i="3"/>
  <c r="E342" i="3"/>
  <c r="E522" i="3"/>
  <c r="E35" i="3"/>
  <c r="E244" i="3"/>
  <c r="E312" i="3"/>
  <c r="E421" i="3"/>
  <c r="E416" i="3"/>
  <c r="E500" i="3"/>
  <c r="E520" i="3"/>
  <c r="E57" i="3"/>
  <c r="E240" i="3"/>
  <c r="E378" i="3"/>
  <c r="E504" i="3"/>
  <c r="E110" i="3"/>
  <c r="E462" i="3"/>
  <c r="E446" i="3"/>
  <c r="E98" i="3"/>
  <c r="E138" i="3"/>
  <c r="E163" i="3"/>
  <c r="E209" i="3"/>
  <c r="E307" i="3"/>
  <c r="E354" i="3"/>
  <c r="E66" i="3"/>
  <c r="E67" i="3"/>
  <c r="E49" i="3"/>
  <c r="E127" i="3"/>
  <c r="E233" i="3"/>
  <c r="E370" i="3"/>
  <c r="Y6" i="3"/>
  <c r="E63" i="3"/>
  <c r="E113" i="3"/>
  <c r="E179" i="3"/>
  <c r="E283" i="3"/>
  <c r="E326" i="3"/>
  <c r="E82" i="3"/>
  <c r="E167" i="3"/>
  <c r="E374" i="3"/>
  <c r="E39" i="3"/>
  <c r="E259" i="3"/>
  <c r="E488" i="3"/>
  <c r="E65" i="3"/>
  <c r="E266" i="3"/>
  <c r="E584" i="3"/>
  <c r="E144" i="3"/>
  <c r="E102" i="3"/>
  <c r="E287" i="3"/>
  <c r="E83" i="3"/>
  <c r="E149" i="3"/>
  <c r="AD6" i="3"/>
  <c r="E464" i="3"/>
  <c r="E459" i="3"/>
  <c r="E582" i="3"/>
  <c r="E436" i="3"/>
  <c r="E131" i="3"/>
  <c r="E297" i="3"/>
  <c r="E349" i="3"/>
  <c r="E544" i="3"/>
  <c r="E59" i="3"/>
  <c r="E484" i="3"/>
  <c r="E467" i="3"/>
  <c r="E46" i="3"/>
  <c r="E160" i="3"/>
  <c r="E200" i="3"/>
  <c r="E249" i="3"/>
  <c r="E371" i="3"/>
  <c r="E492" i="3"/>
  <c r="E84" i="3"/>
  <c r="E34" i="3"/>
  <c r="E87" i="3"/>
  <c r="E184" i="3"/>
  <c r="E251" i="3"/>
  <c r="E341" i="3"/>
  <c r="E68" i="3"/>
  <c r="E80" i="3"/>
  <c r="E154" i="3"/>
  <c r="E264" i="3"/>
  <c r="E308" i="3"/>
  <c r="E373" i="3"/>
  <c r="E21" i="3"/>
  <c r="E542" i="3"/>
  <c r="E413" i="3"/>
  <c r="E187" i="3"/>
  <c r="E375" i="3"/>
  <c r="E521" i="3"/>
  <c r="E195" i="3"/>
  <c r="E386" i="3"/>
  <c r="E86" i="3"/>
  <c r="E284" i="3"/>
  <c r="E19" i="3"/>
  <c r="E513" i="3"/>
  <c r="E487" i="3"/>
  <c r="E58" i="3"/>
  <c r="E248" i="3"/>
  <c r="E232" i="3"/>
  <c r="E323" i="3"/>
  <c r="E165" i="3"/>
  <c r="E141" i="3"/>
  <c r="E552" i="3"/>
  <c r="E398" i="3"/>
  <c r="E566" i="3"/>
  <c r="E460" i="3"/>
  <c r="E90" i="3"/>
  <c r="E155" i="3"/>
  <c r="E348" i="3"/>
  <c r="E389" i="3"/>
  <c r="E76" i="3"/>
  <c r="E409" i="3"/>
  <c r="E425" i="3"/>
  <c r="E64" i="3"/>
  <c r="E103" i="3"/>
  <c r="E142" i="3"/>
  <c r="E267" i="3"/>
  <c r="E300" i="3"/>
  <c r="E310" i="3"/>
  <c r="E23" i="3"/>
  <c r="E24" i="3"/>
  <c r="E33" i="3"/>
  <c r="E206" i="3"/>
  <c r="E250" i="3"/>
  <c r="E355" i="3"/>
  <c r="AF6" i="3"/>
  <c r="E51" i="3"/>
  <c r="E81" i="3"/>
  <c r="E158" i="3"/>
  <c r="E222" i="3"/>
  <c r="E309" i="3"/>
  <c r="E22" i="3"/>
  <c r="E47" i="3"/>
  <c r="E48" i="3"/>
  <c r="E381" i="3"/>
  <c r="E118" i="3"/>
  <c r="D18" i="53"/>
  <c r="B35" i="72" s="1"/>
  <c r="C7" i="74"/>
  <c r="E61" i="43"/>
  <c r="B59" i="43" s="1"/>
  <c r="C28" i="43" s="1"/>
  <c r="E30" i="6"/>
  <c r="E56" i="39"/>
  <c r="H7" i="34"/>
  <c r="AB7" i="34" s="1"/>
  <c r="T49" i="34" s="1"/>
  <c r="G49" i="34" s="1"/>
  <c r="E67" i="39"/>
  <c r="J7" i="34"/>
  <c r="W7" i="34" s="1"/>
  <c r="F7" i="34"/>
  <c r="S7" i="34" s="1"/>
  <c r="AA26" i="35"/>
  <c r="S26" i="35"/>
  <c r="AC26" i="35"/>
  <c r="W26" i="35"/>
  <c r="AB26" i="35"/>
  <c r="U26" i="35"/>
  <c r="E61" i="39"/>
  <c r="E56" i="40"/>
  <c r="C47" i="69"/>
  <c r="D45" i="69" s="1"/>
  <c r="C9" i="69"/>
  <c r="C9" i="68"/>
  <c r="E72" i="43"/>
  <c r="B70" i="43" s="1"/>
  <c r="C29" i="69"/>
  <c r="D27" i="69" s="1"/>
  <c r="F45" i="69"/>
  <c r="F27" i="11"/>
  <c r="C29" i="11" s="1"/>
  <c r="D27" i="11" s="1"/>
  <c r="F28" i="12"/>
  <c r="C29" i="12" s="1"/>
  <c r="D28" i="12" s="1"/>
  <c r="E60" i="40"/>
  <c r="E27" i="6"/>
  <c r="K26" i="6" s="1"/>
  <c r="M26" i="6" s="1"/>
  <c r="I26" i="6" s="1"/>
  <c r="S26" i="6" s="1"/>
  <c r="F31" i="6"/>
  <c r="V19" i="1" s="1"/>
  <c r="E51" i="40"/>
  <c r="E16" i="6"/>
  <c r="H6" i="3"/>
  <c r="E58" i="40"/>
  <c r="E62" i="39"/>
  <c r="AY6" i="3"/>
  <c r="E3" i="6"/>
  <c r="D1" i="43" s="1"/>
  <c r="M14" i="1"/>
  <c r="D5" i="43"/>
  <c r="J10" i="40"/>
  <c r="AC10" i="40" s="1"/>
  <c r="H10" i="39"/>
  <c r="U10" i="39" s="1"/>
  <c r="F10" i="40"/>
  <c r="S10" i="40" s="1"/>
  <c r="J10" i="39"/>
  <c r="W10" i="39" s="1"/>
  <c r="H10" i="40"/>
  <c r="AB10" i="40" s="1"/>
  <c r="C7" i="43"/>
  <c r="C5" i="43" s="1"/>
  <c r="D10" i="52"/>
  <c r="D125" i="9"/>
  <c r="D11" i="52" s="1"/>
  <c r="B7" i="74"/>
  <c r="F67" i="39"/>
  <c r="E69" i="39"/>
  <c r="F59" i="67"/>
  <c r="H7" i="37"/>
  <c r="AB7" i="37" s="1"/>
  <c r="T42" i="37" s="1"/>
  <c r="G42" i="37" s="1"/>
  <c r="B40" i="1"/>
  <c r="L36" i="43" s="1"/>
  <c r="S10" i="39"/>
  <c r="AA10" i="39"/>
  <c r="H7" i="33"/>
  <c r="J7" i="33"/>
  <c r="D65" i="40"/>
  <c r="E63" i="40"/>
  <c r="F48" i="35"/>
  <c r="S7" i="36"/>
  <c r="AA7" i="36"/>
  <c r="R36" i="36" s="1"/>
  <c r="AC7" i="37"/>
  <c r="V42" i="37" s="1"/>
  <c r="I42" i="37" s="1"/>
  <c r="W7" i="37"/>
  <c r="AB7" i="36"/>
  <c r="T36" i="36" s="1"/>
  <c r="G36" i="36" s="1"/>
  <c r="U7" i="36"/>
  <c r="F7" i="33"/>
  <c r="E58" i="21"/>
  <c r="AC7" i="36"/>
  <c r="V36" i="36" s="1"/>
  <c r="I36" i="36" s="1"/>
  <c r="W7" i="36"/>
  <c r="F7" i="37"/>
  <c r="D14" i="71"/>
  <c r="C13" i="71"/>
  <c r="M17" i="67"/>
  <c r="M17" i="15"/>
  <c r="F59" i="15"/>
  <c r="P28" i="43"/>
  <c r="B66" i="40" s="1"/>
  <c r="P25" i="43"/>
  <c r="C49" i="67"/>
  <c r="P29" i="43"/>
  <c r="P27" i="43"/>
  <c r="B70" i="39" s="1"/>
  <c r="C49" i="15"/>
  <c r="J18" i="15"/>
  <c r="C32" i="67"/>
  <c r="Q60" i="67"/>
  <c r="Q73" i="67"/>
  <c r="M11" i="67"/>
  <c r="J10" i="67" s="1"/>
  <c r="J5" i="67" s="1"/>
  <c r="F11" i="15"/>
  <c r="M11" i="15"/>
  <c r="J10" i="15" s="1"/>
  <c r="J5" i="15" s="1"/>
  <c r="J24" i="15" s="1"/>
  <c r="F11" i="67"/>
  <c r="F1" i="15"/>
  <c r="Q52" i="15"/>
  <c r="J18" i="67"/>
  <c r="F1" i="67"/>
  <c r="Q52" i="67"/>
  <c r="Q60" i="15"/>
  <c r="Q73" i="15"/>
  <c r="Q61" i="67"/>
  <c r="Q74" i="67"/>
  <c r="Q74" i="15"/>
  <c r="Q61" i="15"/>
  <c r="AE11" i="1"/>
  <c r="AE9" i="1"/>
  <c r="F27" i="68"/>
  <c r="AE7" i="1"/>
  <c r="AE8" i="1"/>
  <c r="AE12" i="1"/>
  <c r="AE10" i="1"/>
  <c r="AE6" i="1"/>
  <c r="C16" i="15"/>
  <c r="F41" i="67"/>
  <c r="O6" i="1" l="1"/>
  <c r="L27" i="1"/>
  <c r="L23" i="1"/>
  <c r="L32" i="1"/>
  <c r="V21" i="1"/>
  <c r="W21" i="1" s="1"/>
  <c r="U6" i="1" s="1"/>
  <c r="M24" i="1"/>
  <c r="W36" i="40"/>
  <c r="AC36" i="40"/>
  <c r="W11" i="40"/>
  <c r="AC11" i="40"/>
  <c r="AC6" i="3"/>
  <c r="E6" i="3" s="1"/>
  <c r="E65" i="39"/>
  <c r="L37" i="43"/>
  <c r="P36" i="43"/>
  <c r="N36" i="43"/>
  <c r="Q36" i="43"/>
  <c r="O36" i="43"/>
  <c r="M36" i="43"/>
  <c r="AC7" i="34"/>
  <c r="V49" i="34" s="1"/>
  <c r="I49" i="34" s="1"/>
  <c r="U7" i="34"/>
  <c r="AA7" i="34"/>
  <c r="R49" i="34" s="1"/>
  <c r="AG11" i="1"/>
  <c r="AG9" i="1"/>
  <c r="AG10" i="1"/>
  <c r="AG8" i="1"/>
  <c r="AG12" i="1"/>
  <c r="AG7" i="1"/>
  <c r="AG6" i="1"/>
  <c r="F69" i="67"/>
  <c r="C47" i="11"/>
  <c r="D45" i="11" s="1"/>
  <c r="T15" i="43"/>
  <c r="V15" i="43" s="1"/>
  <c r="T13" i="43"/>
  <c r="V13" i="43" s="1"/>
  <c r="T11" i="43"/>
  <c r="V11" i="43" s="1"/>
  <c r="T9" i="43"/>
  <c r="V9" i="43" s="1"/>
  <c r="T7" i="43"/>
  <c r="V7" i="43" s="1"/>
  <c r="T16" i="43"/>
  <c r="V16" i="43" s="1"/>
  <c r="T14" i="43"/>
  <c r="V14" i="43" s="1"/>
  <c r="T12" i="43"/>
  <c r="V12" i="43" s="1"/>
  <c r="T10" i="43"/>
  <c r="V10" i="43" s="1"/>
  <c r="T8" i="43"/>
  <c r="V8" i="43" s="1"/>
  <c r="T4" i="43"/>
  <c r="V4" i="43" s="1"/>
  <c r="T3" i="43"/>
  <c r="V3" i="43" s="1"/>
  <c r="T2" i="43"/>
  <c r="V2" i="43" s="1"/>
  <c r="T6" i="43"/>
  <c r="V6" i="43" s="1"/>
  <c r="T5" i="43"/>
  <c r="V5" i="43" s="1"/>
  <c r="C40" i="43"/>
  <c r="C37" i="43"/>
  <c r="C41" i="43"/>
  <c r="K21" i="6"/>
  <c r="S8" i="1" s="1"/>
  <c r="E8" i="70" s="1"/>
  <c r="F45" i="68"/>
  <c r="C47" i="68"/>
  <c r="D45" i="68" s="1"/>
  <c r="C29" i="68"/>
  <c r="D27" i="68" s="1"/>
  <c r="K25" i="6"/>
  <c r="K20" i="6"/>
  <c r="K23" i="6"/>
  <c r="K22" i="6"/>
  <c r="E31" i="6"/>
  <c r="K24" i="6"/>
  <c r="K19" i="6"/>
  <c r="S6" i="1" s="1"/>
  <c r="O14" i="1"/>
  <c r="O16" i="1" s="1"/>
  <c r="M16" i="1"/>
  <c r="AY87" i="3"/>
  <c r="AY83" i="3"/>
  <c r="AY51" i="3"/>
  <c r="AY66" i="3"/>
  <c r="AY34" i="3"/>
  <c r="AY23" i="3"/>
  <c r="AY207" i="3"/>
  <c r="AY176" i="3"/>
  <c r="AY144" i="3"/>
  <c r="AY155" i="3"/>
  <c r="AY124" i="3"/>
  <c r="AY115" i="3"/>
  <c r="AY95" i="3"/>
  <c r="AY59" i="3"/>
  <c r="AY42" i="3"/>
  <c r="AY188" i="3"/>
  <c r="AY152" i="3"/>
  <c r="AY131" i="3"/>
  <c r="AY281" i="3"/>
  <c r="AY276" i="3"/>
  <c r="AY111" i="3"/>
  <c r="AY58" i="3"/>
  <c r="AY168" i="3"/>
  <c r="AY297" i="3"/>
  <c r="AY253" i="3"/>
  <c r="AY268" i="3"/>
  <c r="AY236" i="3"/>
  <c r="AY225" i="3"/>
  <c r="AY382" i="3"/>
  <c r="AY371" i="3"/>
  <c r="AY366" i="3"/>
  <c r="AY335" i="3"/>
  <c r="AY303" i="3"/>
  <c r="AY103" i="3"/>
  <c r="AY67" i="3"/>
  <c r="AY50" i="3"/>
  <c r="AY196" i="3"/>
  <c r="AY160" i="3"/>
  <c r="AY139" i="3"/>
  <c r="AY289" i="3"/>
  <c r="AY74" i="3"/>
  <c r="AY183" i="3"/>
  <c r="AY123" i="3"/>
  <c r="AY261" i="3"/>
  <c r="AY204" i="3"/>
  <c r="AY284" i="3"/>
  <c r="AY252" i="3"/>
  <c r="AY209" i="3"/>
  <c r="AY363" i="3"/>
  <c r="AY319" i="3"/>
  <c r="AY318" i="3"/>
  <c r="AY473" i="3"/>
  <c r="AY470" i="3"/>
  <c r="AY460" i="3"/>
  <c r="AY428" i="3"/>
  <c r="AY441" i="3"/>
  <c r="AY409" i="3"/>
  <c r="AY529" i="3"/>
  <c r="AY106" i="3"/>
  <c r="AY26" i="3"/>
  <c r="AY180" i="3"/>
  <c r="AY300" i="3"/>
  <c r="AY245" i="3"/>
  <c r="AY260" i="3"/>
  <c r="AY228" i="3"/>
  <c r="AY217" i="3"/>
  <c r="AY395" i="3"/>
  <c r="AY372" i="3"/>
  <c r="AY358" i="3"/>
  <c r="AY327" i="3"/>
  <c r="AY342" i="3"/>
  <c r="AY310" i="3"/>
  <c r="AY465" i="3"/>
  <c r="AY463" i="3"/>
  <c r="AY452" i="3"/>
  <c r="AY420" i="3"/>
  <c r="AY433" i="3"/>
  <c r="AY401" i="3"/>
  <c r="AY513" i="3"/>
  <c r="AY549" i="3"/>
  <c r="BK6" i="3"/>
  <c r="AY544" i="3"/>
  <c r="AY569" i="3"/>
  <c r="AY533" i="3"/>
  <c r="AY541" i="3"/>
  <c r="BE6" i="3"/>
  <c r="AY553" i="3"/>
  <c r="AY97" i="3"/>
  <c r="AY108" i="3"/>
  <c r="AY92" i="3"/>
  <c r="AY77" i="3"/>
  <c r="AY61" i="3"/>
  <c r="AY45" i="3"/>
  <c r="AY76" i="3"/>
  <c r="AY60" i="3"/>
  <c r="AY44" i="3"/>
  <c r="AY28" i="3"/>
  <c r="AY33" i="3"/>
  <c r="AY206" i="3"/>
  <c r="AY190" i="3"/>
  <c r="AY201" i="3"/>
  <c r="AY185" i="3"/>
  <c r="AY170" i="3"/>
  <c r="AY154" i="3"/>
  <c r="AY138" i="3"/>
  <c r="AY165" i="3"/>
  <c r="AY149" i="3"/>
  <c r="AY133" i="3"/>
  <c r="AY118" i="3"/>
  <c r="AY125" i="3"/>
  <c r="AY299" i="3"/>
  <c r="AY283" i="3"/>
  <c r="AY294" i="3"/>
  <c r="AY278" i="3"/>
  <c r="AY263" i="3"/>
  <c r="AY247" i="3"/>
  <c r="AY231" i="3"/>
  <c r="AY262" i="3"/>
  <c r="AY246" i="3"/>
  <c r="AY230" i="3"/>
  <c r="AY214" i="3"/>
  <c r="AY219" i="3"/>
  <c r="AY392" i="3"/>
  <c r="AY397" i="3"/>
  <c r="AY381" i="3"/>
  <c r="AY374" i="3"/>
  <c r="AY357" i="3"/>
  <c r="AY360" i="3"/>
  <c r="AY554" i="3"/>
  <c r="BH6" i="3"/>
  <c r="BJ6" i="3"/>
  <c r="AY109" i="3"/>
  <c r="AY104" i="3"/>
  <c r="AY73" i="3"/>
  <c r="AY41" i="3"/>
  <c r="AY56" i="3"/>
  <c r="AY24" i="3"/>
  <c r="AY202" i="3"/>
  <c r="AY197" i="3"/>
  <c r="AY166" i="3"/>
  <c r="AY177" i="3"/>
  <c r="AY145" i="3"/>
  <c r="AY114" i="3"/>
  <c r="AY295" i="3"/>
  <c r="AY290" i="3"/>
  <c r="AY259" i="3"/>
  <c r="AY274" i="3"/>
  <c r="AY242" i="3"/>
  <c r="AY210" i="3"/>
  <c r="AY388" i="3"/>
  <c r="AY377" i="3"/>
  <c r="AY353" i="3"/>
  <c r="AY349" i="3"/>
  <c r="AY333" i="3"/>
  <c r="AY317" i="3"/>
  <c r="AY348" i="3"/>
  <c r="AY332" i="3"/>
  <c r="AY316" i="3"/>
  <c r="AY491" i="3"/>
  <c r="AY475" i="3"/>
  <c r="AY488" i="3"/>
  <c r="AY472" i="3"/>
  <c r="AY457" i="3"/>
  <c r="AY462" i="3"/>
  <c r="AY446" i="3"/>
  <c r="AY430" i="3"/>
  <c r="AY414" i="3"/>
  <c r="AY398" i="3"/>
  <c r="AY427" i="3"/>
  <c r="AY411" i="3"/>
  <c r="AY581" i="3"/>
  <c r="BQ6" i="3"/>
  <c r="BM6" i="3"/>
  <c r="AY585" i="3"/>
  <c r="AY561" i="3"/>
  <c r="AY534" i="3"/>
  <c r="BF6" i="3"/>
  <c r="AY571" i="3"/>
  <c r="AY546" i="3"/>
  <c r="AY495" i="3"/>
  <c r="AY510" i="3"/>
  <c r="BG6" i="3"/>
  <c r="AY16" i="3"/>
  <c r="AY501" i="3"/>
  <c r="AY98" i="3"/>
  <c r="AY18" i="3"/>
  <c r="AY171" i="3"/>
  <c r="AY90" i="3"/>
  <c r="AY163" i="3"/>
  <c r="AY75" i="3"/>
  <c r="AY237" i="3"/>
  <c r="AY387" i="3"/>
  <c r="AY334" i="3"/>
  <c r="AY486" i="3"/>
  <c r="AY444" i="3"/>
  <c r="AY425" i="3"/>
  <c r="AY526" i="3"/>
  <c r="AY199" i="3"/>
  <c r="AY269" i="3"/>
  <c r="AY244" i="3"/>
  <c r="AY390" i="3"/>
  <c r="AY355" i="3"/>
  <c r="AY311" i="3"/>
  <c r="AY481" i="3"/>
  <c r="AY447" i="3"/>
  <c r="AY404" i="3"/>
  <c r="AY535" i="3"/>
  <c r="AY562" i="3"/>
  <c r="AY574" i="3"/>
  <c r="BO6" i="3"/>
  <c r="AY555" i="3"/>
  <c r="AY89" i="3"/>
  <c r="AY85" i="3"/>
  <c r="AY53" i="3"/>
  <c r="AY68" i="3"/>
  <c r="AY36" i="3"/>
  <c r="AY25" i="3"/>
  <c r="AY182" i="3"/>
  <c r="AY178" i="3"/>
  <c r="AY146" i="3"/>
  <c r="AY157" i="3"/>
  <c r="AY126" i="3"/>
  <c r="AY117" i="3"/>
  <c r="AY302" i="3"/>
  <c r="AY271" i="3"/>
  <c r="AY239" i="3"/>
  <c r="AY254" i="3"/>
  <c r="AY222" i="3"/>
  <c r="AY211" i="3"/>
  <c r="AY389" i="3"/>
  <c r="AY365" i="3"/>
  <c r="BS6" i="3"/>
  <c r="BI6" i="3"/>
  <c r="AY93" i="3"/>
  <c r="AY57" i="3"/>
  <c r="AY40" i="3"/>
  <c r="AY186" i="3"/>
  <c r="AY150" i="3"/>
  <c r="AY130" i="3"/>
  <c r="AY279" i="3"/>
  <c r="AY243" i="3"/>
  <c r="AY226" i="3"/>
  <c r="AY393" i="3"/>
  <c r="AY356" i="3"/>
  <c r="AY325" i="3"/>
  <c r="AY340" i="3"/>
  <c r="AY308" i="3"/>
  <c r="AY467" i="3"/>
  <c r="AY464" i="3"/>
  <c r="AY454" i="3"/>
  <c r="AY422" i="3"/>
  <c r="AY435" i="3"/>
  <c r="AY403" i="3"/>
  <c r="AY525" i="3"/>
  <c r="AY516" i="3"/>
  <c r="BN6" i="3"/>
  <c r="AY527" i="3"/>
  <c r="AY518" i="3"/>
  <c r="AY559" i="3"/>
  <c r="AY508" i="3"/>
  <c r="AY532" i="3"/>
  <c r="AY556" i="3"/>
  <c r="AY496" i="3"/>
  <c r="AY577" i="3"/>
  <c r="AY523" i="3"/>
  <c r="AY112" i="3"/>
  <c r="AY81" i="3"/>
  <c r="AY49" i="3"/>
  <c r="AY82" i="3"/>
  <c r="AY191" i="3"/>
  <c r="AY132" i="3"/>
  <c r="AY31" i="3"/>
  <c r="AY292" i="3"/>
  <c r="AY147" i="3"/>
  <c r="AY220" i="3"/>
  <c r="AY350" i="3"/>
  <c r="AY489" i="3"/>
  <c r="AY455" i="3"/>
  <c r="AY412" i="3"/>
  <c r="AY497" i="3"/>
  <c r="AY43" i="3"/>
  <c r="AY116" i="3"/>
  <c r="AY229" i="3"/>
  <c r="AY212" i="3"/>
  <c r="AY379" i="3"/>
  <c r="AY343" i="3"/>
  <c r="AY326" i="3"/>
  <c r="AY478" i="3"/>
  <c r="AY436" i="3"/>
  <c r="AY417" i="3"/>
  <c r="AY557" i="3"/>
  <c r="AY573" i="3"/>
  <c r="AY540" i="3"/>
  <c r="AY539" i="3"/>
  <c r="AY105" i="3"/>
  <c r="AY100" i="3"/>
  <c r="AY69" i="3"/>
  <c r="AY84" i="3"/>
  <c r="AY52" i="3"/>
  <c r="AY20" i="3"/>
  <c r="AY198" i="3"/>
  <c r="AY193" i="3"/>
  <c r="AY162" i="3"/>
  <c r="AY173" i="3"/>
  <c r="AY141" i="3"/>
  <c r="AY134" i="3"/>
  <c r="AY291" i="3"/>
  <c r="AY286" i="3"/>
  <c r="AY255" i="3"/>
  <c r="AY270" i="3"/>
  <c r="AY238" i="3"/>
  <c r="AY227" i="3"/>
  <c r="AY384" i="3"/>
  <c r="AY373" i="3"/>
  <c r="AY368" i="3"/>
  <c r="AY507" i="3"/>
  <c r="BB6" i="3"/>
  <c r="AY88" i="3"/>
  <c r="AY72" i="3"/>
  <c r="AY29" i="3"/>
  <c r="AY181" i="3"/>
  <c r="AY161" i="3"/>
  <c r="AY121" i="3"/>
  <c r="AY275" i="3"/>
  <c r="AY258" i="3"/>
  <c r="AY215" i="3"/>
  <c r="AY370" i="3"/>
  <c r="AY341" i="3"/>
  <c r="AY309" i="3"/>
  <c r="AY324" i="3"/>
  <c r="AY483" i="3"/>
  <c r="AY480" i="3"/>
  <c r="AY449" i="3"/>
  <c r="AY438" i="3"/>
  <c r="AY406" i="3"/>
  <c r="AY419" i="3"/>
  <c r="AY503" i="3"/>
  <c r="AY580" i="3"/>
  <c r="AY572" i="3"/>
  <c r="AY536" i="3"/>
  <c r="AY520" i="3"/>
  <c r="AY552" i="3"/>
  <c r="AY543" i="3"/>
  <c r="AY584" i="3"/>
  <c r="AY494" i="3"/>
  <c r="AY514" i="3"/>
  <c r="AY582" i="3"/>
  <c r="AY519" i="3"/>
  <c r="AY101" i="3"/>
  <c r="AY96" i="3"/>
  <c r="AY65" i="3"/>
  <c r="AY80" i="3"/>
  <c r="AY48" i="3"/>
  <c r="AY37" i="3"/>
  <c r="AY194" i="3"/>
  <c r="AY189" i="3"/>
  <c r="AY158" i="3"/>
  <c r="AY169" i="3"/>
  <c r="AY137" i="3"/>
  <c r="AY129" i="3"/>
  <c r="AY287" i="3"/>
  <c r="AY282" i="3"/>
  <c r="AY251" i="3"/>
  <c r="AY266" i="3"/>
  <c r="AY234" i="3"/>
  <c r="AY223" i="3"/>
  <c r="AY380" i="3"/>
  <c r="AY369" i="3"/>
  <c r="AY364" i="3"/>
  <c r="AY345" i="3"/>
  <c r="AY329" i="3"/>
  <c r="AY313" i="3"/>
  <c r="AY344" i="3"/>
  <c r="AY328" i="3"/>
  <c r="AY312" i="3"/>
  <c r="AY487" i="3"/>
  <c r="AY471" i="3"/>
  <c r="AY484" i="3"/>
  <c r="AY468" i="3"/>
  <c r="AY453" i="3"/>
  <c r="AY458" i="3"/>
  <c r="AY442" i="3"/>
  <c r="AY426" i="3"/>
  <c r="AY410" i="3"/>
  <c r="AY439" i="3"/>
  <c r="AY423" i="3"/>
  <c r="AY407" i="3"/>
  <c r="AY579" i="3"/>
  <c r="AY506" i="3"/>
  <c r="AY499" i="3"/>
  <c r="AY14" i="3"/>
  <c r="D3" i="6"/>
  <c r="AY524" i="3"/>
  <c r="AY502" i="3"/>
  <c r="AY565" i="3"/>
  <c r="AY509" i="3"/>
  <c r="AY542" i="3"/>
  <c r="BR6" i="3"/>
  <c r="AY570" i="3"/>
  <c r="AY531" i="3"/>
  <c r="AY578" i="3"/>
  <c r="BA6" i="3"/>
  <c r="AY99" i="3"/>
  <c r="AY94" i="3"/>
  <c r="AY63" i="3"/>
  <c r="AY78" i="3"/>
  <c r="AY46" i="3"/>
  <c r="AY35" i="3"/>
  <c r="AY192" i="3"/>
  <c r="AY187" i="3"/>
  <c r="AY156" i="3"/>
  <c r="AY167" i="3"/>
  <c r="AY135" i="3"/>
  <c r="AY127" i="3"/>
  <c r="AY285" i="3"/>
  <c r="AY280" i="3"/>
  <c r="AY249" i="3"/>
  <c r="AY264" i="3"/>
  <c r="AY232" i="3"/>
  <c r="AY221" i="3"/>
  <c r="AY378" i="3"/>
  <c r="AY376" i="3"/>
  <c r="AY362" i="3"/>
  <c r="AY331" i="3"/>
  <c r="AY346" i="3"/>
  <c r="AY314" i="3"/>
  <c r="AY469" i="3"/>
  <c r="AY466" i="3"/>
  <c r="AY456" i="3"/>
  <c r="AY424" i="3"/>
  <c r="AY437" i="3"/>
  <c r="AY405" i="3"/>
  <c r="AY558" i="3"/>
  <c r="AY517" i="3"/>
  <c r="AY560" i="3"/>
  <c r="AY512" i="3"/>
  <c r="BL6" i="3"/>
  <c r="AY587" i="3"/>
  <c r="AY91" i="3"/>
  <c r="AY86" i="3"/>
  <c r="AY55" i="3"/>
  <c r="AY70" i="3"/>
  <c r="AY38" i="3"/>
  <c r="AY27" i="3"/>
  <c r="AY184" i="3"/>
  <c r="AY179" i="3"/>
  <c r="AY148" i="3"/>
  <c r="AY159" i="3"/>
  <c r="AY128" i="3"/>
  <c r="AY119" i="3"/>
  <c r="AY277" i="3"/>
  <c r="AY273" i="3"/>
  <c r="AY241" i="3"/>
  <c r="AY256" i="3"/>
  <c r="AY224" i="3"/>
  <c r="AY213" i="3"/>
  <c r="AY391" i="3"/>
  <c r="AY367" i="3"/>
  <c r="AY354" i="3"/>
  <c r="AY323" i="3"/>
  <c r="AY338" i="3"/>
  <c r="AY306" i="3"/>
  <c r="AY490" i="3"/>
  <c r="AY459" i="3"/>
  <c r="AY448" i="3"/>
  <c r="AY416" i="3"/>
  <c r="AY429" i="3"/>
  <c r="AY550" i="3"/>
  <c r="BD6" i="3"/>
  <c r="BC6" i="3"/>
  <c r="AY511" i="3"/>
  <c r="AY504" i="3"/>
  <c r="AY586" i="3"/>
  <c r="AY498" i="3"/>
  <c r="AY32" i="3"/>
  <c r="AY205" i="3"/>
  <c r="AY142" i="3"/>
  <c r="AY122" i="3"/>
  <c r="AY298" i="3"/>
  <c r="AY235" i="3"/>
  <c r="AY218" i="3"/>
  <c r="AY385" i="3"/>
  <c r="AY352" i="3"/>
  <c r="AY321" i="3"/>
  <c r="AY336" i="3"/>
  <c r="AY304" i="3"/>
  <c r="AY492" i="3"/>
  <c r="AY461" i="3"/>
  <c r="AY450" i="3"/>
  <c r="AY418" i="3"/>
  <c r="AY431" i="3"/>
  <c r="AY399" i="3"/>
  <c r="AY17" i="3"/>
  <c r="AY564" i="3"/>
  <c r="AY575" i="3"/>
  <c r="AY537" i="3"/>
  <c r="AY530" i="3"/>
  <c r="AY548" i="3"/>
  <c r="AY563" i="3"/>
  <c r="AY110" i="3"/>
  <c r="AY47" i="3"/>
  <c r="AY30" i="3"/>
  <c r="AY203" i="3"/>
  <c r="AY140" i="3"/>
  <c r="AY120" i="3"/>
  <c r="AY296" i="3"/>
  <c r="AY233" i="3"/>
  <c r="AY216" i="3"/>
  <c r="AY383" i="3"/>
  <c r="AY347" i="3"/>
  <c r="AY330" i="3"/>
  <c r="AY482" i="3"/>
  <c r="AY440" i="3"/>
  <c r="AY421" i="3"/>
  <c r="AY13" i="3"/>
  <c r="AY528" i="3"/>
  <c r="AY576" i="3"/>
  <c r="AY102" i="3"/>
  <c r="AY39" i="3"/>
  <c r="AY22" i="3"/>
  <c r="AY195" i="3"/>
  <c r="AY175" i="3"/>
  <c r="AY136" i="3"/>
  <c r="AY288" i="3"/>
  <c r="AY272" i="3"/>
  <c r="AY208" i="3"/>
  <c r="AY375" i="3"/>
  <c r="AY339" i="3"/>
  <c r="AY322" i="3"/>
  <c r="AY474" i="3"/>
  <c r="AY432" i="3"/>
  <c r="AY413" i="3"/>
  <c r="AY15" i="3"/>
  <c r="AY583" i="3"/>
  <c r="AY567" i="3"/>
  <c r="AY64" i="3"/>
  <c r="AY21" i="3"/>
  <c r="AY174" i="3"/>
  <c r="AY153" i="3"/>
  <c r="AY113" i="3"/>
  <c r="AY267" i="3"/>
  <c r="AY250" i="3"/>
  <c r="AY396" i="3"/>
  <c r="AY361" i="3"/>
  <c r="AY337" i="3"/>
  <c r="AY305" i="3"/>
  <c r="AY320" i="3"/>
  <c r="AY479" i="3"/>
  <c r="AY476" i="3"/>
  <c r="AY445" i="3"/>
  <c r="AY434" i="3"/>
  <c r="AY402" i="3"/>
  <c r="AY415" i="3"/>
  <c r="AY505" i="3"/>
  <c r="AY538" i="3"/>
  <c r="AY522" i="3"/>
  <c r="AY515" i="3"/>
  <c r="AY551" i="3"/>
  <c r="AY545" i="3"/>
  <c r="BP6" i="3"/>
  <c r="AY493" i="3"/>
  <c r="AY79" i="3"/>
  <c r="AY62" i="3"/>
  <c r="AY19" i="3"/>
  <c r="AY172" i="3"/>
  <c r="AY151" i="3"/>
  <c r="AY301" i="3"/>
  <c r="AY265" i="3"/>
  <c r="AY248" i="3"/>
  <c r="AY394" i="3"/>
  <c r="AY359" i="3"/>
  <c r="AY315" i="3"/>
  <c r="AY485" i="3"/>
  <c r="AY451" i="3"/>
  <c r="AY408" i="3"/>
  <c r="AY500" i="3"/>
  <c r="AY547" i="3"/>
  <c r="AY568" i="3"/>
  <c r="AY107" i="3"/>
  <c r="AY71" i="3"/>
  <c r="AY54" i="3"/>
  <c r="AY200" i="3"/>
  <c r="AY164" i="3"/>
  <c r="AY143" i="3"/>
  <c r="AY293" i="3"/>
  <c r="AY257" i="3"/>
  <c r="AY240" i="3"/>
  <c r="AY386" i="3"/>
  <c r="AY351" i="3"/>
  <c r="AY307" i="3"/>
  <c r="AY477" i="3"/>
  <c r="AY443" i="3"/>
  <c r="AY400" i="3"/>
  <c r="AY521" i="3"/>
  <c r="AY566" i="3"/>
  <c r="BT6" i="3"/>
  <c r="D3" i="21"/>
  <c r="E6" i="6"/>
  <c r="D37" i="11"/>
  <c r="D14" i="12"/>
  <c r="M18" i="9"/>
  <c r="B118" i="9" s="1"/>
  <c r="D3" i="34"/>
  <c r="D19" i="11"/>
  <c r="C19" i="11" s="1"/>
  <c r="C17" i="4"/>
  <c r="B4" i="52" s="1"/>
  <c r="B43" i="72" s="1"/>
  <c r="D3" i="33"/>
  <c r="D3" i="37"/>
  <c r="C39" i="43"/>
  <c r="C42" i="43"/>
  <c r="E42" i="43" s="1"/>
  <c r="C38" i="43"/>
  <c r="AB10" i="39"/>
  <c r="AA10" i="40"/>
  <c r="U10" i="40"/>
  <c r="W10" i="40"/>
  <c r="AC10" i="39"/>
  <c r="U7" i="37"/>
  <c r="G67" i="39"/>
  <c r="F69" i="39"/>
  <c r="I53" i="34"/>
  <c r="J53" i="34" s="1"/>
  <c r="F58" i="21"/>
  <c r="R37" i="36"/>
  <c r="E36" i="36"/>
  <c r="F63" i="40"/>
  <c r="E65" i="40"/>
  <c r="W7" i="33"/>
  <c r="AC7" i="33"/>
  <c r="V48" i="33" s="1"/>
  <c r="I48" i="33" s="1"/>
  <c r="AA7" i="37"/>
  <c r="R42" i="37" s="1"/>
  <c r="S7" i="37"/>
  <c r="I40" i="36"/>
  <c r="J40" i="36" s="1"/>
  <c r="S7" i="33"/>
  <c r="AA7" i="33"/>
  <c r="R48" i="33" s="1"/>
  <c r="R50" i="34"/>
  <c r="E49" i="34"/>
  <c r="G53" i="34"/>
  <c r="H53" i="34" s="1"/>
  <c r="G54" i="34"/>
  <c r="H54" i="34" s="1"/>
  <c r="G40" i="36"/>
  <c r="H40" i="36" s="1"/>
  <c r="G41" i="36"/>
  <c r="H41" i="36" s="1"/>
  <c r="G46" i="37"/>
  <c r="H46" i="37" s="1"/>
  <c r="G47" i="37"/>
  <c r="H47" i="37" s="1"/>
  <c r="I46" i="37"/>
  <c r="J46" i="37" s="1"/>
  <c r="G48" i="35"/>
  <c r="U7" i="33"/>
  <c r="AB7" i="33"/>
  <c r="T48" i="33" s="1"/>
  <c r="G48" i="33" s="1"/>
  <c r="D13" i="71"/>
  <c r="C12" i="71"/>
  <c r="C11" i="71" s="1"/>
  <c r="J24" i="67"/>
  <c r="C53" i="67"/>
  <c r="C48" i="67" s="1"/>
  <c r="C10" i="67"/>
  <c r="C5" i="67" s="1"/>
  <c r="C38" i="67" s="1"/>
  <c r="C53" i="15"/>
  <c r="C48" i="15" s="1"/>
  <c r="C66" i="15" s="1"/>
  <c r="F25" i="12"/>
  <c r="F22" i="69"/>
  <c r="F41" i="69" s="1"/>
  <c r="F24" i="67"/>
  <c r="C24" i="67" s="1"/>
  <c r="F22" i="11"/>
  <c r="F22" i="68"/>
  <c r="F24" i="15"/>
  <c r="C24" i="15" s="1"/>
  <c r="F41" i="15"/>
  <c r="F6" i="15"/>
  <c r="M27" i="67"/>
  <c r="M27" i="15"/>
  <c r="C6" i="15" l="1"/>
  <c r="B14" i="74"/>
  <c r="B1" i="74" s="1"/>
  <c r="L28" i="1"/>
  <c r="N27" i="1"/>
  <c r="P37" i="43"/>
  <c r="M37" i="43"/>
  <c r="Q37" i="43"/>
  <c r="O37" i="43"/>
  <c r="N37" i="43"/>
  <c r="M21" i="6"/>
  <c r="I21" i="6" s="1"/>
  <c r="S21" i="6" s="1"/>
  <c r="E6" i="70"/>
  <c r="F69" i="15"/>
  <c r="M24" i="6"/>
  <c r="I24" i="6" s="1"/>
  <c r="S24" i="6" s="1"/>
  <c r="S11" i="1"/>
  <c r="E11" i="70" s="1"/>
  <c r="M22" i="6"/>
  <c r="I22" i="6" s="1"/>
  <c r="S22" i="6" s="1"/>
  <c r="S9" i="1"/>
  <c r="AQ8" i="1"/>
  <c r="T8" i="1"/>
  <c r="AR8" i="1"/>
  <c r="M20" i="6"/>
  <c r="I20" i="6" s="1"/>
  <c r="S20" i="6" s="1"/>
  <c r="S7" i="1"/>
  <c r="E7" i="70" s="1"/>
  <c r="AQ6" i="1"/>
  <c r="AR6" i="1"/>
  <c r="T6" i="1"/>
  <c r="M23" i="6"/>
  <c r="I23" i="6" s="1"/>
  <c r="S23" i="6" s="1"/>
  <c r="S10" i="1"/>
  <c r="E10" i="70" s="1"/>
  <c r="M25" i="6"/>
  <c r="I25" i="6" s="1"/>
  <c r="S25" i="6" s="1"/>
  <c r="S12" i="1"/>
  <c r="K27" i="6"/>
  <c r="M19" i="6"/>
  <c r="C20" i="11"/>
  <c r="C28" i="11" s="1"/>
  <c r="C27" i="11" s="1"/>
  <c r="D17" i="12"/>
  <c r="C17" i="12" s="1"/>
  <c r="D10" i="11"/>
  <c r="C10" i="11" s="1"/>
  <c r="D20" i="12"/>
  <c r="C20" i="12" s="1"/>
  <c r="D25" i="6"/>
  <c r="D15" i="6"/>
  <c r="D22" i="6"/>
  <c r="D21" i="6"/>
  <c r="D24" i="6"/>
  <c r="D20" i="6"/>
  <c r="D26" i="6"/>
  <c r="D8" i="6"/>
  <c r="D14" i="6"/>
  <c r="D6" i="6"/>
  <c r="D9" i="6"/>
  <c r="D10" i="6"/>
  <c r="D29" i="6"/>
  <c r="H25" i="6"/>
  <c r="H21" i="6"/>
  <c r="H24" i="6"/>
  <c r="D19" i="6"/>
  <c r="M19" i="9" s="1"/>
  <c r="C118" i="9" s="1"/>
  <c r="C18" i="4"/>
  <c r="D23" i="6"/>
  <c r="D5" i="6"/>
  <c r="D12" i="6"/>
  <c r="D11" i="6"/>
  <c r="D13" i="6"/>
  <c r="D28" i="6"/>
  <c r="E61" i="40"/>
  <c r="H26" i="6"/>
  <c r="P14" i="1"/>
  <c r="P16" i="1" s="1"/>
  <c r="C11" i="12" s="1"/>
  <c r="N16" i="1"/>
  <c r="L16" i="1"/>
  <c r="G42" i="43"/>
  <c r="I42" i="43" s="1"/>
  <c r="H67" i="39"/>
  <c r="G69" i="39"/>
  <c r="E41" i="43"/>
  <c r="G41" i="43"/>
  <c r="I41" i="43" s="1"/>
  <c r="E37" i="43"/>
  <c r="G37" i="43"/>
  <c r="I37" i="43" s="1"/>
  <c r="G38" i="43"/>
  <c r="I38" i="43" s="1"/>
  <c r="E38" i="43"/>
  <c r="E40" i="43"/>
  <c r="G40" i="43"/>
  <c r="I40" i="43" s="1"/>
  <c r="E39" i="43"/>
  <c r="G39" i="43"/>
  <c r="I39" i="43" s="1"/>
  <c r="D11" i="71"/>
  <c r="C10" i="71"/>
  <c r="E54" i="34"/>
  <c r="F54" i="34" s="1"/>
  <c r="E53" i="34"/>
  <c r="F53" i="34" s="1"/>
  <c r="R49" i="33"/>
  <c r="E48" i="33"/>
  <c r="I53" i="33" s="1"/>
  <c r="J53" i="33" s="1"/>
  <c r="I52" i="33"/>
  <c r="J52" i="33" s="1"/>
  <c r="E40" i="36"/>
  <c r="F40" i="36" s="1"/>
  <c r="E41" i="36"/>
  <c r="F41" i="36" s="1"/>
  <c r="I54" i="34"/>
  <c r="J54" i="34" s="1"/>
  <c r="G52" i="33"/>
  <c r="H52" i="33" s="1"/>
  <c r="G53" i="33"/>
  <c r="H53" i="33" s="1"/>
  <c r="H48" i="35"/>
  <c r="C49" i="34"/>
  <c r="C50" i="34"/>
  <c r="I41" i="36"/>
  <c r="J41" i="36" s="1"/>
  <c r="R43" i="37"/>
  <c r="E42" i="37"/>
  <c r="G63" i="40"/>
  <c r="F65" i="40"/>
  <c r="C37" i="36"/>
  <c r="C36" i="36"/>
  <c r="G58" i="21"/>
  <c r="D12" i="71"/>
  <c r="F41" i="68"/>
  <c r="C60" i="15"/>
  <c r="C26" i="69"/>
  <c r="D22" i="69" s="1"/>
  <c r="C44" i="69"/>
  <c r="D41" i="69" s="1"/>
  <c r="C44" i="68"/>
  <c r="D41" i="68" s="1"/>
  <c r="C26" i="68"/>
  <c r="D22" i="68" s="1"/>
  <c r="C26" i="12"/>
  <c r="D25" i="12" s="1"/>
  <c r="C44" i="11"/>
  <c r="D41" i="11" s="1"/>
  <c r="C23" i="11"/>
  <c r="C24" i="11"/>
  <c r="C25" i="11"/>
  <c r="C26" i="11"/>
  <c r="D22" i="11" s="1"/>
  <c r="C66" i="67"/>
  <c r="C60" i="67"/>
  <c r="D10" i="69"/>
  <c r="C34" i="69"/>
  <c r="D10" i="68"/>
  <c r="C14" i="67"/>
  <c r="C17" i="15"/>
  <c r="C17" i="67"/>
  <c r="D30" i="6" l="1"/>
  <c r="H22" i="6"/>
  <c r="C14" i="74"/>
  <c r="B2" i="74" s="1"/>
  <c r="D7" i="74" s="1"/>
  <c r="N28" i="1"/>
  <c r="L29" i="1"/>
  <c r="C32" i="15"/>
  <c r="C10" i="15"/>
  <c r="C5" i="15" s="1"/>
  <c r="C38" i="15" s="1"/>
  <c r="C18" i="67"/>
  <c r="C15" i="67"/>
  <c r="H23" i="6"/>
  <c r="R23" i="6" s="1"/>
  <c r="R10" i="1" s="1"/>
  <c r="H20" i="6"/>
  <c r="R20" i="6" s="1"/>
  <c r="R7" i="1" s="1"/>
  <c r="C38" i="69"/>
  <c r="C35" i="69"/>
  <c r="E12" i="70"/>
  <c r="F34" i="11"/>
  <c r="F11" i="12"/>
  <c r="S16" i="1"/>
  <c r="E9" i="70"/>
  <c r="E2" i="70" s="1"/>
  <c r="AR9" i="1"/>
  <c r="AQ9" i="1"/>
  <c r="T9" i="1"/>
  <c r="AQ11" i="1"/>
  <c r="AR11" i="1"/>
  <c r="T11" i="1"/>
  <c r="AR12" i="1"/>
  <c r="T12" i="1"/>
  <c r="AQ12" i="1"/>
  <c r="AQ10" i="1"/>
  <c r="T10" i="1"/>
  <c r="AR10" i="1"/>
  <c r="AR7" i="1"/>
  <c r="AQ7" i="1"/>
  <c r="T7" i="1"/>
  <c r="M27" i="6"/>
  <c r="I19" i="6"/>
  <c r="L18" i="9" s="1"/>
  <c r="D16" i="6"/>
  <c r="R26" i="6"/>
  <c r="R24" i="6"/>
  <c r="R11" i="1" s="1"/>
  <c r="R22" i="6"/>
  <c r="R9" i="1" s="1"/>
  <c r="C15" i="12"/>
  <c r="C12" i="12"/>
  <c r="D27" i="6"/>
  <c r="D31" i="6" s="1"/>
  <c r="R21" i="6"/>
  <c r="R8" i="1" s="1"/>
  <c r="C10" i="69"/>
  <c r="C8" i="69" s="1"/>
  <c r="C5" i="69" s="1"/>
  <c r="D19" i="69"/>
  <c r="F50" i="69"/>
  <c r="F50" i="11"/>
  <c r="F50" i="68"/>
  <c r="C4" i="52"/>
  <c r="B45" i="72" s="1"/>
  <c r="A10" i="51"/>
  <c r="B9" i="72" s="1"/>
  <c r="A7" i="51"/>
  <c r="B7" i="72" s="1"/>
  <c r="R25" i="6"/>
  <c r="R12" i="1" s="1"/>
  <c r="C10" i="68"/>
  <c r="B29" i="1" s="1"/>
  <c r="C8" i="68" s="1"/>
  <c r="D19" i="68"/>
  <c r="H69" i="39"/>
  <c r="I67" i="39"/>
  <c r="D10" i="71"/>
  <c r="C9" i="71"/>
  <c r="C8" i="71" s="1"/>
  <c r="G65" i="40"/>
  <c r="H63" i="40"/>
  <c r="C43" i="37"/>
  <c r="C42" i="37"/>
  <c r="I48" i="35"/>
  <c r="C48" i="33"/>
  <c r="C49" i="33"/>
  <c r="H58" i="21"/>
  <c r="E47" i="37"/>
  <c r="F47" i="37" s="1"/>
  <c r="E46" i="37"/>
  <c r="F46" i="37" s="1"/>
  <c r="I47" i="37"/>
  <c r="J47" i="37" s="1"/>
  <c r="E53" i="33"/>
  <c r="F53" i="33" s="1"/>
  <c r="E52" i="33"/>
  <c r="F52" i="33" s="1"/>
  <c r="C33" i="15"/>
  <c r="C22" i="11"/>
  <c r="C31" i="11" s="1"/>
  <c r="C33" i="67"/>
  <c r="J19" i="67"/>
  <c r="C34" i="68"/>
  <c r="C14" i="15"/>
  <c r="N29" i="1" l="1"/>
  <c r="N23" i="1" s="1"/>
  <c r="M23" i="1" s="1"/>
  <c r="L30" i="1"/>
  <c r="N30" i="1" s="1"/>
  <c r="C18" i="12"/>
  <c r="D8" i="71"/>
  <c r="C7" i="71"/>
  <c r="C19" i="67"/>
  <c r="C20" i="67" s="1"/>
  <c r="C26" i="67" s="1"/>
  <c r="T16" i="1"/>
  <c r="C18" i="15"/>
  <c r="C15" i="15"/>
  <c r="C38" i="68"/>
  <c r="C35" i="68"/>
  <c r="C36" i="11"/>
  <c r="C37" i="11"/>
  <c r="C34" i="11"/>
  <c r="C23" i="12"/>
  <c r="C14" i="12"/>
  <c r="C16" i="12" s="1"/>
  <c r="C21" i="12" s="1"/>
  <c r="C22" i="12" s="1"/>
  <c r="H19" i="6"/>
  <c r="L19" i="9" s="1"/>
  <c r="S19" i="6"/>
  <c r="S27" i="6" s="1"/>
  <c r="I27" i="6"/>
  <c r="C19" i="68"/>
  <c r="D37" i="68"/>
  <c r="C37" i="68" s="1"/>
  <c r="C19" i="69"/>
  <c r="C24" i="69" s="1"/>
  <c r="D37" i="69"/>
  <c r="C37" i="69" s="1"/>
  <c r="C33" i="69" s="1"/>
  <c r="I5" i="6"/>
  <c r="I6" i="6"/>
  <c r="G3" i="43" s="1"/>
  <c r="C23" i="69"/>
  <c r="I69" i="39"/>
  <c r="J67" i="39"/>
  <c r="D9" i="71"/>
  <c r="I63" i="40"/>
  <c r="H65" i="40"/>
  <c r="I58" i="21"/>
  <c r="J58" i="21" s="1"/>
  <c r="K58" i="21" s="1"/>
  <c r="L58" i="21" s="1"/>
  <c r="M58" i="21" s="1"/>
  <c r="N58" i="21" s="1"/>
  <c r="O58" i="21" s="1"/>
  <c r="H7" i="21" s="1"/>
  <c r="J48" i="35"/>
  <c r="N32" i="1" l="1"/>
  <c r="M32" i="1" s="1"/>
  <c r="G26" i="43"/>
  <c r="J26" i="43"/>
  <c r="E26" i="43"/>
  <c r="H26" i="43"/>
  <c r="N370" i="46"/>
  <c r="F26" i="43"/>
  <c r="N94" i="46"/>
  <c r="B116" i="43"/>
  <c r="Z7" i="43"/>
  <c r="F7" i="21"/>
  <c r="S7" i="21" s="1"/>
  <c r="J7" i="21"/>
  <c r="D7" i="71"/>
  <c r="C6" i="71"/>
  <c r="C23" i="67"/>
  <c r="C29" i="67" s="1"/>
  <c r="J59" i="67" s="1"/>
  <c r="J60" i="67" s="1"/>
  <c r="Q48" i="67" s="1"/>
  <c r="C19" i="15"/>
  <c r="C20" i="15" s="1"/>
  <c r="C26" i="15" s="1"/>
  <c r="C33" i="68"/>
  <c r="C39" i="68" s="1"/>
  <c r="C30" i="12"/>
  <c r="C28" i="12" s="1"/>
  <c r="C38" i="11"/>
  <c r="C35" i="11"/>
  <c r="H27" i="6"/>
  <c r="R19" i="6"/>
  <c r="C27" i="12"/>
  <c r="C25" i="12" s="1"/>
  <c r="C20" i="69"/>
  <c r="C28" i="69" s="1"/>
  <c r="C27" i="69" s="1"/>
  <c r="C24" i="68"/>
  <c r="C39" i="69"/>
  <c r="C43" i="69" s="1"/>
  <c r="C42" i="69"/>
  <c r="J69" i="39"/>
  <c r="K67" i="39"/>
  <c r="U7" i="21"/>
  <c r="AB7" i="21"/>
  <c r="T48" i="21" s="1"/>
  <c r="G48" i="21" s="1"/>
  <c r="AA7" i="21"/>
  <c r="R48" i="21" s="1"/>
  <c r="J63" i="40"/>
  <c r="I65" i="40"/>
  <c r="K48" i="35"/>
  <c r="L48" i="35" s="1"/>
  <c r="M48" i="35" s="1"/>
  <c r="N48" i="35" s="1"/>
  <c r="O48" i="35" s="1"/>
  <c r="H7" i="35" s="1"/>
  <c r="AC7" i="21"/>
  <c r="V48" i="21" s="1"/>
  <c r="I48" i="21" s="1"/>
  <c r="W7" i="21"/>
  <c r="D26" i="43" l="1"/>
  <c r="C25" i="43" s="1"/>
  <c r="C33" i="43" s="1"/>
  <c r="D119" i="43"/>
  <c r="E119" i="43" s="1"/>
  <c r="F119" i="43" s="1"/>
  <c r="G119" i="43" s="1"/>
  <c r="H119" i="43" s="1"/>
  <c r="D120" i="43"/>
  <c r="E120" i="43" s="1"/>
  <c r="F120" i="43" s="1"/>
  <c r="G120" i="43" s="1"/>
  <c r="H120" i="43" s="1"/>
  <c r="D121" i="43"/>
  <c r="E121" i="43" s="1"/>
  <c r="F121" i="43" s="1"/>
  <c r="B118" i="43"/>
  <c r="B119" i="43"/>
  <c r="C119" i="43" s="1"/>
  <c r="B120" i="43"/>
  <c r="C120" i="43" s="1"/>
  <c r="B121" i="43"/>
  <c r="C121" i="43" s="1"/>
  <c r="B122" i="43"/>
  <c r="C122" i="43" s="1"/>
  <c r="I122" i="43"/>
  <c r="J122" i="43" s="1"/>
  <c r="K122" i="43" s="1"/>
  <c r="L122" i="43" s="1"/>
  <c r="M122" i="43" s="1"/>
  <c r="G121" i="43"/>
  <c r="H121" i="43" s="1"/>
  <c r="I119" i="43"/>
  <c r="J119" i="43" s="1"/>
  <c r="K119" i="43" s="1"/>
  <c r="L119" i="43" s="1"/>
  <c r="M119" i="43" s="1"/>
  <c r="D122" i="43"/>
  <c r="E122" i="43" s="1"/>
  <c r="F122" i="43" s="1"/>
  <c r="G122" i="43" s="1"/>
  <c r="H122" i="43" s="1"/>
  <c r="I121" i="43"/>
  <c r="J121" i="43" s="1"/>
  <c r="K121" i="43" s="1"/>
  <c r="L121" i="43" s="1"/>
  <c r="M121" i="43" s="1"/>
  <c r="I120" i="43"/>
  <c r="J120" i="43" s="1"/>
  <c r="K120" i="43" s="1"/>
  <c r="L120" i="43" s="1"/>
  <c r="M120" i="43" s="1"/>
  <c r="I118" i="43"/>
  <c r="J118" i="43" s="1"/>
  <c r="K118" i="43" s="1"/>
  <c r="L118" i="43" s="1"/>
  <c r="M118" i="43" s="1"/>
  <c r="D118" i="43"/>
  <c r="E118" i="43" s="1"/>
  <c r="F118" i="43" s="1"/>
  <c r="G118" i="43" s="1"/>
  <c r="H118" i="43" s="1"/>
  <c r="J7" i="35"/>
  <c r="D6" i="71"/>
  <c r="C5" i="71"/>
  <c r="Q49" i="67"/>
  <c r="J14" i="67"/>
  <c r="J13" i="67" s="1"/>
  <c r="J23" i="67" s="1"/>
  <c r="C36" i="67"/>
  <c r="C57" i="67"/>
  <c r="C64" i="67" s="1"/>
  <c r="C13" i="67"/>
  <c r="Q70" i="67" s="1"/>
  <c r="C33" i="11"/>
  <c r="C39" i="11" s="1"/>
  <c r="C61" i="67"/>
  <c r="C42" i="68"/>
  <c r="C32" i="12"/>
  <c r="B2" i="12" s="1"/>
  <c r="B3" i="12" s="1"/>
  <c r="C23" i="15"/>
  <c r="C29" i="15" s="1"/>
  <c r="C41" i="69"/>
  <c r="R27" i="6"/>
  <c r="R6" i="1"/>
  <c r="C46" i="69"/>
  <c r="C45" i="69" s="1"/>
  <c r="C25" i="69"/>
  <c r="C22" i="69" s="1"/>
  <c r="C31" i="69" s="1"/>
  <c r="C46" i="68"/>
  <c r="C45" i="68" s="1"/>
  <c r="C43" i="68"/>
  <c r="L67" i="39"/>
  <c r="K69" i="39"/>
  <c r="W7" i="35"/>
  <c r="AC7" i="35"/>
  <c r="V38" i="35" s="1"/>
  <c r="I38" i="35" s="1"/>
  <c r="J65" i="40"/>
  <c r="K63" i="40"/>
  <c r="I52" i="21"/>
  <c r="J52" i="21" s="1"/>
  <c r="U7" i="35"/>
  <c r="AB7" i="35"/>
  <c r="T38" i="35" s="1"/>
  <c r="G38" i="35" s="1"/>
  <c r="R49" i="21"/>
  <c r="E48" i="21"/>
  <c r="G52" i="21"/>
  <c r="H52" i="21" s="1"/>
  <c r="G53" i="21"/>
  <c r="H53" i="21" s="1"/>
  <c r="F7" i="35"/>
  <c r="M21" i="15"/>
  <c r="F35" i="67"/>
  <c r="M21" i="67"/>
  <c r="F35" i="15"/>
  <c r="C118" i="43" l="1"/>
  <c r="D116" i="43"/>
  <c r="C34" i="43"/>
  <c r="E34" i="43" s="1"/>
  <c r="C31" i="43" s="1"/>
  <c r="E33" i="43"/>
  <c r="C30" i="43" s="1"/>
  <c r="D5" i="71"/>
  <c r="M24" i="43" s="1"/>
  <c r="C56" i="67"/>
  <c r="C65" i="67" s="1"/>
  <c r="J22" i="67"/>
  <c r="C37" i="67"/>
  <c r="C75" i="67"/>
  <c r="C36" i="15"/>
  <c r="J59" i="15"/>
  <c r="J60" i="15" s="1"/>
  <c r="Q48" i="15" s="1"/>
  <c r="C46" i="11"/>
  <c r="C45" i="11" s="1"/>
  <c r="C43" i="11"/>
  <c r="C42" i="11"/>
  <c r="C34" i="67"/>
  <c r="C31" i="67" s="1"/>
  <c r="F63" i="67"/>
  <c r="C62" i="67" s="1"/>
  <c r="C59" i="67" s="1"/>
  <c r="J20" i="67"/>
  <c r="J17" i="67" s="1"/>
  <c r="J19" i="15"/>
  <c r="C41" i="68"/>
  <c r="C49" i="68" s="1"/>
  <c r="C51" i="68" s="1"/>
  <c r="Q49" i="15"/>
  <c r="C57" i="15"/>
  <c r="J14" i="15"/>
  <c r="J13" i="15" s="1"/>
  <c r="J23" i="15" s="1"/>
  <c r="C13" i="15"/>
  <c r="Q70" i="15" s="1"/>
  <c r="F63" i="15"/>
  <c r="C62" i="15" s="1"/>
  <c r="C34" i="15"/>
  <c r="J20" i="15"/>
  <c r="R16" i="1"/>
  <c r="C49" i="69"/>
  <c r="C51" i="69" s="1"/>
  <c r="C52" i="69" s="1"/>
  <c r="B2" i="69" s="1"/>
  <c r="B3" i="69" s="1"/>
  <c r="L69" i="39"/>
  <c r="M67" i="39"/>
  <c r="S7" i="35"/>
  <c r="AA7" i="35"/>
  <c r="R38" i="35" s="1"/>
  <c r="C49" i="21"/>
  <c r="C48" i="21"/>
  <c r="E52" i="21"/>
  <c r="F52" i="21" s="1"/>
  <c r="E53" i="21"/>
  <c r="F53" i="21" s="1"/>
  <c r="G42" i="35"/>
  <c r="H42" i="35" s="1"/>
  <c r="G43" i="35"/>
  <c r="H43" i="35" s="1"/>
  <c r="I53" i="21"/>
  <c r="J53" i="21" s="1"/>
  <c r="K65" i="40"/>
  <c r="L63" i="40"/>
  <c r="I42" i="35"/>
  <c r="J42" i="35" s="1"/>
  <c r="E6" i="76"/>
  <c r="E2" i="76" l="1"/>
  <c r="B2" i="43"/>
  <c r="C58" i="67"/>
  <c r="C67" i="67" s="1"/>
  <c r="C68" i="67" s="1"/>
  <c r="C71" i="67" s="1"/>
  <c r="J16" i="67"/>
  <c r="J25" i="67" s="1"/>
  <c r="J26" i="67" s="1"/>
  <c r="J29" i="67" s="1"/>
  <c r="C30" i="67"/>
  <c r="C39" i="67" s="1"/>
  <c r="Q69" i="67" s="1"/>
  <c r="Q68" i="67" s="1"/>
  <c r="C41" i="11"/>
  <c r="C49" i="11" s="1"/>
  <c r="C51" i="11" s="1"/>
  <c r="C52" i="11" s="1"/>
  <c r="B2" i="11" s="1"/>
  <c r="B3" i="11" s="1"/>
  <c r="J22" i="15"/>
  <c r="C61" i="15"/>
  <c r="C59" i="15" s="1"/>
  <c r="C64" i="15"/>
  <c r="C37" i="15"/>
  <c r="C56" i="15"/>
  <c r="C65" i="15" s="1"/>
  <c r="C75" i="15"/>
  <c r="J17" i="15"/>
  <c r="C31" i="15"/>
  <c r="C57" i="69"/>
  <c r="C56" i="69" s="1"/>
  <c r="M69" i="39"/>
  <c r="N67" i="39"/>
  <c r="R39" i="35"/>
  <c r="E38" i="35"/>
  <c r="M63" i="40"/>
  <c r="L65" i="40"/>
  <c r="B6" i="76"/>
  <c r="D2" i="21"/>
  <c r="B2" i="76" l="1"/>
  <c r="B3" i="76" s="1"/>
  <c r="B3" i="43"/>
  <c r="C80" i="67"/>
  <c r="C79" i="67" s="1"/>
  <c r="C40" i="67"/>
  <c r="C45" i="67" s="1"/>
  <c r="C56" i="11"/>
  <c r="C57" i="11" s="1"/>
  <c r="B2" i="21"/>
  <c r="B3" i="21" s="1"/>
  <c r="J16" i="15"/>
  <c r="J25" i="15" s="1"/>
  <c r="J26" i="15" s="1"/>
  <c r="J29" i="15" s="1"/>
  <c r="C58" i="15"/>
  <c r="C67" i="15" s="1"/>
  <c r="C68" i="15" s="1"/>
  <c r="C71" i="15" s="1"/>
  <c r="C30" i="15"/>
  <c r="C39" i="15" s="1"/>
  <c r="O67" i="39"/>
  <c r="O69" i="39" s="1"/>
  <c r="N69" i="39"/>
  <c r="F7" i="39"/>
  <c r="C39" i="35"/>
  <c r="C38" i="35"/>
  <c r="N63" i="40"/>
  <c r="M65" i="40"/>
  <c r="E43" i="35"/>
  <c r="F43" i="35" s="1"/>
  <c r="E42" i="35"/>
  <c r="F42" i="35" s="1"/>
  <c r="I43" i="35"/>
  <c r="J43" i="35" s="1"/>
  <c r="L51" i="67"/>
  <c r="D2" i="33"/>
  <c r="Q69" i="15" l="1"/>
  <c r="Q68" i="15" s="1"/>
  <c r="H39" i="15"/>
  <c r="L57" i="67"/>
  <c r="L60" i="67" s="1"/>
  <c r="L46" i="67" s="1"/>
  <c r="D2" i="67" s="1"/>
  <c r="B2" i="67" s="1"/>
  <c r="Q67" i="67"/>
  <c r="Q65" i="67"/>
  <c r="B2" i="33"/>
  <c r="B3" i="33" s="1"/>
  <c r="C83" i="67"/>
  <c r="C82" i="67" s="1"/>
  <c r="Q47" i="67"/>
  <c r="Q53" i="67" s="1"/>
  <c r="C46" i="67"/>
  <c r="Q56" i="67"/>
  <c r="C43" i="67"/>
  <c r="C80" i="15"/>
  <c r="C79" i="15" s="1"/>
  <c r="C40" i="15"/>
  <c r="C46" i="15" s="1"/>
  <c r="H7" i="39"/>
  <c r="J7" i="39"/>
  <c r="S7" i="39"/>
  <c r="AA7" i="39"/>
  <c r="R47" i="39" s="1"/>
  <c r="O63" i="40"/>
  <c r="O65" i="40" s="1"/>
  <c r="N65" i="40"/>
  <c r="L51" i="15"/>
  <c r="D2" i="37"/>
  <c r="D2" i="35"/>
  <c r="D2" i="34"/>
  <c r="D2" i="36"/>
  <c r="Q57" i="67" l="1"/>
  <c r="Q62" i="67" s="1"/>
  <c r="Q66" i="67"/>
  <c r="Q75" i="67" s="1"/>
  <c r="B3" i="67"/>
  <c r="L57" i="15"/>
  <c r="L60" i="15" s="1"/>
  <c r="Q57" i="15" s="1"/>
  <c r="Q67" i="15"/>
  <c r="B2" i="36"/>
  <c r="B3" i="36" s="1"/>
  <c r="B2" i="35"/>
  <c r="B3" i="35" s="1"/>
  <c r="M3" i="35"/>
  <c r="B2" i="37"/>
  <c r="B3" i="37" s="1"/>
  <c r="B2" i="34"/>
  <c r="B3" i="34" s="1"/>
  <c r="Q47" i="15"/>
  <c r="Q53" i="15" s="1"/>
  <c r="C43" i="15"/>
  <c r="Q65" i="15"/>
  <c r="C83" i="15"/>
  <c r="C82" i="15" s="1"/>
  <c r="Q56" i="15"/>
  <c r="W7" i="39"/>
  <c r="AC7" i="39"/>
  <c r="V47" i="39" s="1"/>
  <c r="I47" i="39" s="1"/>
  <c r="E47" i="39"/>
  <c r="R48" i="39"/>
  <c r="U7" i="39"/>
  <c r="AB7" i="39"/>
  <c r="T47" i="39" s="1"/>
  <c r="G47" i="39" s="1"/>
  <c r="J7" i="40"/>
  <c r="F7" i="40"/>
  <c r="H7" i="40"/>
  <c r="AO10" i="1"/>
  <c r="AO12" i="1"/>
  <c r="AO9" i="1"/>
  <c r="AO8" i="1"/>
  <c r="AO11" i="1"/>
  <c r="AO7" i="1"/>
  <c r="L46" i="15" l="1"/>
  <c r="B2" i="15" s="1"/>
  <c r="Q66" i="15"/>
  <c r="Q75" i="15" s="1"/>
  <c r="Q62" i="15"/>
  <c r="B9" i="70"/>
  <c r="B11" i="70"/>
  <c r="B7" i="70"/>
  <c r="B10" i="70"/>
  <c r="B12" i="70"/>
  <c r="B8" i="70"/>
  <c r="G51" i="39"/>
  <c r="H51" i="39" s="1"/>
  <c r="G52" i="39"/>
  <c r="H52" i="39" s="1"/>
  <c r="I51" i="39"/>
  <c r="J51" i="39" s="1"/>
  <c r="I52" i="39"/>
  <c r="J52" i="39" s="1"/>
  <c r="C48" i="39"/>
  <c r="C47" i="39"/>
  <c r="E52" i="39"/>
  <c r="F52" i="39" s="1"/>
  <c r="E51" i="39"/>
  <c r="F51" i="39" s="1"/>
  <c r="U7" i="40"/>
  <c r="AB7" i="40"/>
  <c r="T42" i="40" s="1"/>
  <c r="G42" i="40" s="1"/>
  <c r="AA7" i="40"/>
  <c r="R42" i="40" s="1"/>
  <c r="S7" i="40"/>
  <c r="AC7" i="40"/>
  <c r="V42" i="40" s="1"/>
  <c r="I42" i="40" s="1"/>
  <c r="W7" i="40"/>
  <c r="D19" i="9"/>
  <c r="AO6" i="1"/>
  <c r="D102" i="9" l="1"/>
  <c r="D21" i="9"/>
  <c r="B6" i="70"/>
  <c r="B2" i="70" s="1"/>
  <c r="B3" i="70" s="1"/>
  <c r="B3" i="15"/>
  <c r="B56" i="39"/>
  <c r="F56" i="39" s="1"/>
  <c r="F65" i="39" s="1"/>
  <c r="B2" i="39" s="1"/>
  <c r="B3" i="39" s="1"/>
  <c r="B63" i="39"/>
  <c r="F63" i="39" s="1"/>
  <c r="B64" i="39"/>
  <c r="F64" i="39" s="1"/>
  <c r="B60" i="39"/>
  <c r="F60" i="39" s="1"/>
  <c r="B61" i="39"/>
  <c r="F61" i="39" s="1"/>
  <c r="B57" i="39"/>
  <c r="F57" i="39" s="1"/>
  <c r="B58" i="39"/>
  <c r="F58" i="39" s="1"/>
  <c r="B62" i="39"/>
  <c r="F62" i="39" s="1"/>
  <c r="B59" i="39"/>
  <c r="F59" i="39" s="1"/>
  <c r="I46" i="40"/>
  <c r="J46" i="40" s="1"/>
  <c r="R43" i="40"/>
  <c r="E42" i="40"/>
  <c r="G47" i="40"/>
  <c r="H47" i="40" s="1"/>
  <c r="G46" i="40"/>
  <c r="H46" i="40" s="1"/>
  <c r="D20" i="9"/>
  <c r="D103" i="9" l="1"/>
  <c r="C42" i="40"/>
  <c r="C43" i="40"/>
  <c r="E47" i="40"/>
  <c r="F47" i="40" s="1"/>
  <c r="E46" i="40"/>
  <c r="F46" i="40" s="1"/>
  <c r="I47" i="40"/>
  <c r="J47" i="40" s="1"/>
  <c r="B58" i="40" l="1"/>
  <c r="F58" i="40" s="1"/>
  <c r="B54" i="40"/>
  <c r="F54" i="40" s="1"/>
  <c r="B53" i="40"/>
  <c r="F53" i="40" s="1"/>
  <c r="B59" i="40"/>
  <c r="F59" i="40" s="1"/>
  <c r="B52" i="40"/>
  <c r="F52" i="40" s="1"/>
  <c r="B56" i="40"/>
  <c r="F56" i="40" s="1"/>
  <c r="B60" i="40"/>
  <c r="F60" i="40" s="1"/>
  <c r="B57" i="40"/>
  <c r="F57" i="40" s="1"/>
  <c r="B51" i="40"/>
  <c r="F51" i="40" s="1"/>
  <c r="F61" i="40" l="1"/>
  <c r="B2" i="40" s="1"/>
  <c r="B3" i="40" l="1"/>
  <c r="C7" i="68" l="1"/>
  <c r="C5" i="68"/>
  <c r="C23" i="68" l="1"/>
  <c r="C20" i="68"/>
  <c r="C28" i="68" l="1"/>
  <c r="C27" i="68" s="1"/>
  <c r="C25" i="68"/>
  <c r="C22" i="68" s="1"/>
  <c r="C31" i="68" l="1"/>
  <c r="C52" i="68" s="1"/>
  <c r="B2" i="68" s="1"/>
  <c r="D59" i="9"/>
  <c r="M55" i="9" s="1"/>
  <c r="C19" i="9"/>
  <c r="C57" i="68" l="1"/>
  <c r="C56" i="68" s="1"/>
  <c r="C102" i="9"/>
  <c r="C21" i="9"/>
  <c r="D22" i="9"/>
  <c r="G19" i="9"/>
  <c r="B3" i="68"/>
  <c r="D34" i="9"/>
  <c r="C20" i="9"/>
  <c r="D35" i="9"/>
  <c r="G21" i="9" l="1"/>
  <c r="J22" i="9"/>
  <c r="C103" i="9"/>
  <c r="G20" i="9"/>
  <c r="C32" i="9" s="1"/>
  <c r="C35" i="9" l="1"/>
  <c r="H118" i="9"/>
  <c r="C104" i="9" l="1"/>
  <c r="H4" i="52"/>
  <c r="H119" i="9"/>
  <c r="H5" i="52" s="1"/>
  <c r="H101" i="9"/>
  <c r="D14" i="74" s="1"/>
  <c r="I118" i="9"/>
  <c r="C34" i="9"/>
  <c r="D118" i="9" s="1"/>
  <c r="F118" i="9"/>
  <c r="E14" i="74" l="1"/>
  <c r="F14" i="74"/>
  <c r="B5" i="74"/>
  <c r="D5" i="74" s="1"/>
  <c r="M48" i="9"/>
  <c r="H107" i="9"/>
  <c r="G14" i="74" s="1"/>
  <c r="B6" i="74" s="1"/>
  <c r="D6" i="74" s="1"/>
  <c r="D5" i="53"/>
  <c r="D45" i="9"/>
  <c r="D4" i="52"/>
  <c r="B47" i="72" s="1"/>
  <c r="D119" i="9"/>
  <c r="D5" i="52" s="1"/>
  <c r="B49" i="72" s="1"/>
  <c r="F119" i="9"/>
  <c r="F5" i="52" s="1"/>
  <c r="B53" i="72" s="1"/>
  <c r="G118" i="9"/>
  <c r="G4" i="52" s="1"/>
  <c r="B52" i="72" s="1"/>
  <c r="F4" i="52"/>
  <c r="B51" i="72" s="1"/>
  <c r="I4" i="52"/>
  <c r="H102" i="9"/>
  <c r="C105" i="9"/>
  <c r="C5" i="74" l="1"/>
  <c r="D7" i="53"/>
  <c r="B21" i="72" s="1"/>
  <c r="C64" i="9"/>
  <c r="C63" i="9" s="1"/>
  <c r="C67" i="9" s="1"/>
  <c r="C68" i="9" s="1"/>
  <c r="D54" i="9" s="1"/>
  <c r="D48" i="9" s="1"/>
  <c r="M52" i="9" s="1"/>
  <c r="C85" i="9"/>
  <c r="D53" i="9"/>
  <c r="D55" i="9"/>
  <c r="M53" i="9" s="1"/>
  <c r="C93" i="9"/>
  <c r="C86" i="9" s="1"/>
  <c r="D52" i="9"/>
  <c r="C72" i="9"/>
  <c r="C78" i="9"/>
  <c r="C73" i="9" s="1"/>
  <c r="E118" i="9"/>
  <c r="E4" i="52" s="1"/>
  <c r="B48" i="72" s="1"/>
  <c r="B20" i="72"/>
  <c r="D6" i="53"/>
  <c r="B22" i="72" s="1"/>
  <c r="D13" i="53"/>
  <c r="H108" i="9"/>
  <c r="D122" i="9"/>
  <c r="M49" i="9"/>
  <c r="M54" i="9" l="1"/>
  <c r="L68" i="9"/>
  <c r="M68" i="9" s="1"/>
  <c r="L63" i="9"/>
  <c r="M63" i="9" s="1"/>
  <c r="L66" i="9"/>
  <c r="M66" i="9" s="1"/>
  <c r="L67" i="9"/>
  <c r="M67" i="9" s="1"/>
  <c r="L64" i="9"/>
  <c r="M64" i="9" s="1"/>
  <c r="L65" i="9"/>
  <c r="M65" i="9" s="1"/>
  <c r="D8" i="52"/>
  <c r="D123" i="9"/>
  <c r="D9" i="52" s="1"/>
  <c r="C95" i="9"/>
  <c r="D15" i="53"/>
  <c r="B31" i="72" s="1"/>
  <c r="C6" i="74"/>
  <c r="B30" i="72"/>
  <c r="D14" i="53"/>
  <c r="B32" i="72" s="1"/>
  <c r="C79" i="9"/>
  <c r="C80" i="9" l="1"/>
  <c r="E80" i="9" s="1"/>
  <c r="E81" i="9" s="1"/>
  <c r="C96" i="9"/>
  <c r="E96" i="9" s="1"/>
  <c r="E97" i="9" s="1"/>
  <c r="M69" i="9"/>
  <c r="N69" i="9" s="1"/>
  <c r="C81" i="9" l="1"/>
  <c r="D58" i="9" s="1"/>
  <c r="D56" i="9" s="1"/>
  <c r="N57" i="9" s="1"/>
  <c r="N58" i="9" s="1"/>
  <c r="C97" i="9"/>
  <c r="N59" i="9" l="1"/>
  <c r="N61" i="9" s="1"/>
  <c r="H112" i="9" s="1"/>
  <c r="P57" i="9"/>
  <c r="H111" i="9"/>
  <c r="I14" i="74" s="1"/>
  <c r="B8" i="74" s="1"/>
  <c r="D8" i="74" s="1"/>
  <c r="N60" i="9" l="1"/>
  <c r="D19" i="53"/>
  <c r="D126" i="9"/>
  <c r="D21" i="53"/>
  <c r="B39" i="72" s="1"/>
  <c r="C8" i="74"/>
  <c r="D127" i="9" l="1"/>
  <c r="D13" i="52" s="1"/>
  <c r="D12" i="52"/>
  <c r="B38" i="72"/>
  <c r="D20" i="53"/>
  <c r="B40" i="72" s="1"/>
</calcChain>
</file>

<file path=xl/comments1.xml><?xml version="1.0" encoding="utf-8"?>
<comments xmlns="http://schemas.openxmlformats.org/spreadsheetml/2006/main">
  <authors>
    <author>USER</author>
  </authors>
  <commentList>
    <comment ref="A13" authorId="0">
      <text>
        <r>
          <rPr>
            <sz val="16"/>
            <color indexed="81"/>
            <rFont val="宋体"/>
            <family val="3"/>
            <charset val="134"/>
          </rPr>
          <t>带批注的一定要看</t>
        </r>
        <r>
          <rPr>
            <sz val="9"/>
            <color indexed="81"/>
            <rFont val="宋体"/>
            <family val="3"/>
            <charset val="134"/>
          </rPr>
          <t xml:space="preserve">
</t>
        </r>
      </text>
    </comment>
  </commentList>
</comments>
</file>

<file path=xl/comments2.xml><?xml version="1.0" encoding="utf-8"?>
<comments xmlns="http://schemas.openxmlformats.org/spreadsheetml/2006/main">
  <authors>
    <author>崔锴</author>
    <author>USER</author>
  </authors>
  <commentList>
    <comment ref="F4" authorId="0">
      <text>
        <r>
          <rPr>
            <sz val="12"/>
            <color indexed="81"/>
            <rFont val="仿宋_GB2312"/>
            <family val="3"/>
            <charset val="134"/>
          </rPr>
          <t>没有时，请选择"——"</t>
        </r>
        <r>
          <rPr>
            <sz val="9"/>
            <color indexed="81"/>
            <rFont val="宋体"/>
            <family val="3"/>
            <charset val="134"/>
          </rPr>
          <t xml:space="preserve">
</t>
        </r>
      </text>
    </comment>
    <comment ref="H4" authorId="0">
      <text>
        <r>
          <rPr>
            <sz val="12"/>
            <color indexed="81"/>
            <rFont val="仿宋_GB2312"/>
            <family val="3"/>
            <charset val="134"/>
          </rPr>
          <t>没有时，请选择"——"</t>
        </r>
        <r>
          <rPr>
            <sz val="9"/>
            <color indexed="81"/>
            <rFont val="宋体"/>
            <family val="3"/>
            <charset val="134"/>
          </rPr>
          <t xml:space="preserve">
</t>
        </r>
      </text>
    </comment>
    <comment ref="B10" authorId="1">
      <text>
        <r>
          <rPr>
            <sz val="12"/>
            <color indexed="81"/>
            <rFont val="宋体"/>
            <family val="3"/>
            <charset val="134"/>
            <scheme val="minor"/>
          </rPr>
          <t>其它城市请在右侧录入</t>
        </r>
        <r>
          <rPr>
            <sz val="14"/>
            <color indexed="81"/>
            <rFont val="楷体_GB2312"/>
            <family val="3"/>
            <charset val="134"/>
          </rPr>
          <t xml:space="preserve">
</t>
        </r>
      </text>
    </comment>
    <comment ref="E10" authorId="0">
      <text>
        <r>
          <rPr>
            <sz val="12"/>
            <color indexed="81"/>
            <rFont val="楷体_GB2312"/>
            <family val="3"/>
            <charset val="134"/>
          </rPr>
          <t>如果有推广名请自行加入</t>
        </r>
        <r>
          <rPr>
            <sz val="9"/>
            <color indexed="81"/>
            <rFont val="宋体"/>
            <family val="3"/>
            <charset val="134"/>
          </rPr>
          <t xml:space="preserve">
</t>
        </r>
      </text>
    </comment>
    <comment ref="B11" authorId="0">
      <text>
        <r>
          <rPr>
            <sz val="12"/>
            <color indexed="81"/>
            <rFont val="宋体"/>
            <family val="3"/>
            <charset val="134"/>
          </rPr>
          <t xml:space="preserve">名称在右侧单元格录入
</t>
        </r>
      </text>
    </comment>
    <comment ref="B16" authorId="0">
      <text>
        <r>
          <rPr>
            <sz val="12"/>
            <color indexed="81"/>
            <rFont val="宋体"/>
            <family val="3"/>
            <charset val="134"/>
          </rPr>
          <t>如：住宅、办公、地下车库</t>
        </r>
        <r>
          <rPr>
            <sz val="9"/>
            <color indexed="81"/>
            <rFont val="宋体"/>
            <family val="3"/>
            <charset val="134"/>
          </rPr>
          <t xml:space="preserve">
</t>
        </r>
      </text>
    </comment>
    <comment ref="F16" authorId="0">
      <text>
        <r>
          <rPr>
            <sz val="12"/>
            <color indexed="81"/>
            <rFont val="宋体"/>
            <family val="3"/>
            <charset val="134"/>
          </rPr>
          <t>如：住宅67.6年、办公及车库37.6年</t>
        </r>
        <r>
          <rPr>
            <sz val="9"/>
            <color indexed="81"/>
            <rFont val="宋体"/>
            <family val="3"/>
            <charset val="134"/>
          </rPr>
          <t xml:space="preserve">
</t>
        </r>
      </text>
    </comment>
    <comment ref="E18" authorId="0">
      <text>
        <r>
          <rPr>
            <sz val="11"/>
            <color indexed="81"/>
            <rFont val="宋体"/>
            <family val="3"/>
            <charset val="134"/>
          </rPr>
          <t xml:space="preserve">有相同面积依据时，仅在土地面积依据处录入。
</t>
        </r>
      </text>
    </comment>
    <comment ref="C28" authorId="1">
      <text>
        <r>
          <rPr>
            <sz val="11"/>
            <color indexed="81"/>
            <rFont val="楷体_GB2312"/>
            <family val="3"/>
            <charset val="134"/>
          </rPr>
          <t>其他特殊项请在右侧录入</t>
        </r>
      </text>
    </comment>
    <comment ref="C30" authorId="1">
      <text>
        <r>
          <rPr>
            <sz val="11"/>
            <color indexed="81"/>
            <rFont val="宋体"/>
            <family val="3"/>
            <charset val="134"/>
          </rPr>
          <t>廉租房、公租房、限价房、自住房</t>
        </r>
        <r>
          <rPr>
            <sz val="9"/>
            <color indexed="81"/>
            <rFont val="宋体"/>
            <family val="3"/>
            <charset val="134"/>
          </rPr>
          <t xml:space="preserve">
</t>
        </r>
      </text>
    </comment>
    <comment ref="E31" authorId="1">
      <text>
        <r>
          <rPr>
            <sz val="11"/>
            <color indexed="81"/>
            <rFont val="宋体"/>
            <family val="3"/>
            <charset val="134"/>
          </rPr>
          <t xml:space="preserve">工程停工、土地闲置、年久失修等
</t>
        </r>
      </text>
    </comment>
    <comment ref="E32" authorId="1">
      <text>
        <r>
          <rPr>
            <sz val="11"/>
            <color indexed="81"/>
            <rFont val="宋体"/>
            <family val="3"/>
            <charset val="134"/>
          </rPr>
          <t xml:space="preserve">工程停工、土地闲置、年久失修等
</t>
        </r>
      </text>
    </comment>
    <comment ref="E33" authorId="1">
      <text>
        <r>
          <rPr>
            <sz val="11"/>
            <color indexed="81"/>
            <rFont val="宋体"/>
            <family val="3"/>
            <charset val="134"/>
          </rPr>
          <t xml:space="preserve">工程停工、土地闲置、年久失修等
</t>
        </r>
      </text>
    </comment>
    <comment ref="K42" authorId="1">
      <text>
        <r>
          <rPr>
            <sz val="11"/>
            <color indexed="81"/>
            <rFont val="楷体_GB2312"/>
            <family val="3"/>
            <charset val="134"/>
          </rPr>
          <t>现房/在建（简单填写进度）/未建</t>
        </r>
        <r>
          <rPr>
            <sz val="9"/>
            <color indexed="81"/>
            <rFont val="宋体"/>
            <family val="3"/>
            <charset val="134"/>
          </rPr>
          <t xml:space="preserve">
</t>
        </r>
      </text>
    </comment>
    <comment ref="K43" authorId="1">
      <text>
        <r>
          <rPr>
            <sz val="11"/>
            <color indexed="81"/>
            <rFont val="楷体_GB2312"/>
            <family val="3"/>
            <charset val="134"/>
          </rPr>
          <t>现房/在建（简单填写进度）/未建</t>
        </r>
        <r>
          <rPr>
            <sz val="9"/>
            <color indexed="81"/>
            <rFont val="宋体"/>
            <family val="3"/>
            <charset val="134"/>
          </rPr>
          <t xml:space="preserve">
</t>
        </r>
      </text>
    </comment>
    <comment ref="K44" authorId="1">
      <text>
        <r>
          <rPr>
            <sz val="11"/>
            <color indexed="81"/>
            <rFont val="楷体_GB2312"/>
            <family val="3"/>
            <charset val="134"/>
          </rPr>
          <t>现房/在建（简单填写进度）/未建</t>
        </r>
        <r>
          <rPr>
            <sz val="9"/>
            <color indexed="81"/>
            <rFont val="宋体"/>
            <family val="3"/>
            <charset val="134"/>
          </rPr>
          <t xml:space="preserve">
</t>
        </r>
      </text>
    </comment>
    <comment ref="K45" authorId="1">
      <text>
        <r>
          <rPr>
            <sz val="11"/>
            <color indexed="81"/>
            <rFont val="楷体_GB2312"/>
            <family val="3"/>
            <charset val="134"/>
          </rPr>
          <t>现房/在建（简单填写进度）/未建</t>
        </r>
        <r>
          <rPr>
            <sz val="9"/>
            <color indexed="81"/>
            <rFont val="宋体"/>
            <family val="3"/>
            <charset val="134"/>
          </rPr>
          <t xml:space="preserve">
</t>
        </r>
      </text>
    </comment>
    <comment ref="K46" authorId="1">
      <text>
        <r>
          <rPr>
            <sz val="11"/>
            <color indexed="81"/>
            <rFont val="楷体_GB2312"/>
            <family val="3"/>
            <charset val="134"/>
          </rPr>
          <t>现房/在建（简单填写进度）/未建</t>
        </r>
        <r>
          <rPr>
            <sz val="9"/>
            <color indexed="81"/>
            <rFont val="宋体"/>
            <family val="3"/>
            <charset val="134"/>
          </rPr>
          <t xml:space="preserve">
</t>
        </r>
      </text>
    </comment>
    <comment ref="K47" authorId="1">
      <text>
        <r>
          <rPr>
            <sz val="11"/>
            <color indexed="81"/>
            <rFont val="楷体_GB2312"/>
            <family val="3"/>
            <charset val="134"/>
          </rPr>
          <t>现房/在建（简单填写进度）/未建</t>
        </r>
        <r>
          <rPr>
            <sz val="9"/>
            <color indexed="81"/>
            <rFont val="宋体"/>
            <family val="3"/>
            <charset val="134"/>
          </rPr>
          <t xml:space="preserve">
</t>
        </r>
      </text>
    </comment>
    <comment ref="K52" authorId="1">
      <text>
        <r>
          <rPr>
            <sz val="11"/>
            <color indexed="81"/>
            <rFont val="楷体_GB2312"/>
            <family val="3"/>
            <charset val="134"/>
          </rPr>
          <t>现房/在建（简单填写进度）/未建</t>
        </r>
        <r>
          <rPr>
            <sz val="9"/>
            <color indexed="81"/>
            <rFont val="宋体"/>
            <family val="3"/>
            <charset val="134"/>
          </rPr>
          <t xml:space="preserve">
</t>
        </r>
      </text>
    </comment>
    <comment ref="K53" authorId="1">
      <text>
        <r>
          <rPr>
            <sz val="11"/>
            <color indexed="81"/>
            <rFont val="楷体_GB2312"/>
            <family val="3"/>
            <charset val="134"/>
          </rPr>
          <t>现房/在建（简单填写进度）/未建</t>
        </r>
        <r>
          <rPr>
            <sz val="9"/>
            <color indexed="81"/>
            <rFont val="宋体"/>
            <family val="3"/>
            <charset val="134"/>
          </rPr>
          <t xml:space="preserve">
</t>
        </r>
      </text>
    </comment>
    <comment ref="K54" authorId="1">
      <text>
        <r>
          <rPr>
            <sz val="11"/>
            <color indexed="81"/>
            <rFont val="楷体_GB2312"/>
            <family val="3"/>
            <charset val="134"/>
          </rPr>
          <t>现房/在建（简单填写进度）/未建</t>
        </r>
        <r>
          <rPr>
            <sz val="9"/>
            <color indexed="81"/>
            <rFont val="宋体"/>
            <family val="3"/>
            <charset val="134"/>
          </rPr>
          <t xml:space="preserve">
</t>
        </r>
      </text>
    </comment>
    <comment ref="K55" authorId="1">
      <text>
        <r>
          <rPr>
            <sz val="11"/>
            <color indexed="81"/>
            <rFont val="楷体_GB2312"/>
            <family val="3"/>
            <charset val="134"/>
          </rPr>
          <t>现房/在建（简单填写进度）/未建</t>
        </r>
        <r>
          <rPr>
            <sz val="9"/>
            <color indexed="81"/>
            <rFont val="宋体"/>
            <family val="3"/>
            <charset val="134"/>
          </rPr>
          <t xml:space="preserve">
</t>
        </r>
      </text>
    </comment>
    <comment ref="K56" authorId="1">
      <text>
        <r>
          <rPr>
            <sz val="11"/>
            <color indexed="81"/>
            <rFont val="楷体_GB2312"/>
            <family val="3"/>
            <charset val="134"/>
          </rPr>
          <t>现房/在建（简单填写进度）/未建</t>
        </r>
        <r>
          <rPr>
            <sz val="9"/>
            <color indexed="81"/>
            <rFont val="宋体"/>
            <family val="3"/>
            <charset val="134"/>
          </rPr>
          <t xml:space="preserve">
</t>
        </r>
      </text>
    </comment>
  </commentList>
</comments>
</file>

<file path=xl/comments3.xml><?xml version="1.0" encoding="utf-8"?>
<comments xmlns="http://schemas.openxmlformats.org/spreadsheetml/2006/main">
  <authors>
    <author>崔锴</author>
    <author>USER</author>
  </authors>
  <commentList>
    <comment ref="AY2" authorId="0">
      <text>
        <r>
          <rPr>
            <sz val="11"/>
            <color indexed="81"/>
            <rFont val="宋体"/>
            <family val="3"/>
            <charset val="134"/>
          </rPr>
          <t>测绘结果与计算结果不一致时，需录入</t>
        </r>
        <r>
          <rPr>
            <b/>
            <sz val="11"/>
            <color indexed="81"/>
            <rFont val="宋体"/>
            <family val="3"/>
            <charset val="134"/>
          </rPr>
          <t xml:space="preserve">
</t>
        </r>
        <r>
          <rPr>
            <sz val="11"/>
            <color indexed="81"/>
            <rFont val="宋体"/>
            <family val="3"/>
            <charset val="134"/>
          </rPr>
          <t xml:space="preserve">
</t>
        </r>
      </text>
    </comment>
    <comment ref="A3" authorId="1">
      <text>
        <r>
          <rPr>
            <sz val="10"/>
            <color indexed="81"/>
            <rFont val="宋体"/>
            <family val="3"/>
            <charset val="134"/>
          </rPr>
          <t>依《国土证》或《不动产证》录入</t>
        </r>
        <r>
          <rPr>
            <sz val="9"/>
            <color indexed="81"/>
            <rFont val="宋体"/>
            <family val="3"/>
            <charset val="134"/>
          </rPr>
          <t xml:space="preserve">
</t>
        </r>
      </text>
    </comment>
    <comment ref="AC8" authorId="0">
      <text>
        <r>
          <rPr>
            <sz val="10"/>
            <color indexed="81"/>
            <rFont val="宋体"/>
            <family val="3"/>
            <charset val="134"/>
          </rPr>
          <t>如为现房，请将非经营性用途面积分摊至经营性用途中，此处不再单独录入</t>
        </r>
        <r>
          <rPr>
            <sz val="9"/>
            <color indexed="81"/>
            <rFont val="宋体"/>
            <family val="3"/>
            <charset val="134"/>
          </rPr>
          <t xml:space="preserve">
</t>
        </r>
      </text>
    </comment>
  </commentList>
</comments>
</file>

<file path=xl/comments4.xml><?xml version="1.0" encoding="utf-8"?>
<comments xmlns="http://schemas.openxmlformats.org/spreadsheetml/2006/main">
  <authors>
    <author>USER</author>
  </authors>
  <commentList>
    <comment ref="E9" authorId="0">
      <text>
        <r>
          <rPr>
            <b/>
            <sz val="11"/>
            <color indexed="81"/>
            <rFont val="宋体"/>
            <family val="3"/>
            <charset val="134"/>
          </rPr>
          <t>除经营性用途以外的地上计出让金部分，请按实际情况录入并作备注</t>
        </r>
        <r>
          <rPr>
            <sz val="9"/>
            <color indexed="81"/>
            <rFont val="宋体"/>
            <family val="3"/>
            <charset val="134"/>
          </rPr>
          <t xml:space="preserve">
</t>
        </r>
      </text>
    </comment>
    <comment ref="C17" authorId="0">
      <text>
        <r>
          <rPr>
            <sz val="11"/>
            <color indexed="81"/>
            <rFont val="宋体"/>
            <family val="3"/>
            <charset val="134"/>
          </rPr>
          <t>项不固定，随情况自定，但需包含有主用途，如：
住宅-公寓商业-独栋</t>
        </r>
        <r>
          <rPr>
            <sz val="9"/>
            <color indexed="81"/>
            <rFont val="宋体"/>
            <family val="3"/>
            <charset val="134"/>
          </rPr>
          <t xml:space="preserve">
</t>
        </r>
      </text>
    </comment>
  </commentList>
</comments>
</file>

<file path=xl/comments5.xml><?xml version="1.0" encoding="utf-8"?>
<comments xmlns="http://schemas.openxmlformats.org/spreadsheetml/2006/main">
  <authors>
    <author>崔锴</author>
    <author>moqikay</author>
  </authors>
  <commentList>
    <comment ref="U5" authorId="0">
      <text>
        <r>
          <rPr>
            <sz val="12"/>
            <color indexed="81"/>
            <rFont val="宋体"/>
            <family val="3"/>
            <charset val="134"/>
          </rPr>
          <t xml:space="preserve">按套计取，在AF列录入套数；
按每车位计取，在AF列录入车位数；
按收益面积计取，在AF列录入收益面积
</t>
        </r>
      </text>
    </comment>
    <comment ref="W5" authorId="0">
      <text>
        <r>
          <rPr>
            <sz val="10"/>
            <color indexed="81"/>
            <rFont val="宋体"/>
            <family val="3"/>
            <charset val="134"/>
          </rPr>
          <t>5%-10%：基本呈满租状态；
15%左右：正常市场空置状态
20%：市场环境较差，项目现状及周边有空置
另，需注意租金水平与空置率的均衡关系</t>
        </r>
        <r>
          <rPr>
            <b/>
            <sz val="9"/>
            <color indexed="81"/>
            <rFont val="宋体"/>
            <family val="3"/>
            <charset val="134"/>
          </rPr>
          <t xml:space="preserve">
</t>
        </r>
      </text>
    </comment>
    <comment ref="AB5" authorId="0">
      <text>
        <r>
          <rPr>
            <sz val="11"/>
            <color indexed="81"/>
            <rFont val="宋体"/>
            <family val="3"/>
            <charset val="134"/>
          </rPr>
          <t>5%-10%：基本呈满租状态；
15%左右：正常市场空置状态；
20%：市场环境较差，项目现状及周边有空置。
另，需注意租金水平与空置率的均衡关系。</t>
        </r>
        <r>
          <rPr>
            <b/>
            <sz val="11"/>
            <color indexed="81"/>
            <rFont val="宋体"/>
            <family val="3"/>
            <charset val="134"/>
          </rPr>
          <t xml:space="preserve">
</t>
        </r>
      </text>
    </comment>
    <comment ref="AK5" authorId="0">
      <text>
        <r>
          <rPr>
            <sz val="10"/>
            <color indexed="81"/>
            <rFont val="宋体"/>
            <family val="3"/>
            <charset val="134"/>
          </rPr>
          <t>取值范围：
1.5%-2.5%</t>
        </r>
        <r>
          <rPr>
            <sz val="9"/>
            <color indexed="81"/>
            <rFont val="宋体"/>
            <family val="3"/>
            <charset val="134"/>
          </rPr>
          <t xml:space="preserve">
</t>
        </r>
      </text>
    </comment>
    <comment ref="AL5" authorId="0">
      <text>
        <r>
          <rPr>
            <sz val="10"/>
            <color indexed="81"/>
            <rFont val="宋体"/>
            <family val="3"/>
            <charset val="134"/>
          </rPr>
          <t>取值范围：
0.15%-0.3%</t>
        </r>
        <r>
          <rPr>
            <b/>
            <sz val="9"/>
            <color indexed="81"/>
            <rFont val="宋体"/>
            <family val="3"/>
            <charset val="134"/>
          </rPr>
          <t xml:space="preserve">
</t>
        </r>
        <r>
          <rPr>
            <sz val="9"/>
            <color indexed="81"/>
            <rFont val="宋体"/>
            <family val="3"/>
            <charset val="134"/>
          </rPr>
          <t xml:space="preserve">
</t>
        </r>
      </text>
    </comment>
    <comment ref="AM5" authorId="0">
      <text>
        <r>
          <rPr>
            <sz val="10"/>
            <color indexed="81"/>
            <rFont val="宋体"/>
            <family val="3"/>
            <charset val="134"/>
          </rPr>
          <t>取值范围：
1%-3%</t>
        </r>
        <r>
          <rPr>
            <sz val="9"/>
            <color indexed="81"/>
            <rFont val="宋体"/>
            <family val="3"/>
            <charset val="134"/>
          </rPr>
          <t xml:space="preserve">
</t>
        </r>
      </text>
    </comment>
    <comment ref="B44" authorId="1">
      <text>
        <r>
          <rPr>
            <b/>
            <sz val="8"/>
            <color indexed="81"/>
            <rFont val="宋体"/>
            <family val="3"/>
            <charset val="134"/>
          </rPr>
          <t>moqikay:
东城区、西城区、北京经济技术开发区范围内，以及在朝阳、海淀、丰台、石景山、门头沟、燕山六个区所属的街道办事处管辖范围内的，税率为7%</t>
        </r>
      </text>
    </comment>
  </commentList>
</comments>
</file>

<file path=xl/comments6.xml><?xml version="1.0" encoding="utf-8"?>
<comments xmlns="http://schemas.openxmlformats.org/spreadsheetml/2006/main">
  <authors>
    <author>Sky123.Org</author>
    <author>USER</author>
  </authors>
  <commentList>
    <comment ref="B3" authorId="0">
      <text>
        <r>
          <rPr>
            <sz val="12"/>
            <color indexed="81"/>
            <rFont val="宋体"/>
            <family val="3"/>
            <charset val="134"/>
          </rPr>
          <t xml:space="preserve">指区域居住用地比例、居住小区规模和社区发展完善程度
</t>
        </r>
      </text>
    </comment>
    <comment ref="F3" authorId="0">
      <text>
        <r>
          <rPr>
            <sz val="12"/>
            <color indexed="81"/>
            <rFont val="宋体"/>
            <family val="3"/>
            <charset val="134"/>
          </rPr>
          <t xml:space="preserve">也指工业区成熟度，工业区性质、相关产业的配套及集聚状况
</t>
        </r>
      </text>
    </comment>
    <comment ref="B4" authorId="0">
      <text>
        <r>
          <rPr>
            <sz val="12"/>
            <color indexed="81"/>
            <rFont val="宋体"/>
            <family val="3"/>
            <charset val="134"/>
          </rPr>
          <t>所在区域的性质（商服区、住宅区还是工业区）、距各类商服中心的距离、商务设施的种类规模与集聚程度、商服氛围、经营类别、客流的数量与质量</t>
        </r>
        <r>
          <rPr>
            <sz val="9"/>
            <color indexed="81"/>
            <rFont val="宋体"/>
            <family val="3"/>
            <charset val="134"/>
          </rPr>
          <t xml:space="preserve">
</t>
        </r>
      </text>
    </comment>
    <comment ref="F4" authorId="1">
      <text>
        <r>
          <rPr>
            <sz val="12"/>
            <color indexed="81"/>
            <rFont val="宋体"/>
            <family val="3"/>
            <charset val="134"/>
          </rPr>
          <t>侧重对外交通、货运交通状况</t>
        </r>
        <r>
          <rPr>
            <sz val="9"/>
            <color indexed="81"/>
            <rFont val="宋体"/>
            <family val="3"/>
            <charset val="134"/>
          </rPr>
          <t xml:space="preserve">
</t>
        </r>
      </text>
    </comment>
    <comment ref="B5" authorId="0">
      <text>
        <r>
          <rPr>
            <sz val="12"/>
            <color indexed="81"/>
            <rFont val="宋体"/>
            <family val="3"/>
            <charset val="134"/>
          </rPr>
          <t xml:space="preserve">所在区域的性质（商服区、住宅区还是工业区）、距各类商服中心的距离、商务设施的种类规模与集聚程度、商服氛围、经营类别、客流的数量与质量
</t>
        </r>
        <r>
          <rPr>
            <sz val="9"/>
            <color indexed="81"/>
            <rFont val="宋体"/>
            <family val="3"/>
            <charset val="134"/>
          </rPr>
          <t xml:space="preserve">
</t>
        </r>
      </text>
    </comment>
    <comment ref="B6" authorId="1">
      <text>
        <r>
          <rPr>
            <sz val="12"/>
            <color indexed="81"/>
            <rFont val="宋体"/>
            <family val="3"/>
            <charset val="134"/>
          </rPr>
          <t>侧重公共交通通达、停车便捷程度</t>
        </r>
        <r>
          <rPr>
            <sz val="9"/>
            <color indexed="81"/>
            <rFont val="宋体"/>
            <family val="3"/>
            <charset val="134"/>
          </rPr>
          <t xml:space="preserve">
</t>
        </r>
      </text>
    </comment>
    <comment ref="F7" authorId="0">
      <text>
        <r>
          <rPr>
            <sz val="12"/>
            <color indexed="81"/>
            <rFont val="宋体"/>
            <family val="3"/>
            <charset val="134"/>
          </rPr>
          <t>主要指污染排放状况及治理状况、距离危险设施或污染源的临近程度、自然条件等</t>
        </r>
      </text>
    </comment>
    <comment ref="B9" authorId="0">
      <text>
        <r>
          <rPr>
            <sz val="12"/>
            <color indexed="81"/>
            <rFont val="宋体"/>
            <family val="3"/>
            <charset val="134"/>
          </rPr>
          <t>主要为人文环境和自然环境。人文环境包括学校数目和类型；文体休闲设施状况；居民素质；自然环境包括：景观、绿化环境、卫生条件、噪音、空气和水体污染及危险设施或污染源的临近程度
景观、卫生条件、噪音等污染情况可单独修正</t>
        </r>
      </text>
    </comment>
  </commentList>
</comments>
</file>

<file path=xl/comments7.xml><?xml version="1.0" encoding="utf-8"?>
<comments xmlns="http://schemas.openxmlformats.org/spreadsheetml/2006/main">
  <authors>
    <author>崔锴</author>
    <author>USER</author>
    <author>作者</author>
  </authors>
  <commentList>
    <comment ref="C1" authorId="0">
      <text>
        <r>
          <rPr>
            <sz val="12"/>
            <color indexed="81"/>
            <rFont val="楷体_GB2312"/>
            <family val="3"/>
            <charset val="134"/>
          </rPr>
          <t>不分项目类型时为空即可</t>
        </r>
        <r>
          <rPr>
            <sz val="9"/>
            <color indexed="81"/>
            <rFont val="宋体"/>
            <family val="3"/>
            <charset val="134"/>
          </rPr>
          <t xml:space="preserve">
</t>
        </r>
      </text>
    </comment>
    <comment ref="L18" authorId="0">
      <text>
        <r>
          <rPr>
            <sz val="12"/>
            <color indexed="81"/>
            <rFont val="宋体"/>
            <family val="3"/>
            <charset val="134"/>
          </rPr>
          <t>C1单元格选空即为估价对象全部</t>
        </r>
        <r>
          <rPr>
            <sz val="9"/>
            <color indexed="81"/>
            <rFont val="宋体"/>
            <family val="3"/>
            <charset val="134"/>
          </rPr>
          <t xml:space="preserve">
</t>
        </r>
      </text>
    </comment>
    <comment ref="A24" authorId="1">
      <text>
        <r>
          <rPr>
            <sz val="11"/>
            <color indexed="81"/>
            <rFont val="宋体"/>
            <family val="3"/>
            <charset val="134"/>
          </rPr>
          <t>需在下方列示计算过程</t>
        </r>
        <r>
          <rPr>
            <sz val="9"/>
            <color indexed="81"/>
            <rFont val="宋体"/>
            <family val="3"/>
            <charset val="134"/>
          </rPr>
          <t xml:space="preserve">
</t>
        </r>
      </text>
    </comment>
    <comment ref="H75" authorId="2">
      <text>
        <r>
          <rPr>
            <b/>
            <sz val="9"/>
            <color indexed="81"/>
            <rFont val="宋体"/>
            <family val="3"/>
            <charset val="134"/>
          </rPr>
          <t>已购买年数；无发票此处填0</t>
        </r>
        <r>
          <rPr>
            <b/>
            <sz val="9"/>
            <color indexed="81"/>
            <rFont val="宋体"/>
            <family val="3"/>
            <charset val="134"/>
          </rPr>
          <t>(</t>
        </r>
        <r>
          <rPr>
            <b/>
            <sz val="9"/>
            <color indexed="81"/>
            <rFont val="宋体"/>
            <family val="3"/>
            <charset val="134"/>
          </rPr>
          <t>有公式链接</t>
        </r>
        <r>
          <rPr>
            <b/>
            <sz val="9"/>
            <color indexed="81"/>
            <rFont val="宋体"/>
            <family val="3"/>
            <charset val="134"/>
          </rPr>
          <t>)</t>
        </r>
        <r>
          <rPr>
            <sz val="9"/>
            <color indexed="81"/>
            <rFont val="宋体"/>
            <family val="3"/>
            <charset val="134"/>
          </rPr>
          <t xml:space="preserve">
</t>
        </r>
      </text>
    </comment>
  </commentList>
</comments>
</file>

<file path=xl/comments8.xml><?xml version="1.0" encoding="utf-8"?>
<comments xmlns="http://schemas.openxmlformats.org/spreadsheetml/2006/main">
  <authors>
    <author>崔锴</author>
  </authors>
  <commentList>
    <comment ref="G9"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9.xml><?xml version="1.0" encoding="utf-8"?>
<comments xmlns="http://schemas.openxmlformats.org/spreadsheetml/2006/main">
  <authors>
    <author>崔锴</author>
  </authors>
  <commentList>
    <comment ref="G18" authorId="0">
      <text>
        <r>
          <rPr>
            <sz val="9"/>
            <color indexed="81"/>
            <rFont val="宋体"/>
            <family val="3"/>
            <charset val="134"/>
          </rPr>
          <t xml:space="preserve">非整体项目测算时，请对是否全部缴纳进行选择，如为“部分缴纳”，请在右侧录入已缴纳的数额
</t>
        </r>
      </text>
    </comment>
  </commentList>
</comments>
</file>

<file path=xl/comments10.xml><?xml version="1.0" encoding="utf-8"?>
<comments xmlns="http://schemas.openxmlformats.org/spreadsheetml/2006/main">
  <authors>
    <author>崔锴</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 xml:space="preserve">需注意，采用基准地价系数修正法中土地结果计算时，土地报酬率应采用该方法中报酬率（还原率）。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 xml:space="preserve">在建项目均选择“是”
</t>
        </r>
      </text>
    </comment>
  </commentList>
</comments>
</file>

<file path=xl/comments11.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2.xml><?xml version="1.0" encoding="utf-8"?>
<comments xmlns="http://schemas.openxmlformats.org/spreadsheetml/2006/main">
  <authors>
    <author>崔锴</author>
    <author>USER</author>
  </authors>
  <commentList>
    <comment ref="K48" authorId="0">
      <text>
        <r>
          <rPr>
            <b/>
            <sz val="9"/>
            <color indexed="81"/>
            <rFont val="宋体"/>
            <family val="3"/>
            <charset val="134"/>
          </rPr>
          <t>权重验证</t>
        </r>
        <r>
          <rPr>
            <sz val="9"/>
            <color indexed="81"/>
            <rFont val="宋体"/>
            <family val="3"/>
            <charset val="134"/>
          </rPr>
          <t xml:space="preserve">
</t>
        </r>
      </text>
    </comment>
    <comment ref="C58" authorId="1">
      <text>
        <r>
          <rPr>
            <b/>
            <sz val="12"/>
            <color indexed="81"/>
            <rFont val="宋体"/>
            <family val="3"/>
            <charset val="134"/>
          </rPr>
          <t>价值时点所在月度</t>
        </r>
        <r>
          <rPr>
            <sz val="12"/>
            <color indexed="81"/>
            <rFont val="宋体"/>
            <family val="3"/>
            <charset val="134"/>
          </rPr>
          <t xml:space="preserve">
</t>
        </r>
      </text>
    </comment>
    <comment ref="B102"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3.xml><?xml version="1.0" encoding="utf-8"?>
<comments xmlns="http://schemas.openxmlformats.org/spreadsheetml/2006/main">
  <authors>
    <author>崔锴</author>
    <author>USER</author>
  </authors>
  <commentList>
    <comment ref="K49" authorId="0">
      <text>
        <r>
          <rPr>
            <b/>
            <sz val="9"/>
            <color indexed="81"/>
            <rFont val="宋体"/>
            <family val="3"/>
            <charset val="134"/>
          </rPr>
          <t>权重验证</t>
        </r>
        <r>
          <rPr>
            <sz val="9"/>
            <color indexed="81"/>
            <rFont val="宋体"/>
            <family val="3"/>
            <charset val="134"/>
          </rPr>
          <t xml:space="preserve">
</t>
        </r>
      </text>
    </comment>
    <comment ref="C59" authorId="1">
      <text>
        <r>
          <rPr>
            <b/>
            <sz val="12"/>
            <color indexed="81"/>
            <rFont val="宋体"/>
            <family val="3"/>
            <charset val="134"/>
          </rPr>
          <t>价值时点所在月度</t>
        </r>
        <r>
          <rPr>
            <sz val="12"/>
            <color indexed="81"/>
            <rFont val="宋体"/>
            <family val="3"/>
            <charset val="134"/>
          </rPr>
          <t xml:space="preserve">
</t>
        </r>
      </text>
    </comment>
    <comment ref="B103"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4.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52" authorId="1">
      <text>
        <r>
          <rPr>
            <b/>
            <sz val="12"/>
            <color indexed="81"/>
            <rFont val="宋体"/>
            <family val="3"/>
            <charset val="134"/>
          </rPr>
          <t>价值时点所在月度</t>
        </r>
        <r>
          <rPr>
            <sz val="12"/>
            <color indexed="81"/>
            <rFont val="宋体"/>
            <family val="3"/>
            <charset val="134"/>
          </rPr>
          <t xml:space="preserve">
</t>
        </r>
      </text>
    </comment>
    <comment ref="B90" authorId="1">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15.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sz val="12"/>
            <color indexed="81"/>
            <rFont val="宋体"/>
            <family val="3"/>
            <charset val="134"/>
          </rPr>
          <t xml:space="preserve">
</t>
        </r>
      </text>
    </comment>
    <comment ref="K38" authorId="1">
      <text>
        <r>
          <rPr>
            <b/>
            <sz val="9"/>
            <color indexed="81"/>
            <rFont val="宋体"/>
            <family val="3"/>
            <charset val="134"/>
          </rPr>
          <t>权重验证</t>
        </r>
        <r>
          <rPr>
            <sz val="9"/>
            <color indexed="81"/>
            <rFont val="宋体"/>
            <family val="3"/>
            <charset val="134"/>
          </rPr>
          <t xml:space="preserve">
</t>
        </r>
      </text>
    </comment>
    <comment ref="C48" authorId="0">
      <text>
        <r>
          <rPr>
            <b/>
            <sz val="12"/>
            <color indexed="81"/>
            <rFont val="宋体"/>
            <family val="3"/>
            <charset val="134"/>
          </rPr>
          <t>价值时点所在月度</t>
        </r>
        <r>
          <rPr>
            <sz val="12"/>
            <color indexed="81"/>
            <rFont val="宋体"/>
            <family val="3"/>
            <charset val="134"/>
          </rPr>
          <t xml:space="preserve">
</t>
        </r>
      </text>
    </comment>
    <comment ref="B88" authorId="0">
      <text>
        <r>
          <rPr>
            <b/>
            <sz val="12"/>
            <color indexed="81"/>
            <rFont val="宋体"/>
            <family val="3"/>
            <charset val="134"/>
          </rPr>
          <t>所属项目品质或
物业管理</t>
        </r>
      </text>
    </comment>
    <comment ref="B90"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6.xml><?xml version="1.0" encoding="utf-8"?>
<comments xmlns="http://schemas.openxmlformats.org/spreadsheetml/2006/main">
  <authors>
    <author>USER</author>
    <author>崔锴</author>
  </authors>
  <commentList>
    <comment ref="B1" authorId="0">
      <text>
        <r>
          <rPr>
            <b/>
            <sz val="12"/>
            <color indexed="81"/>
            <rFont val="宋体"/>
            <family val="3"/>
            <charset val="134"/>
          </rPr>
          <t>主用途</t>
        </r>
        <r>
          <rPr>
            <b/>
            <sz val="9"/>
            <color indexed="81"/>
            <rFont val="宋体"/>
            <family val="3"/>
            <charset val="134"/>
          </rPr>
          <t xml:space="preserve">
</t>
        </r>
        <r>
          <rPr>
            <sz val="9"/>
            <color indexed="81"/>
            <rFont val="宋体"/>
            <family val="3"/>
            <charset val="134"/>
          </rPr>
          <t xml:space="preserve">
</t>
        </r>
      </text>
    </comment>
    <comment ref="K36" authorId="1">
      <text>
        <r>
          <rPr>
            <b/>
            <sz val="9"/>
            <color indexed="81"/>
            <rFont val="宋体"/>
            <family val="3"/>
            <charset val="134"/>
          </rPr>
          <t>权重验证</t>
        </r>
        <r>
          <rPr>
            <sz val="9"/>
            <color indexed="81"/>
            <rFont val="宋体"/>
            <family val="3"/>
            <charset val="134"/>
          </rPr>
          <t xml:space="preserve">
</t>
        </r>
      </text>
    </comment>
    <comment ref="C46" authorId="0">
      <text>
        <r>
          <rPr>
            <b/>
            <sz val="12"/>
            <color indexed="81"/>
            <rFont val="宋体"/>
            <family val="3"/>
            <charset val="134"/>
          </rPr>
          <t>价值时点所在月度</t>
        </r>
        <r>
          <rPr>
            <sz val="12"/>
            <color indexed="81"/>
            <rFont val="宋体"/>
            <family val="3"/>
            <charset val="134"/>
          </rPr>
          <t xml:space="preserve">
</t>
        </r>
      </text>
    </comment>
    <comment ref="B82" authorId="0">
      <text>
        <r>
          <rPr>
            <b/>
            <sz val="12"/>
            <color indexed="81"/>
            <rFont val="宋体"/>
            <family val="3"/>
            <charset val="134"/>
          </rPr>
          <t>所属项目品质或
物业管理</t>
        </r>
      </text>
    </comment>
    <comment ref="B86" authorId="0">
      <text>
        <r>
          <rPr>
            <b/>
            <sz val="12"/>
            <color indexed="81"/>
            <rFont val="宋体"/>
            <family val="3"/>
            <charset val="134"/>
          </rPr>
          <t>所属项目品质</t>
        </r>
      </text>
    </comment>
    <comment ref="B89" authorId="0">
      <text>
        <r>
          <rPr>
            <b/>
            <sz val="12"/>
            <color indexed="81"/>
            <rFont val="宋体"/>
            <family val="3"/>
            <charset val="134"/>
          </rPr>
          <t>已车位总价比较时不修正此项</t>
        </r>
        <r>
          <rPr>
            <sz val="9"/>
            <color indexed="81"/>
            <rFont val="宋体"/>
            <family val="3"/>
            <charset val="134"/>
          </rPr>
          <t xml:space="preserve">
</t>
        </r>
      </text>
    </comment>
  </commentList>
</comments>
</file>

<file path=xl/comments17.xml><?xml version="1.0" encoding="utf-8"?>
<comments xmlns="http://schemas.openxmlformats.org/spreadsheetml/2006/main">
  <authors>
    <author>崔锴</author>
    <author>USER</author>
  </authors>
  <commentList>
    <comment ref="K47" authorId="0">
      <text>
        <r>
          <rPr>
            <b/>
            <sz val="9"/>
            <color indexed="81"/>
            <rFont val="宋体"/>
            <family val="3"/>
            <charset val="134"/>
          </rPr>
          <t>权重验证</t>
        </r>
        <r>
          <rPr>
            <sz val="9"/>
            <color indexed="81"/>
            <rFont val="宋体"/>
            <family val="3"/>
            <charset val="134"/>
          </rPr>
          <t xml:space="preserve">
</t>
        </r>
      </text>
    </comment>
    <comment ref="C69" authorId="1">
      <text>
        <r>
          <rPr>
            <b/>
            <sz val="12"/>
            <color indexed="81"/>
            <rFont val="宋体"/>
            <family val="3"/>
            <charset val="134"/>
          </rPr>
          <t>价值时点所在季度</t>
        </r>
        <r>
          <rPr>
            <sz val="12"/>
            <color indexed="81"/>
            <rFont val="宋体"/>
            <family val="3"/>
            <charset val="134"/>
          </rPr>
          <t xml:space="preserve">
</t>
        </r>
      </text>
    </comment>
    <comment ref="B70" authorId="0">
      <text>
        <r>
          <rPr>
            <sz val="11"/>
            <color indexed="81"/>
            <rFont val="宋体"/>
            <family val="3"/>
            <charset val="134"/>
          </rPr>
          <t xml:space="preserve">北京市公示数据计算的平均涨幅
</t>
        </r>
      </text>
    </comment>
  </commentList>
</comments>
</file>

<file path=xl/comments18.xml><?xml version="1.0" encoding="utf-8"?>
<comments xmlns="http://schemas.openxmlformats.org/spreadsheetml/2006/main">
  <authors>
    <author>崔锴</author>
    <author>USER</author>
  </authors>
  <commentList>
    <comment ref="K42" authorId="0">
      <text>
        <r>
          <rPr>
            <b/>
            <sz val="9"/>
            <color indexed="81"/>
            <rFont val="宋体"/>
            <family val="3"/>
            <charset val="134"/>
          </rPr>
          <t>权重验证</t>
        </r>
        <r>
          <rPr>
            <sz val="9"/>
            <color indexed="81"/>
            <rFont val="宋体"/>
            <family val="3"/>
            <charset val="134"/>
          </rPr>
          <t xml:space="preserve">
</t>
        </r>
      </text>
    </comment>
    <comment ref="C65" authorId="1">
      <text>
        <r>
          <rPr>
            <b/>
            <sz val="12"/>
            <color indexed="81"/>
            <rFont val="宋体"/>
            <family val="3"/>
            <charset val="134"/>
          </rPr>
          <t>价值时点所在季度</t>
        </r>
        <r>
          <rPr>
            <sz val="12"/>
            <color indexed="81"/>
            <rFont val="宋体"/>
            <family val="3"/>
            <charset val="134"/>
          </rPr>
          <t xml:space="preserve">
</t>
        </r>
      </text>
    </comment>
    <comment ref="B66" authorId="0">
      <text>
        <r>
          <rPr>
            <sz val="11"/>
            <color indexed="81"/>
            <rFont val="宋体"/>
            <family val="3"/>
            <charset val="134"/>
          </rPr>
          <t>北京市公示数据计算的平均涨幅</t>
        </r>
        <r>
          <rPr>
            <sz val="9"/>
            <color indexed="81"/>
            <rFont val="宋体"/>
            <family val="3"/>
            <charset val="134"/>
          </rPr>
          <t xml:space="preserve">
</t>
        </r>
      </text>
    </comment>
  </commentList>
</comments>
</file>

<file path=xl/comments19.xml><?xml version="1.0" encoding="utf-8"?>
<comments xmlns="http://schemas.openxmlformats.org/spreadsheetml/2006/main">
  <authors>
    <author>Sky123.Org</author>
    <author>崔锴</author>
    <author>USER</author>
    <author>moqikay</author>
    <author>1-cuikai</author>
  </authors>
  <commentList>
    <comment ref="C6" authorId="0">
      <text>
        <r>
          <rPr>
            <b/>
            <sz val="9"/>
            <color indexed="81"/>
            <rFont val="宋体"/>
            <family val="3"/>
            <charset val="134"/>
          </rPr>
          <t>对应区片地价表</t>
        </r>
        <r>
          <rPr>
            <sz val="9"/>
            <color indexed="81"/>
            <rFont val="宋体"/>
            <family val="3"/>
            <charset val="134"/>
          </rPr>
          <t xml:space="preserve">
</t>
        </r>
      </text>
    </comment>
    <comment ref="Y9" authorId="1">
      <text>
        <r>
          <rPr>
            <sz val="11"/>
            <color indexed="81"/>
            <rFont val="宋体"/>
            <family val="3"/>
            <charset val="134"/>
          </rPr>
          <t xml:space="preserve">录入层数，将对应的结果录入至左侧相应层的楼层修正系数单元格中
</t>
        </r>
      </text>
    </comment>
    <comment ref="C16" authorId="1">
      <text>
        <r>
          <rPr>
            <sz val="12"/>
            <color indexed="81"/>
            <rFont val="宋体"/>
            <family val="3"/>
            <charset val="134"/>
          </rPr>
          <t>1.1~1.15</t>
        </r>
        <r>
          <rPr>
            <b/>
            <sz val="9"/>
            <color indexed="81"/>
            <rFont val="宋体"/>
            <family val="3"/>
            <charset val="134"/>
          </rPr>
          <t xml:space="preserve">
</t>
        </r>
        <r>
          <rPr>
            <sz val="9"/>
            <color indexed="81"/>
            <rFont val="宋体"/>
            <family val="3"/>
            <charset val="134"/>
          </rPr>
          <t xml:space="preserve">
</t>
        </r>
      </text>
    </comment>
    <comment ref="D16" authorId="1">
      <text>
        <r>
          <rPr>
            <sz val="12"/>
            <color indexed="81"/>
            <rFont val="宋体"/>
            <family val="3"/>
            <charset val="134"/>
          </rPr>
          <t>1.05~1.1</t>
        </r>
        <r>
          <rPr>
            <sz val="9"/>
            <color indexed="81"/>
            <rFont val="宋体"/>
            <family val="3"/>
            <charset val="134"/>
          </rPr>
          <t xml:space="preserve">
</t>
        </r>
      </text>
    </comment>
    <comment ref="E16" authorId="1">
      <text>
        <r>
          <rPr>
            <sz val="12"/>
            <color indexed="81"/>
            <rFont val="宋体"/>
            <family val="3"/>
            <charset val="134"/>
          </rPr>
          <t>＜500米，   1.1  ~ 1.15
500~1000米，1.05 ~ 1.1
1000~1500,  1.0  ~ 1.05</t>
        </r>
        <r>
          <rPr>
            <sz val="9"/>
            <color indexed="81"/>
            <rFont val="宋体"/>
            <family val="3"/>
            <charset val="134"/>
          </rPr>
          <t xml:space="preserve">
</t>
        </r>
      </text>
    </comment>
    <comment ref="D21" authorId="2">
      <text>
        <r>
          <rPr>
            <b/>
            <sz val="11"/>
            <color indexed="81"/>
            <rFont val="宋体"/>
            <family val="3"/>
            <charset val="134"/>
          </rPr>
          <t>七通：通路、通电、通讯、通上水、通下水、通燃气、通热。
五通：通路、通电、通讯、通上水、通下水</t>
        </r>
        <r>
          <rPr>
            <sz val="11"/>
            <color indexed="81"/>
            <rFont val="宋体"/>
            <family val="3"/>
            <charset val="134"/>
          </rPr>
          <t xml:space="preserve">
</t>
        </r>
      </text>
    </comment>
    <comment ref="J23" authorId="3">
      <text>
        <r>
          <rPr>
            <b/>
            <sz val="14"/>
            <color indexed="81"/>
            <rFont val="宋体"/>
            <family val="3"/>
            <charset val="134"/>
          </rPr>
          <t>工业选“中心城区”</t>
        </r>
        <r>
          <rPr>
            <sz val="9"/>
            <color indexed="81"/>
            <rFont val="宋体"/>
            <family val="3"/>
            <charset val="134"/>
          </rPr>
          <t xml:space="preserve">
</t>
        </r>
      </text>
    </comment>
    <comment ref="B35" authorId="4">
      <text>
        <r>
          <rPr>
            <sz val="9"/>
            <color indexed="81"/>
            <rFont val="宋体"/>
            <family val="3"/>
            <charset val="134"/>
          </rPr>
          <t xml:space="preserve">地下商业：地上主用途需选商业
地下办公：地上主用途需选办公
地下仓储及车库：按地上主用途计算
</t>
        </r>
      </text>
    </comment>
    <comment ref="G44" authorId="4">
      <text>
        <r>
          <rPr>
            <sz val="9"/>
            <color indexed="81"/>
            <rFont val="宋体"/>
            <family val="3"/>
            <charset val="134"/>
          </rPr>
          <t xml:space="preserve">需在此处填写剩余土地年限
</t>
        </r>
      </text>
    </comment>
    <comment ref="C111" authorId="0">
      <text>
        <r>
          <rPr>
            <b/>
            <sz val="9"/>
            <color indexed="81"/>
            <rFont val="宋体"/>
            <family val="3"/>
            <charset val="134"/>
          </rPr>
          <t xml:space="preserve">所在楼层
</t>
        </r>
        <r>
          <rPr>
            <sz val="9"/>
            <color indexed="81"/>
            <rFont val="宋体"/>
            <family val="3"/>
            <charset val="134"/>
          </rPr>
          <t xml:space="preserve">
</t>
        </r>
      </text>
    </comment>
    <comment ref="D111" authorId="0">
      <text>
        <r>
          <rPr>
            <b/>
            <sz val="9"/>
            <color indexed="81"/>
            <rFont val="宋体"/>
            <family val="3"/>
            <charset val="134"/>
          </rPr>
          <t xml:space="preserve">所在楼层
</t>
        </r>
        <r>
          <rPr>
            <sz val="9"/>
            <color indexed="81"/>
            <rFont val="宋体"/>
            <family val="3"/>
            <charset val="134"/>
          </rPr>
          <t xml:space="preserve">
</t>
        </r>
      </text>
    </comment>
    <comment ref="E111" authorId="0">
      <text>
        <r>
          <rPr>
            <b/>
            <sz val="9"/>
            <color indexed="81"/>
            <rFont val="宋体"/>
            <family val="3"/>
            <charset val="134"/>
          </rPr>
          <t xml:space="preserve">所在楼层
</t>
        </r>
        <r>
          <rPr>
            <sz val="9"/>
            <color indexed="81"/>
            <rFont val="宋体"/>
            <family val="3"/>
            <charset val="134"/>
          </rPr>
          <t xml:space="preserve">
</t>
        </r>
      </text>
    </comment>
    <comment ref="F111" authorId="0">
      <text>
        <r>
          <rPr>
            <b/>
            <sz val="9"/>
            <color indexed="81"/>
            <rFont val="宋体"/>
            <family val="3"/>
            <charset val="134"/>
          </rPr>
          <t xml:space="preserve">所在楼层
</t>
        </r>
        <r>
          <rPr>
            <sz val="9"/>
            <color indexed="81"/>
            <rFont val="宋体"/>
            <family val="3"/>
            <charset val="134"/>
          </rPr>
          <t xml:space="preserve">
</t>
        </r>
      </text>
    </comment>
    <comment ref="G111" authorId="0">
      <text>
        <r>
          <rPr>
            <b/>
            <sz val="9"/>
            <color indexed="81"/>
            <rFont val="宋体"/>
            <family val="3"/>
            <charset val="134"/>
          </rPr>
          <t xml:space="preserve">所在楼层
</t>
        </r>
        <r>
          <rPr>
            <sz val="9"/>
            <color indexed="81"/>
            <rFont val="宋体"/>
            <family val="3"/>
            <charset val="134"/>
          </rPr>
          <t xml:space="preserve">
</t>
        </r>
      </text>
    </comment>
    <comment ref="H111" authorId="0">
      <text>
        <r>
          <rPr>
            <b/>
            <sz val="9"/>
            <color indexed="81"/>
            <rFont val="宋体"/>
            <family val="3"/>
            <charset val="134"/>
          </rPr>
          <t xml:space="preserve">所在楼层
</t>
        </r>
        <r>
          <rPr>
            <sz val="9"/>
            <color indexed="81"/>
            <rFont val="宋体"/>
            <family val="3"/>
            <charset val="134"/>
          </rPr>
          <t xml:space="preserve">
</t>
        </r>
      </text>
    </comment>
    <comment ref="I111" authorId="0">
      <text>
        <r>
          <rPr>
            <b/>
            <sz val="9"/>
            <color indexed="81"/>
            <rFont val="宋体"/>
            <family val="3"/>
            <charset val="134"/>
          </rPr>
          <t xml:space="preserve">所在楼层
</t>
        </r>
        <r>
          <rPr>
            <sz val="9"/>
            <color indexed="81"/>
            <rFont val="宋体"/>
            <family val="3"/>
            <charset val="134"/>
          </rPr>
          <t xml:space="preserve">
</t>
        </r>
      </text>
    </comment>
    <comment ref="J111" authorId="0">
      <text>
        <r>
          <rPr>
            <b/>
            <sz val="9"/>
            <color indexed="81"/>
            <rFont val="宋体"/>
            <family val="3"/>
            <charset val="134"/>
          </rPr>
          <t xml:space="preserve">所在楼层
</t>
        </r>
        <r>
          <rPr>
            <sz val="9"/>
            <color indexed="81"/>
            <rFont val="宋体"/>
            <family val="3"/>
            <charset val="134"/>
          </rPr>
          <t xml:space="preserve">
</t>
        </r>
      </text>
    </comment>
    <comment ref="K111" authorId="0">
      <text>
        <r>
          <rPr>
            <b/>
            <sz val="9"/>
            <color indexed="81"/>
            <rFont val="宋体"/>
            <family val="3"/>
            <charset val="134"/>
          </rPr>
          <t xml:space="preserve">所在楼层
</t>
        </r>
        <r>
          <rPr>
            <sz val="9"/>
            <color indexed="81"/>
            <rFont val="宋体"/>
            <family val="3"/>
            <charset val="134"/>
          </rPr>
          <t xml:space="preserve">
</t>
        </r>
      </text>
    </comment>
    <comment ref="L111" authorId="0">
      <text>
        <r>
          <rPr>
            <b/>
            <sz val="9"/>
            <color indexed="81"/>
            <rFont val="宋体"/>
            <family val="3"/>
            <charset val="134"/>
          </rPr>
          <t xml:space="preserve">所在楼层
</t>
        </r>
        <r>
          <rPr>
            <sz val="9"/>
            <color indexed="81"/>
            <rFont val="宋体"/>
            <family val="3"/>
            <charset val="134"/>
          </rPr>
          <t xml:space="preserve">
</t>
        </r>
      </text>
    </comment>
    <comment ref="M111" authorId="0">
      <text>
        <r>
          <rPr>
            <b/>
            <sz val="9"/>
            <color indexed="81"/>
            <rFont val="宋体"/>
            <family val="3"/>
            <charset val="134"/>
          </rPr>
          <t xml:space="preserve">所在楼层
</t>
        </r>
        <r>
          <rPr>
            <sz val="9"/>
            <color indexed="81"/>
            <rFont val="宋体"/>
            <family val="3"/>
            <charset val="134"/>
          </rPr>
          <t xml:space="preserve">
</t>
        </r>
      </text>
    </comment>
    <comment ref="N111" authorId="0">
      <text>
        <r>
          <rPr>
            <b/>
            <sz val="9"/>
            <color indexed="81"/>
            <rFont val="宋体"/>
            <family val="3"/>
            <charset val="134"/>
          </rPr>
          <t xml:space="preserve">所在楼层
</t>
        </r>
        <r>
          <rPr>
            <sz val="9"/>
            <color indexed="81"/>
            <rFont val="宋体"/>
            <family val="3"/>
            <charset val="134"/>
          </rPr>
          <t xml:space="preserve">
</t>
        </r>
      </text>
    </comment>
    <comment ref="D116" authorId="0">
      <text>
        <r>
          <rPr>
            <b/>
            <sz val="9"/>
            <color indexed="81"/>
            <rFont val="宋体"/>
            <family val="3"/>
            <charset val="134"/>
          </rPr>
          <t>依用途、级别选择录入</t>
        </r>
        <r>
          <rPr>
            <sz val="9"/>
            <color indexed="81"/>
            <rFont val="宋体"/>
            <family val="3"/>
            <charset val="134"/>
          </rPr>
          <t xml:space="preserve">
</t>
        </r>
      </text>
    </comment>
  </commentList>
</comments>
</file>

<file path=xl/comments20.xml><?xml version="1.0" encoding="utf-8"?>
<comments xmlns="http://schemas.openxmlformats.org/spreadsheetml/2006/main">
  <authors>
    <author>USER</author>
  </authors>
  <commentList>
    <comment ref="B2" authorId="0">
      <text>
        <r>
          <rPr>
            <b/>
            <sz val="12"/>
            <color indexed="81"/>
            <rFont val="宋体"/>
            <family val="3"/>
            <charset val="134"/>
          </rPr>
          <t>或同用途建筑规模。
面积值自低至高排序</t>
        </r>
        <r>
          <rPr>
            <sz val="9"/>
            <color indexed="81"/>
            <rFont val="宋体"/>
            <family val="3"/>
            <charset val="134"/>
          </rPr>
          <t xml:space="preserve">
</t>
        </r>
      </text>
    </comment>
  </commentList>
</comments>
</file>

<file path=xl/comments21.xml><?xml version="1.0" encoding="utf-8"?>
<comments xmlns="http://schemas.openxmlformats.org/spreadsheetml/2006/main">
  <authors>
    <author>崔锴</author>
    <author>USER</author>
  </authors>
  <commentList>
    <comment ref="I52" authorId="0">
      <text>
        <r>
          <rPr>
            <sz val="11"/>
            <color indexed="81"/>
            <rFont val="宋体"/>
            <family val="3"/>
            <charset val="134"/>
          </rPr>
          <t>依据一般经验，应比建筑物资本化率高0.5%</t>
        </r>
        <r>
          <rPr>
            <sz val="9"/>
            <color indexed="81"/>
            <rFont val="宋体"/>
            <family val="3"/>
            <charset val="134"/>
          </rPr>
          <t xml:space="preserve">
</t>
        </r>
      </text>
    </comment>
    <comment ref="L52" authorId="0">
      <text>
        <r>
          <rPr>
            <sz val="10"/>
            <color indexed="81"/>
            <rFont val="宋体"/>
            <family val="3"/>
            <charset val="134"/>
          </rPr>
          <t>需注意，采用基准地价系数修正法中土地结果计算时，土地报酬率应采用该方法中报酬率（还原率）。</t>
        </r>
        <r>
          <rPr>
            <sz val="11"/>
            <color indexed="81"/>
            <rFont val="宋体"/>
            <family val="3"/>
            <charset val="134"/>
          </rPr>
          <t xml:space="preserve">
</t>
        </r>
      </text>
    </comment>
    <comment ref="L55" authorId="0">
      <text>
        <r>
          <rPr>
            <sz val="11"/>
            <color indexed="81"/>
            <rFont val="宋体"/>
            <family val="3"/>
            <charset val="134"/>
          </rPr>
          <t>采用租约时，尽量不选用收益还原法</t>
        </r>
        <r>
          <rPr>
            <sz val="9"/>
            <color indexed="81"/>
            <rFont val="宋体"/>
            <family val="3"/>
            <charset val="134"/>
          </rPr>
          <t xml:space="preserve">
</t>
        </r>
      </text>
    </comment>
    <comment ref="I56" authorId="0">
      <text>
        <r>
          <rPr>
            <sz val="11"/>
            <color indexed="81"/>
            <rFont val="宋体"/>
            <family val="3"/>
            <charset val="134"/>
          </rPr>
          <t>在建项目均选择“是”</t>
        </r>
      </text>
    </comment>
    <comment ref="F59" authorId="1">
      <text>
        <r>
          <rPr>
            <b/>
            <sz val="9"/>
            <color indexed="81"/>
            <rFont val="宋体"/>
            <family val="3"/>
            <charset val="134"/>
          </rPr>
          <t>个人房产计综合税率：个人住宅4.5%；个人非住宅，月租</t>
        </r>
        <r>
          <rPr>
            <b/>
            <sz val="9"/>
            <color indexed="81"/>
            <rFont val="宋体"/>
            <family val="3"/>
            <charset val="134"/>
          </rPr>
          <t>2万（含）以下的6%，2万以上的</t>
        </r>
        <r>
          <rPr>
            <b/>
            <sz val="9"/>
            <color indexed="81"/>
            <rFont val="宋体"/>
            <family val="3"/>
            <charset val="134"/>
          </rPr>
          <t>11%</t>
        </r>
        <r>
          <rPr>
            <sz val="9"/>
            <color indexed="81"/>
            <rFont val="宋体"/>
            <family val="3"/>
            <charset val="134"/>
          </rPr>
          <t xml:space="preserve">
</t>
        </r>
      </text>
    </comment>
    <comment ref="M59" authorId="0">
      <text>
        <r>
          <rPr>
            <sz val="10"/>
            <color indexed="81"/>
            <rFont val="宋体"/>
            <family val="3"/>
            <charset val="134"/>
          </rPr>
          <t xml:space="preserve">在建
</t>
        </r>
      </text>
    </comment>
    <comment ref="N59" authorId="0">
      <text>
        <r>
          <rPr>
            <sz val="10"/>
            <color indexed="81"/>
            <rFont val="宋体"/>
            <family val="3"/>
            <charset val="134"/>
          </rPr>
          <t xml:space="preserve">土地
</t>
        </r>
      </text>
    </comment>
  </commentList>
</comments>
</file>

<file path=xl/sharedStrings.xml><?xml version="1.0" encoding="utf-8"?>
<sst xmlns="http://schemas.openxmlformats.org/spreadsheetml/2006/main" count="8593" uniqueCount="3679">
  <si>
    <t>——</t>
    <phoneticPr fontId="3" type="noConversion"/>
  </si>
  <si>
    <t>——</t>
    <phoneticPr fontId="3" type="noConversion"/>
  </si>
  <si>
    <t>——</t>
    <phoneticPr fontId="3" type="noConversion"/>
  </si>
  <si>
    <t>工业</t>
  </si>
  <si>
    <t>1-2.1</t>
  </si>
  <si>
    <t>1-2.2</t>
  </si>
  <si>
    <t>1-2.3</t>
  </si>
  <si>
    <t>1-2.4</t>
  </si>
  <si>
    <t>1-3.1</t>
  </si>
  <si>
    <t>1-3.2</t>
  </si>
  <si>
    <t>1-3.3</t>
  </si>
  <si>
    <t>1-3.4</t>
    <phoneticPr fontId="16" type="noConversion"/>
  </si>
  <si>
    <t>v</t>
    <phoneticPr fontId="16" type="noConversion"/>
  </si>
  <si>
    <t>——</t>
    <phoneticPr fontId="16" type="noConversion"/>
  </si>
  <si>
    <t>100/</t>
    <phoneticPr fontId="3" type="noConversion"/>
  </si>
  <si>
    <t>——</t>
    <phoneticPr fontId="3" type="noConversion"/>
  </si>
  <si>
    <t>——</t>
    <phoneticPr fontId="3" type="noConversion"/>
  </si>
  <si>
    <t>100/</t>
    <phoneticPr fontId="3" type="noConversion"/>
  </si>
  <si>
    <t>100/</t>
    <phoneticPr fontId="3" type="noConversion"/>
  </si>
  <si>
    <t>——</t>
    <phoneticPr fontId="16" type="noConversion"/>
  </si>
  <si>
    <t>100/</t>
    <phoneticPr fontId="3" type="noConversion"/>
  </si>
  <si>
    <t>办公</t>
  </si>
  <si>
    <t>-</t>
    <phoneticPr fontId="30" type="noConversion"/>
  </si>
  <si>
    <t>-</t>
    <phoneticPr fontId="30" type="noConversion"/>
  </si>
  <si>
    <t>五级</t>
    <phoneticPr fontId="3" type="noConversion"/>
  </si>
  <si>
    <t>六级</t>
    <phoneticPr fontId="3" type="noConversion"/>
  </si>
  <si>
    <t>——</t>
    <phoneticPr fontId="37" type="noConversion"/>
  </si>
  <si>
    <t>——</t>
    <phoneticPr fontId="24" type="noConversion"/>
  </si>
  <si>
    <t>——</t>
    <phoneticPr fontId="8" type="noConversion"/>
  </si>
  <si>
    <t>六级</t>
  </si>
  <si>
    <r>
      <rPr>
        <sz val="10"/>
        <rFont val="楷体_GB2312"/>
        <family val="3"/>
        <charset val="134"/>
      </rPr>
      <t>土地取得税费</t>
    </r>
  </si>
  <si>
    <r>
      <rPr>
        <b/>
        <sz val="10"/>
        <rFont val="楷体_GB2312"/>
        <family val="3"/>
        <charset val="134"/>
      </rPr>
      <t>销售税费</t>
    </r>
  </si>
  <si>
    <r>
      <rPr>
        <sz val="10"/>
        <rFont val="楷体_GB2312"/>
        <family val="3"/>
        <charset val="134"/>
      </rPr>
      <t>建安费用</t>
    </r>
  </si>
  <si>
    <r>
      <rPr>
        <sz val="10"/>
        <rFont val="楷体_GB2312"/>
        <family val="3"/>
        <charset val="134"/>
      </rPr>
      <t>勘察设计和前期工程费</t>
    </r>
  </si>
  <si>
    <r>
      <rPr>
        <sz val="10"/>
        <rFont val="楷体_GB2312"/>
        <family val="3"/>
        <charset val="134"/>
      </rPr>
      <t>公共配套设施费用</t>
    </r>
  </si>
  <si>
    <r>
      <rPr>
        <sz val="10"/>
        <rFont val="楷体_GB2312"/>
        <family val="3"/>
        <charset val="134"/>
      </rPr>
      <t>以住宅用房建安费用为基数计取或直接等于公共配套建安费</t>
    </r>
  </si>
  <si>
    <r>
      <rPr>
        <sz val="10"/>
        <rFont val="楷体_GB2312"/>
        <family val="3"/>
        <charset val="134"/>
      </rPr>
      <t>相关税费</t>
    </r>
  </si>
  <si>
    <r>
      <rPr>
        <b/>
        <sz val="10"/>
        <rFont val="楷体_GB2312"/>
        <family val="3"/>
        <charset val="134"/>
      </rPr>
      <t>重置价值</t>
    </r>
    <r>
      <rPr>
        <b/>
        <sz val="10"/>
        <rFont val="Arial"/>
        <family val="2"/>
      </rPr>
      <t>×</t>
    </r>
    <r>
      <rPr>
        <b/>
        <sz val="10"/>
        <rFont val="楷体_GB2312"/>
        <family val="3"/>
        <charset val="134"/>
      </rPr>
      <t>成新率</t>
    </r>
    <phoneticPr fontId="16" type="noConversion"/>
  </si>
  <si>
    <r>
      <t>3.</t>
    </r>
    <r>
      <rPr>
        <b/>
        <sz val="12"/>
        <rFont val="楷体_GB2312"/>
        <family val="3"/>
        <charset val="134"/>
      </rPr>
      <t>成本价值</t>
    </r>
    <phoneticPr fontId="16" type="noConversion"/>
  </si>
  <si>
    <r>
      <rPr>
        <b/>
        <sz val="10"/>
        <color indexed="10"/>
        <rFont val="楷体_GB2312"/>
        <family val="3"/>
        <charset val="134"/>
      </rPr>
      <t>成本比率</t>
    </r>
    <phoneticPr fontId="3" type="noConversion"/>
  </si>
  <si>
    <r>
      <rPr>
        <sz val="10"/>
        <color indexed="8"/>
        <rFont val="楷体_GB2312"/>
        <family val="3"/>
        <charset val="134"/>
      </rPr>
      <t>建筑物价值比率</t>
    </r>
    <phoneticPr fontId="3" type="noConversion"/>
  </si>
  <si>
    <r>
      <rPr>
        <sz val="10"/>
        <color indexed="8"/>
        <rFont val="楷体_GB2312"/>
        <family val="3"/>
        <charset val="134"/>
      </rPr>
      <t>土地价值比率</t>
    </r>
    <phoneticPr fontId="3" type="noConversion"/>
  </si>
  <si>
    <t>项目基本情况</t>
    <phoneticPr fontId="3" type="noConversion"/>
  </si>
  <si>
    <t>——</t>
  </si>
  <si>
    <t>用途类型</t>
    <phoneticPr fontId="16" type="noConversion"/>
  </si>
  <si>
    <t>红色字体</t>
    <phoneticPr fontId="33" type="noConversion"/>
  </si>
  <si>
    <t>下拉菜单</t>
  </si>
  <si>
    <t>错误提示</t>
    <phoneticPr fontId="33" type="noConversion"/>
  </si>
  <si>
    <t>特别提示</t>
    <phoneticPr fontId="33" type="noConversion"/>
  </si>
  <si>
    <t>需要新增方法表时，请右键点击所选方法标签，选择‘移动或复制’，勾选建立副本，以保证公示链接无误</t>
    <phoneticPr fontId="33" type="noConversion"/>
  </si>
  <si>
    <t>1.该表需录入项目全部面积数据以及未进入估价范围的面积值，抵押物面积为计算得出，位于整表的右侧。建筑面积按经营性用途和非经营性用途进行设置</t>
    <phoneticPr fontId="3" type="noConversion"/>
  </si>
  <si>
    <t>2.在抵押物范围的先录,以便核对</t>
    <phoneticPr fontId="3" type="noConversion"/>
  </si>
  <si>
    <t>3.面积录入中允许存在不能从来源文件中直接摘录的数据，但应列出计算公式并批注，如地上公共配套含自行车库100、有线电视50、锅炉房50，则单元格中应录入“=100+50+50”。扣减值设置有单元格进行说明，所以无需批注。</t>
    <phoneticPr fontId="3" type="noConversion"/>
  </si>
  <si>
    <t>4.未注明用途的计入非经营性用途——"未注明"一项，单独录入，计算时按设备用房处理</t>
    <phoneticPr fontId="3" type="noConversion"/>
  </si>
  <si>
    <t>5.面积依据不同时，以每部分取得的最新数据文件为依据。</t>
    <phoneticPr fontId="3" type="noConversion"/>
  </si>
  <si>
    <t>录入项</t>
    <phoneticPr fontId="3" type="noConversion"/>
  </si>
  <si>
    <r>
      <rPr>
        <b/>
        <sz val="16"/>
        <color indexed="10"/>
        <rFont val="楷体_GB2312"/>
        <family val="3"/>
        <charset val="134"/>
      </rPr>
      <t>成本法</t>
    </r>
    <phoneticPr fontId="16" type="noConversion"/>
  </si>
  <si>
    <r>
      <rPr>
        <b/>
        <sz val="12"/>
        <rFont val="楷体_GB2312"/>
        <family val="3"/>
        <charset val="134"/>
      </rPr>
      <t>总价</t>
    </r>
    <phoneticPr fontId="18" type="noConversion"/>
  </si>
  <si>
    <r>
      <rPr>
        <b/>
        <sz val="12"/>
        <rFont val="楷体_GB2312"/>
        <family val="3"/>
        <charset val="134"/>
      </rPr>
      <t>楼面单价</t>
    </r>
    <phoneticPr fontId="18" type="noConversion"/>
  </si>
  <si>
    <r>
      <t>1.</t>
    </r>
    <r>
      <rPr>
        <b/>
        <sz val="12"/>
        <rFont val="楷体_GB2312"/>
        <family val="3"/>
        <charset val="134"/>
      </rPr>
      <t>土地价值</t>
    </r>
    <phoneticPr fontId="16" type="noConversion"/>
  </si>
  <si>
    <r>
      <rPr>
        <b/>
        <sz val="10"/>
        <rFont val="楷体_GB2312"/>
        <family val="3"/>
        <charset val="134"/>
      </rPr>
      <t>土地取得成本</t>
    </r>
    <phoneticPr fontId="16" type="noConversion"/>
  </si>
  <si>
    <r>
      <rPr>
        <b/>
        <sz val="10"/>
        <rFont val="楷体_GB2312"/>
        <family val="3"/>
        <charset val="134"/>
      </rPr>
      <t>面积</t>
    </r>
    <phoneticPr fontId="16" type="noConversion"/>
  </si>
  <si>
    <r>
      <rPr>
        <b/>
        <sz val="10"/>
        <rFont val="楷体_GB2312"/>
        <family val="3"/>
        <charset val="134"/>
      </rPr>
      <t>单价</t>
    </r>
    <phoneticPr fontId="16" type="noConversion"/>
  </si>
  <si>
    <r>
      <rPr>
        <b/>
        <sz val="10"/>
        <rFont val="楷体_GB2312"/>
        <family val="3"/>
        <charset val="134"/>
      </rPr>
      <t>系数</t>
    </r>
    <phoneticPr fontId="16" type="noConversion"/>
  </si>
  <si>
    <r>
      <rPr>
        <sz val="10"/>
        <rFont val="楷体_GB2312"/>
        <family val="3"/>
        <charset val="134"/>
      </rPr>
      <t>土地购买价格</t>
    </r>
    <phoneticPr fontId="18" type="noConversion"/>
  </si>
  <si>
    <r>
      <rPr>
        <sz val="10"/>
        <rFont val="楷体_GB2312"/>
        <family val="3"/>
        <charset val="134"/>
      </rPr>
      <t>城市基础设施建设费（行政收费）</t>
    </r>
    <phoneticPr fontId="16" type="noConversion"/>
  </si>
  <si>
    <r>
      <rPr>
        <i/>
        <sz val="10"/>
        <rFont val="楷体_GB2312"/>
        <family val="3"/>
        <charset val="134"/>
      </rPr>
      <t>住宅</t>
    </r>
    <phoneticPr fontId="16" type="noConversion"/>
  </si>
  <si>
    <r>
      <rPr>
        <i/>
        <sz val="10"/>
        <rFont val="楷体_GB2312"/>
        <family val="3"/>
        <charset val="134"/>
      </rPr>
      <t>非住宅</t>
    </r>
    <phoneticPr fontId="16" type="noConversion"/>
  </si>
  <si>
    <r>
      <rPr>
        <sz val="10"/>
        <rFont val="楷体_GB2312"/>
        <family val="3"/>
        <charset val="134"/>
      </rPr>
      <t>土地使用权出让金</t>
    </r>
    <phoneticPr fontId="16" type="noConversion"/>
  </si>
  <si>
    <r>
      <rPr>
        <sz val="10"/>
        <rFont val="楷体_GB2312"/>
        <family val="3"/>
        <charset val="134"/>
      </rPr>
      <t>相关税费</t>
    </r>
    <phoneticPr fontId="16" type="noConversion"/>
  </si>
  <si>
    <r>
      <rPr>
        <sz val="10"/>
        <rFont val="楷体_GB2312"/>
        <family val="3"/>
        <charset val="134"/>
      </rPr>
      <t>征地补偿安置费及其相关税费</t>
    </r>
    <phoneticPr fontId="16" type="noConversion"/>
  </si>
  <si>
    <r>
      <rPr>
        <sz val="10"/>
        <rFont val="楷体_GB2312"/>
        <family val="3"/>
        <charset val="134"/>
      </rPr>
      <t>以建筑面积为计算基数，按各区发文标准</t>
    </r>
    <phoneticPr fontId="16" type="noConversion"/>
  </si>
  <si>
    <r>
      <rPr>
        <sz val="10"/>
        <rFont val="楷体_GB2312"/>
        <family val="3"/>
        <charset val="134"/>
      </rPr>
      <t>出让金</t>
    </r>
    <phoneticPr fontId="16" type="noConversion"/>
  </si>
  <si>
    <r>
      <rPr>
        <sz val="10"/>
        <rFont val="楷体_GB2312"/>
        <family val="3"/>
        <charset val="134"/>
      </rPr>
      <t>采用比较法求取</t>
    </r>
    <phoneticPr fontId="16" type="noConversion"/>
  </si>
  <si>
    <r>
      <rPr>
        <sz val="10"/>
        <rFont val="楷体_GB2312"/>
        <family val="3"/>
        <charset val="134"/>
      </rPr>
      <t>开发补偿费用</t>
    </r>
    <phoneticPr fontId="16" type="noConversion"/>
  </si>
  <si>
    <r>
      <rPr>
        <sz val="10"/>
        <rFont val="楷体_GB2312"/>
        <family val="3"/>
        <charset val="134"/>
      </rPr>
      <t>契税及印花税</t>
    </r>
    <phoneticPr fontId="16" type="noConversion"/>
  </si>
  <si>
    <r>
      <rPr>
        <sz val="10"/>
        <rFont val="楷体_GB2312"/>
        <family val="3"/>
        <charset val="134"/>
      </rPr>
      <t>以上述三项为基数计算</t>
    </r>
    <phoneticPr fontId="16" type="noConversion"/>
  </si>
  <si>
    <r>
      <rPr>
        <b/>
        <sz val="10"/>
        <rFont val="楷体_GB2312"/>
        <family val="3"/>
        <charset val="134"/>
      </rPr>
      <t>管理费用</t>
    </r>
    <phoneticPr fontId="16" type="noConversion"/>
  </si>
  <si>
    <r>
      <rPr>
        <b/>
        <sz val="10"/>
        <rFont val="楷体_GB2312"/>
        <family val="3"/>
        <charset val="134"/>
      </rPr>
      <t>销售费用</t>
    </r>
    <phoneticPr fontId="16" type="noConversion"/>
  </si>
  <si>
    <r>
      <rPr>
        <b/>
        <sz val="10"/>
        <rFont val="楷体_GB2312"/>
        <family val="3"/>
        <charset val="134"/>
      </rPr>
      <t>以土地价值为基数</t>
    </r>
    <phoneticPr fontId="16" type="noConversion"/>
  </si>
  <si>
    <r>
      <rPr>
        <b/>
        <sz val="10"/>
        <rFont val="楷体_GB2312"/>
        <family val="3"/>
        <charset val="134"/>
      </rPr>
      <t>贷款利息</t>
    </r>
    <phoneticPr fontId="16" type="noConversion"/>
  </si>
  <si>
    <r>
      <rPr>
        <sz val="10"/>
        <rFont val="楷体_GB2312"/>
        <family val="3"/>
        <charset val="134"/>
      </rPr>
      <t>计项目已运行全期</t>
    </r>
    <phoneticPr fontId="16" type="noConversion"/>
  </si>
  <si>
    <r>
      <rPr>
        <sz val="10"/>
        <rFont val="楷体_GB2312"/>
        <family val="3"/>
        <charset val="134"/>
      </rPr>
      <t>土地开发期均匀投入、已建工期计全期</t>
    </r>
    <phoneticPr fontId="16" type="noConversion"/>
  </si>
  <si>
    <r>
      <rPr>
        <sz val="10"/>
        <rFont val="楷体_GB2312"/>
        <family val="3"/>
        <charset val="134"/>
      </rPr>
      <t>管理费用及销售费用于项目已运行期内均匀投入</t>
    </r>
    <phoneticPr fontId="16" type="noConversion"/>
  </si>
  <si>
    <r>
      <rPr>
        <b/>
        <sz val="10"/>
        <rFont val="楷体_GB2312"/>
        <family val="3"/>
        <charset val="134"/>
      </rPr>
      <t>土地开发费用</t>
    </r>
    <r>
      <rPr>
        <b/>
        <sz val="10"/>
        <rFont val="Arial"/>
        <family val="2"/>
      </rPr>
      <t>-</t>
    </r>
    <r>
      <rPr>
        <b/>
        <sz val="10"/>
        <rFont val="楷体_GB2312"/>
        <family val="3"/>
        <charset val="134"/>
      </rPr>
      <t>红线外（现状）</t>
    </r>
    <phoneticPr fontId="16" type="noConversion"/>
  </si>
  <si>
    <r>
      <rPr>
        <b/>
        <sz val="10"/>
        <rFont val="楷体_GB2312"/>
        <family val="3"/>
        <charset val="134"/>
      </rPr>
      <t>利润</t>
    </r>
    <phoneticPr fontId="16" type="noConversion"/>
  </si>
  <si>
    <r>
      <rPr>
        <b/>
        <sz val="10"/>
        <rFont val="楷体_GB2312"/>
        <family val="3"/>
        <charset val="134"/>
      </rPr>
      <t>以房地产价值为基数</t>
    </r>
    <phoneticPr fontId="16" type="noConversion"/>
  </si>
  <si>
    <r>
      <t>2.</t>
    </r>
    <r>
      <rPr>
        <b/>
        <sz val="12"/>
        <rFont val="楷体_GB2312"/>
        <family val="3"/>
        <charset val="134"/>
      </rPr>
      <t>建筑物</t>
    </r>
    <r>
      <rPr>
        <b/>
        <sz val="12"/>
        <rFont val="Arial"/>
        <family val="2"/>
      </rPr>
      <t>/</t>
    </r>
    <r>
      <rPr>
        <b/>
        <sz val="12"/>
        <rFont val="楷体_GB2312"/>
        <family val="3"/>
        <charset val="134"/>
      </rPr>
      <t>在建工程价值</t>
    </r>
    <phoneticPr fontId="16" type="noConversion"/>
  </si>
  <si>
    <r>
      <rPr>
        <b/>
        <sz val="10"/>
        <rFont val="楷体_GB2312"/>
        <family val="3"/>
        <charset val="134"/>
      </rPr>
      <t>建筑物建造</t>
    </r>
    <r>
      <rPr>
        <b/>
        <sz val="10"/>
        <rFont val="Arial"/>
        <family val="2"/>
      </rPr>
      <t>/</t>
    </r>
    <r>
      <rPr>
        <b/>
        <sz val="10"/>
        <rFont val="楷体_GB2312"/>
        <family val="3"/>
        <charset val="134"/>
      </rPr>
      <t>已建成本</t>
    </r>
    <phoneticPr fontId="16" type="noConversion"/>
  </si>
  <si>
    <r>
      <rPr>
        <sz val="10"/>
        <rFont val="楷体_GB2312"/>
        <family val="3"/>
        <charset val="134"/>
      </rPr>
      <t>现房</t>
    </r>
    <r>
      <rPr>
        <sz val="10"/>
        <rFont val="Arial"/>
        <family val="2"/>
      </rPr>
      <t>100%</t>
    </r>
    <r>
      <rPr>
        <sz val="10"/>
        <rFont val="楷体_GB2312"/>
        <family val="3"/>
        <charset val="134"/>
      </rPr>
      <t>；在建为综合进度</t>
    </r>
    <phoneticPr fontId="16" type="noConversion"/>
  </si>
  <si>
    <r>
      <rPr>
        <sz val="10"/>
        <rFont val="楷体_GB2312"/>
        <family val="3"/>
        <charset val="134"/>
      </rPr>
      <t>以建安费用为基数计取</t>
    </r>
    <phoneticPr fontId="16" type="noConversion"/>
  </si>
  <si>
    <r>
      <rPr>
        <sz val="10"/>
        <rFont val="楷体_GB2312"/>
        <family val="3"/>
        <charset val="134"/>
      </rPr>
      <t>红线内市政费用</t>
    </r>
    <phoneticPr fontId="16" type="noConversion"/>
  </si>
  <si>
    <r>
      <rPr>
        <sz val="10"/>
        <rFont val="楷体_GB2312"/>
        <family val="3"/>
        <charset val="134"/>
      </rPr>
      <t>按工程进度计取或按实际情况计取</t>
    </r>
    <phoneticPr fontId="16" type="noConversion"/>
  </si>
  <si>
    <r>
      <rPr>
        <b/>
        <sz val="10"/>
        <rFont val="楷体_GB2312"/>
        <family val="3"/>
        <charset val="134"/>
      </rPr>
      <t>以</t>
    </r>
    <r>
      <rPr>
        <b/>
        <sz val="10"/>
        <rFont val="Arial"/>
        <family val="2"/>
      </rPr>
      <t>V</t>
    </r>
    <r>
      <rPr>
        <b/>
        <sz val="10"/>
        <rFont val="楷体_GB2312"/>
        <family val="3"/>
        <charset val="134"/>
      </rPr>
      <t>建为基数</t>
    </r>
    <phoneticPr fontId="16" type="noConversion"/>
  </si>
  <si>
    <r>
      <rPr>
        <sz val="10"/>
        <rFont val="楷体_GB2312"/>
        <family val="3"/>
        <charset val="134"/>
      </rPr>
      <t>已建工期均匀投入</t>
    </r>
    <phoneticPr fontId="16" type="noConversion"/>
  </si>
  <si>
    <r>
      <rPr>
        <b/>
        <sz val="10"/>
        <rFont val="楷体_GB2312"/>
        <family val="3"/>
        <charset val="134"/>
      </rPr>
      <t>销售税费</t>
    </r>
    <phoneticPr fontId="16" type="noConversion"/>
  </si>
  <si>
    <r>
      <rPr>
        <b/>
        <sz val="10"/>
        <rFont val="楷体_GB2312"/>
        <family val="3"/>
        <charset val="134"/>
      </rPr>
      <t>以成本价值为基数</t>
    </r>
    <phoneticPr fontId="16" type="noConversion"/>
  </si>
  <si>
    <r>
      <rPr>
        <b/>
        <sz val="10"/>
        <rFont val="楷体_GB2312"/>
        <family val="3"/>
        <charset val="134"/>
      </rPr>
      <t>成新率</t>
    </r>
    <phoneticPr fontId="16" type="noConversion"/>
  </si>
  <si>
    <r>
      <rPr>
        <b/>
        <sz val="10"/>
        <rFont val="楷体_GB2312"/>
        <family val="3"/>
        <charset val="134"/>
      </rPr>
      <t>现房为成新率，在建依实际情况（停工）记取</t>
    </r>
    <phoneticPr fontId="18" type="noConversion"/>
  </si>
  <si>
    <r>
      <t>V</t>
    </r>
    <r>
      <rPr>
        <b/>
        <vertAlign val="subscript"/>
        <sz val="10"/>
        <rFont val="楷体_GB2312"/>
        <family val="3"/>
        <charset val="134"/>
      </rPr>
      <t>土</t>
    </r>
    <phoneticPr fontId="16" type="noConversion"/>
  </si>
  <si>
    <r>
      <t>V</t>
    </r>
    <r>
      <rPr>
        <b/>
        <vertAlign val="subscript"/>
        <sz val="10"/>
        <rFont val="楷体_GB2312"/>
        <family val="3"/>
        <charset val="134"/>
      </rPr>
      <t>土</t>
    </r>
    <r>
      <rPr>
        <b/>
        <sz val="10"/>
        <rFont val="Arial"/>
        <family val="2"/>
      </rPr>
      <t>/(1+5%)</t>
    </r>
    <phoneticPr fontId="16" type="noConversion"/>
  </si>
  <si>
    <r>
      <rPr>
        <b/>
        <sz val="10"/>
        <rFont val="楷体_GB2312"/>
        <family val="3"/>
        <charset val="134"/>
      </rPr>
      <t>土地价值</t>
    </r>
    <r>
      <rPr>
        <b/>
        <sz val="10"/>
        <rFont val="Arial"/>
        <family val="2"/>
      </rPr>
      <t>(V</t>
    </r>
    <r>
      <rPr>
        <b/>
        <vertAlign val="subscript"/>
        <sz val="10"/>
        <rFont val="楷体_GB2312"/>
        <family val="3"/>
        <charset val="134"/>
      </rPr>
      <t>土</t>
    </r>
    <r>
      <rPr>
        <b/>
        <sz val="10"/>
        <rFont val="Arial"/>
        <family val="2"/>
      </rPr>
      <t>)</t>
    </r>
    <phoneticPr fontId="16" type="noConversion"/>
  </si>
  <si>
    <r>
      <t>V</t>
    </r>
    <r>
      <rPr>
        <b/>
        <vertAlign val="subscript"/>
        <sz val="10"/>
        <rFont val="楷体_GB2312"/>
        <family val="3"/>
        <charset val="134"/>
      </rPr>
      <t>建</t>
    </r>
    <phoneticPr fontId="16" type="noConversion"/>
  </si>
  <si>
    <r>
      <t>V</t>
    </r>
    <r>
      <rPr>
        <b/>
        <vertAlign val="subscript"/>
        <sz val="10"/>
        <rFont val="楷体_GB2312"/>
        <family val="3"/>
        <charset val="134"/>
      </rPr>
      <t>建</t>
    </r>
    <r>
      <rPr>
        <b/>
        <sz val="10"/>
        <rFont val="Arial"/>
        <family val="2"/>
      </rPr>
      <t>/(1+5%)</t>
    </r>
    <phoneticPr fontId="16" type="noConversion"/>
  </si>
  <si>
    <r>
      <rPr>
        <b/>
        <sz val="10"/>
        <rFont val="楷体_GB2312"/>
        <family val="3"/>
        <charset val="134"/>
      </rPr>
      <t>建筑物</t>
    </r>
    <r>
      <rPr>
        <b/>
        <sz val="10"/>
        <rFont val="Arial"/>
        <family val="2"/>
      </rPr>
      <t>/</t>
    </r>
    <r>
      <rPr>
        <b/>
        <sz val="10"/>
        <rFont val="楷体_GB2312"/>
        <family val="3"/>
        <charset val="134"/>
      </rPr>
      <t>在建工程重置价值（</t>
    </r>
    <r>
      <rPr>
        <b/>
        <sz val="10"/>
        <rFont val="Arial"/>
        <family val="2"/>
      </rPr>
      <t>V</t>
    </r>
    <r>
      <rPr>
        <b/>
        <vertAlign val="subscript"/>
        <sz val="10"/>
        <rFont val="宋体"/>
        <family val="3"/>
        <charset val="134"/>
      </rPr>
      <t>建1</t>
    </r>
    <r>
      <rPr>
        <b/>
        <sz val="10"/>
        <rFont val="楷体_GB2312"/>
        <family val="3"/>
        <charset val="134"/>
      </rPr>
      <t>）</t>
    </r>
    <phoneticPr fontId="16" type="noConversion"/>
  </si>
  <si>
    <r>
      <rPr>
        <b/>
        <sz val="10"/>
        <rFont val="楷体_GB2312"/>
        <family val="3"/>
        <charset val="134"/>
      </rPr>
      <t>建筑物</t>
    </r>
    <r>
      <rPr>
        <b/>
        <sz val="10"/>
        <rFont val="Arial"/>
        <family val="2"/>
      </rPr>
      <t>/</t>
    </r>
    <r>
      <rPr>
        <b/>
        <sz val="10"/>
        <rFont val="楷体_GB2312"/>
        <family val="3"/>
        <charset val="134"/>
      </rPr>
      <t>在建工程价值（</t>
    </r>
    <r>
      <rPr>
        <b/>
        <sz val="10"/>
        <rFont val="Arial"/>
        <family val="2"/>
      </rPr>
      <t>V</t>
    </r>
    <r>
      <rPr>
        <b/>
        <vertAlign val="subscript"/>
        <sz val="10"/>
        <rFont val="宋体"/>
        <family val="3"/>
        <charset val="134"/>
      </rPr>
      <t>建2</t>
    </r>
    <r>
      <rPr>
        <b/>
        <sz val="10"/>
        <rFont val="楷体_GB2312"/>
        <family val="3"/>
        <charset val="134"/>
      </rPr>
      <t>）</t>
    </r>
    <phoneticPr fontId="16" type="noConversion"/>
  </si>
  <si>
    <t>万元</t>
    <phoneticPr fontId="18" type="noConversion"/>
  </si>
  <si>
    <t>元/平方米</t>
    <phoneticPr fontId="18" type="noConversion"/>
  </si>
  <si>
    <t>锁定项</t>
    <phoneticPr fontId="3" type="noConversion"/>
  </si>
  <si>
    <t>定义</t>
    <phoneticPr fontId="3" type="noConversion"/>
  </si>
  <si>
    <t>四级</t>
  </si>
  <si>
    <t>Ⅱ—03</t>
  </si>
  <si>
    <t>A1</t>
    <phoneticPr fontId="3" type="noConversion"/>
  </si>
  <si>
    <t>A2</t>
  </si>
  <si>
    <t>A3</t>
  </si>
  <si>
    <t>A4</t>
  </si>
  <si>
    <t>2016-2</t>
  </si>
  <si>
    <t>2014-1</t>
  </si>
  <si>
    <t>2014-2</t>
  </si>
  <si>
    <t>2014-3</t>
  </si>
  <si>
    <t>2014-4</t>
  </si>
  <si>
    <t>2015-1</t>
  </si>
  <si>
    <t>2015-2</t>
  </si>
  <si>
    <t>2015-3</t>
  </si>
  <si>
    <t>2015-4</t>
  </si>
  <si>
    <t>2016-1</t>
  </si>
  <si>
    <t>2016-3</t>
  </si>
  <si>
    <t>2016-4</t>
  </si>
  <si>
    <t>Ⅱ—02</t>
  </si>
  <si>
    <t>Ⅲ—02</t>
  </si>
  <si>
    <t>Ⅳ-02</t>
  </si>
  <si>
    <t>Ⅴ-02</t>
  </si>
  <si>
    <t>Ⅵ-02</t>
  </si>
  <si>
    <t>Ⅶ-02</t>
  </si>
  <si>
    <t>Ⅷ-02</t>
  </si>
  <si>
    <t>Ⅸ-02</t>
  </si>
  <si>
    <t>Ⅹ-02</t>
  </si>
  <si>
    <t>Ⅰ—03</t>
  </si>
  <si>
    <t>Ⅲ—03</t>
  </si>
  <si>
    <t>Ⅳ-03</t>
  </si>
  <si>
    <t>Ⅴ-03</t>
  </si>
  <si>
    <t>Ⅵ-03</t>
  </si>
  <si>
    <t>Ⅶ-03</t>
  </si>
  <si>
    <t>Ⅷ-03</t>
  </si>
  <si>
    <t>一级</t>
  </si>
  <si>
    <t>Ⅰ—04</t>
  </si>
  <si>
    <t>Ⅱ—04</t>
  </si>
  <si>
    <t>Ⅲ—04</t>
  </si>
  <si>
    <t>Ⅳ-04</t>
  </si>
  <si>
    <t>Ⅴ-04</t>
  </si>
  <si>
    <t>Ⅵ-04</t>
  </si>
  <si>
    <t>Ⅶ-04</t>
  </si>
  <si>
    <t>Ⅷ-04</t>
  </si>
  <si>
    <t>Ⅺ-房2</t>
  </si>
  <si>
    <t>Ⅰ—05</t>
  </si>
  <si>
    <t>Ⅱ—05</t>
  </si>
  <si>
    <t>Ⅲ—05</t>
  </si>
  <si>
    <t>Ⅳ-05</t>
  </si>
  <si>
    <t>Ⅴ-05</t>
  </si>
  <si>
    <t>Ⅵ-05</t>
  </si>
  <si>
    <t>Ⅶ-05</t>
  </si>
  <si>
    <t>Ⅹ-房2</t>
  </si>
  <si>
    <t>Ⅱ—06</t>
  </si>
  <si>
    <t>Ⅲ—06</t>
  </si>
  <si>
    <t>Ⅳ-06</t>
  </si>
  <si>
    <t>Ⅴ-06</t>
  </si>
  <si>
    <t>Ⅵ-06</t>
  </si>
  <si>
    <t>Ⅶ-06</t>
  </si>
  <si>
    <t>Ⅱ—07</t>
  </si>
  <si>
    <t>Ⅲ—07</t>
  </si>
  <si>
    <t>Ⅳ-07</t>
  </si>
  <si>
    <t>Ⅴ-07</t>
  </si>
  <si>
    <t>Ⅵ-07</t>
  </si>
  <si>
    <t>Ⅶ-07</t>
  </si>
  <si>
    <t>Ⅸ-房2</t>
  </si>
  <si>
    <t>Ⅱ—08</t>
  </si>
  <si>
    <t>Ⅲ—08</t>
  </si>
  <si>
    <t>Ⅳ-08</t>
  </si>
  <si>
    <t>Ⅴ-08</t>
  </si>
  <si>
    <t>Ⅵ-08</t>
  </si>
  <si>
    <t>Ⅶ-08</t>
  </si>
  <si>
    <t>Ⅷ-房2</t>
  </si>
  <si>
    <t>Ⅸ-房3</t>
  </si>
  <si>
    <t>Ⅹ-顺2</t>
  </si>
  <si>
    <t>二级</t>
  </si>
  <si>
    <t>Ⅱ—09</t>
  </si>
  <si>
    <t>Ⅲ—09</t>
  </si>
  <si>
    <t>Ⅳ-09</t>
  </si>
  <si>
    <t>Ⅴ-09</t>
  </si>
  <si>
    <t>Ⅵ-09</t>
  </si>
  <si>
    <t>Ⅶ-09</t>
  </si>
  <si>
    <t>Ⅷ-房3</t>
  </si>
  <si>
    <t>Ⅸ-房4</t>
  </si>
  <si>
    <t>Ⅹ-顺3</t>
  </si>
  <si>
    <t>Ⅱ—10</t>
  </si>
  <si>
    <t>Ⅲ—10</t>
  </si>
  <si>
    <t>Ⅳ-10</t>
  </si>
  <si>
    <t>Ⅴ-10</t>
  </si>
  <si>
    <t>Ⅵ-10</t>
  </si>
  <si>
    <t>Ⅸ-房5</t>
  </si>
  <si>
    <t>Ⅺ-昌2</t>
  </si>
  <si>
    <t>Ⅱ—11</t>
  </si>
  <si>
    <t>Ⅲ—11</t>
  </si>
  <si>
    <t>Ⅳ-11</t>
  </si>
  <si>
    <t>Ⅴ-11</t>
  </si>
  <si>
    <t>Ⅵ-11</t>
  </si>
  <si>
    <t>Ⅷ-通2</t>
  </si>
  <si>
    <t>Ⅹ-兴2</t>
  </si>
  <si>
    <t>Ⅱ—12</t>
  </si>
  <si>
    <t>Ⅲ—12</t>
  </si>
  <si>
    <t>Ⅳ-12</t>
  </si>
  <si>
    <t>Ⅴ-12</t>
  </si>
  <si>
    <t>Ⅵ-12</t>
  </si>
  <si>
    <t>Ⅷ-通3</t>
  </si>
  <si>
    <t>Ⅺ-平2</t>
  </si>
  <si>
    <t>Ⅲ—13</t>
  </si>
  <si>
    <t>Ⅳ-13</t>
  </si>
  <si>
    <t>Ⅴ-13</t>
  </si>
  <si>
    <t>Ⅵ-13</t>
  </si>
  <si>
    <t>Ⅸ-通2</t>
  </si>
  <si>
    <t>Ⅹ-昌2</t>
  </si>
  <si>
    <t>Ⅺ-平3</t>
  </si>
  <si>
    <t>Ⅱ—14</t>
  </si>
  <si>
    <t>Ⅲ—14</t>
  </si>
  <si>
    <t>Ⅳ-14</t>
  </si>
  <si>
    <t>Ⅴ-14</t>
  </si>
  <si>
    <t>Ⅵ-14</t>
  </si>
  <si>
    <t>Ⅷ-顺2</t>
  </si>
  <si>
    <t>Ⅹ-昌3</t>
  </si>
  <si>
    <t>Ⅺ-平4</t>
  </si>
  <si>
    <t>Ⅱ—15</t>
  </si>
  <si>
    <t>Ⅲ—15</t>
  </si>
  <si>
    <t>Ⅳ-15</t>
  </si>
  <si>
    <t>Ⅴ-15</t>
  </si>
  <si>
    <t>Ⅵ-15</t>
  </si>
  <si>
    <t>Ⅱ—16</t>
  </si>
  <si>
    <t>Ⅲ—16</t>
  </si>
  <si>
    <t>Ⅳ-16</t>
  </si>
  <si>
    <t>Ⅴ-16</t>
  </si>
  <si>
    <t>Ⅵ-16</t>
  </si>
  <si>
    <t>Ⅶ-房2</t>
  </si>
  <si>
    <t>Ⅷ-顺4</t>
  </si>
  <si>
    <t>Ⅸ-顺2</t>
  </si>
  <si>
    <t>Ⅹ-平2</t>
  </si>
  <si>
    <t>Ⅱ—17</t>
  </si>
  <si>
    <t>Ⅲ—17</t>
  </si>
  <si>
    <t>Ⅳ-17</t>
  </si>
  <si>
    <t>Ⅴ-17</t>
  </si>
  <si>
    <t>Ⅵ-17</t>
  </si>
  <si>
    <t>Ⅷ-顺5</t>
  </si>
  <si>
    <t>Ⅸ-顺3</t>
  </si>
  <si>
    <t>Ⅱ—18</t>
  </si>
  <si>
    <t>Ⅲ—18</t>
  </si>
  <si>
    <t>Ⅳ-18</t>
  </si>
  <si>
    <t>Ⅴ-18</t>
  </si>
  <si>
    <t>Ⅵ-18</t>
  </si>
  <si>
    <t>Ⅸ-顺4</t>
  </si>
  <si>
    <t>Ⅹ-怀2</t>
  </si>
  <si>
    <t>Ⅺ-密2</t>
  </si>
  <si>
    <t>Ⅱ—19</t>
  </si>
  <si>
    <t>Ⅲ—19</t>
  </si>
  <si>
    <t>Ⅳ-19</t>
  </si>
  <si>
    <t>Ⅴ-19</t>
  </si>
  <si>
    <t>Ⅵ-19</t>
  </si>
  <si>
    <t>Ⅶ-顺2</t>
  </si>
  <si>
    <t>Ⅹ-怀3</t>
  </si>
  <si>
    <t>Ⅺ-密3</t>
  </si>
  <si>
    <t>Ⅲ—20</t>
  </si>
  <si>
    <t>Ⅳ-20</t>
  </si>
  <si>
    <t>Ⅴ-20</t>
  </si>
  <si>
    <t>Ⅵ-20</t>
  </si>
  <si>
    <t>Ⅸ-兴2</t>
  </si>
  <si>
    <t>Ⅳ-21</t>
  </si>
  <si>
    <t>Ⅴ-21</t>
  </si>
  <si>
    <t>Ⅵ-21</t>
  </si>
  <si>
    <t>Ⅷ-兴2</t>
  </si>
  <si>
    <t>Ⅸ-兴3</t>
  </si>
  <si>
    <t>Ⅺ-延2</t>
  </si>
  <si>
    <t>Ⅳ-22</t>
  </si>
  <si>
    <t>Ⅴ-22</t>
  </si>
  <si>
    <t>Ⅹ-延2</t>
  </si>
  <si>
    <t>Ⅳ-23</t>
  </si>
  <si>
    <t>Ⅴ-23</t>
  </si>
  <si>
    <t>Ⅷ-昌2</t>
  </si>
  <si>
    <t>Ⅴ-24</t>
  </si>
  <si>
    <t>Ⅶ-昌2</t>
  </si>
  <si>
    <t>Ⅷ-昌3</t>
  </si>
  <si>
    <t>Ⅴ-25</t>
  </si>
  <si>
    <t>Ⅶ-昌3</t>
  </si>
  <si>
    <t>Ⅷ-昌4</t>
  </si>
  <si>
    <t>Ⅸ-昌2</t>
  </si>
  <si>
    <t>Ⅴ-26</t>
  </si>
  <si>
    <t>Ⅵ-通2</t>
  </si>
  <si>
    <t>Ⅸ-昌3</t>
  </si>
  <si>
    <t>Ⅵ-通3</t>
  </si>
  <si>
    <t>Ⅸ-昌4</t>
  </si>
  <si>
    <t>三级</t>
  </si>
  <si>
    <t>Ⅵ-通4</t>
  </si>
  <si>
    <t>Ⅸ-昌5</t>
  </si>
  <si>
    <t>Ⅷ-亦2</t>
  </si>
  <si>
    <t>Ⅵ-昌2</t>
  </si>
  <si>
    <t>Ⅵ-昌3</t>
  </si>
  <si>
    <t>Ⅵ-昌4</t>
  </si>
  <si>
    <t>五级</t>
  </si>
  <si>
    <t>七级</t>
  </si>
  <si>
    <t>八级</t>
  </si>
  <si>
    <t>九级</t>
  </si>
  <si>
    <t>十级</t>
  </si>
  <si>
    <t>住宅</t>
    <phoneticPr fontId="3" type="noConversion"/>
  </si>
  <si>
    <t>区域土地利用方向</t>
    <phoneticPr fontId="43" type="noConversion"/>
  </si>
  <si>
    <r>
      <rPr>
        <sz val="10"/>
        <color indexed="8"/>
        <rFont val="宋体"/>
        <family val="3"/>
        <charset val="134"/>
      </rPr>
      <t>修正系数</t>
    </r>
    <phoneticPr fontId="76" type="noConversion"/>
  </si>
  <si>
    <t>五等判定</t>
    <phoneticPr fontId="16" type="noConversion"/>
  </si>
  <si>
    <t>基准地价修正</t>
    <phoneticPr fontId="16" type="noConversion"/>
  </si>
  <si>
    <t>*</t>
    <phoneticPr fontId="16" type="noConversion"/>
  </si>
  <si>
    <t>土地级别</t>
    <phoneticPr fontId="16" type="noConversion"/>
  </si>
  <si>
    <t>一级</t>
    <phoneticPr fontId="3" type="noConversion"/>
  </si>
  <si>
    <t>二级</t>
    <phoneticPr fontId="3" type="noConversion"/>
  </si>
  <si>
    <t>三级</t>
    <phoneticPr fontId="3" type="noConversion"/>
  </si>
  <si>
    <t>四级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</si>
  <si>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</si>
  <si>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</si>
  <si>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</si>
  <si>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</si>
  <si>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</si>
  <si>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</si>
  <si>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7" type="noConversion"/>
  </si>
  <si>
    <r>
      <rPr>
        <sz val="10"/>
        <color indexed="8"/>
        <rFont val="宋体"/>
        <family val="3"/>
        <charset val="134"/>
      </rPr>
      <t>（</t>
    </r>
    <r>
      <rPr>
        <sz val="10"/>
        <color indexed="8"/>
        <rFont val="Arial"/>
        <family val="2"/>
      </rPr>
      <t>2</t>
    </r>
    <r>
      <rPr>
        <sz val="10"/>
        <color indexed="8"/>
        <rFont val="宋体"/>
        <family val="3"/>
        <charset val="134"/>
      </rPr>
      <t>）</t>
    </r>
    <phoneticPr fontId="37" type="noConversion"/>
  </si>
  <si>
    <t>2.</t>
    <phoneticPr fontId="37" type="noConversion"/>
  </si>
  <si>
    <t>3.</t>
    <phoneticPr fontId="37" type="noConversion"/>
  </si>
  <si>
    <t>4.</t>
    <phoneticPr fontId="33" type="noConversion"/>
  </si>
  <si>
    <t>1.</t>
    <phoneticPr fontId="37" type="noConversion"/>
  </si>
  <si>
    <r>
      <t>1</t>
    </r>
    <r>
      <rPr>
        <sz val="10"/>
        <color indexed="8"/>
        <rFont val="宋体"/>
        <family val="3"/>
        <charset val="134"/>
      </rPr>
      <t>）</t>
    </r>
    <phoneticPr fontId="37" type="noConversion"/>
  </si>
  <si>
    <r>
      <t>2</t>
    </r>
    <r>
      <rPr>
        <sz val="10"/>
        <color indexed="8"/>
        <rFont val="宋体"/>
        <family val="3"/>
        <charset val="134"/>
      </rPr>
      <t>）</t>
    </r>
    <phoneticPr fontId="37" type="noConversion"/>
  </si>
  <si>
    <r>
      <t>3</t>
    </r>
    <r>
      <rPr>
        <sz val="10"/>
        <color indexed="8"/>
        <rFont val="宋体"/>
        <family val="3"/>
        <charset val="134"/>
      </rPr>
      <t>）</t>
    </r>
    <phoneticPr fontId="37" type="noConversion"/>
  </si>
  <si>
    <t>3.</t>
    <phoneticPr fontId="37" type="noConversion"/>
  </si>
  <si>
    <t>4.</t>
    <phoneticPr fontId="37" type="noConversion"/>
  </si>
  <si>
    <t>5.</t>
    <phoneticPr fontId="37"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</si>
  <si>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</si>
  <si>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</si>
  <si>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t>（3）</t>
    <phoneticPr fontId="18" type="noConversion"/>
  </si>
  <si>
    <t>（4）</t>
    <phoneticPr fontId="18" type="noConversion"/>
  </si>
  <si>
    <t>（5）</t>
    <phoneticPr fontId="18" type="noConversion"/>
  </si>
  <si>
    <t>（6）</t>
    <phoneticPr fontId="18" type="noConversion"/>
  </si>
  <si>
    <t>（7）</t>
    <phoneticPr fontId="18" type="noConversion"/>
  </si>
  <si>
    <t>（8）</t>
    <phoneticPr fontId="18" type="noConversion"/>
  </si>
  <si>
    <t>（9）</t>
    <phoneticPr fontId="18" type="noConversion"/>
  </si>
  <si>
    <r>
      <t>1</t>
    </r>
    <r>
      <rPr>
        <sz val="10"/>
        <rFont val="宋体"/>
        <family val="3"/>
        <charset val="134"/>
      </rPr>
      <t>）</t>
    </r>
    <phoneticPr fontId="16" type="noConversion"/>
  </si>
  <si>
    <r>
      <t>2</t>
    </r>
    <r>
      <rPr>
        <sz val="10"/>
        <rFont val="宋体"/>
        <family val="3"/>
        <charset val="134"/>
      </rPr>
      <t>）</t>
    </r>
    <phoneticPr fontId="16" type="noConversion"/>
  </si>
  <si>
    <r>
      <t>3</t>
    </r>
    <r>
      <rPr>
        <sz val="10"/>
        <rFont val="宋体"/>
        <family val="3"/>
        <charset val="134"/>
      </rPr>
      <t>）</t>
    </r>
    <phoneticPr fontId="16" type="noConversion"/>
  </si>
  <si>
    <r>
      <t>1</t>
    </r>
    <r>
      <rPr>
        <sz val="10"/>
        <rFont val="宋体"/>
        <family val="3"/>
        <charset val="134"/>
      </rPr>
      <t>）</t>
    </r>
    <phoneticPr fontId="16" type="noConversion"/>
  </si>
  <si>
    <r>
      <t>4</t>
    </r>
    <r>
      <rPr>
        <sz val="10"/>
        <rFont val="宋体"/>
        <family val="3"/>
        <charset val="134"/>
      </rPr>
      <t>）</t>
    </r>
    <phoneticPr fontId="16" type="noConversion"/>
  </si>
  <si>
    <r>
      <t>2</t>
    </r>
    <r>
      <rPr>
        <sz val="10"/>
        <rFont val="宋体"/>
        <family val="3"/>
        <charset val="134"/>
      </rPr>
      <t>）</t>
    </r>
    <phoneticPr fontId="18" type="noConversion"/>
  </si>
  <si>
    <r>
      <t>3</t>
    </r>
    <r>
      <rPr>
        <sz val="10"/>
        <rFont val="宋体"/>
        <family val="3"/>
        <charset val="134"/>
      </rPr>
      <t>）</t>
    </r>
    <phoneticPr fontId="18" type="noConversion"/>
  </si>
  <si>
    <r>
      <t>4</t>
    </r>
    <r>
      <rPr>
        <sz val="10"/>
        <rFont val="宋体"/>
        <family val="3"/>
        <charset val="134"/>
      </rPr>
      <t>）</t>
    </r>
    <phoneticPr fontId="18" type="noConversion"/>
  </si>
  <si>
    <r>
      <t>5</t>
    </r>
    <r>
      <rPr>
        <sz val="10"/>
        <rFont val="宋体"/>
        <family val="3"/>
        <charset val="134"/>
      </rPr>
      <t>）</t>
    </r>
    <phoneticPr fontId="18" type="noConversion"/>
  </si>
  <si>
    <t>A</t>
    <phoneticPr fontId="16" type="noConversion"/>
  </si>
  <si>
    <t>B</t>
    <phoneticPr fontId="16" type="noConversion"/>
  </si>
  <si>
    <r>
      <rPr>
        <sz val="10"/>
        <color indexed="8"/>
        <rFont val="宋体"/>
        <family val="3"/>
        <charset val="134"/>
      </rPr>
      <t>（</t>
    </r>
    <r>
      <rPr>
        <sz val="10"/>
        <color indexed="8"/>
        <rFont val="Arial"/>
        <family val="2"/>
      </rPr>
      <t>1</t>
    </r>
    <r>
      <rPr>
        <sz val="10"/>
        <color indexed="8"/>
        <rFont val="宋体"/>
        <family val="3"/>
        <charset val="134"/>
      </rPr>
      <t>）</t>
    </r>
    <phoneticPr fontId="18" type="noConversion"/>
  </si>
  <si>
    <r>
      <t>1</t>
    </r>
    <r>
      <rPr>
        <sz val="10"/>
        <color indexed="8"/>
        <rFont val="宋体"/>
        <family val="3"/>
        <charset val="134"/>
      </rPr>
      <t>）</t>
    </r>
    <phoneticPr fontId="16" type="noConversion"/>
  </si>
  <si>
    <r>
      <t>2</t>
    </r>
    <r>
      <rPr>
        <sz val="10"/>
        <color indexed="8"/>
        <rFont val="宋体"/>
        <family val="3"/>
        <charset val="134"/>
      </rPr>
      <t>）</t>
    </r>
    <phoneticPr fontId="16" type="noConversion"/>
  </si>
  <si>
    <t>A</t>
    <phoneticPr fontId="18" type="noConversion"/>
  </si>
  <si>
    <t>B</t>
    <phoneticPr fontId="18" type="noConversion"/>
  </si>
  <si>
    <t>1.</t>
    <phoneticPr fontId="76" type="noConversion"/>
  </si>
  <si>
    <t>2.</t>
    <phoneticPr fontId="76" type="noConversion"/>
  </si>
  <si>
    <t>3.</t>
    <phoneticPr fontId="76" type="noConversion"/>
  </si>
  <si>
    <t>4.</t>
    <phoneticPr fontId="3" type="noConversion"/>
  </si>
  <si>
    <t>5.</t>
    <phoneticPr fontId="3" type="noConversion"/>
  </si>
  <si>
    <t>6.</t>
    <phoneticPr fontId="3" type="noConversion"/>
  </si>
  <si>
    <t>7.</t>
    <phoneticPr fontId="3" type="noConversion"/>
  </si>
  <si>
    <t>十一级</t>
  </si>
  <si>
    <t>十二级</t>
  </si>
  <si>
    <t xml:space="preserve">— </t>
    <phoneticPr fontId="81" type="noConversion"/>
  </si>
  <si>
    <t>估价项目名称：</t>
    <phoneticPr fontId="81" type="noConversion"/>
  </si>
  <si>
    <t>估价委托人：</t>
    <phoneticPr fontId="81" type="noConversion"/>
  </si>
  <si>
    <t>房地产估价机构：</t>
    <phoneticPr fontId="81" type="noConversion"/>
  </si>
  <si>
    <t>北京康正宏基房地产评估有限公司</t>
    <phoneticPr fontId="81" type="noConversion"/>
  </si>
  <si>
    <t>注册房地产估价师：</t>
    <phoneticPr fontId="81" type="noConversion"/>
  </si>
  <si>
    <t>估价报告编号：</t>
    <phoneticPr fontId="81" type="noConversion"/>
  </si>
  <si>
    <t>估价目的</t>
    <phoneticPr fontId="83" type="noConversion"/>
  </si>
  <si>
    <t>优先受偿</t>
    <phoneticPr fontId="83" type="noConversion"/>
  </si>
  <si>
    <t>抵押</t>
    <phoneticPr fontId="83" type="noConversion"/>
  </si>
  <si>
    <t>2.估价师所知悉的法定优先受偿款</t>
    <phoneticPr fontId="83" type="noConversion"/>
  </si>
  <si>
    <t>2.估价师所知悉的除抵押担保权以外的法定优先受偿款</t>
    <phoneticPr fontId="83" type="noConversion"/>
  </si>
  <si>
    <t>价值类型及定义</t>
    <phoneticPr fontId="83" type="noConversion"/>
  </si>
  <si>
    <t>房地产价值</t>
    <phoneticPr fontId="83" type="noConversion"/>
  </si>
  <si>
    <t>房地产抵押价值</t>
    <phoneticPr fontId="83" type="noConversion"/>
  </si>
  <si>
    <t>已注销</t>
    <phoneticPr fontId="83" type="noConversion"/>
  </si>
  <si>
    <t>已注销及未注销</t>
    <phoneticPr fontId="83" type="noConversion"/>
  </si>
  <si>
    <t>抵押净值</t>
    <phoneticPr fontId="83" type="noConversion"/>
  </si>
  <si>
    <t>——</t>
    <phoneticPr fontId="16" type="noConversion"/>
  </si>
  <si>
    <t>XX</t>
  </si>
  <si>
    <t>附表：</t>
    <phoneticPr fontId="91" type="noConversion"/>
  </si>
  <si>
    <t>-</t>
    <phoneticPr fontId="3" type="noConversion"/>
  </si>
  <si>
    <t>3</t>
    <phoneticPr fontId="3" type="noConversion"/>
  </si>
  <si>
    <t>4</t>
    <phoneticPr fontId="3" type="noConversion"/>
  </si>
  <si>
    <t>5</t>
    <phoneticPr fontId="3" type="noConversion"/>
  </si>
  <si>
    <t>6</t>
    <phoneticPr fontId="3" type="noConversion"/>
  </si>
  <si>
    <r>
      <t>1</t>
    </r>
    <r>
      <rPr>
        <sz val="10"/>
        <color indexed="8"/>
        <rFont val="宋体"/>
        <family val="3"/>
        <charset val="134"/>
      </rPr>
      <t>）</t>
    </r>
    <phoneticPr fontId="3" type="noConversion"/>
  </si>
  <si>
    <r>
      <rPr>
        <sz val="10"/>
        <color indexed="8"/>
        <rFont val="宋体"/>
        <family val="3"/>
        <charset val="134"/>
      </rPr>
      <t>（</t>
    </r>
    <r>
      <rPr>
        <sz val="10"/>
        <color indexed="8"/>
        <rFont val="Arial"/>
        <family val="2"/>
      </rPr>
      <t>1</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</si>
  <si>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</si>
  <si>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t>
    </r>
    <r>
      <rPr>
        <sz val="10"/>
        <color indexed="8"/>
        <rFont val="Arial"/>
        <family val="2"/>
      </rPr>
      <t>6</t>
    </r>
    <r>
      <rPr>
        <sz val="10"/>
        <color indexed="8"/>
        <rFont val="宋体"/>
        <family val="3"/>
        <charset val="134"/>
      </rPr>
      <t>）</t>
    </r>
    <phoneticPr fontId="3" type="noConversion"/>
  </si>
  <si>
    <r>
      <rPr>
        <sz val="10"/>
        <color indexed="8"/>
        <rFont val="宋体"/>
        <family val="3"/>
        <charset val="134"/>
      </rPr>
      <t>（</t>
    </r>
    <r>
      <rPr>
        <sz val="10"/>
        <color indexed="8"/>
        <rFont val="Arial"/>
        <family val="2"/>
      </rPr>
      <t>7</t>
    </r>
    <r>
      <rPr>
        <sz val="10"/>
        <color indexed="8"/>
        <rFont val="宋体"/>
        <family val="3"/>
        <charset val="134"/>
      </rPr>
      <t>）</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</si>
  <si>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</si>
  <si>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t>A</t>
  </si>
  <si>
    <t>B</t>
  </si>
  <si>
    <t>(A)</t>
  </si>
  <si>
    <t>(B)</t>
  </si>
  <si>
    <t>(C)</t>
  </si>
  <si>
    <t>(D)</t>
  </si>
  <si>
    <t>C</t>
  </si>
  <si>
    <t>A+B</t>
  </si>
  <si>
    <t>a</t>
  </si>
  <si>
    <t>b</t>
  </si>
  <si>
    <t>c</t>
  </si>
  <si>
    <t>a-b×c</t>
    <phoneticPr fontId="3" type="noConversion"/>
  </si>
  <si>
    <t>(E)</t>
    <phoneticPr fontId="3" type="noConversion"/>
  </si>
  <si>
    <r>
      <rPr>
        <b/>
        <sz val="10"/>
        <rFont val="宋体"/>
        <family val="3"/>
        <charset val="134"/>
      </rPr>
      <t>（</t>
    </r>
    <r>
      <rPr>
        <b/>
        <sz val="10"/>
        <rFont val="Arial"/>
        <family val="2"/>
      </rPr>
      <t>1</t>
    </r>
    <r>
      <rPr>
        <b/>
        <sz val="10"/>
        <rFont val="宋体"/>
        <family val="3"/>
        <charset val="134"/>
      </rPr>
      <t>）</t>
    </r>
    <phoneticPr fontId="18" type="noConversion"/>
  </si>
  <si>
    <t>（2）</t>
    <phoneticPr fontId="18"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</si>
  <si>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</si>
  <si>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t>（3）</t>
    <phoneticPr fontId="18"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</si>
  <si>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</si>
  <si>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t>（4）</t>
    <phoneticPr fontId="18" type="noConversion"/>
  </si>
  <si>
    <r>
      <rPr>
        <sz val="10"/>
        <rFont val="楷体_GB2312"/>
        <family val="3"/>
        <charset val="134"/>
      </rPr>
      <t>（</t>
    </r>
    <r>
      <rPr>
        <sz val="10"/>
        <rFont val="Arial"/>
        <family val="2"/>
      </rPr>
      <t>4</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</si>
  <si>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）项产生的利息</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</si>
  <si>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t>
    </r>
    <r>
      <rPr>
        <sz val="10"/>
        <rFont val="楷体_GB2312"/>
        <family val="3"/>
        <charset val="134"/>
      </rPr>
      <t>（</t>
    </r>
    <r>
      <rPr>
        <sz val="10"/>
        <rFont val="Arial"/>
        <family val="2"/>
      </rPr>
      <t>3</t>
    </r>
    <r>
      <rPr>
        <sz val="10"/>
        <rFont val="楷体_GB2312"/>
        <family val="3"/>
        <charset val="134"/>
      </rPr>
      <t>）项产生的利润</t>
    </r>
    <phoneticPr fontId="16" type="noConversion"/>
  </si>
  <si>
    <r>
      <rPr>
        <sz val="10"/>
        <rFont val="楷体_GB2312"/>
        <family val="3"/>
        <charset val="134"/>
      </rPr>
      <t>（</t>
    </r>
    <r>
      <rPr>
        <sz val="10"/>
        <rFont val="Arial"/>
        <family val="2"/>
      </rPr>
      <t>4</t>
    </r>
    <r>
      <rPr>
        <sz val="10"/>
        <rFont val="楷体_GB2312"/>
        <family val="3"/>
        <charset val="134"/>
      </rPr>
      <t>）项产生的利润</t>
    </r>
    <phoneticPr fontId="16" type="noConversion"/>
  </si>
  <si>
    <r>
      <rPr>
        <sz val="10"/>
        <rFont val="楷体_GB2312"/>
        <family val="3"/>
        <charset val="134"/>
      </rPr>
      <t>（</t>
    </r>
    <r>
      <rPr>
        <sz val="10"/>
        <rFont val="Arial"/>
        <family val="2"/>
      </rPr>
      <t>2</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</si>
  <si>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1</t>
    </r>
    <r>
      <rPr>
        <sz val="10"/>
        <rFont val="楷体_GB2312"/>
        <family val="3"/>
        <charset val="134"/>
      </rPr>
      <t>）、（</t>
    </r>
    <r>
      <rPr>
        <sz val="10"/>
        <rFont val="Arial"/>
        <family val="2"/>
      </rPr>
      <t>2</t>
    </r>
    <r>
      <rPr>
        <sz val="10"/>
        <rFont val="楷体_GB2312"/>
        <family val="3"/>
        <charset val="134"/>
      </rPr>
      <t>）项产生的利润</t>
    </r>
    <phoneticPr fontId="16" type="noConversion"/>
  </si>
  <si>
    <r>
      <rPr>
        <sz val="10"/>
        <rFont val="楷体_GB2312"/>
        <family val="3"/>
        <charset val="134"/>
      </rPr>
      <t>（</t>
    </r>
    <r>
      <rPr>
        <sz val="10"/>
        <rFont val="Arial"/>
        <family val="2"/>
      </rPr>
      <t>3</t>
    </r>
    <r>
      <rPr>
        <sz val="10"/>
        <rFont val="楷体_GB2312"/>
        <family val="3"/>
        <charset val="134"/>
      </rPr>
      <t>）项产生的利息</t>
    </r>
    <r>
      <rPr>
        <sz val="10"/>
        <rFont val="宋体"/>
        <family val="3"/>
        <charset val="134"/>
      </rPr>
      <t/>
    </r>
    <phoneticPr fontId="16" type="noConversion"/>
  </si>
  <si>
    <r>
      <rPr>
        <sz val="10"/>
        <rFont val="楷体_GB2312"/>
        <family val="3"/>
        <charset val="134"/>
      </rPr>
      <t>（</t>
    </r>
    <r>
      <rPr>
        <sz val="10"/>
        <rFont val="Arial"/>
        <family val="2"/>
      </rPr>
      <t>3</t>
    </r>
    <r>
      <rPr>
        <sz val="10"/>
        <rFont val="楷体_GB2312"/>
        <family val="3"/>
        <charset val="134"/>
      </rPr>
      <t>）项产生的利润</t>
    </r>
    <phoneticPr fontId="16" type="noConversion"/>
  </si>
  <si>
    <t>以前述2项为基数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</si>
  <si>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4</t>
    </r>
    <r>
      <rPr>
        <b/>
        <sz val="10"/>
        <rFont val="楷体_GB2312"/>
        <family val="3"/>
        <charset val="134"/>
      </rPr>
      <t>）项之和</t>
    </r>
    <r>
      <rPr>
        <b/>
        <sz val="10"/>
        <rFont val="Arial"/>
        <family val="2"/>
      </rPr>
      <t>*</t>
    </r>
    <r>
      <rPr>
        <b/>
        <sz val="10"/>
        <rFont val="楷体_GB2312"/>
        <family val="3"/>
        <charset val="134"/>
      </rPr>
      <t>利润率</t>
    </r>
    <r>
      <rPr>
        <b/>
        <sz val="10"/>
        <rFont val="Arial"/>
        <family val="2"/>
      </rPr>
      <t>*</t>
    </r>
    <r>
      <rPr>
        <b/>
        <sz val="10"/>
        <rFont val="楷体_GB2312"/>
        <family val="3"/>
        <charset val="134"/>
      </rPr>
      <t>已建工期</t>
    </r>
    <r>
      <rPr>
        <b/>
        <sz val="10"/>
        <rFont val="Arial"/>
        <family val="2"/>
      </rPr>
      <t>/</t>
    </r>
    <r>
      <rPr>
        <b/>
        <sz val="10"/>
        <rFont val="楷体_GB2312"/>
        <family val="3"/>
        <charset val="134"/>
      </rPr>
      <t>建设期</t>
    </r>
    <phoneticPr fontId="16" type="noConversion"/>
  </si>
  <si>
    <r>
      <rPr>
        <b/>
        <sz val="10"/>
        <rFont val="楷体_GB2312"/>
        <family val="3"/>
        <charset val="134"/>
      </rPr>
      <t>前述</t>
    </r>
    <r>
      <rPr>
        <b/>
        <sz val="10"/>
        <rFont val="Arial"/>
        <family val="2"/>
      </rPr>
      <t>7</t>
    </r>
    <r>
      <rPr>
        <b/>
        <sz val="10"/>
        <rFont val="楷体_GB2312"/>
        <family val="3"/>
        <charset val="134"/>
      </rPr>
      <t>项相加</t>
    </r>
    <phoneticPr fontId="16" type="noConversion"/>
  </si>
  <si>
    <t>以（1）为基数</t>
    <phoneticPr fontId="16" type="noConversion"/>
  </si>
  <si>
    <r>
      <rPr>
        <b/>
        <sz val="10"/>
        <rFont val="楷体_GB2312"/>
        <family val="3"/>
        <charset val="134"/>
      </rPr>
      <t>（</t>
    </r>
    <r>
      <rPr>
        <b/>
        <sz val="10"/>
        <rFont val="Arial"/>
        <family val="2"/>
      </rPr>
      <t>1</t>
    </r>
    <r>
      <rPr>
        <b/>
        <sz val="10"/>
        <rFont val="楷体_GB2312"/>
        <family val="3"/>
        <charset val="134"/>
      </rPr>
      <t>）</t>
    </r>
    <r>
      <rPr>
        <b/>
        <sz val="10"/>
        <rFont val="Arial"/>
        <family val="2"/>
      </rPr>
      <t>-</t>
    </r>
    <r>
      <rPr>
        <b/>
        <sz val="10"/>
        <rFont val="楷体_GB2312"/>
        <family val="3"/>
        <charset val="134"/>
      </rPr>
      <t>（</t>
    </r>
    <r>
      <rPr>
        <b/>
        <sz val="10"/>
        <rFont val="Arial"/>
        <family val="2"/>
      </rPr>
      <t>3</t>
    </r>
    <r>
      <rPr>
        <b/>
        <sz val="10"/>
        <rFont val="楷体_GB2312"/>
        <family val="3"/>
        <charset val="134"/>
      </rPr>
      <t>）项乘利润率</t>
    </r>
    <phoneticPr fontId="16" type="noConversion"/>
  </si>
  <si>
    <r>
      <rPr>
        <b/>
        <sz val="10"/>
        <rFont val="楷体_GB2312"/>
        <family val="3"/>
        <charset val="134"/>
      </rPr>
      <t>前述</t>
    </r>
    <r>
      <rPr>
        <b/>
        <sz val="10"/>
        <rFont val="Arial"/>
        <family val="2"/>
      </rPr>
      <t>6</t>
    </r>
    <r>
      <rPr>
        <b/>
        <sz val="10"/>
        <rFont val="楷体_GB2312"/>
        <family val="3"/>
        <charset val="134"/>
      </rPr>
      <t>项相加</t>
    </r>
    <phoneticPr fontId="16" type="noConversion"/>
  </si>
  <si>
    <t>未包含在土地取得成本中</t>
  </si>
  <si>
    <r>
      <rPr>
        <sz val="10"/>
        <color indexed="8"/>
        <rFont val="宋体"/>
        <family val="3"/>
        <charset val="134"/>
      </rPr>
      <t>（</t>
    </r>
    <r>
      <rPr>
        <sz val="10"/>
        <color indexed="8"/>
        <rFont val="Arial"/>
        <family val="2"/>
      </rPr>
      <t>3</t>
    </r>
    <r>
      <rPr>
        <sz val="10"/>
        <color indexed="8"/>
        <rFont val="宋体"/>
        <family val="3"/>
        <charset val="134"/>
      </rPr>
      <t>）</t>
    </r>
    <phoneticPr fontId="3" type="noConversion"/>
  </si>
  <si>
    <t>1</t>
    <phoneticPr fontId="3" type="noConversion"/>
  </si>
  <si>
    <r>
      <rPr>
        <b/>
        <sz val="10"/>
        <color indexed="8"/>
        <rFont val="宋体"/>
        <family val="3"/>
        <charset val="134"/>
      </rPr>
      <t>（</t>
    </r>
    <r>
      <rPr>
        <b/>
        <sz val="10"/>
        <color indexed="8"/>
        <rFont val="Arial"/>
        <family val="2"/>
      </rPr>
      <t>1</t>
    </r>
    <r>
      <rPr>
        <b/>
        <sz val="10"/>
        <color indexed="8"/>
        <rFont val="宋体"/>
        <family val="3"/>
        <charset val="134"/>
      </rPr>
      <t>）</t>
    </r>
    <phoneticPr fontId="3" type="noConversion"/>
  </si>
  <si>
    <r>
      <rPr>
        <b/>
        <sz val="10"/>
        <color indexed="8"/>
        <rFont val="宋体"/>
        <family val="3"/>
        <charset val="134"/>
      </rPr>
      <t>（</t>
    </r>
    <r>
      <rPr>
        <b/>
        <sz val="10"/>
        <color indexed="8"/>
        <rFont val="Arial"/>
        <family val="2"/>
      </rPr>
      <t>2</t>
    </r>
    <r>
      <rPr>
        <b/>
        <sz val="10"/>
        <color indexed="8"/>
        <rFont val="宋体"/>
        <family val="3"/>
        <charset val="134"/>
      </rPr>
      <t>）</t>
    </r>
    <phoneticPr fontId="3" type="noConversion"/>
  </si>
  <si>
    <t>基础设施水平</t>
    <phoneticPr fontId="16" type="noConversion"/>
  </si>
  <si>
    <t>六通</t>
    <phoneticPr fontId="16" type="noConversion"/>
  </si>
  <si>
    <t>七通</t>
    <phoneticPr fontId="16" type="noConversion"/>
  </si>
  <si>
    <t>五通</t>
    <phoneticPr fontId="16" type="noConversion"/>
  </si>
  <si>
    <t>四通</t>
    <phoneticPr fontId="16" type="noConversion"/>
  </si>
  <si>
    <t>三通</t>
    <phoneticPr fontId="16" type="noConversion"/>
  </si>
  <si>
    <t>公共配套设施</t>
    <phoneticPr fontId="16" type="noConversion"/>
  </si>
  <si>
    <t>成本法 (元)</t>
    <phoneticPr fontId="16" type="noConversion"/>
  </si>
  <si>
    <t>收益法 (元)</t>
    <phoneticPr fontId="16" type="noConversion"/>
  </si>
  <si>
    <t>收益法（汇总）</t>
    <phoneticPr fontId="16" type="noConversion"/>
  </si>
  <si>
    <t>已包含在土地购买价格中</t>
  </si>
  <si>
    <t>公示地价指数</t>
    <phoneticPr fontId="141" type="noConversion"/>
  </si>
  <si>
    <r>
      <rPr>
        <b/>
        <sz val="10"/>
        <color theme="1"/>
        <rFont val="楷体_GB2312"/>
        <family val="2"/>
        <charset val="134"/>
      </rPr>
      <t>公示增长率</t>
    </r>
    <phoneticPr fontId="141" type="noConversion"/>
  </si>
  <si>
    <r>
      <rPr>
        <b/>
        <sz val="10"/>
        <color theme="1"/>
        <rFont val="楷体_GB2312"/>
        <family val="2"/>
        <charset val="134"/>
      </rPr>
      <t>核算至百分数</t>
    </r>
    <phoneticPr fontId="141" type="noConversion"/>
  </si>
  <si>
    <r>
      <rPr>
        <b/>
        <sz val="10"/>
        <color theme="1"/>
        <rFont val="楷体_GB2312"/>
        <family val="2"/>
        <charset val="134"/>
      </rPr>
      <t>验证</t>
    </r>
    <phoneticPr fontId="141" type="noConversion"/>
  </si>
  <si>
    <t>季度连乘</t>
    <phoneticPr fontId="133" type="noConversion"/>
  </si>
  <si>
    <t>平均增幅</t>
    <phoneticPr fontId="133" type="noConversion"/>
  </si>
  <si>
    <t>综合</t>
    <phoneticPr fontId="3" type="noConversion"/>
  </si>
  <si>
    <r>
      <rPr>
        <sz val="11"/>
        <color indexed="8"/>
        <rFont val="楷体_GB2312"/>
        <family val="3"/>
        <charset val="134"/>
      </rPr>
      <t>商业</t>
    </r>
    <phoneticPr fontId="3" type="noConversion"/>
  </si>
  <si>
    <t>办公</t>
    <phoneticPr fontId="3" type="noConversion"/>
  </si>
  <si>
    <t>住宅</t>
    <phoneticPr fontId="3" type="noConversion"/>
  </si>
  <si>
    <r>
      <rPr>
        <sz val="11"/>
        <color indexed="8"/>
        <rFont val="楷体_GB2312"/>
        <family val="3"/>
        <charset val="134"/>
      </rPr>
      <t>工业</t>
    </r>
    <phoneticPr fontId="3" type="noConversion"/>
  </si>
  <si>
    <t>2017-1</t>
    <phoneticPr fontId="3" type="noConversion"/>
  </si>
  <si>
    <t>基准季度</t>
    <phoneticPr fontId="133" type="noConversion"/>
  </si>
  <si>
    <t>2013-4</t>
    <phoneticPr fontId="133" type="noConversion"/>
  </si>
  <si>
    <t>2013-3</t>
    <phoneticPr fontId="133" type="noConversion"/>
  </si>
  <si>
    <t>2013-2</t>
    <phoneticPr fontId="133" type="noConversion"/>
  </si>
  <si>
    <t>2013-1</t>
    <phoneticPr fontId="133" type="noConversion"/>
  </si>
  <si>
    <r>
      <t>2</t>
    </r>
    <r>
      <rPr>
        <sz val="10"/>
        <color theme="1"/>
        <rFont val="Arial"/>
        <family val="2"/>
      </rPr>
      <t>012-4</t>
    </r>
    <phoneticPr fontId="133" type="noConversion"/>
  </si>
  <si>
    <r>
      <t>2</t>
    </r>
    <r>
      <rPr>
        <sz val="10"/>
        <color theme="1"/>
        <rFont val="Arial"/>
        <family val="2"/>
      </rPr>
      <t>012-3</t>
    </r>
    <phoneticPr fontId="133" type="noConversion"/>
  </si>
  <si>
    <r>
      <t>2</t>
    </r>
    <r>
      <rPr>
        <sz val="10"/>
        <color theme="1"/>
        <rFont val="Arial"/>
        <family val="2"/>
      </rPr>
      <t>012-2</t>
    </r>
    <phoneticPr fontId="133" type="noConversion"/>
  </si>
  <si>
    <r>
      <t>2</t>
    </r>
    <r>
      <rPr>
        <sz val="10"/>
        <color theme="1"/>
        <rFont val="Arial"/>
        <family val="2"/>
      </rPr>
      <t>012-1</t>
    </r>
    <phoneticPr fontId="133" type="noConversion"/>
  </si>
  <si>
    <r>
      <t>2</t>
    </r>
    <r>
      <rPr>
        <sz val="10"/>
        <color theme="1"/>
        <rFont val="Arial"/>
        <family val="2"/>
      </rPr>
      <t>011-4</t>
    </r>
    <phoneticPr fontId="133" type="noConversion"/>
  </si>
  <si>
    <r>
      <t>2</t>
    </r>
    <r>
      <rPr>
        <sz val="10"/>
        <color theme="1"/>
        <rFont val="Arial"/>
        <family val="2"/>
      </rPr>
      <t>011-3</t>
    </r>
    <phoneticPr fontId="133" type="noConversion"/>
  </si>
  <si>
    <r>
      <t>2</t>
    </r>
    <r>
      <rPr>
        <sz val="10"/>
        <color theme="1"/>
        <rFont val="Arial"/>
        <family val="2"/>
      </rPr>
      <t>011-2</t>
    </r>
    <phoneticPr fontId="133" type="noConversion"/>
  </si>
  <si>
    <r>
      <t>2</t>
    </r>
    <r>
      <rPr>
        <sz val="10"/>
        <color theme="1"/>
        <rFont val="Arial"/>
        <family val="2"/>
      </rPr>
      <t>011-1</t>
    </r>
    <phoneticPr fontId="133" type="noConversion"/>
  </si>
  <si>
    <r>
      <t>2</t>
    </r>
    <r>
      <rPr>
        <sz val="10"/>
        <color theme="1"/>
        <rFont val="Arial"/>
        <family val="2"/>
      </rPr>
      <t>010-4</t>
    </r>
    <phoneticPr fontId="133" type="noConversion"/>
  </si>
  <si>
    <r>
      <t>2</t>
    </r>
    <r>
      <rPr>
        <sz val="10"/>
        <color theme="1"/>
        <rFont val="Arial"/>
        <family val="2"/>
      </rPr>
      <t>010-3</t>
    </r>
    <phoneticPr fontId="133" type="noConversion"/>
  </si>
  <si>
    <r>
      <t>2</t>
    </r>
    <r>
      <rPr>
        <sz val="10"/>
        <color theme="1"/>
        <rFont val="Arial"/>
        <family val="2"/>
      </rPr>
      <t>010-2</t>
    </r>
    <phoneticPr fontId="133" type="noConversion"/>
  </si>
  <si>
    <r>
      <t>2</t>
    </r>
    <r>
      <rPr>
        <sz val="10"/>
        <color theme="1"/>
        <rFont val="Arial"/>
        <family val="2"/>
      </rPr>
      <t>010-1</t>
    </r>
    <phoneticPr fontId="133" type="noConversion"/>
  </si>
  <si>
    <r>
      <t>2</t>
    </r>
    <r>
      <rPr>
        <sz val="10"/>
        <color theme="1"/>
        <rFont val="Arial"/>
        <family val="2"/>
      </rPr>
      <t>009-4</t>
    </r>
    <phoneticPr fontId="133" type="noConversion"/>
  </si>
  <si>
    <r>
      <t>2</t>
    </r>
    <r>
      <rPr>
        <sz val="10"/>
        <color theme="1"/>
        <rFont val="Arial"/>
        <family val="2"/>
      </rPr>
      <t>009-3</t>
    </r>
    <phoneticPr fontId="133" type="noConversion"/>
  </si>
  <si>
    <r>
      <t>2</t>
    </r>
    <r>
      <rPr>
        <sz val="10"/>
        <color theme="1"/>
        <rFont val="Arial"/>
        <family val="2"/>
      </rPr>
      <t>009-2</t>
    </r>
    <phoneticPr fontId="133" type="noConversion"/>
  </si>
  <si>
    <r>
      <t>2</t>
    </r>
    <r>
      <rPr>
        <sz val="10"/>
        <color theme="1"/>
        <rFont val="Arial"/>
        <family val="2"/>
      </rPr>
      <t>009-1</t>
    </r>
    <phoneticPr fontId="133" type="noConversion"/>
  </si>
  <si>
    <r>
      <t>2</t>
    </r>
    <r>
      <rPr>
        <sz val="10"/>
        <color theme="1"/>
        <rFont val="Arial"/>
        <family val="2"/>
      </rPr>
      <t>008-4</t>
    </r>
    <phoneticPr fontId="133" type="noConversion"/>
  </si>
  <si>
    <r>
      <t>2</t>
    </r>
    <r>
      <rPr>
        <sz val="10"/>
        <color theme="1"/>
        <rFont val="Arial"/>
        <family val="2"/>
      </rPr>
      <t>008-3</t>
    </r>
    <phoneticPr fontId="133" type="noConversion"/>
  </si>
  <si>
    <r>
      <t>2</t>
    </r>
    <r>
      <rPr>
        <sz val="10"/>
        <color theme="1"/>
        <rFont val="Arial"/>
        <family val="2"/>
      </rPr>
      <t>008-2</t>
    </r>
    <phoneticPr fontId="133" type="noConversion"/>
  </si>
  <si>
    <r>
      <t>2</t>
    </r>
    <r>
      <rPr>
        <sz val="10"/>
        <color theme="1"/>
        <rFont val="Arial"/>
        <family val="2"/>
      </rPr>
      <t>008-1</t>
    </r>
    <phoneticPr fontId="133" type="noConversion"/>
  </si>
  <si>
    <r>
      <t>2</t>
    </r>
    <r>
      <rPr>
        <sz val="10"/>
        <color theme="1"/>
        <rFont val="Arial"/>
        <family val="2"/>
      </rPr>
      <t>007-4</t>
    </r>
    <phoneticPr fontId="133" type="noConversion"/>
  </si>
  <si>
    <r>
      <t>2</t>
    </r>
    <r>
      <rPr>
        <sz val="10"/>
        <color theme="1"/>
        <rFont val="Arial"/>
        <family val="2"/>
      </rPr>
      <t>007-3</t>
    </r>
    <phoneticPr fontId="133" type="noConversion"/>
  </si>
  <si>
    <r>
      <t>2</t>
    </r>
    <r>
      <rPr>
        <sz val="10"/>
        <color theme="1"/>
        <rFont val="Arial"/>
        <family val="2"/>
      </rPr>
      <t>007-2</t>
    </r>
    <phoneticPr fontId="133" type="noConversion"/>
  </si>
  <si>
    <r>
      <t>2</t>
    </r>
    <r>
      <rPr>
        <sz val="10"/>
        <color theme="1"/>
        <rFont val="Arial"/>
        <family val="2"/>
      </rPr>
      <t>007-1</t>
    </r>
    <phoneticPr fontId="133" type="noConversion"/>
  </si>
  <si>
    <r>
      <t>2</t>
    </r>
    <r>
      <rPr>
        <sz val="10"/>
        <color theme="1"/>
        <rFont val="Arial"/>
        <family val="2"/>
      </rPr>
      <t>006-4</t>
    </r>
    <phoneticPr fontId="133" type="noConversion"/>
  </si>
  <si>
    <t>2006-3</t>
    <phoneticPr fontId="133" type="noConversion"/>
  </si>
  <si>
    <t>2006-2</t>
    <phoneticPr fontId="133" type="noConversion"/>
  </si>
  <si>
    <t>2006-1</t>
    <phoneticPr fontId="133" type="noConversion"/>
  </si>
  <si>
    <r>
      <t>2</t>
    </r>
    <r>
      <rPr>
        <sz val="10"/>
        <color theme="1"/>
        <rFont val="Arial"/>
        <family val="2"/>
      </rPr>
      <t>005-4</t>
    </r>
    <phoneticPr fontId="133" type="noConversion"/>
  </si>
  <si>
    <r>
      <t>2</t>
    </r>
    <r>
      <rPr>
        <sz val="10"/>
        <color theme="1"/>
        <rFont val="Arial"/>
        <family val="2"/>
      </rPr>
      <t>005-3</t>
    </r>
    <phoneticPr fontId="133" type="noConversion"/>
  </si>
  <si>
    <r>
      <t>2</t>
    </r>
    <r>
      <rPr>
        <sz val="10"/>
        <color theme="1"/>
        <rFont val="Arial"/>
        <family val="2"/>
      </rPr>
      <t>005-2</t>
    </r>
    <phoneticPr fontId="133" type="noConversion"/>
  </si>
  <si>
    <r>
      <t>2</t>
    </r>
    <r>
      <rPr>
        <sz val="10"/>
        <color theme="1"/>
        <rFont val="Arial"/>
        <family val="2"/>
      </rPr>
      <t>005-1</t>
    </r>
    <phoneticPr fontId="133" type="noConversion"/>
  </si>
  <si>
    <r>
      <t>2</t>
    </r>
    <r>
      <rPr>
        <sz val="10"/>
        <color theme="1"/>
        <rFont val="Arial"/>
        <family val="2"/>
      </rPr>
      <t>004-4</t>
    </r>
    <phoneticPr fontId="133" type="noConversion"/>
  </si>
  <si>
    <r>
      <t>2</t>
    </r>
    <r>
      <rPr>
        <sz val="10"/>
        <color theme="1"/>
        <rFont val="Arial"/>
        <family val="2"/>
      </rPr>
      <t>004-3</t>
    </r>
    <phoneticPr fontId="133" type="noConversion"/>
  </si>
  <si>
    <r>
      <t>2</t>
    </r>
    <r>
      <rPr>
        <sz val="10"/>
        <color theme="1"/>
        <rFont val="Arial"/>
        <family val="2"/>
      </rPr>
      <t>004-2</t>
    </r>
    <phoneticPr fontId="133" type="noConversion"/>
  </si>
  <si>
    <r>
      <t>2</t>
    </r>
    <r>
      <rPr>
        <sz val="10"/>
        <color theme="1"/>
        <rFont val="Arial"/>
        <family val="2"/>
      </rPr>
      <t>004-1</t>
    </r>
    <phoneticPr fontId="133" type="noConversion"/>
  </si>
  <si>
    <r>
      <t>2</t>
    </r>
    <r>
      <rPr>
        <sz val="10"/>
        <color theme="1"/>
        <rFont val="Arial"/>
        <family val="2"/>
      </rPr>
      <t>003-4</t>
    </r>
    <phoneticPr fontId="133" type="noConversion"/>
  </si>
  <si>
    <r>
      <t>2</t>
    </r>
    <r>
      <rPr>
        <sz val="10"/>
        <color theme="1"/>
        <rFont val="Arial"/>
        <family val="2"/>
      </rPr>
      <t>003-3</t>
    </r>
    <phoneticPr fontId="133" type="noConversion"/>
  </si>
  <si>
    <r>
      <t>2</t>
    </r>
    <r>
      <rPr>
        <sz val="10"/>
        <color theme="1"/>
        <rFont val="Arial"/>
        <family val="2"/>
      </rPr>
      <t>003-2</t>
    </r>
    <phoneticPr fontId="133" type="noConversion"/>
  </si>
  <si>
    <r>
      <t>2</t>
    </r>
    <r>
      <rPr>
        <sz val="10"/>
        <color theme="1"/>
        <rFont val="Arial"/>
        <family val="2"/>
      </rPr>
      <t>003-1</t>
    </r>
    <phoneticPr fontId="133" type="noConversion"/>
  </si>
  <si>
    <r>
      <t>2</t>
    </r>
    <r>
      <rPr>
        <sz val="10"/>
        <color theme="1"/>
        <rFont val="Arial"/>
        <family val="2"/>
      </rPr>
      <t>002-4</t>
    </r>
    <phoneticPr fontId="133" type="noConversion"/>
  </si>
  <si>
    <r>
      <t>2</t>
    </r>
    <r>
      <rPr>
        <sz val="10"/>
        <color theme="1"/>
        <rFont val="Arial"/>
        <family val="2"/>
      </rPr>
      <t>002-3</t>
    </r>
    <phoneticPr fontId="133" type="noConversion"/>
  </si>
  <si>
    <r>
      <t>2</t>
    </r>
    <r>
      <rPr>
        <sz val="10"/>
        <color theme="1"/>
        <rFont val="Arial"/>
        <family val="2"/>
      </rPr>
      <t>002-2</t>
    </r>
    <phoneticPr fontId="133" type="noConversion"/>
  </si>
  <si>
    <r>
      <t>2</t>
    </r>
    <r>
      <rPr>
        <sz val="10"/>
        <color theme="1"/>
        <rFont val="Arial"/>
        <family val="2"/>
      </rPr>
      <t>002-1</t>
    </r>
    <phoneticPr fontId="133" type="noConversion"/>
  </si>
  <si>
    <t>说明</t>
    <phoneticPr fontId="133" type="noConversion"/>
  </si>
  <si>
    <r>
      <t>2008</t>
    </r>
    <r>
      <rPr>
        <sz val="10"/>
        <color rgb="FFFF0000"/>
        <rFont val="宋体"/>
        <family val="3"/>
        <charset val="134"/>
      </rPr>
      <t>年</t>
    </r>
    <r>
      <rPr>
        <sz val="10"/>
        <color rgb="FFFF0000"/>
        <rFont val="Arial"/>
        <family val="2"/>
      </rPr>
      <t>-</t>
    </r>
    <r>
      <rPr>
        <sz val="10"/>
        <color rgb="FFFF0000"/>
        <rFont val="宋体"/>
        <family val="3"/>
        <charset val="134"/>
      </rPr>
      <t>至今，</t>
    </r>
    <r>
      <rPr>
        <sz val="10"/>
        <color rgb="FFFF0000"/>
        <rFont val="Arial"/>
        <family val="2"/>
      </rPr>
      <t>4</t>
    </r>
    <r>
      <rPr>
        <sz val="10"/>
        <color rgb="FFFF0000"/>
        <rFont val="宋体"/>
        <family val="3"/>
        <charset val="134"/>
      </rPr>
      <t>季度地价指数为地价监测网站公布数据，其余各季度指数按照公示增长率折算；</t>
    </r>
    <phoneticPr fontId="133" type="noConversion"/>
  </si>
  <si>
    <r>
      <t>2004-2007</t>
    </r>
    <r>
      <rPr>
        <sz val="10"/>
        <color rgb="FFFF0000"/>
        <rFont val="宋体"/>
        <family val="3"/>
        <charset val="134"/>
      </rPr>
      <t>年，按公示地价指数计算的增长率与公示增长率不符，除</t>
    </r>
    <r>
      <rPr>
        <sz val="10"/>
        <color rgb="FFFF0000"/>
        <rFont val="Arial"/>
        <family val="2"/>
      </rPr>
      <t>4</t>
    </r>
    <r>
      <rPr>
        <sz val="10"/>
        <color rgb="FFFF0000"/>
        <rFont val="宋体"/>
        <family val="3"/>
        <charset val="134"/>
      </rPr>
      <t>季度以外的各季度地价指数的计算，是通过公示增长率的比例分配至年度间指数差值计算得出</t>
    </r>
    <phoneticPr fontId="133" type="noConversion"/>
  </si>
  <si>
    <r>
      <t>2002</t>
    </r>
    <r>
      <rPr>
        <sz val="10"/>
        <color rgb="FFFF0000"/>
        <rFont val="宋体"/>
        <family val="3"/>
        <charset val="134"/>
      </rPr>
      <t>及</t>
    </r>
    <r>
      <rPr>
        <sz val="10"/>
        <color rgb="FFFF0000"/>
        <rFont val="Arial"/>
        <family val="2"/>
      </rPr>
      <t>2003</t>
    </r>
    <r>
      <rPr>
        <sz val="10"/>
        <color rgb="FFFF0000"/>
        <rFont val="宋体"/>
        <family val="3"/>
        <charset val="134"/>
      </rPr>
      <t>年，除</t>
    </r>
    <r>
      <rPr>
        <sz val="10"/>
        <color rgb="FFFF0000"/>
        <rFont val="Arial"/>
        <family val="2"/>
      </rPr>
      <t>4</t>
    </r>
    <r>
      <rPr>
        <sz val="10"/>
        <color rgb="FFFF0000"/>
        <rFont val="宋体"/>
        <family val="3"/>
        <charset val="134"/>
      </rPr>
      <t>季度外的各季度地价指数是将年度指数差值平均分配计算得出</t>
    </r>
    <phoneticPr fontId="133" type="noConversion"/>
  </si>
  <si>
    <r>
      <rPr>
        <sz val="10"/>
        <color rgb="FF707070"/>
        <rFont val="宋体"/>
        <family val="3"/>
        <charset val="134"/>
      </rPr>
      <t>年度</t>
    </r>
  </si>
  <si>
    <r>
      <rPr>
        <sz val="10"/>
        <color rgb="FF707070"/>
        <rFont val="宋体"/>
        <family val="3"/>
        <charset val="134"/>
      </rPr>
      <t>综合</t>
    </r>
  </si>
  <si>
    <r>
      <rPr>
        <sz val="10"/>
        <color rgb="FF707070"/>
        <rFont val="宋体"/>
        <family val="3"/>
        <charset val="134"/>
      </rPr>
      <t>商服</t>
    </r>
  </si>
  <si>
    <r>
      <rPr>
        <sz val="10"/>
        <color rgb="FF707070"/>
        <rFont val="宋体"/>
        <family val="3"/>
        <charset val="134"/>
      </rPr>
      <t>住宅</t>
    </r>
  </si>
  <si>
    <t>顺序</t>
    <phoneticPr fontId="133" type="noConversion"/>
  </si>
  <si>
    <t>封皮-估价项目名称</t>
    <phoneticPr fontId="133" type="noConversion"/>
  </si>
  <si>
    <t>封皮-估价委托人</t>
    <phoneticPr fontId="133" type="noConversion"/>
  </si>
  <si>
    <t>封皮-注册房地产估价师</t>
    <phoneticPr fontId="133" type="noConversion"/>
  </si>
  <si>
    <t>封皮-估价报告编号</t>
    <phoneticPr fontId="133" type="noConversion"/>
  </si>
  <si>
    <t>致函-委托事项</t>
    <phoneticPr fontId="133" type="noConversion"/>
  </si>
  <si>
    <t>致函-估价目的</t>
    <phoneticPr fontId="133" type="noConversion"/>
  </si>
  <si>
    <t>致函-价值时点</t>
    <phoneticPr fontId="133" type="noConversion"/>
  </si>
  <si>
    <t>致函-价值类型-房地产</t>
    <phoneticPr fontId="133" type="noConversion"/>
  </si>
  <si>
    <t>致函-价值类型-建筑物/土地</t>
    <phoneticPr fontId="141" type="noConversion"/>
  </si>
  <si>
    <t>致函-价值类型-抵押</t>
    <phoneticPr fontId="141" type="noConversion"/>
  </si>
  <si>
    <t>致函-价值类型-优先受偿</t>
    <phoneticPr fontId="141" type="noConversion"/>
  </si>
  <si>
    <t>致函-价值类型-净值</t>
    <phoneticPr fontId="141" type="noConversion"/>
  </si>
  <si>
    <t>致函-估价方法</t>
    <phoneticPr fontId="141" type="noConversion"/>
  </si>
  <si>
    <t>致函-估价结果</t>
    <phoneticPr fontId="133" type="noConversion"/>
  </si>
  <si>
    <t>致函-估价结果-表1-总</t>
    <phoneticPr fontId="141" type="noConversion"/>
  </si>
  <si>
    <t>致函-估价结果-表1-单</t>
    <phoneticPr fontId="141" type="noConversion"/>
  </si>
  <si>
    <t>致函-估价结果-表1-大</t>
    <phoneticPr fontId="141" type="noConversion"/>
  </si>
  <si>
    <t>致函-估价结果-表1-优先（大）</t>
    <phoneticPr fontId="141" type="noConversion"/>
  </si>
  <si>
    <t>致函-估价结果-表1-优先-抵押</t>
    <phoneticPr fontId="141" type="noConversion"/>
  </si>
  <si>
    <t>致函-估价结果-表1-优先-工程</t>
    <phoneticPr fontId="141" type="noConversion"/>
  </si>
  <si>
    <t>致函-估价结果-表1-优先-其他</t>
    <phoneticPr fontId="141" type="noConversion"/>
  </si>
  <si>
    <t>致函-估价结果-表1-抵押（大）</t>
    <phoneticPr fontId="141" type="noConversion"/>
  </si>
  <si>
    <t>致函-估价结果-表1-已注（大）</t>
    <phoneticPr fontId="141" type="noConversion"/>
  </si>
  <si>
    <t>致函-估价结果-表1-净值（单）</t>
    <phoneticPr fontId="141" type="noConversion"/>
  </si>
  <si>
    <t>致函-估价结果-表1-净值（大）</t>
    <phoneticPr fontId="141" type="noConversion"/>
  </si>
  <si>
    <t>致函-估价结果-表2-土地面积</t>
    <phoneticPr fontId="141" type="noConversion"/>
  </si>
  <si>
    <t>致函-估价结果-表2-地（总）</t>
    <phoneticPr fontId="141" type="noConversion"/>
  </si>
  <si>
    <t>致函-估价结果-表2-地（单）</t>
    <phoneticPr fontId="141" type="noConversion"/>
  </si>
  <si>
    <t>致函-估价结果-表2-地（大）</t>
    <phoneticPr fontId="141" type="noConversion"/>
  </si>
  <si>
    <t>致函-估价结果-表2-建（总）</t>
    <phoneticPr fontId="141" type="noConversion"/>
  </si>
  <si>
    <t>致函-估价结果-表2-建（单）</t>
    <phoneticPr fontId="141" type="noConversion"/>
  </si>
  <si>
    <t>致函-特别提示-1</t>
    <phoneticPr fontId="141" type="noConversion"/>
  </si>
  <si>
    <t>致函-特别提示-2</t>
  </si>
  <si>
    <t>致函-特别提示-优先受偿-1</t>
    <phoneticPr fontId="141" type="noConversion"/>
  </si>
  <si>
    <t>致函-特别提示-优先受偿-2</t>
  </si>
  <si>
    <t>致函-特别提示-优先受偿-3</t>
  </si>
  <si>
    <t>致函-特别提示-优先受偿-4</t>
  </si>
  <si>
    <t>致函-特别提示-4</t>
    <phoneticPr fontId="141" type="noConversion"/>
  </si>
  <si>
    <t>致函-特别提示-5</t>
  </si>
  <si>
    <t>致函-出具日期</t>
    <phoneticPr fontId="133" type="noConversion"/>
  </si>
  <si>
    <t>致函-估价师1</t>
    <phoneticPr fontId="133" type="noConversion"/>
  </si>
  <si>
    <t>致函-估价师1-证号</t>
    <phoneticPr fontId="133" type="noConversion"/>
  </si>
  <si>
    <t>致函-估价师2</t>
    <phoneticPr fontId="133" type="noConversion"/>
  </si>
  <si>
    <t>致函-估价师2-证号</t>
    <phoneticPr fontId="133" type="noConversion"/>
  </si>
  <si>
    <t>致函-估价对象-现房-1</t>
    <phoneticPr fontId="133" type="noConversion"/>
  </si>
  <si>
    <t>致函-估价对象-现房-2</t>
  </si>
  <si>
    <t>致函-估价对象-在建-1</t>
    <phoneticPr fontId="133" type="noConversion"/>
  </si>
  <si>
    <t>致函-估价对象-在建-2</t>
  </si>
  <si>
    <t>致函-特别提示-优先受偿-5</t>
  </si>
  <si>
    <t>致函-特别提示-6</t>
  </si>
  <si>
    <t>致函-特别提示-7</t>
  </si>
  <si>
    <t>致函-估价结果-表2-地（名称）</t>
    <phoneticPr fontId="141" type="noConversion"/>
  </si>
  <si>
    <t>致函-估价结果-表2-建（名称）</t>
    <phoneticPr fontId="141" type="noConversion"/>
  </si>
  <si>
    <t>致函-估价结果-表2-土地面积（名称）</t>
    <phoneticPr fontId="141" type="noConversion"/>
  </si>
  <si>
    <t>致函-估价结果-表1-抵押（单）</t>
    <phoneticPr fontId="141" type="noConversion"/>
  </si>
  <si>
    <t>致函-估价结果-表1-已注（单）</t>
    <phoneticPr fontId="141" type="noConversion"/>
  </si>
  <si>
    <t>致函-估价结果-表1-已注（名称）</t>
    <phoneticPr fontId="141" type="noConversion"/>
  </si>
  <si>
    <t>致函-估价结果-表1-净值（名称）</t>
    <phoneticPr fontId="141" type="noConversion"/>
  </si>
  <si>
    <t>致函-估价结果-表2-建（大）</t>
  </si>
  <si>
    <t>致函-估价结果-表2-已注（名称）</t>
    <phoneticPr fontId="141" type="noConversion"/>
  </si>
  <si>
    <t>致函-估价结果-表2-净值（名称）</t>
    <phoneticPr fontId="141" type="noConversion"/>
  </si>
  <si>
    <t>本次估价的“房地产抵押价值”是指估价对象在价值时点的“房地产价值”扣减估价师于价值时点所知悉的法定优先受偿款后的余额。</t>
    <phoneticPr fontId="83" type="noConversion"/>
  </si>
  <si>
    <t>本次估价的“抵押担保权已注销时的房地产抵押价值”是指估价对象在价值时点的“房地产价值”扣减估价师于价值时点所知悉的除抵押担保权以外的其他法定优先受偿款后的余额。</t>
    <phoneticPr fontId="83" type="noConversion"/>
  </si>
  <si>
    <t>本次估价的“抵押净值”是指估价对象“房地产抵押价值”减去估价对象在价值时点以“房地产销售收入”为基数计算的预计抵押权实现进行处置时需缴纳的各项费用、税金等相关费用后的价值。</t>
    <phoneticPr fontId="83" type="noConversion"/>
  </si>
  <si>
    <t>为估价委托人了解估价对象房地产市场价值提供参考依据。</t>
    <phoneticPr fontId="16" type="noConversion"/>
  </si>
  <si>
    <t>抵押净值</t>
  </si>
  <si>
    <t>本次估价的“房地产抵押价值”是指估价对象在价值时点的“房地产价值”扣减估价师于价值时点所知悉的法定优先受偿款后的余额。本次估价的“抵押担保权已注销时的房地产抵押价值”是指估价对象在价值时点的“房地产价值”扣减估价师于价值时点所知悉的除抵押担保权以外的其他法定优先受偿款后的余额。</t>
    <phoneticPr fontId="83" type="noConversion"/>
  </si>
  <si>
    <t>致函-估价结果-表1-优先（名称）</t>
    <phoneticPr fontId="141" type="noConversion"/>
  </si>
  <si>
    <t>致函-估价结果-表2-建筑面积（名称）</t>
    <phoneticPr fontId="141" type="noConversion"/>
  </si>
  <si>
    <t>致函-估价结果-表2-建筑面积</t>
    <phoneticPr fontId="141" type="noConversion"/>
  </si>
  <si>
    <t>致函-估价结果-表2-项目名称</t>
    <phoneticPr fontId="141" type="noConversion"/>
  </si>
  <si>
    <t>致函-估价结果-表1-抵押（名称）</t>
    <phoneticPr fontId="141" type="noConversion"/>
  </si>
  <si>
    <t>致函-估价结果-表1-抵押（总）</t>
    <phoneticPr fontId="141" type="noConversion"/>
  </si>
  <si>
    <t>致函-估价结果-表1-优先（总）</t>
    <phoneticPr fontId="141" type="noConversion"/>
  </si>
  <si>
    <t>致函-估价结果-表1-已注（总）</t>
    <phoneticPr fontId="141" type="noConversion"/>
  </si>
  <si>
    <t>致函-估价结果-表1-净值（总）</t>
    <phoneticPr fontId="141" type="noConversion"/>
  </si>
  <si>
    <t>致函-估价结果-表2-抵押（名称）</t>
    <phoneticPr fontId="133" type="noConversion"/>
  </si>
  <si>
    <t>致函-估价结果-表2-优先（名称）</t>
    <phoneticPr fontId="141" type="noConversion"/>
  </si>
  <si>
    <r>
      <rPr>
        <b/>
        <sz val="12"/>
        <color theme="1"/>
        <rFont val="宋体"/>
        <family val="3"/>
        <charset val="134"/>
      </rPr>
      <t>复制粘帖</t>
    </r>
    <r>
      <rPr>
        <b/>
        <i/>
        <sz val="12"/>
        <color theme="9" tint="-0.249977111117893"/>
        <rFont val="Arial"/>
        <family val="2"/>
      </rPr>
      <t>“</t>
    </r>
    <r>
      <rPr>
        <b/>
        <i/>
        <sz val="12"/>
        <color theme="9" tint="-0.249977111117893"/>
        <rFont val="宋体"/>
        <family val="3"/>
        <charset val="134"/>
      </rPr>
      <t>值</t>
    </r>
    <r>
      <rPr>
        <b/>
        <i/>
        <sz val="12"/>
        <color theme="9" tint="-0.249977111117893"/>
        <rFont val="Arial"/>
        <family val="2"/>
      </rPr>
      <t>(V)”</t>
    </r>
    <r>
      <rPr>
        <b/>
        <sz val="12"/>
        <color theme="1"/>
        <rFont val="宋体"/>
        <family val="3"/>
        <charset val="134"/>
      </rPr>
      <t>至</t>
    </r>
    <r>
      <rPr>
        <b/>
        <i/>
        <sz val="12"/>
        <color theme="3" tint="0.39997558519241921"/>
        <rFont val="Arial"/>
        <family val="2"/>
      </rPr>
      <t>“</t>
    </r>
    <r>
      <rPr>
        <b/>
        <i/>
        <sz val="12"/>
        <color theme="3" tint="0.39997558519241921"/>
        <rFont val="宋体"/>
        <family val="3"/>
        <charset val="134"/>
      </rPr>
      <t>致函链接表</t>
    </r>
    <r>
      <rPr>
        <b/>
        <i/>
        <sz val="12"/>
        <color theme="3" tint="0.39997558519241921"/>
        <rFont val="Arial"/>
        <family val="2"/>
      </rPr>
      <t>”</t>
    </r>
    <phoneticPr fontId="141" type="noConversion"/>
  </si>
  <si>
    <t>致函-其他专业人员</t>
    <phoneticPr fontId="133" type="noConversion"/>
  </si>
  <si>
    <t>价值时点</t>
    <phoneticPr fontId="3" type="noConversion"/>
  </si>
  <si>
    <t>开发期</t>
    <phoneticPr fontId="133" type="noConversion"/>
  </si>
  <si>
    <t>贷款利率</t>
    <phoneticPr fontId="3" type="noConversion"/>
  </si>
  <si>
    <t>贷款利率</t>
    <phoneticPr fontId="133" type="noConversion"/>
  </si>
  <si>
    <t>存款利率</t>
    <phoneticPr fontId="133" type="noConversion"/>
  </si>
  <si>
    <t>半年以内（含）</t>
    <phoneticPr fontId="3" type="noConversion"/>
  </si>
  <si>
    <t>0.5-1年（含）</t>
    <phoneticPr fontId="3" type="noConversion"/>
  </si>
  <si>
    <t>1-3年（含）</t>
    <phoneticPr fontId="3" type="noConversion"/>
  </si>
  <si>
    <t>3-5年（含）</t>
    <phoneticPr fontId="3" type="noConversion"/>
  </si>
  <si>
    <t>5年以上</t>
    <phoneticPr fontId="3" type="noConversion"/>
  </si>
  <si>
    <t>更新利率时，不要插入或删减行，会影响公式判断。当期行（13行）为固定行，只录入当期数据，如有更新，需要将历史数据从第14行起复制黏贴</t>
    <phoneticPr fontId="133" type="noConversion"/>
  </si>
  <si>
    <r>
      <rPr>
        <b/>
        <sz val="18"/>
        <color indexed="10"/>
        <rFont val="΢ȭхڬˎ̥"/>
        <family val="3"/>
        <charset val="134"/>
      </rPr>
      <t>贷</t>
    </r>
    <r>
      <rPr>
        <b/>
        <sz val="16"/>
        <rFont val="΢ȭхڬˎ̥"/>
        <family val="3"/>
        <charset val="134"/>
      </rPr>
      <t>款利率</t>
    </r>
  </si>
  <si>
    <r>
      <rPr>
        <b/>
        <sz val="18"/>
        <color indexed="10"/>
        <rFont val="΢ȭхڬˎ̥"/>
        <family val="3"/>
        <charset val="134"/>
      </rPr>
      <t>存</t>
    </r>
    <r>
      <rPr>
        <b/>
        <sz val="16"/>
        <rFont val="΢ȭхڬˎ̥"/>
        <family val="3"/>
        <charset val="134"/>
      </rPr>
      <t>款利率</t>
    </r>
  </si>
  <si>
    <t>序列</t>
    <phoneticPr fontId="3" type="noConversion"/>
  </si>
  <si>
    <t>日期</t>
  </si>
  <si>
    <t>短期</t>
  </si>
  <si>
    <t>中长期</t>
  </si>
  <si>
    <t>个人住房公积金</t>
  </si>
  <si>
    <t>活期</t>
  </si>
  <si>
    <t>整存整取</t>
  </si>
  <si>
    <t>零存整取</t>
    <phoneticPr fontId="3" type="noConversion"/>
  </si>
  <si>
    <t>协定</t>
  </si>
  <si>
    <t>一天通</t>
  </si>
  <si>
    <t>七天通</t>
  </si>
  <si>
    <t>0半年以内（含）</t>
    <phoneticPr fontId="3" type="noConversion"/>
  </si>
  <si>
    <t>0.5-1年（含）</t>
    <phoneticPr fontId="3" type="noConversion"/>
  </si>
  <si>
    <t>1-3年（含）</t>
    <phoneticPr fontId="3" type="noConversion"/>
  </si>
  <si>
    <t>3-5年（含）</t>
    <phoneticPr fontId="3" type="noConversion"/>
  </si>
  <si>
    <t>5年以</t>
  </si>
  <si>
    <t>3个月</t>
  </si>
  <si>
    <t>当期</t>
  </si>
  <si>
    <t>--</t>
  </si>
  <si>
    <t>1年期存款利率</t>
    <phoneticPr fontId="3" type="noConversion"/>
  </si>
  <si>
    <t>A</t>
    <phoneticPr fontId="16" type="noConversion"/>
  </si>
  <si>
    <t>B</t>
    <phoneticPr fontId="16" type="noConversion"/>
  </si>
  <si>
    <t>C</t>
    <phoneticPr fontId="18" type="noConversion"/>
  </si>
  <si>
    <t>D</t>
    <phoneticPr fontId="18" type="noConversion"/>
  </si>
  <si>
    <t>E</t>
    <phoneticPr fontId="18" type="noConversion"/>
  </si>
  <si>
    <r>
      <t>3</t>
    </r>
    <r>
      <rPr>
        <sz val="11"/>
        <color theme="1"/>
        <rFont val="宋体"/>
        <family val="3"/>
        <charset val="134"/>
      </rPr>
      <t>）</t>
    </r>
    <phoneticPr fontId="16" type="noConversion"/>
  </si>
  <si>
    <t>估价对象10</t>
  </si>
  <si>
    <t>估价对象9</t>
  </si>
  <si>
    <t>估价对象8</t>
  </si>
  <si>
    <t>估价对象7</t>
  </si>
  <si>
    <t>估价对象6</t>
  </si>
  <si>
    <t>估价对象5</t>
  </si>
  <si>
    <t>估价对象4</t>
  </si>
  <si>
    <t>估价对象3</t>
  </si>
  <si>
    <t>估价对象2</t>
    <phoneticPr fontId="133" type="noConversion"/>
  </si>
  <si>
    <t>估价对象1（本表）</t>
    <phoneticPr fontId="133" type="noConversion"/>
  </si>
  <si>
    <t>抵押净值（万元）</t>
    <phoneticPr fontId="133" type="noConversion"/>
  </si>
  <si>
    <t>抵押价值（万元）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</si>
  <si>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</si>
  <si>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租金</t>
    <phoneticPr fontId="133" type="noConversion"/>
  </si>
  <si>
    <t>总投</t>
    <phoneticPr fontId="133" type="noConversion"/>
  </si>
  <si>
    <t>抵押价值</t>
  </si>
  <si>
    <t>市场价值</t>
  </si>
  <si>
    <t>地面单价（元/平方米）</t>
    <phoneticPr fontId="133" type="noConversion"/>
  </si>
  <si>
    <t>楼面单价（元/平方米）</t>
  </si>
  <si>
    <t>总价（万元）</t>
  </si>
  <si>
    <t>价值类型</t>
  </si>
  <si>
    <t>价值时点/估价期日</t>
    <phoneticPr fontId="133" type="noConversion"/>
  </si>
  <si>
    <t>抵押价值-已注销（万元）</t>
    <phoneticPr fontId="133" type="noConversion"/>
  </si>
  <si>
    <t>抵押价值-已注销</t>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</si>
  <si>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</si>
  <si>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r>
      <t>（规划）建筑面积（m</t>
    </r>
    <r>
      <rPr>
        <b/>
        <vertAlign val="superscript"/>
        <sz val="8"/>
        <color rgb="FF666666"/>
        <rFont val="微软雅黑"/>
        <family val="2"/>
        <charset val="134"/>
      </rPr>
      <t>2</t>
    </r>
    <r>
      <rPr>
        <b/>
        <sz val="11"/>
        <color rgb="FF666666"/>
        <rFont val="微软雅黑"/>
        <family val="2"/>
        <charset val="134"/>
      </rPr>
      <t>）</t>
    </r>
    <phoneticPr fontId="133" type="noConversion"/>
  </si>
  <si>
    <t>市场价值（万元）</t>
    <phoneticPr fontId="133" type="noConversion"/>
  </si>
  <si>
    <r>
      <t>（分摊）土地面积（m</t>
    </r>
    <r>
      <rPr>
        <b/>
        <vertAlign val="superscript"/>
        <sz val="8"/>
        <color rgb="FF666666"/>
        <rFont val="微软雅黑"/>
        <family val="2"/>
        <charset val="134"/>
      </rPr>
      <t>2</t>
    </r>
    <r>
      <rPr>
        <b/>
        <sz val="11"/>
        <color rgb="FF666666"/>
        <rFont val="微软雅黑"/>
        <family val="2"/>
        <charset val="134"/>
      </rPr>
      <t>）</t>
    </r>
    <phoneticPr fontId="133" type="noConversion"/>
  </si>
  <si>
    <t>项目名称</t>
    <phoneticPr fontId="133" type="noConversion"/>
  </si>
  <si>
    <t>重置成新价</t>
    <phoneticPr fontId="133" type="noConversion"/>
  </si>
  <si>
    <r>
      <t>2016</t>
    </r>
    <r>
      <rPr>
        <sz val="10"/>
        <color rgb="FFFF0000"/>
        <rFont val="宋体"/>
        <family val="3"/>
        <charset val="134"/>
      </rPr>
      <t>年</t>
    </r>
    <r>
      <rPr>
        <sz val="10"/>
        <color rgb="FFFF0000"/>
        <rFont val="Arial"/>
        <family val="2"/>
      </rPr>
      <t>5</t>
    </r>
    <r>
      <rPr>
        <sz val="10"/>
        <color rgb="FFFF0000"/>
        <rFont val="宋体"/>
        <family val="3"/>
        <charset val="134"/>
      </rPr>
      <t>月</t>
    </r>
    <r>
      <rPr>
        <sz val="10"/>
        <color rgb="FFFF0000"/>
        <rFont val="Arial"/>
        <family val="2"/>
      </rPr>
      <t>1</t>
    </r>
    <r>
      <rPr>
        <sz val="10"/>
        <color rgb="FFFF0000"/>
        <rFont val="宋体"/>
        <family val="3"/>
        <charset val="134"/>
      </rPr>
      <t>日后购买的房地产请按原购房价</t>
    </r>
    <r>
      <rPr>
        <sz val="10"/>
        <color rgb="FFFF0000"/>
        <rFont val="Arial"/>
        <family val="2"/>
      </rPr>
      <t>/1.05</t>
    </r>
    <r>
      <rPr>
        <sz val="10"/>
        <color rgb="FFFF0000"/>
        <rFont val="宋体"/>
        <family val="3"/>
        <charset val="134"/>
      </rPr>
      <t>录入</t>
    </r>
    <phoneticPr fontId="3" type="noConversion"/>
  </si>
  <si>
    <t>用途</t>
  </si>
  <si>
    <t>商业</t>
  </si>
  <si>
    <t>居住</t>
  </si>
  <si>
    <t>土地级别</t>
  </si>
  <si>
    <t>商服</t>
    <phoneticPr fontId="3" type="noConversion"/>
  </si>
  <si>
    <t>2017-2</t>
    <phoneticPr fontId="3" type="noConversion"/>
  </si>
  <si>
    <r>
      <rPr>
        <sz val="12"/>
        <rFont val="宋体"/>
        <family val="3"/>
        <charset val="134"/>
      </rPr>
      <t>收益年期</t>
    </r>
    <r>
      <rPr>
        <sz val="12"/>
        <rFont val="Arial"/>
        <family val="2"/>
      </rPr>
      <t>(</t>
    </r>
    <r>
      <rPr>
        <sz val="12"/>
        <rFont val="宋体"/>
        <family val="3"/>
        <charset val="134"/>
      </rPr>
      <t>总</t>
    </r>
    <r>
      <rPr>
        <sz val="12"/>
        <rFont val="Arial"/>
        <family val="2"/>
      </rPr>
      <t>)</t>
    </r>
    <phoneticPr fontId="3" type="noConversion"/>
  </si>
  <si>
    <r>
      <rPr>
        <i/>
        <sz val="10"/>
        <color indexed="8"/>
        <rFont val="宋体"/>
        <family val="3"/>
        <charset val="134"/>
      </rPr>
      <t>（自定义押金）</t>
    </r>
    <r>
      <rPr>
        <b/>
        <i/>
        <sz val="10"/>
        <color rgb="FFFF0000"/>
        <rFont val="宋体"/>
        <family val="3"/>
        <charset val="134"/>
      </rPr>
      <t>单位：元</t>
    </r>
    <phoneticPr fontId="3" type="noConversion"/>
  </si>
  <si>
    <r>
      <t>3</t>
    </r>
    <r>
      <rPr>
        <sz val="10"/>
        <color indexed="8"/>
        <rFont val="宋体"/>
        <family val="3"/>
        <charset val="134"/>
      </rPr>
      <t>）</t>
    </r>
    <phoneticPr fontId="3" type="noConversion"/>
  </si>
  <si>
    <r>
      <t>4</t>
    </r>
    <r>
      <rPr>
        <sz val="10"/>
        <color indexed="8"/>
        <rFont val="宋体"/>
        <family val="3"/>
        <charset val="134"/>
      </rPr>
      <t>）</t>
    </r>
    <phoneticPr fontId="3" type="noConversion"/>
  </si>
  <si>
    <r>
      <t>5</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</si>
  <si>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</si>
  <si>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sz val="10"/>
        <color indexed="8"/>
        <rFont val="宋体"/>
        <family val="3"/>
        <charset val="134"/>
      </rPr>
      <t>（</t>
    </r>
    <r>
      <rPr>
        <sz val="10"/>
        <color indexed="8"/>
        <rFont val="Arial"/>
        <family val="2"/>
      </rPr>
      <t>4</t>
    </r>
    <r>
      <rPr>
        <sz val="10"/>
        <color indexed="8"/>
        <rFont val="宋体"/>
        <family val="3"/>
        <charset val="134"/>
      </rPr>
      <t>）</t>
    </r>
    <phoneticPr fontId="3" type="noConversion"/>
  </si>
  <si>
    <r>
      <rPr>
        <b/>
        <sz val="12"/>
        <rFont val="宋体"/>
        <family val="3"/>
        <charset val="134"/>
      </rPr>
      <t>总价</t>
    </r>
    <phoneticPr fontId="18" type="noConversion"/>
  </si>
  <si>
    <r>
      <rPr>
        <b/>
        <sz val="12"/>
        <rFont val="宋体"/>
        <family val="3"/>
        <charset val="134"/>
      </rPr>
      <t>楼面单价</t>
    </r>
    <phoneticPr fontId="18"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</si>
  <si>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</si>
  <si>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</si>
  <si>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</si>
  <si>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</si>
  <si>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</si>
  <si>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</si>
  <si>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</si>
  <si>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sz val="10"/>
        <color indexed="8"/>
        <rFont val="宋体"/>
        <family val="3"/>
        <charset val="134"/>
      </rPr>
      <t>年租金收入（年经营收入）</t>
    </r>
    <phoneticPr fontId="3" type="noConversion"/>
  </si>
  <si>
    <r>
      <rPr>
        <sz val="10"/>
        <color indexed="8"/>
        <rFont val="宋体"/>
        <family val="3"/>
        <charset val="134"/>
      </rPr>
      <t>租金</t>
    </r>
    <r>
      <rPr>
        <sz val="10"/>
        <color indexed="8"/>
        <rFont val="Arial"/>
        <family val="2"/>
      </rPr>
      <t>×</t>
    </r>
    <r>
      <rPr>
        <sz val="10"/>
        <color indexed="8"/>
        <rFont val="宋体"/>
        <family val="3"/>
        <charset val="134"/>
      </rPr>
      <t>月数</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</si>
  <si>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phoneticPr fontId="3" type="noConversion"/>
  </si>
  <si>
    <r>
      <rPr>
        <sz val="10"/>
        <color indexed="8"/>
        <rFont val="宋体"/>
        <family val="3"/>
        <charset val="134"/>
      </rPr>
      <t>面积</t>
    </r>
    <r>
      <rPr>
        <sz val="10"/>
        <color indexed="8"/>
        <rFont val="Arial"/>
        <family val="2"/>
      </rPr>
      <t>/</t>
    </r>
    <r>
      <rPr>
        <sz val="10"/>
        <color indexed="8"/>
        <rFont val="宋体"/>
        <family val="3"/>
        <charset val="134"/>
      </rPr>
      <t>个数</t>
    </r>
    <phoneticPr fontId="3" type="noConversion"/>
  </si>
  <si>
    <r>
      <rPr>
        <sz val="10"/>
        <color indexed="8"/>
        <rFont val="宋体"/>
        <family val="3"/>
        <charset val="134"/>
      </rPr>
      <t>天</t>
    </r>
    <r>
      <rPr>
        <sz val="10"/>
        <color indexed="8"/>
        <rFont val="Arial"/>
        <family val="2"/>
      </rPr>
      <t>/</t>
    </r>
    <r>
      <rPr>
        <sz val="10"/>
        <color indexed="8"/>
        <rFont val="宋体"/>
        <family val="3"/>
        <charset val="134"/>
      </rPr>
      <t>月</t>
    </r>
    <phoneticPr fontId="3" type="noConversion"/>
  </si>
  <si>
    <r>
      <rPr>
        <sz val="10"/>
        <color indexed="8"/>
        <rFont val="宋体"/>
        <family val="3"/>
        <charset val="134"/>
      </rPr>
      <t>空置率（</t>
    </r>
    <r>
      <rPr>
        <sz val="10"/>
        <color indexed="8"/>
        <rFont val="Arial"/>
        <family val="2"/>
      </rPr>
      <t>%</t>
    </r>
    <r>
      <rPr>
        <sz val="10"/>
        <color indexed="8"/>
        <rFont val="宋体"/>
        <family val="3"/>
        <charset val="134"/>
      </rPr>
      <t>）</t>
    </r>
    <phoneticPr fontId="3" type="noConversion"/>
  </si>
  <si>
    <r>
      <rPr>
        <sz val="10"/>
        <color indexed="8"/>
        <rFont val="宋体"/>
        <family val="3"/>
        <charset val="134"/>
      </rPr>
      <t>押金利息收入</t>
    </r>
    <phoneticPr fontId="3" type="noConversion"/>
  </si>
  <si>
    <r>
      <rPr>
        <sz val="10"/>
        <color indexed="8"/>
        <rFont val="宋体"/>
        <family val="3"/>
        <charset val="134"/>
      </rPr>
      <t>押金方式</t>
    </r>
    <phoneticPr fontId="3" type="noConversion"/>
  </si>
  <si>
    <r>
      <rPr>
        <sz val="10"/>
        <color indexed="8"/>
        <rFont val="宋体"/>
        <family val="3"/>
        <charset val="134"/>
      </rPr>
      <t>一年期存款利率</t>
    </r>
    <phoneticPr fontId="3" type="noConversion"/>
  </si>
  <si>
    <r>
      <rPr>
        <sz val="10"/>
        <color indexed="8"/>
        <rFont val="宋体"/>
        <family val="3"/>
        <charset val="134"/>
      </rPr>
      <t>其他收入</t>
    </r>
    <phoneticPr fontId="3" type="noConversion"/>
  </si>
  <si>
    <r>
      <rPr>
        <b/>
        <sz val="10"/>
        <color indexed="8"/>
        <rFont val="宋体"/>
        <family val="3"/>
        <charset val="134"/>
      </rPr>
      <t>建筑物现值</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</si>
  <si>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成新度</t>
    </r>
    <phoneticPr fontId="3" type="noConversion"/>
  </si>
  <si>
    <r>
      <rPr>
        <sz val="10"/>
        <color indexed="8"/>
        <rFont val="宋体"/>
        <family val="3"/>
        <charset val="134"/>
      </rPr>
      <t>成新度（</t>
    </r>
    <r>
      <rPr>
        <sz val="10"/>
        <color indexed="8"/>
        <rFont val="Arial"/>
        <family val="2"/>
      </rPr>
      <t>%</t>
    </r>
    <r>
      <rPr>
        <sz val="10"/>
        <color indexed="8"/>
        <rFont val="宋体"/>
        <family val="3"/>
        <charset val="134"/>
      </rPr>
      <t>）</t>
    </r>
    <phoneticPr fontId="3" type="noConversion"/>
  </si>
  <si>
    <r>
      <rPr>
        <sz val="10"/>
        <color indexed="8"/>
        <rFont val="宋体"/>
        <family val="3"/>
        <charset val="134"/>
      </rPr>
      <t>建安费用</t>
    </r>
  </si>
  <si>
    <r>
      <rPr>
        <sz val="10"/>
        <color indexed="8"/>
        <rFont val="宋体"/>
        <family val="3"/>
        <charset val="134"/>
      </rPr>
      <t>建安单价</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</si>
  <si>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建筑物重置价值</t>
    </r>
    <phoneticPr fontId="3" type="noConversion"/>
  </si>
  <si>
    <r>
      <rPr>
        <sz val="10"/>
        <color indexed="8"/>
        <rFont val="宋体"/>
        <family val="3"/>
        <charset val="134"/>
      </rPr>
      <t>勘察设计和前期工程费</t>
    </r>
  </si>
  <si>
    <r>
      <rPr>
        <sz val="10"/>
        <color indexed="8"/>
        <rFont val="宋体"/>
        <family val="3"/>
        <charset val="134"/>
      </rPr>
      <t>建安费用</t>
    </r>
    <r>
      <rPr>
        <sz val="10"/>
        <color indexed="8"/>
        <rFont val="Arial"/>
        <family val="2"/>
      </rPr>
      <t>×</t>
    </r>
    <r>
      <rPr>
        <sz val="10"/>
        <color indexed="8"/>
        <rFont val="宋体"/>
        <family val="3"/>
        <charset val="134"/>
      </rPr>
      <t>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</si>
  <si>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</si>
  <si>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rPr>
        <sz val="10"/>
        <color indexed="8"/>
        <rFont val="宋体"/>
        <family val="3"/>
        <charset val="134"/>
      </rPr>
      <t>公共配套设施费用</t>
    </r>
  </si>
  <si>
    <r>
      <rPr>
        <b/>
        <sz val="10"/>
        <color indexed="8"/>
        <rFont val="宋体"/>
        <family val="3"/>
        <charset val="134"/>
      </rPr>
      <t>年经营费用</t>
    </r>
    <phoneticPr fontId="3" type="noConversion"/>
  </si>
  <si>
    <r>
      <rPr>
        <sz val="10"/>
        <color indexed="8"/>
        <rFont val="宋体"/>
        <family val="3"/>
        <charset val="134"/>
      </rPr>
      <t>税费</t>
    </r>
    <r>
      <rPr>
        <sz val="10"/>
        <color indexed="8"/>
        <rFont val="Arial"/>
        <family val="2"/>
      </rPr>
      <t>+</t>
    </r>
    <r>
      <rPr>
        <sz val="10"/>
        <color indexed="8"/>
        <rFont val="宋体"/>
        <family val="3"/>
        <charset val="134"/>
      </rPr>
      <t>维修费</t>
    </r>
    <r>
      <rPr>
        <sz val="10"/>
        <color indexed="8"/>
        <rFont val="Arial"/>
        <family val="2"/>
      </rPr>
      <t>+</t>
    </r>
    <r>
      <rPr>
        <sz val="10"/>
        <color indexed="8"/>
        <rFont val="宋体"/>
        <family val="3"/>
        <charset val="134"/>
      </rPr>
      <t>保险费</t>
    </r>
    <r>
      <rPr>
        <sz val="10"/>
        <color indexed="8"/>
        <rFont val="Arial"/>
        <family val="2"/>
      </rPr>
      <t>+</t>
    </r>
    <r>
      <rPr>
        <sz val="10"/>
        <color indexed="8"/>
        <rFont val="宋体"/>
        <family val="3"/>
        <charset val="134"/>
      </rPr>
      <t>管理费</t>
    </r>
    <phoneticPr fontId="3" type="noConversion"/>
  </si>
  <si>
    <r>
      <rPr>
        <sz val="10"/>
        <color indexed="8"/>
        <rFont val="宋体"/>
        <family val="3"/>
        <charset val="134"/>
      </rPr>
      <t>基础设施建设费</t>
    </r>
  </si>
  <si>
    <r>
      <rPr>
        <sz val="10"/>
        <color indexed="8"/>
        <rFont val="宋体"/>
        <family val="3"/>
        <charset val="134"/>
      </rPr>
      <t>建筑面积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</si>
  <si>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市政费用（元</t>
    </r>
    <r>
      <rPr>
        <sz val="10"/>
        <color indexed="8"/>
        <rFont val="Arial"/>
        <family val="2"/>
      </rPr>
      <t>/</t>
    </r>
    <r>
      <rPr>
        <sz val="10"/>
        <color indexed="8"/>
        <rFont val="宋体"/>
        <family val="3"/>
        <charset val="134"/>
      </rPr>
      <t>㎡）</t>
    </r>
    <phoneticPr fontId="3" type="noConversion"/>
  </si>
  <si>
    <r>
      <rPr>
        <sz val="10"/>
        <color indexed="8"/>
        <rFont val="宋体"/>
        <family val="3"/>
        <charset val="134"/>
      </rPr>
      <t>税</t>
    </r>
    <r>
      <rPr>
        <sz val="10"/>
        <color indexed="8"/>
        <rFont val="Arial"/>
        <family val="2"/>
      </rPr>
      <t xml:space="preserve">  </t>
    </r>
    <r>
      <rPr>
        <sz val="10"/>
        <color indexed="8"/>
        <rFont val="宋体"/>
        <family val="3"/>
        <charset val="134"/>
      </rPr>
      <t>费</t>
    </r>
  </si>
  <si>
    <r>
      <rPr>
        <sz val="10"/>
        <color indexed="8"/>
        <rFont val="宋体"/>
        <family val="3"/>
        <charset val="134"/>
      </rPr>
      <t>两税一费</t>
    </r>
    <r>
      <rPr>
        <sz val="10"/>
        <color indexed="8"/>
        <rFont val="Arial"/>
        <family val="2"/>
      </rPr>
      <t>+</t>
    </r>
    <r>
      <rPr>
        <sz val="10"/>
        <color indexed="8"/>
        <rFont val="宋体"/>
        <family val="3"/>
        <charset val="134"/>
      </rPr>
      <t>房产税</t>
    </r>
    <r>
      <rPr>
        <sz val="10"/>
        <color indexed="8"/>
        <rFont val="Arial"/>
        <family val="2"/>
      </rPr>
      <t>+</t>
    </r>
    <r>
      <rPr>
        <sz val="10"/>
        <color indexed="8"/>
        <rFont val="宋体"/>
        <family val="3"/>
        <charset val="134"/>
      </rPr>
      <t>城镇土地使用税</t>
    </r>
    <phoneticPr fontId="3" type="noConversion"/>
  </si>
  <si>
    <r>
      <rPr>
        <sz val="10"/>
        <color indexed="8"/>
        <rFont val="宋体"/>
        <family val="3"/>
        <charset val="134"/>
      </rPr>
      <t>综合税率</t>
    </r>
    <phoneticPr fontId="3" type="noConversion"/>
  </si>
  <si>
    <r>
      <rPr>
        <sz val="10"/>
        <color indexed="8"/>
        <rFont val="宋体"/>
        <family val="3"/>
        <charset val="134"/>
      </rPr>
      <t>相关税费</t>
    </r>
  </si>
  <si>
    <r>
      <rPr>
        <sz val="10"/>
        <color indexed="8"/>
        <rFont val="宋体"/>
        <family val="3"/>
        <charset val="134"/>
      </rPr>
      <t>两税两费</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</si>
  <si>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</si>
  <si>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建造成本</t>
    </r>
  </si>
  <si>
    <r>
      <rPr>
        <sz val="10"/>
        <color indexed="8"/>
        <rFont val="宋体"/>
        <family val="3"/>
        <charset val="134"/>
      </rPr>
      <t>建安费用</t>
    </r>
    <r>
      <rPr>
        <sz val="10"/>
        <color indexed="8"/>
        <rFont val="Arial"/>
        <family val="2"/>
      </rPr>
      <t>+</t>
    </r>
    <r>
      <rPr>
        <sz val="10"/>
        <color indexed="8"/>
        <rFont val="宋体"/>
        <family val="3"/>
        <charset val="134"/>
      </rPr>
      <t>公共配套设施费用</t>
    </r>
    <r>
      <rPr>
        <sz val="10"/>
        <color indexed="8"/>
        <rFont val="Arial"/>
        <family val="2"/>
      </rPr>
      <t>+</t>
    </r>
    <r>
      <rPr>
        <sz val="10"/>
        <color indexed="8"/>
        <rFont val="宋体"/>
        <family val="3"/>
        <charset val="134"/>
      </rPr>
      <t>基础设施建设费</t>
    </r>
    <r>
      <rPr>
        <sz val="10"/>
        <color indexed="8"/>
        <rFont val="Arial"/>
        <family val="2"/>
      </rPr>
      <t>+</t>
    </r>
    <r>
      <rPr>
        <sz val="10"/>
        <color indexed="8"/>
        <rFont val="宋体"/>
        <family val="3"/>
        <charset val="134"/>
      </rPr>
      <t>相关税费</t>
    </r>
    <phoneticPr fontId="3" type="noConversion"/>
  </si>
  <si>
    <r>
      <rPr>
        <sz val="10"/>
        <color indexed="8"/>
        <rFont val="宋体"/>
        <family val="3"/>
        <charset val="134"/>
      </rPr>
      <t>房产税</t>
    </r>
    <phoneticPr fontId="3" type="noConversion"/>
  </si>
  <si>
    <r>
      <rPr>
        <sz val="10"/>
        <color indexed="8"/>
        <rFont val="宋体"/>
        <family val="3"/>
        <charset val="134"/>
      </rPr>
      <t>管理费用</t>
    </r>
  </si>
  <si>
    <r>
      <rPr>
        <sz val="10"/>
        <color indexed="8"/>
        <rFont val="宋体"/>
        <family val="3"/>
        <charset val="134"/>
      </rPr>
      <t>建造成本</t>
    </r>
    <r>
      <rPr>
        <sz val="10"/>
        <color indexed="8"/>
        <rFont val="Arial"/>
        <family val="2"/>
      </rPr>
      <t>×</t>
    </r>
    <r>
      <rPr>
        <sz val="10"/>
        <color indexed="8"/>
        <rFont val="宋体"/>
        <family val="3"/>
        <charset val="134"/>
      </rPr>
      <t>费率</t>
    </r>
    <phoneticPr fontId="3" type="noConversion"/>
  </si>
  <si>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</si>
  <si>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</si>
  <si>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</si>
  <si>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销售费用</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</si>
  <si>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费率</t>
    </r>
    <phoneticPr fontId="3" type="noConversion"/>
  </si>
  <si>
    <r>
      <rPr>
        <sz val="10"/>
        <color indexed="8"/>
        <rFont val="宋体"/>
        <family val="3"/>
        <charset val="134"/>
      </rPr>
      <t>销售费率（</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</si>
  <si>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</si>
  <si>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贷款利息</t>
    </r>
    <phoneticPr fontId="3" type="noConversion"/>
  </si>
  <si>
    <r>
      <rPr>
        <sz val="10"/>
        <color indexed="8"/>
        <rFont val="宋体"/>
        <family val="3"/>
        <charset val="134"/>
      </rPr>
      <t>维修费</t>
    </r>
    <phoneticPr fontId="3" type="noConversion"/>
  </si>
  <si>
    <r>
      <rPr>
        <sz val="10"/>
        <color indexed="8"/>
        <rFont val="宋体"/>
        <family val="3"/>
        <charset val="134"/>
      </rPr>
      <t>建筑物重置价值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</si>
  <si>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）项产生的利息</t>
    </r>
    <phoneticPr fontId="3" type="noConversion"/>
  </si>
  <si>
    <r>
      <rPr>
        <sz val="10"/>
        <color indexed="8"/>
        <rFont val="宋体"/>
        <family val="3"/>
        <charset val="134"/>
      </rPr>
      <t>建设周期（年）</t>
    </r>
    <phoneticPr fontId="3" type="noConversion"/>
  </si>
  <si>
    <r>
      <rPr>
        <sz val="10"/>
        <color indexed="8"/>
        <rFont val="宋体"/>
        <family val="3"/>
        <charset val="134"/>
      </rPr>
      <t>保险费</t>
    </r>
  </si>
  <si>
    <r>
      <rPr>
        <sz val="10"/>
        <color indexed="8"/>
        <rFont val="宋体"/>
        <family val="3"/>
        <charset val="134"/>
      </rPr>
      <t>现值</t>
    </r>
    <r>
      <rPr>
        <sz val="10"/>
        <color indexed="8"/>
        <rFont val="Arial"/>
        <family val="2"/>
      </rPr>
      <t>×</t>
    </r>
    <r>
      <rPr>
        <sz val="10"/>
        <color indexed="8"/>
        <rFont val="宋体"/>
        <family val="3"/>
        <charset val="134"/>
      </rPr>
      <t>保险费率</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</si>
  <si>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</si>
  <si>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2</t>
    </r>
    <r>
      <rPr>
        <sz val="10"/>
        <color indexed="8"/>
        <rFont val="宋体"/>
        <family val="3"/>
        <charset val="134"/>
      </rPr>
      <t>）</t>
    </r>
    <phoneticPr fontId="3" type="noConversion"/>
  </si>
  <si>
    <r>
      <rPr>
        <sz val="10"/>
        <color indexed="8"/>
        <rFont val="宋体"/>
        <family val="3"/>
        <charset val="134"/>
      </rPr>
      <t>销售费用产生的利息</t>
    </r>
    <phoneticPr fontId="3" type="noConversion"/>
  </si>
  <si>
    <r>
      <rPr>
        <sz val="10"/>
        <color indexed="8"/>
        <rFont val="宋体"/>
        <family val="3"/>
        <charset val="134"/>
      </rPr>
      <t>利息（</t>
    </r>
    <r>
      <rPr>
        <sz val="10"/>
        <color indexed="8"/>
        <rFont val="Arial"/>
        <family val="2"/>
      </rPr>
      <t>%</t>
    </r>
    <r>
      <rPr>
        <sz val="10"/>
        <color indexed="8"/>
        <rFont val="宋体"/>
        <family val="3"/>
        <charset val="134"/>
      </rPr>
      <t>）</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</si>
  <si>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</si>
  <si>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color indexed="8"/>
        <rFont val="宋体"/>
        <family val="3"/>
        <charset val="134"/>
      </rPr>
      <t>（</t>
    </r>
    <r>
      <rPr>
        <sz val="10"/>
        <color indexed="8"/>
        <rFont val="Arial"/>
        <family val="2"/>
      </rPr>
      <t>5</t>
    </r>
    <r>
      <rPr>
        <sz val="10"/>
        <color indexed="8"/>
        <rFont val="宋体"/>
        <family val="3"/>
        <charset val="134"/>
      </rPr>
      <t>）</t>
    </r>
    <phoneticPr fontId="3" type="noConversion"/>
  </si>
  <si>
    <r>
      <rPr>
        <sz val="10"/>
        <color indexed="8"/>
        <rFont val="宋体"/>
        <family val="3"/>
        <charset val="134"/>
      </rPr>
      <t>利润</t>
    </r>
  </si>
  <si>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</si>
  <si>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</si>
  <si>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</si>
  <si>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sz val="10"/>
        <color indexed="8"/>
        <rFont val="宋体"/>
        <family val="3"/>
        <charset val="134"/>
      </rPr>
      <t>（</t>
    </r>
    <r>
      <rPr>
        <sz val="10"/>
        <color indexed="8"/>
        <rFont val="Arial"/>
        <family val="2"/>
      </rPr>
      <t>1</t>
    </r>
    <r>
      <rPr>
        <sz val="10"/>
        <color indexed="8"/>
        <rFont val="宋体"/>
        <family val="3"/>
        <charset val="134"/>
      </rPr>
      <t>）及（</t>
    </r>
    <r>
      <rPr>
        <sz val="10"/>
        <color indexed="8"/>
        <rFont val="Arial"/>
        <family val="2"/>
      </rPr>
      <t>2</t>
    </r>
    <r>
      <rPr>
        <sz val="10"/>
        <color indexed="8"/>
        <rFont val="宋体"/>
        <family val="3"/>
        <charset val="134"/>
      </rPr>
      <t>）项产生的利润</t>
    </r>
    <phoneticPr fontId="3" type="noConversion"/>
  </si>
  <si>
    <r>
      <rPr>
        <sz val="10"/>
        <color indexed="8"/>
        <rFont val="宋体"/>
        <family val="3"/>
        <charset val="134"/>
      </rPr>
      <t>（建造成本</t>
    </r>
    <r>
      <rPr>
        <sz val="10"/>
        <color indexed="8"/>
        <rFont val="Arial"/>
        <family val="2"/>
      </rPr>
      <t>+</t>
    </r>
    <r>
      <rPr>
        <sz val="10"/>
        <color indexed="8"/>
        <rFont val="宋体"/>
        <family val="3"/>
        <charset val="134"/>
      </rPr>
      <t>管理费用）</t>
    </r>
    <r>
      <rPr>
        <sz val="10"/>
        <color indexed="8"/>
        <rFont val="Arial"/>
        <family val="2"/>
      </rPr>
      <t>×</t>
    </r>
    <r>
      <rPr>
        <sz val="10"/>
        <color indexed="8"/>
        <rFont val="宋体"/>
        <family val="3"/>
        <charset val="134"/>
      </rPr>
      <t>利润率</t>
    </r>
    <phoneticPr fontId="3" type="noConversion"/>
  </si>
  <si>
    <r>
      <rPr>
        <sz val="10"/>
        <color indexed="8"/>
        <rFont val="宋体"/>
        <family val="3"/>
        <charset val="134"/>
      </rPr>
      <t>利润率（</t>
    </r>
    <r>
      <rPr>
        <sz val="10"/>
        <color indexed="8"/>
        <rFont val="Arial"/>
        <family val="2"/>
      </rPr>
      <t>%</t>
    </r>
    <r>
      <rPr>
        <sz val="10"/>
        <color indexed="8"/>
        <rFont val="宋体"/>
        <family val="3"/>
        <charset val="134"/>
      </rPr>
      <t>）</t>
    </r>
    <phoneticPr fontId="3" type="noConversion"/>
  </si>
  <si>
    <r>
      <rPr>
        <b/>
        <sz val="10"/>
        <color indexed="8"/>
        <rFont val="宋体"/>
        <family val="3"/>
        <charset val="134"/>
      </rPr>
      <t>租约外房地产收益价值</t>
    </r>
    <phoneticPr fontId="3" type="noConversion"/>
  </si>
  <si>
    <r>
      <rPr>
        <sz val="10"/>
        <color indexed="8"/>
        <rFont val="宋体"/>
        <family val="3"/>
        <charset val="134"/>
      </rPr>
      <t>房地产未来第一年净收益</t>
    </r>
    <r>
      <rPr>
        <sz val="10"/>
        <color indexed="8"/>
        <rFont val="Arial"/>
        <family val="2"/>
      </rPr>
      <t>×</t>
    </r>
    <phoneticPr fontId="3" type="noConversion"/>
  </si>
  <si>
    <r>
      <rPr>
        <sz val="10"/>
        <color indexed="8"/>
        <rFont val="宋体"/>
        <family val="3"/>
        <charset val="134"/>
      </rPr>
      <t>报酬率（</t>
    </r>
    <r>
      <rPr>
        <sz val="10"/>
        <color indexed="8"/>
        <rFont val="Arial"/>
        <family val="2"/>
      </rPr>
      <t>Y</t>
    </r>
    <r>
      <rPr>
        <sz val="10"/>
        <color indexed="8"/>
        <rFont val="宋体"/>
        <family val="3"/>
        <charset val="134"/>
      </rPr>
      <t>）</t>
    </r>
    <phoneticPr fontId="3" type="noConversion"/>
  </si>
  <si>
    <r>
      <rPr>
        <sz val="10"/>
        <color indexed="8"/>
        <rFont val="宋体"/>
        <family val="3"/>
        <charset val="134"/>
      </rPr>
      <t>销售费用产生的利润</t>
    </r>
  </si>
  <si>
    <r>
      <rPr>
        <sz val="10"/>
        <color indexed="8"/>
        <rFont val="宋体"/>
        <family val="3"/>
        <charset val="134"/>
      </rPr>
      <t>销售费用</t>
    </r>
    <r>
      <rPr>
        <sz val="10"/>
        <color indexed="8"/>
        <rFont val="Arial"/>
        <family val="2"/>
      </rPr>
      <t>×</t>
    </r>
    <r>
      <rPr>
        <sz val="10"/>
        <color indexed="8"/>
        <rFont val="宋体"/>
        <family val="3"/>
        <charset val="134"/>
      </rPr>
      <t>利润率</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</si>
  <si>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3" type="noConversion"/>
  </si>
  <si>
    <r>
      <rPr>
        <sz val="10"/>
        <color indexed="8"/>
        <rFont val="宋体"/>
        <family val="3"/>
        <charset val="134"/>
      </rPr>
      <t>收益年期</t>
    </r>
    <r>
      <rPr>
        <sz val="10"/>
        <color indexed="8"/>
        <rFont val="Arial"/>
        <family val="2"/>
      </rPr>
      <t>(n)</t>
    </r>
    <phoneticPr fontId="3" type="noConversion"/>
  </si>
  <si>
    <r>
      <rPr>
        <sz val="10"/>
        <color indexed="8"/>
        <rFont val="宋体"/>
        <family val="3"/>
        <charset val="134"/>
      </rPr>
      <t>销售税费</t>
    </r>
  </si>
  <si>
    <r>
      <rPr>
        <sz val="10"/>
        <color indexed="8"/>
        <rFont val="宋体"/>
        <family val="3"/>
        <charset val="134"/>
      </rPr>
      <t>建筑物重置价值</t>
    </r>
    <r>
      <rPr>
        <sz val="10"/>
        <color indexed="8"/>
        <rFont val="Arial"/>
        <family val="2"/>
      </rPr>
      <t>×</t>
    </r>
    <r>
      <rPr>
        <sz val="10"/>
        <color indexed="8"/>
        <rFont val="宋体"/>
        <family val="3"/>
        <charset val="134"/>
      </rPr>
      <t>费率</t>
    </r>
    <r>
      <rPr>
        <sz val="10"/>
        <color indexed="8"/>
        <rFont val="Arial"/>
        <family val="2"/>
      </rPr>
      <t>/(1+5%)</t>
    </r>
    <phoneticPr fontId="3" type="noConversion"/>
  </si>
  <si>
    <r>
      <rPr>
        <sz val="10"/>
        <color indexed="8"/>
        <rFont val="宋体"/>
        <family val="3"/>
        <charset val="134"/>
      </rPr>
      <t>年增长比率</t>
    </r>
    <r>
      <rPr>
        <sz val="10"/>
        <color indexed="8"/>
        <rFont val="Arial"/>
        <family val="2"/>
      </rPr>
      <t>(g)</t>
    </r>
    <phoneticPr fontId="3" type="noConversion"/>
  </si>
  <si>
    <r>
      <rPr>
        <sz val="10"/>
        <color indexed="8"/>
        <rFont val="宋体"/>
        <family val="3"/>
        <charset val="134"/>
      </rPr>
      <t>建筑物重置价值（</t>
    </r>
    <r>
      <rPr>
        <sz val="10"/>
        <color indexed="8"/>
        <rFont val="Arial"/>
        <family val="2"/>
      </rPr>
      <t>V</t>
    </r>
    <r>
      <rPr>
        <vertAlign val="subscript"/>
        <sz val="10"/>
        <color indexed="8"/>
        <rFont val="宋体"/>
        <family val="3"/>
        <charset val="134"/>
      </rPr>
      <t>建</t>
    </r>
    <r>
      <rPr>
        <sz val="10"/>
        <color indexed="8"/>
        <rFont val="宋体"/>
        <family val="3"/>
        <charset val="134"/>
      </rPr>
      <t>）</t>
    </r>
    <phoneticPr fontId="3" type="noConversion"/>
  </si>
  <si>
    <r>
      <rPr>
        <b/>
        <sz val="10"/>
        <color indexed="8"/>
        <rFont val="宋体"/>
        <family val="3"/>
        <charset val="134"/>
      </rPr>
      <t>折现价值</t>
    </r>
    <phoneticPr fontId="3" type="noConversion"/>
  </si>
  <si>
    <r>
      <rPr>
        <sz val="10"/>
        <color indexed="8"/>
        <rFont val="宋体"/>
        <family val="3"/>
        <charset val="134"/>
      </rPr>
      <t>房地产价值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</si>
  <si>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综合税率</t>
    </r>
    <phoneticPr fontId="20"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</si>
  <si>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</si>
  <si>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b/>
        <sz val="10"/>
        <color indexed="8"/>
        <rFont val="宋体"/>
        <family val="3"/>
        <charset val="134"/>
      </rPr>
      <t>房地产未来第一年净收益</t>
    </r>
    <phoneticPr fontId="3" type="noConversion"/>
  </si>
  <si>
    <r>
      <rPr>
        <sz val="10"/>
        <color indexed="8"/>
        <rFont val="宋体"/>
        <family val="3"/>
        <charset val="134"/>
      </rPr>
      <t>年总收益</t>
    </r>
    <r>
      <rPr>
        <sz val="10"/>
        <color indexed="8"/>
        <rFont val="Arial"/>
        <family val="2"/>
      </rPr>
      <t>-</t>
    </r>
    <r>
      <rPr>
        <sz val="10"/>
        <color indexed="8"/>
        <rFont val="宋体"/>
        <family val="3"/>
        <charset val="134"/>
      </rPr>
      <t>年经营费用</t>
    </r>
    <phoneticPr fontId="3" type="noConversion"/>
  </si>
  <si>
    <r>
      <rPr>
        <b/>
        <sz val="10"/>
        <color indexed="8"/>
        <rFont val="宋体"/>
        <family val="3"/>
        <charset val="134"/>
      </rPr>
      <t>收益价值</t>
    </r>
    <phoneticPr fontId="3" type="noConversion"/>
  </si>
  <si>
    <r>
      <t>[1-</t>
    </r>
    <r>
      <rPr>
        <sz val="10"/>
        <color indexed="8"/>
        <rFont val="宋体"/>
        <family val="3"/>
        <charset val="134"/>
      </rPr>
      <t>（</t>
    </r>
    <r>
      <rPr>
        <sz val="10"/>
        <color indexed="8"/>
        <rFont val="Arial"/>
        <family val="2"/>
      </rPr>
      <t>(1+g)/(1+Y)</t>
    </r>
    <r>
      <rPr>
        <sz val="10"/>
        <color indexed="8"/>
        <rFont val="宋体"/>
        <family val="3"/>
        <charset val="134"/>
      </rPr>
      <t>）</t>
    </r>
    <r>
      <rPr>
        <sz val="10"/>
        <color indexed="8"/>
        <rFont val="Arial"/>
        <family val="2"/>
      </rPr>
      <t xml:space="preserve"> ^n ]/(Y-g)</t>
    </r>
    <phoneticPr fontId="20" type="noConversion"/>
  </si>
  <si>
    <r>
      <rPr>
        <b/>
        <sz val="10"/>
        <color indexed="8"/>
        <rFont val="宋体"/>
        <family val="3"/>
        <charset val="134"/>
      </rPr>
      <t>单价</t>
    </r>
    <r>
      <rPr>
        <b/>
        <sz val="10"/>
        <color indexed="8"/>
        <rFont val="Arial"/>
        <family val="2"/>
      </rPr>
      <t>(</t>
    </r>
    <r>
      <rPr>
        <b/>
        <sz val="10"/>
        <color indexed="8"/>
        <rFont val="宋体"/>
        <family val="3"/>
        <charset val="134"/>
      </rPr>
      <t>元</t>
    </r>
    <r>
      <rPr>
        <b/>
        <sz val="10"/>
        <color indexed="8"/>
        <rFont val="Arial"/>
        <family val="2"/>
      </rPr>
      <t>/</t>
    </r>
    <r>
      <rPr>
        <b/>
        <sz val="10"/>
        <color indexed="8"/>
        <rFont val="宋体"/>
        <family val="3"/>
        <charset val="134"/>
      </rPr>
      <t>平方米</t>
    </r>
    <r>
      <rPr>
        <b/>
        <sz val="10"/>
        <color indexed="8"/>
        <rFont val="Arial"/>
        <family val="2"/>
      </rPr>
      <t>)</t>
    </r>
    <phoneticPr fontId="3" type="noConversion"/>
  </si>
  <si>
    <r>
      <rPr>
        <sz val="10"/>
        <color indexed="8"/>
        <rFont val="宋体"/>
        <family val="3"/>
        <charset val="134"/>
      </rPr>
      <t>收益价值</t>
    </r>
    <r>
      <rPr>
        <sz val="10"/>
        <color indexed="8"/>
        <rFont val="Arial"/>
        <family val="2"/>
      </rPr>
      <t>÷</t>
    </r>
    <r>
      <rPr>
        <sz val="10"/>
        <color indexed="8"/>
        <rFont val="宋体"/>
        <family val="3"/>
        <charset val="134"/>
      </rPr>
      <t>建筑面积</t>
    </r>
    <phoneticPr fontId="3" type="noConversion"/>
  </si>
  <si>
    <r>
      <rPr>
        <sz val="10"/>
        <color indexed="8"/>
        <rFont val="宋体"/>
        <family val="3"/>
        <charset val="134"/>
      </rPr>
      <t>建筑面积（㎡）</t>
    </r>
    <phoneticPr fontId="3" type="noConversion"/>
  </si>
  <si>
    <r>
      <rPr>
        <b/>
        <sz val="10"/>
        <color indexed="8"/>
        <rFont val="宋体"/>
        <family val="3"/>
        <charset val="134"/>
      </rPr>
      <t>租金收入</t>
    </r>
    <phoneticPr fontId="3" type="noConversion"/>
  </si>
  <si>
    <r>
      <rPr>
        <sz val="10"/>
        <color indexed="8"/>
        <rFont val="宋体"/>
        <family val="3"/>
        <charset val="134"/>
      </rPr>
      <t>市场租金</t>
    </r>
    <phoneticPr fontId="3" type="noConversion"/>
  </si>
  <si>
    <r>
      <t>2</t>
    </r>
    <r>
      <rPr>
        <sz val="10"/>
        <color indexed="8"/>
        <rFont val="宋体"/>
        <family val="3"/>
        <charset val="134"/>
      </rPr>
      <t>）</t>
    </r>
  </si>
  <si>
    <r>
      <rPr>
        <sz val="10"/>
        <color indexed="8"/>
        <rFont val="宋体"/>
        <family val="3"/>
        <charset val="134"/>
      </rPr>
      <t>房产税</t>
    </r>
    <phoneticPr fontId="3" type="noConversion"/>
  </si>
  <si>
    <r>
      <rPr>
        <sz val="10"/>
        <color indexed="8"/>
        <rFont val="宋体"/>
        <family val="3"/>
        <charset val="134"/>
      </rPr>
      <t>费率（</t>
    </r>
    <r>
      <rPr>
        <sz val="10"/>
        <color indexed="8"/>
        <rFont val="Arial"/>
        <family val="2"/>
      </rPr>
      <t>%</t>
    </r>
    <r>
      <rPr>
        <sz val="10"/>
        <color indexed="8"/>
        <rFont val="宋体"/>
        <family val="3"/>
        <charset val="134"/>
      </rPr>
      <t>）</t>
    </r>
    <phoneticPr fontId="3" type="noConversion"/>
  </si>
  <si>
    <r>
      <t>3</t>
    </r>
    <r>
      <rPr>
        <sz val="10"/>
        <color indexed="8"/>
        <rFont val="宋体"/>
        <family val="3"/>
        <charset val="134"/>
      </rPr>
      <t>）</t>
    </r>
  </si>
  <si>
    <r>
      <rPr>
        <sz val="10"/>
        <color indexed="8"/>
        <rFont val="宋体"/>
        <family val="3"/>
        <charset val="134"/>
      </rPr>
      <t>城镇土地使用税</t>
    </r>
    <phoneticPr fontId="3" type="noConversion"/>
  </si>
  <si>
    <r>
      <rPr>
        <sz val="10"/>
        <color indexed="8"/>
        <rFont val="宋体"/>
        <family val="3"/>
        <charset val="134"/>
      </rPr>
      <t>土地面积</t>
    </r>
    <r>
      <rPr>
        <sz val="10"/>
        <color indexed="8"/>
        <rFont val="Arial"/>
        <family val="2"/>
      </rPr>
      <t>×</t>
    </r>
    <r>
      <rPr>
        <sz val="10"/>
        <color indexed="8"/>
        <rFont val="宋体"/>
        <family val="3"/>
        <charset val="134"/>
      </rPr>
      <t>取费标准</t>
    </r>
    <phoneticPr fontId="3" type="noConversion"/>
  </si>
  <si>
    <r>
      <rPr>
        <sz val="10"/>
        <color indexed="8"/>
        <rFont val="宋体"/>
        <family val="3"/>
        <charset val="134"/>
      </rPr>
      <t>纳税标准（元</t>
    </r>
    <r>
      <rPr>
        <sz val="10"/>
        <color indexed="8"/>
        <rFont val="Arial"/>
        <family val="2"/>
      </rPr>
      <t>/</t>
    </r>
    <r>
      <rPr>
        <sz val="10"/>
        <color indexed="8"/>
        <rFont val="宋体"/>
        <family val="3"/>
        <charset val="134"/>
      </rPr>
      <t>㎡）</t>
    </r>
    <phoneticPr fontId="3" type="noConversion"/>
  </si>
  <si>
    <r>
      <rPr>
        <sz val="10"/>
        <color indexed="8"/>
        <rFont val="宋体"/>
        <family val="3"/>
        <charset val="134"/>
      </rPr>
      <t>土地面积（㎡）</t>
    </r>
    <phoneticPr fontId="3" type="noConversion"/>
  </si>
  <si>
    <r>
      <rPr>
        <sz val="10"/>
        <color indexed="8"/>
        <rFont val="宋体"/>
        <family val="3"/>
        <charset val="134"/>
      </rPr>
      <t>（</t>
    </r>
    <r>
      <rPr>
        <sz val="10"/>
        <color indexed="8"/>
        <rFont val="Arial"/>
        <family val="2"/>
      </rPr>
      <t>2</t>
    </r>
    <r>
      <rPr>
        <sz val="10"/>
        <color indexed="8"/>
        <rFont val="宋体"/>
        <family val="3"/>
        <charset val="134"/>
      </rPr>
      <t>）</t>
    </r>
    <phoneticPr fontId="3" type="noConversion"/>
  </si>
  <si>
    <r>
      <rPr>
        <sz val="10"/>
        <color indexed="8"/>
        <rFont val="宋体"/>
        <family val="3"/>
        <charset val="134"/>
      </rPr>
      <t>维修费</t>
    </r>
    <phoneticPr fontId="3" type="noConversion"/>
  </si>
  <si>
    <r>
      <rPr>
        <sz val="10"/>
        <color indexed="8"/>
        <rFont val="宋体"/>
        <family val="3"/>
        <charset val="134"/>
      </rPr>
      <t>建筑物重置价格</t>
    </r>
    <r>
      <rPr>
        <sz val="10"/>
        <color indexed="8"/>
        <rFont val="Arial"/>
        <family val="2"/>
      </rPr>
      <t>×</t>
    </r>
    <r>
      <rPr>
        <sz val="10"/>
        <color indexed="8"/>
        <rFont val="宋体"/>
        <family val="3"/>
        <charset val="134"/>
      </rPr>
      <t>维修费率</t>
    </r>
    <phoneticPr fontId="3" type="noConversion"/>
  </si>
  <si>
    <r>
      <rPr>
        <sz val="10"/>
        <color indexed="8"/>
        <rFont val="宋体"/>
        <family val="3"/>
        <charset val="134"/>
      </rPr>
      <t>（</t>
    </r>
    <r>
      <rPr>
        <sz val="10"/>
        <color indexed="8"/>
        <rFont val="Arial"/>
        <family val="2"/>
      </rPr>
      <t>3</t>
    </r>
    <r>
      <rPr>
        <sz val="10"/>
        <color indexed="8"/>
        <rFont val="宋体"/>
        <family val="3"/>
        <charset val="134"/>
      </rPr>
      <t>）</t>
    </r>
  </si>
  <si>
    <r>
      <rPr>
        <sz val="10"/>
        <color indexed="8"/>
        <rFont val="宋体"/>
        <family val="3"/>
        <charset val="134"/>
      </rPr>
      <t>（</t>
    </r>
    <r>
      <rPr>
        <sz val="10"/>
        <color indexed="8"/>
        <rFont val="Arial"/>
        <family val="2"/>
      </rPr>
      <t>4</t>
    </r>
    <r>
      <rPr>
        <sz val="10"/>
        <color indexed="8"/>
        <rFont val="宋体"/>
        <family val="3"/>
        <charset val="134"/>
      </rPr>
      <t>）</t>
    </r>
  </si>
  <si>
    <r>
      <rPr>
        <sz val="10"/>
        <color indexed="8"/>
        <rFont val="宋体"/>
        <family val="3"/>
        <charset val="134"/>
      </rPr>
      <t>年总收益</t>
    </r>
    <r>
      <rPr>
        <sz val="10"/>
        <color indexed="8"/>
        <rFont val="Arial"/>
        <family val="2"/>
      </rPr>
      <t>×</t>
    </r>
    <r>
      <rPr>
        <sz val="10"/>
        <color indexed="8"/>
        <rFont val="宋体"/>
        <family val="3"/>
        <charset val="134"/>
      </rPr>
      <t>费率</t>
    </r>
    <phoneticPr fontId="3" type="noConversion"/>
  </si>
  <si>
    <r>
      <rPr>
        <sz val="10"/>
        <rFont val="宋体"/>
        <family val="3"/>
        <charset val="134"/>
      </rPr>
      <t>房屋年纯收益</t>
    </r>
    <phoneticPr fontId="3" type="noConversion"/>
  </si>
  <si>
    <r>
      <rPr>
        <sz val="10"/>
        <rFont val="宋体"/>
        <family val="3"/>
        <charset val="134"/>
      </rPr>
      <t>建筑物资本化率</t>
    </r>
    <phoneticPr fontId="3" type="noConversion"/>
  </si>
  <si>
    <r>
      <rPr>
        <b/>
        <sz val="10"/>
        <color indexed="8"/>
        <rFont val="宋体"/>
        <family val="3"/>
        <charset val="134"/>
      </rPr>
      <t>确定合理的建筑物与土地价值比例</t>
    </r>
    <phoneticPr fontId="3" type="noConversion"/>
  </si>
  <si>
    <r>
      <t>1.</t>
    </r>
    <r>
      <rPr>
        <b/>
        <sz val="10"/>
        <color indexed="10"/>
        <rFont val="宋体"/>
        <family val="3"/>
        <charset val="134"/>
      </rPr>
      <t>收益比率</t>
    </r>
    <phoneticPr fontId="3" type="noConversion"/>
  </si>
  <si>
    <r>
      <rPr>
        <sz val="10"/>
        <rFont val="宋体"/>
        <family val="3"/>
        <charset val="134"/>
      </rPr>
      <t>土地收益比率</t>
    </r>
    <phoneticPr fontId="3" type="noConversion"/>
  </si>
  <si>
    <r>
      <rPr>
        <sz val="10"/>
        <rFont val="宋体"/>
        <family val="3"/>
        <charset val="134"/>
      </rPr>
      <t>建筑物收益比率</t>
    </r>
    <phoneticPr fontId="3" type="noConversion"/>
  </si>
  <si>
    <r>
      <t>2.</t>
    </r>
    <r>
      <rPr>
        <b/>
        <sz val="10"/>
        <color indexed="10"/>
        <rFont val="宋体"/>
        <family val="3"/>
        <charset val="134"/>
      </rPr>
      <t>成本比率</t>
    </r>
    <phoneticPr fontId="3" type="noConversion"/>
  </si>
  <si>
    <r>
      <rPr>
        <sz val="10"/>
        <color indexed="8"/>
        <rFont val="宋体"/>
        <family val="3"/>
        <charset val="134"/>
      </rPr>
      <t>土地成本比率</t>
    </r>
    <phoneticPr fontId="3" type="noConversion"/>
  </si>
  <si>
    <r>
      <rPr>
        <sz val="10"/>
        <color indexed="8"/>
        <rFont val="宋体"/>
        <family val="3"/>
        <charset val="134"/>
      </rPr>
      <t>建筑物成本比率</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</si>
  <si>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</si>
  <si>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</si>
  <si>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</si>
  <si>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</si>
  <si>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color rgb="FFFF0000"/>
        <rFont val="宋体"/>
        <family val="3"/>
        <charset val="134"/>
      </rPr>
      <t>计算建筑物剩余价值折现</t>
    </r>
    <phoneticPr fontId="3" type="noConversion"/>
  </si>
  <si>
    <r>
      <rPr>
        <b/>
        <sz val="10"/>
        <color rgb="FFFF0000"/>
        <rFont val="宋体"/>
        <family val="3"/>
        <charset val="134"/>
      </rPr>
      <t>承租人权益价值</t>
    </r>
    <phoneticPr fontId="3" type="noConversion"/>
  </si>
  <si>
    <r>
      <rPr>
        <b/>
        <sz val="10"/>
        <color rgb="FFFF0000"/>
        <rFont val="宋体"/>
        <family val="3"/>
        <charset val="134"/>
      </rPr>
      <t>超出收益期的土地使用年限或建筑物价值折现计算</t>
    </r>
    <phoneticPr fontId="3" type="noConversion"/>
  </si>
  <si>
    <r>
      <rPr>
        <sz val="10"/>
        <color theme="1"/>
        <rFont val="宋体"/>
        <family val="3"/>
        <charset val="134"/>
      </rPr>
      <t>序号</t>
    </r>
  </si>
  <si>
    <r>
      <rPr>
        <sz val="10"/>
        <color theme="1"/>
        <rFont val="宋体"/>
        <family val="3"/>
        <charset val="134"/>
      </rPr>
      <t>项目</t>
    </r>
  </si>
  <si>
    <r>
      <rPr>
        <sz val="10"/>
        <color theme="1"/>
        <rFont val="宋体"/>
        <family val="3"/>
        <charset val="134"/>
      </rPr>
      <t>数额</t>
    </r>
  </si>
  <si>
    <r>
      <rPr>
        <sz val="10"/>
        <color theme="1"/>
        <rFont val="宋体"/>
        <family val="3"/>
        <charset val="134"/>
      </rPr>
      <t>计算公式</t>
    </r>
  </si>
  <si>
    <r>
      <rPr>
        <sz val="10"/>
        <rFont val="宋体"/>
        <family val="3"/>
        <charset val="134"/>
      </rPr>
      <t>建筑物结构</t>
    </r>
    <phoneticPr fontId="3" type="noConversion"/>
  </si>
  <si>
    <r>
      <rPr>
        <sz val="10"/>
        <rFont val="宋体"/>
        <family val="3"/>
        <charset val="134"/>
      </rPr>
      <t>土地使用年限</t>
    </r>
    <phoneticPr fontId="3" type="noConversion"/>
  </si>
  <si>
    <r>
      <rPr>
        <sz val="10"/>
        <color theme="1"/>
        <rFont val="宋体"/>
        <family val="3"/>
        <charset val="134"/>
      </rPr>
      <t>收益期内收益价值（万元）</t>
    </r>
    <phoneticPr fontId="3" type="noConversion"/>
  </si>
  <si>
    <r>
      <rPr>
        <sz val="10"/>
        <color theme="1"/>
        <rFont val="宋体"/>
        <family val="3"/>
        <charset val="134"/>
      </rPr>
      <t>依前述测算</t>
    </r>
  </si>
  <si>
    <r>
      <rPr>
        <sz val="10"/>
        <rFont val="宋体"/>
        <family val="3"/>
        <charset val="134"/>
      </rPr>
      <t>建筑使用方向</t>
    </r>
    <phoneticPr fontId="3" type="noConversion"/>
  </si>
  <si>
    <r>
      <rPr>
        <sz val="10"/>
        <color theme="1"/>
        <rFont val="宋体"/>
        <family val="3"/>
        <charset val="134"/>
      </rPr>
      <t>剩余土地使用年限</t>
    </r>
    <phoneticPr fontId="3" type="noConversion"/>
  </si>
  <si>
    <r>
      <rPr>
        <sz val="10"/>
        <color theme="1"/>
        <rFont val="宋体"/>
        <family val="3"/>
        <charset val="134"/>
      </rPr>
      <t>建筑物在收益期结束时的价值折现到价值时点的价值（万元）</t>
    </r>
    <phoneticPr fontId="3" type="noConversion"/>
  </si>
  <si>
    <r>
      <rPr>
        <sz val="10"/>
        <color theme="1"/>
        <rFont val="宋体"/>
        <family val="3"/>
        <charset val="134"/>
      </rPr>
      <t>建筑物重置价值</t>
    </r>
    <r>
      <rPr>
        <sz val="10"/>
        <color theme="1"/>
        <rFont val="Arial"/>
        <family val="2"/>
      </rPr>
      <t>×</t>
    </r>
    <r>
      <rPr>
        <sz val="10"/>
        <color theme="1"/>
        <rFont val="宋体"/>
        <family val="3"/>
        <charset val="134"/>
      </rPr>
      <t>成新率</t>
    </r>
    <r>
      <rPr>
        <sz val="10"/>
        <color theme="1"/>
        <rFont val="Arial"/>
        <family val="2"/>
      </rPr>
      <t>/</t>
    </r>
    <r>
      <rPr>
        <sz val="10"/>
        <color theme="1"/>
        <rFont val="宋体"/>
        <family val="3"/>
        <charset val="134"/>
      </rPr>
      <t>（</t>
    </r>
    <r>
      <rPr>
        <sz val="10"/>
        <color theme="1"/>
        <rFont val="Arial"/>
        <family val="2"/>
      </rPr>
      <t>1+</t>
    </r>
    <r>
      <rPr>
        <sz val="10"/>
        <color theme="1"/>
        <rFont val="宋体"/>
        <family val="3"/>
        <charset val="134"/>
      </rPr>
      <t>建筑物报酬率）</t>
    </r>
    <r>
      <rPr>
        <vertAlign val="superscript"/>
        <sz val="10"/>
        <color theme="1"/>
        <rFont val="宋体"/>
        <family val="3"/>
        <charset val="134"/>
      </rPr>
      <t>折现年期</t>
    </r>
  </si>
  <si>
    <r>
      <rPr>
        <sz val="10"/>
        <rFont val="宋体"/>
        <family val="3"/>
        <charset val="134"/>
      </rPr>
      <t>建成年代</t>
    </r>
    <phoneticPr fontId="3" type="noConversion"/>
  </si>
  <si>
    <r>
      <rPr>
        <sz val="10"/>
        <color theme="1"/>
        <rFont val="宋体"/>
        <family val="3"/>
        <charset val="134"/>
      </rPr>
      <t>比较法土地结果</t>
    </r>
    <phoneticPr fontId="3" type="noConversion"/>
  </si>
  <si>
    <r>
      <rPr>
        <sz val="10"/>
        <color theme="1"/>
        <rFont val="宋体"/>
        <family val="3"/>
        <charset val="134"/>
      </rPr>
      <t>建筑物重置价值（万元）</t>
    </r>
    <phoneticPr fontId="3" type="noConversion"/>
  </si>
  <si>
    <r>
      <rPr>
        <sz val="10"/>
        <rFont val="宋体"/>
        <family val="3"/>
        <charset val="134"/>
      </rPr>
      <t>建筑物耐用年限</t>
    </r>
    <phoneticPr fontId="3" type="noConversion"/>
  </si>
  <si>
    <r>
      <rPr>
        <sz val="10"/>
        <color theme="1"/>
        <rFont val="宋体"/>
        <family val="3"/>
        <charset val="134"/>
      </rPr>
      <t>基准地价土地结果</t>
    </r>
    <phoneticPr fontId="3" type="noConversion"/>
  </si>
  <si>
    <r>
      <rPr>
        <sz val="10"/>
        <color theme="1"/>
        <rFont val="宋体"/>
        <family val="3"/>
        <charset val="134"/>
      </rPr>
      <t>成新率（</t>
    </r>
    <r>
      <rPr>
        <sz val="10"/>
        <color theme="1"/>
        <rFont val="Arial"/>
        <family val="2"/>
      </rPr>
      <t>%</t>
    </r>
    <r>
      <rPr>
        <sz val="10"/>
        <color theme="1"/>
        <rFont val="宋体"/>
        <family val="3"/>
        <charset val="134"/>
      </rPr>
      <t>）</t>
    </r>
    <phoneticPr fontId="3" type="noConversion"/>
  </si>
  <si>
    <r>
      <rPr>
        <sz val="10"/>
        <rFont val="宋体"/>
        <family val="3"/>
        <charset val="134"/>
      </rPr>
      <t>建筑物剩余耐用年限</t>
    </r>
    <phoneticPr fontId="3" type="noConversion"/>
  </si>
  <si>
    <r>
      <rPr>
        <sz val="10"/>
        <rFont val="宋体"/>
        <family val="3"/>
        <charset val="134"/>
      </rPr>
      <t>收益还原法土地结果</t>
    </r>
    <phoneticPr fontId="3" type="noConversion"/>
  </si>
  <si>
    <r>
      <rPr>
        <sz val="10"/>
        <color theme="1"/>
        <rFont val="宋体"/>
        <family val="3"/>
        <charset val="134"/>
      </rPr>
      <t>建筑物报酬率（</t>
    </r>
    <r>
      <rPr>
        <sz val="10"/>
        <color theme="1"/>
        <rFont val="Arial"/>
        <family val="2"/>
      </rPr>
      <t>%</t>
    </r>
    <r>
      <rPr>
        <sz val="10"/>
        <color theme="1"/>
        <rFont val="宋体"/>
        <family val="3"/>
        <charset val="134"/>
      </rPr>
      <t>）</t>
    </r>
    <phoneticPr fontId="3" type="noConversion"/>
  </si>
  <si>
    <r>
      <rPr>
        <sz val="10"/>
        <rFont val="宋体"/>
        <family val="3"/>
        <charset val="134"/>
      </rPr>
      <t>建筑物报酬率</t>
    </r>
    <phoneticPr fontId="3" type="noConversion"/>
  </si>
  <si>
    <r>
      <rPr>
        <sz val="10"/>
        <rFont val="宋体"/>
        <family val="3"/>
        <charset val="134"/>
      </rPr>
      <t>土地报酬率</t>
    </r>
    <phoneticPr fontId="3" type="noConversion"/>
  </si>
  <si>
    <r>
      <rPr>
        <sz val="10"/>
        <color theme="1"/>
        <rFont val="宋体"/>
        <family val="3"/>
        <charset val="134"/>
      </rPr>
      <t>折现年期（年）</t>
    </r>
  </si>
  <si>
    <r>
      <rPr>
        <sz val="10"/>
        <color theme="1"/>
        <rFont val="宋体"/>
        <family val="3"/>
        <charset val="134"/>
      </rPr>
      <t>即收益年期</t>
    </r>
  </si>
  <si>
    <r>
      <rPr>
        <sz val="10"/>
        <rFont val="宋体"/>
        <family val="3"/>
        <charset val="134"/>
      </rPr>
      <t>收益期（按照规范取最低值，住宅只取建筑物）</t>
    </r>
    <phoneticPr fontId="3" type="noConversion"/>
  </si>
  <si>
    <r>
      <rPr>
        <sz val="10"/>
        <color rgb="FFFF0000"/>
        <rFont val="宋体"/>
        <family val="3"/>
        <charset val="134"/>
      </rPr>
      <t>★当剩余土地短于建筑物耐用年限时，在建</t>
    </r>
    <r>
      <rPr>
        <sz val="10"/>
        <color rgb="FFFF0000"/>
        <rFont val="Arial"/>
        <family val="2"/>
      </rPr>
      <t>or</t>
    </r>
    <r>
      <rPr>
        <sz val="10"/>
        <color rgb="FFFF0000"/>
        <rFont val="宋体"/>
        <family val="3"/>
        <charset val="134"/>
      </rPr>
      <t>未建项目的收益期计算公式为：剩余土地年限</t>
    </r>
    <r>
      <rPr>
        <sz val="10"/>
        <color rgb="FFFF0000"/>
        <rFont val="Arial"/>
        <family val="2"/>
      </rPr>
      <t>-</t>
    </r>
    <r>
      <rPr>
        <sz val="10"/>
        <color rgb="FFFF0000"/>
        <rFont val="宋体"/>
        <family val="3"/>
        <charset val="134"/>
      </rPr>
      <t>续建工期</t>
    </r>
    <r>
      <rPr>
        <sz val="10"/>
        <color rgb="FFFF0000"/>
        <rFont val="Arial"/>
        <family val="2"/>
      </rPr>
      <t>or</t>
    </r>
    <r>
      <rPr>
        <sz val="10"/>
        <color rgb="FFFF0000"/>
        <rFont val="宋体"/>
        <family val="3"/>
        <charset val="134"/>
      </rPr>
      <t>建设期</t>
    </r>
    <phoneticPr fontId="3" type="noConversion"/>
  </si>
  <si>
    <r>
      <rPr>
        <sz val="10"/>
        <color theme="1"/>
        <rFont val="宋体"/>
        <family val="3"/>
        <charset val="134"/>
      </rPr>
      <t>收益价值（万元）</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</si>
  <si>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比较法</t>
    </r>
    <r>
      <rPr>
        <b/>
        <sz val="10"/>
        <color rgb="FFFF0000"/>
        <rFont val="Arial"/>
        <family val="2"/>
      </rPr>
      <t>/</t>
    </r>
    <r>
      <rPr>
        <b/>
        <sz val="10"/>
        <color rgb="FFFF0000"/>
        <rFont val="宋体"/>
        <family val="3"/>
        <charset val="134"/>
      </rPr>
      <t>基准地价系数修正法</t>
    </r>
    <phoneticPr fontId="3" type="noConversion"/>
  </si>
  <si>
    <r>
      <rPr>
        <b/>
        <sz val="10"/>
        <rFont val="宋体"/>
        <family val="3"/>
        <charset val="134"/>
      </rPr>
      <t>建筑物计算</t>
    </r>
    <phoneticPr fontId="3" type="noConversion"/>
  </si>
  <si>
    <r>
      <rPr>
        <b/>
        <sz val="10"/>
        <rFont val="宋体"/>
        <family val="3"/>
        <charset val="134"/>
      </rPr>
      <t>土地使用权计算</t>
    </r>
    <phoneticPr fontId="3" type="noConversion"/>
  </si>
  <si>
    <r>
      <rPr>
        <sz val="10"/>
        <rFont val="宋体"/>
        <family val="3"/>
        <charset val="134"/>
      </rPr>
      <t>是否约定土地使用期结束后无偿收回房地产（非住宅）</t>
    </r>
    <phoneticPr fontId="3" type="noConversion"/>
  </si>
  <si>
    <r>
      <rPr>
        <sz val="10"/>
        <rFont val="宋体"/>
        <family val="3"/>
        <charset val="134"/>
      </rPr>
      <t>建筑物耐用年限结束后剩余土地使用年限</t>
    </r>
    <phoneticPr fontId="3" type="noConversion"/>
  </si>
  <si>
    <r>
      <rPr>
        <sz val="10"/>
        <rFont val="宋体"/>
        <family val="3"/>
        <charset val="134"/>
      </rPr>
      <t>土地使用年限结束后建筑物耐用年期</t>
    </r>
    <phoneticPr fontId="3" type="noConversion"/>
  </si>
  <si>
    <r>
      <rPr>
        <sz val="10"/>
        <rFont val="宋体"/>
        <family val="3"/>
        <charset val="134"/>
      </rPr>
      <t>价值时点下的土地价值（土地购买价格）</t>
    </r>
    <r>
      <rPr>
        <sz val="10"/>
        <rFont val="Arial"/>
        <family val="2"/>
      </rPr>
      <t>Vn</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</si>
  <si>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</si>
  <si>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</si>
  <si>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土地使用年限结束后建筑物成新度</t>
    </r>
    <phoneticPr fontId="3" type="noConversion"/>
  </si>
  <si>
    <r>
      <rPr>
        <sz val="10"/>
        <rFont val="宋体"/>
        <family val="3"/>
        <charset val="134"/>
      </rPr>
      <t>剩余土地使用年期下的土地年期修正系数</t>
    </r>
    <r>
      <rPr>
        <sz val="10"/>
        <rFont val="Arial"/>
        <family val="2"/>
      </rPr>
      <t>KN</t>
    </r>
    <phoneticPr fontId="3" type="noConversion"/>
  </si>
  <si>
    <r>
      <rPr>
        <sz val="10"/>
        <color theme="1"/>
        <rFont val="宋体"/>
        <family val="3"/>
        <charset val="134"/>
      </rPr>
      <t>剩余土地使用年限下的土地价值</t>
    </r>
    <r>
      <rPr>
        <sz val="10"/>
        <color theme="1"/>
        <rFont val="Arial"/>
        <family val="2"/>
      </rPr>
      <t>V</t>
    </r>
    <r>
      <rPr>
        <vertAlign val="subscript"/>
        <sz val="10"/>
        <color theme="1"/>
        <rFont val="Arial"/>
        <family val="2"/>
      </rPr>
      <t>n</t>
    </r>
    <r>
      <rPr>
        <sz val="10"/>
        <color theme="1"/>
        <rFont val="宋体"/>
        <family val="3"/>
        <charset val="134"/>
      </rPr>
      <t>（万元）</t>
    </r>
    <phoneticPr fontId="3" type="noConversion"/>
  </si>
  <si>
    <r>
      <rPr>
        <sz val="10"/>
        <rFont val="宋体"/>
        <family val="3"/>
        <charset val="134"/>
      </rPr>
      <t>土地使用年限结束后建筑物现值</t>
    </r>
    <phoneticPr fontId="3" type="noConversion"/>
  </si>
  <si>
    <r>
      <rPr>
        <sz val="10"/>
        <color theme="1"/>
        <rFont val="宋体"/>
        <family val="3"/>
        <charset val="134"/>
      </rPr>
      <t>土地报酬率</t>
    </r>
    <r>
      <rPr>
        <sz val="10"/>
        <color theme="1"/>
        <rFont val="Arial"/>
        <family val="2"/>
      </rPr>
      <t>r</t>
    </r>
    <r>
      <rPr>
        <sz val="10"/>
        <color theme="1"/>
        <rFont val="宋体"/>
        <family val="3"/>
        <charset val="134"/>
      </rPr>
      <t>（</t>
    </r>
    <r>
      <rPr>
        <sz val="10"/>
        <color theme="1"/>
        <rFont val="Arial"/>
        <family val="2"/>
      </rPr>
      <t>%</t>
    </r>
    <r>
      <rPr>
        <sz val="10"/>
        <color theme="1"/>
        <rFont val="宋体"/>
        <family val="3"/>
        <charset val="134"/>
      </rPr>
      <t>）</t>
    </r>
    <phoneticPr fontId="3" type="noConversion"/>
  </si>
  <si>
    <r>
      <rPr>
        <b/>
        <sz val="10"/>
        <rFont val="宋体"/>
        <family val="3"/>
        <charset val="134"/>
      </rPr>
      <t>建筑物剩余价值折现值</t>
    </r>
    <phoneticPr fontId="3" type="noConversion"/>
  </si>
  <si>
    <r>
      <rPr>
        <b/>
        <sz val="10"/>
        <rFont val="宋体"/>
        <family val="3"/>
        <charset val="134"/>
      </rPr>
      <t>剩余土地价值折现值</t>
    </r>
    <phoneticPr fontId="3" type="noConversion"/>
  </si>
  <si>
    <r>
      <rPr>
        <sz val="10"/>
        <color theme="1"/>
        <rFont val="宋体"/>
        <family val="3"/>
        <charset val="134"/>
      </rPr>
      <t>剩余土地使用年期下的土地年期修正系数</t>
    </r>
    <r>
      <rPr>
        <sz val="10"/>
        <color theme="1"/>
        <rFont val="Arial"/>
        <family val="2"/>
      </rPr>
      <t>K</t>
    </r>
    <r>
      <rPr>
        <vertAlign val="subscript"/>
        <sz val="10"/>
        <color theme="1"/>
        <rFont val="Arial"/>
        <family val="2"/>
      </rPr>
      <t>N</t>
    </r>
  </si>
  <si>
    <r>
      <t>[1</t>
    </r>
    <r>
      <rPr>
        <sz val="10"/>
        <color theme="1"/>
        <rFont val="宋体"/>
        <family val="3"/>
        <charset val="134"/>
      </rPr>
      <t>－</t>
    </r>
    <r>
      <rPr>
        <sz val="10"/>
        <color theme="1"/>
        <rFont val="Arial"/>
        <family val="2"/>
      </rPr>
      <t>1÷(1+r) N]</t>
    </r>
  </si>
  <si>
    <r>
      <t>[1</t>
    </r>
    <r>
      <rPr>
        <sz val="10"/>
        <color theme="1"/>
        <rFont val="宋体"/>
        <family val="3"/>
        <charset val="134"/>
      </rPr>
      <t>－</t>
    </r>
    <r>
      <rPr>
        <sz val="10"/>
        <color theme="1"/>
        <rFont val="Arial"/>
        <family val="2"/>
      </rPr>
      <t>1÷(1+r) n]</t>
    </r>
  </si>
  <si>
    <r>
      <rPr>
        <sz val="10"/>
        <rFont val="宋体"/>
        <family val="3"/>
        <charset val="134"/>
      </rPr>
      <t>结构类型</t>
    </r>
  </si>
  <si>
    <r>
      <rPr>
        <sz val="10"/>
        <rFont val="宋体"/>
        <family val="3"/>
        <charset val="134"/>
      </rPr>
      <t>生产用房</t>
    </r>
  </si>
  <si>
    <r>
      <rPr>
        <sz val="10"/>
        <rFont val="宋体"/>
        <family val="3"/>
        <charset val="134"/>
      </rPr>
      <t>受腐蚀的生产用房</t>
    </r>
  </si>
  <si>
    <r>
      <rPr>
        <sz val="10"/>
        <rFont val="宋体"/>
        <family val="3"/>
        <charset val="134"/>
      </rPr>
      <t>非生产用房</t>
    </r>
  </si>
  <si>
    <r>
      <rPr>
        <sz val="10"/>
        <rFont val="宋体"/>
        <family val="3"/>
        <charset val="134"/>
      </rPr>
      <t>残值率</t>
    </r>
    <phoneticPr fontId="3" type="noConversion"/>
  </si>
  <si>
    <r>
      <rPr>
        <sz val="10"/>
        <color theme="1"/>
        <rFont val="宋体"/>
        <family val="3"/>
        <charset val="134"/>
      </rPr>
      <t>收益价值（万元）</t>
    </r>
    <phoneticPr fontId="3" type="noConversion"/>
  </si>
  <si>
    <r>
      <rPr>
        <sz val="10"/>
        <rFont val="宋体"/>
        <family val="3"/>
        <charset val="134"/>
      </rPr>
      <t>钢</t>
    </r>
    <phoneticPr fontId="3" type="noConversion"/>
  </si>
  <si>
    <r>
      <rPr>
        <b/>
        <sz val="10"/>
        <color rgb="FFFF0000"/>
        <rFont val="宋体"/>
        <family val="3"/>
        <charset val="134"/>
      </rPr>
      <t>计算土地剩余价值折现</t>
    </r>
    <r>
      <rPr>
        <b/>
        <sz val="10"/>
        <color rgb="FFFF0000"/>
        <rFont val="Arial"/>
        <family val="2"/>
      </rPr>
      <t>-</t>
    </r>
    <r>
      <rPr>
        <b/>
        <sz val="10"/>
        <color rgb="FFFF0000"/>
        <rFont val="宋体"/>
        <family val="3"/>
        <charset val="134"/>
      </rPr>
      <t>收益法</t>
    </r>
    <phoneticPr fontId="3" type="noConversion"/>
  </si>
  <si>
    <r>
      <rPr>
        <sz val="10"/>
        <rFont val="宋体"/>
        <family val="3"/>
        <charset val="134"/>
      </rPr>
      <t>钢混</t>
    </r>
    <phoneticPr fontId="3" type="noConversion"/>
  </si>
  <si>
    <r>
      <rPr>
        <sz val="10"/>
        <rFont val="宋体"/>
        <family val="3"/>
        <charset val="134"/>
      </rPr>
      <t>砖混</t>
    </r>
    <phoneticPr fontId="3" type="noConversion"/>
  </si>
  <si>
    <r>
      <rPr>
        <sz val="10"/>
        <color theme="1"/>
        <rFont val="宋体"/>
        <family val="3"/>
        <charset val="134"/>
      </rPr>
      <t>收益期内收益价值（万元）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</si>
  <si>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</si>
  <si>
    <r>
      <t>(a</t>
    </r>
    <r>
      <rPr>
        <vertAlign val="subscript"/>
        <sz val="10"/>
        <color theme="1"/>
        <rFont val="Arial"/>
        <family val="2"/>
      </rPr>
      <t>t</t>
    </r>
    <r>
      <rPr>
        <sz val="10"/>
        <color theme="1"/>
        <rFont val="Arial"/>
        <family val="2"/>
      </rPr>
      <t>÷r)[1-1÷(1+r)</t>
    </r>
    <r>
      <rPr>
        <vertAlign val="superscript"/>
        <sz val="10"/>
        <color theme="1"/>
        <rFont val="Arial"/>
        <family val="2"/>
      </rPr>
      <t>N</t>
    </r>
    <r>
      <rPr>
        <sz val="10"/>
        <color theme="1"/>
        <rFont val="Arial"/>
        <family val="2"/>
      </rPr>
      <t>]</t>
    </r>
    <phoneticPr fontId="3" type="noConversion"/>
  </si>
  <si>
    <r>
      <rPr>
        <sz val="10"/>
        <color rgb="FF000000"/>
        <rFont val="宋体"/>
        <family val="3"/>
        <charset val="134"/>
      </rPr>
      <t>土地纯收益</t>
    </r>
    <r>
      <rPr>
        <sz val="10"/>
        <color theme="1"/>
        <rFont val="Arial"/>
        <family val="2"/>
      </rPr>
      <t>a</t>
    </r>
    <r>
      <rPr>
        <vertAlign val="subscript"/>
        <sz val="10"/>
        <color theme="1"/>
        <rFont val="Arial"/>
        <family val="2"/>
      </rPr>
      <t>t</t>
    </r>
    <r>
      <rPr>
        <sz val="10"/>
        <color theme="1"/>
        <rFont val="宋体"/>
        <family val="3"/>
        <charset val="134"/>
      </rPr>
      <t>（万元）</t>
    </r>
    <phoneticPr fontId="3" type="noConversion"/>
  </si>
  <si>
    <r>
      <rPr>
        <sz val="10"/>
        <color rgb="FF000000"/>
        <rFont val="宋体"/>
        <family val="3"/>
        <charset val="134"/>
      </rPr>
      <t>房地纯收益（万元）</t>
    </r>
    <phoneticPr fontId="3" type="noConversion"/>
  </si>
  <si>
    <r>
      <rPr>
        <sz val="10"/>
        <color rgb="FF000000"/>
        <rFont val="宋体"/>
        <family val="3"/>
        <charset val="134"/>
      </rPr>
      <t>建筑物现值（万元）</t>
    </r>
    <phoneticPr fontId="3" type="noConversion"/>
  </si>
  <si>
    <r>
      <rPr>
        <sz val="10"/>
        <color rgb="FF000000"/>
        <rFont val="宋体"/>
        <family val="3"/>
        <charset val="134"/>
      </rPr>
      <t>建筑物资本化率</t>
    </r>
    <r>
      <rPr>
        <sz val="10"/>
        <color rgb="FF000000"/>
        <rFont val="Arial"/>
        <family val="2"/>
      </rPr>
      <t>g</t>
    </r>
    <r>
      <rPr>
        <sz val="10"/>
        <color rgb="FF000000"/>
        <rFont val="宋体"/>
        <family val="3"/>
        <charset val="134"/>
      </rPr>
      <t>（</t>
    </r>
    <r>
      <rPr>
        <sz val="10"/>
        <color rgb="FF000000"/>
        <rFont val="Arial"/>
        <family val="2"/>
      </rPr>
      <t>%</t>
    </r>
    <r>
      <rPr>
        <sz val="10"/>
        <color rgb="FF000000"/>
        <rFont val="宋体"/>
        <family val="3"/>
        <charset val="134"/>
      </rPr>
      <t>）</t>
    </r>
    <phoneticPr fontId="3" type="noConversion"/>
  </si>
  <si>
    <r>
      <rPr>
        <sz val="10"/>
        <color indexed="8"/>
        <rFont val="宋体"/>
        <family val="3"/>
        <charset val="134"/>
      </rPr>
      <t>分摊土地</t>
    </r>
    <r>
      <rPr>
        <sz val="10"/>
        <color indexed="8"/>
        <rFont val="Arial"/>
        <family val="2"/>
      </rPr>
      <t>/</t>
    </r>
    <r>
      <rPr>
        <sz val="10"/>
        <color indexed="8"/>
        <rFont val="宋体"/>
        <family val="3"/>
        <charset val="134"/>
      </rPr>
      <t>建筑物价值</t>
    </r>
    <phoneticPr fontId="3" type="noConversion"/>
  </si>
  <si>
    <r>
      <rPr>
        <b/>
        <sz val="12"/>
        <rFont val="宋体"/>
        <family val="3"/>
        <charset val="134"/>
      </rPr>
      <t>租约外</t>
    </r>
    <phoneticPr fontId="3" type="noConversion"/>
  </si>
  <si>
    <r>
      <rPr>
        <b/>
        <sz val="16"/>
        <color indexed="10"/>
        <rFont val="宋体"/>
        <family val="3"/>
        <charset val="134"/>
      </rPr>
      <t>收益法</t>
    </r>
    <r>
      <rPr>
        <b/>
        <sz val="12"/>
        <rFont val="宋体"/>
        <family val="3"/>
        <charset val="134"/>
      </rPr>
      <t>（无租约及租期内）</t>
    </r>
    <phoneticPr fontId="3" type="noConversion"/>
  </si>
  <si>
    <r>
      <rPr>
        <b/>
        <sz val="10"/>
        <rFont val="宋体"/>
        <family val="3"/>
        <charset val="134"/>
      </rPr>
      <t>总价</t>
    </r>
    <phoneticPr fontId="18" type="noConversion"/>
  </si>
  <si>
    <r>
      <rPr>
        <sz val="10"/>
        <rFont val="宋体"/>
        <family val="3"/>
        <charset val="134"/>
      </rPr>
      <t>万元</t>
    </r>
    <phoneticPr fontId="3" type="noConversion"/>
  </si>
  <si>
    <r>
      <rPr>
        <sz val="10"/>
        <rFont val="宋体"/>
        <family val="3"/>
        <charset val="134"/>
      </rPr>
      <t>元</t>
    </r>
    <phoneticPr fontId="136" type="noConversion"/>
  </si>
  <si>
    <r>
      <rPr>
        <b/>
        <sz val="10"/>
        <rFont val="宋体"/>
        <family val="3"/>
        <charset val="134"/>
      </rPr>
      <t>楼面单价</t>
    </r>
    <phoneticPr fontId="18" type="noConversion"/>
  </si>
  <si>
    <r>
      <rPr>
        <sz val="10"/>
        <rFont val="宋体"/>
        <family val="3"/>
        <charset val="134"/>
      </rPr>
      <t>元</t>
    </r>
    <r>
      <rPr>
        <sz val="10"/>
        <rFont val="Arial"/>
        <family val="2"/>
      </rPr>
      <t>/</t>
    </r>
    <r>
      <rPr>
        <sz val="10"/>
        <rFont val="宋体"/>
        <family val="3"/>
        <charset val="134"/>
      </rPr>
      <t>平方米</t>
    </r>
    <phoneticPr fontId="3" type="noConversion"/>
  </si>
  <si>
    <r>
      <rPr>
        <sz val="10"/>
        <color indexed="8"/>
        <rFont val="宋体"/>
        <family val="3"/>
        <charset val="134"/>
      </rPr>
      <t>序号</t>
    </r>
    <phoneticPr fontId="3" type="noConversion"/>
  </si>
  <si>
    <r>
      <rPr>
        <sz val="10"/>
        <color indexed="8"/>
        <rFont val="宋体"/>
        <family val="3"/>
        <charset val="134"/>
      </rPr>
      <t>项目</t>
    </r>
    <phoneticPr fontId="3" type="noConversion"/>
  </si>
  <si>
    <r>
      <rPr>
        <sz val="10"/>
        <color indexed="8"/>
        <rFont val="宋体"/>
        <family val="3"/>
        <charset val="134"/>
      </rPr>
      <t>数额</t>
    </r>
    <phoneticPr fontId="3" type="noConversion"/>
  </si>
  <si>
    <r>
      <rPr>
        <sz val="10"/>
        <color indexed="8"/>
        <rFont val="宋体"/>
        <family val="3"/>
        <charset val="134"/>
      </rPr>
      <t>计算公式</t>
    </r>
    <phoneticPr fontId="3" type="noConversion"/>
  </si>
  <si>
    <r>
      <rPr>
        <sz val="10"/>
        <color indexed="8"/>
        <rFont val="宋体"/>
        <family val="3"/>
        <charset val="134"/>
      </rPr>
      <t>取费标准</t>
    </r>
    <phoneticPr fontId="3" type="noConversion"/>
  </si>
  <si>
    <r>
      <rPr>
        <b/>
        <sz val="10"/>
        <color indexed="8"/>
        <rFont val="宋体"/>
        <family val="3"/>
        <charset val="134"/>
      </rPr>
      <t>未来第一年年总收益</t>
    </r>
    <phoneticPr fontId="3" type="noConversion"/>
  </si>
  <si>
    <r>
      <rPr>
        <sz val="10"/>
        <rFont val="宋体"/>
        <family val="3"/>
        <charset val="134"/>
      </rPr>
      <t>年租金收入</t>
    </r>
    <r>
      <rPr>
        <sz val="10"/>
        <rFont val="Arial"/>
        <family val="2"/>
      </rPr>
      <t>+</t>
    </r>
    <r>
      <rPr>
        <sz val="10"/>
        <rFont val="宋体"/>
        <family val="3"/>
        <charset val="134"/>
      </rPr>
      <t>押金利息收入</t>
    </r>
    <r>
      <rPr>
        <sz val="10"/>
        <rFont val="Arial"/>
        <family val="2"/>
      </rPr>
      <t>+</t>
    </r>
    <r>
      <rPr>
        <sz val="10"/>
        <rFont val="宋体"/>
        <family val="3"/>
        <charset val="134"/>
      </rPr>
      <t>其他收入</t>
    </r>
    <phoneticPr fontId="3" type="noConversion"/>
  </si>
  <si>
    <r>
      <rPr>
        <i/>
        <sz val="10"/>
        <color indexed="8"/>
        <rFont val="宋体"/>
        <family val="3"/>
        <charset val="134"/>
      </rPr>
      <t>（合同押金）</t>
    </r>
    <phoneticPr fontId="3" type="noConversion"/>
  </si>
  <si>
    <r>
      <rPr>
        <i/>
        <sz val="10"/>
        <color indexed="8"/>
        <rFont val="宋体"/>
        <family val="3"/>
        <charset val="134"/>
      </rPr>
      <t>自定义押金</t>
    </r>
    <phoneticPr fontId="3" type="noConversion"/>
  </si>
  <si>
    <r>
      <rPr>
        <sz val="10"/>
        <rFont val="宋体"/>
        <family val="3"/>
        <charset val="134"/>
      </rPr>
      <t>价值时点下的土地价值（土地购买价格）</t>
    </r>
    <phoneticPr fontId="3" type="noConversion"/>
  </si>
  <si>
    <r>
      <rPr>
        <sz val="10"/>
        <color theme="1"/>
        <rFont val="宋体"/>
        <family val="3"/>
        <charset val="134"/>
      </rPr>
      <t>剩余土地价值折现到价值时点的价值（万元）</t>
    </r>
    <phoneticPr fontId="3" type="noConversion"/>
  </si>
  <si>
    <r>
      <t>V</t>
    </r>
    <r>
      <rPr>
        <vertAlign val="subscript"/>
        <sz val="10"/>
        <color theme="1"/>
        <rFont val="Arial"/>
        <family val="2"/>
      </rPr>
      <t>n</t>
    </r>
    <r>
      <rPr>
        <sz val="10"/>
        <color theme="1"/>
        <rFont val="Arial"/>
        <family val="2"/>
      </rPr>
      <t>×</t>
    </r>
    <r>
      <rPr>
        <sz val="10"/>
        <color theme="1"/>
        <rFont val="宋体"/>
        <family val="3"/>
        <charset val="134"/>
      </rPr>
      <t>（</t>
    </r>
    <r>
      <rPr>
        <sz val="10"/>
        <color theme="1"/>
        <rFont val="Arial"/>
        <family val="2"/>
      </rPr>
      <t>K</t>
    </r>
    <r>
      <rPr>
        <vertAlign val="subscript"/>
        <sz val="10"/>
        <color theme="1"/>
        <rFont val="Arial"/>
        <family val="2"/>
      </rPr>
      <t>N</t>
    </r>
    <r>
      <rPr>
        <sz val="10"/>
        <color theme="1"/>
        <rFont val="Arial"/>
        <family val="2"/>
      </rPr>
      <t>÷K</t>
    </r>
    <r>
      <rPr>
        <vertAlign val="subscript"/>
        <sz val="10"/>
        <color theme="1"/>
        <rFont val="Arial"/>
        <family val="2"/>
      </rPr>
      <t>n</t>
    </r>
    <r>
      <rPr>
        <sz val="10"/>
        <color theme="1"/>
        <rFont val="Arial"/>
        <family val="2"/>
      </rPr>
      <t>-1</t>
    </r>
    <r>
      <rPr>
        <sz val="10"/>
        <color theme="1"/>
        <rFont val="宋体"/>
        <family val="3"/>
        <charset val="134"/>
      </rPr>
      <t>）</t>
    </r>
    <phoneticPr fontId="3" type="noConversion"/>
  </si>
  <si>
    <r>
      <rPr>
        <sz val="10"/>
        <rFont val="宋体"/>
        <family val="3"/>
        <charset val="134"/>
      </rPr>
      <t>剩余土地使用年期下的土地年期修正系数</t>
    </r>
    <phoneticPr fontId="3" type="noConversion"/>
  </si>
  <si>
    <r>
      <rPr>
        <b/>
        <sz val="14"/>
        <color theme="1"/>
        <rFont val="宋体"/>
        <family val="3"/>
        <charset val="134"/>
      </rPr>
      <t>估价方法：</t>
    </r>
    <phoneticPr fontId="83" type="noConversion"/>
  </si>
  <si>
    <r>
      <rPr>
        <sz val="14"/>
        <color theme="9" tint="-0.249977111117893"/>
        <rFont val="宋体"/>
        <family val="3"/>
        <charset val="134"/>
      </rPr>
      <t>（本页下方空白无内容）</t>
    </r>
  </si>
  <si>
    <r>
      <rPr>
        <b/>
        <sz val="18"/>
        <color theme="1"/>
        <rFont val="宋体"/>
        <family val="3"/>
        <charset val="134"/>
      </rPr>
      <t>评估意见函</t>
    </r>
    <phoneticPr fontId="83" type="noConversion"/>
  </si>
  <si>
    <r>
      <rPr>
        <b/>
        <sz val="14"/>
        <color rgb="FF000000"/>
        <rFont val="宋体"/>
        <family val="3"/>
        <charset val="134"/>
      </rPr>
      <t>估价对象：</t>
    </r>
    <phoneticPr fontId="83" type="noConversion"/>
  </si>
  <si>
    <r>
      <rPr>
        <b/>
        <i/>
        <sz val="14"/>
        <color theme="3" tint="0.39997558519241921"/>
        <rFont val="宋体"/>
        <family val="3"/>
        <charset val="134"/>
      </rPr>
      <t>现房：</t>
    </r>
    <phoneticPr fontId="83" type="noConversion"/>
  </si>
  <si>
    <r>
      <rPr>
        <i/>
        <sz val="14"/>
        <color theme="3" tint="0.39997558519241921"/>
        <rFont val="宋体"/>
        <family val="3"/>
        <charset val="134"/>
      </rPr>
      <t>估价对象简述。项目推广名，项目类型（用途），估价对象分布，各用途面积明细情况：</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XX</t>
    </r>
    <r>
      <rPr>
        <i/>
        <sz val="14"/>
        <color theme="3" tint="0.39997558519241921"/>
        <rFont val="宋体"/>
        <family val="3"/>
        <charset val="134"/>
      </rPr>
      <t>用途建筑面积</t>
    </r>
    <r>
      <rPr>
        <i/>
        <sz val="14"/>
        <color theme="3" tint="0.39997558519241921"/>
        <rFont val="Arial"/>
        <family val="2"/>
      </rPr>
      <t>XX</t>
    </r>
    <r>
      <rPr>
        <i/>
        <sz val="14"/>
        <color theme="3" tint="0.39997558519241921"/>
        <rFont val="宋体"/>
        <family val="3"/>
        <charset val="134"/>
      </rPr>
      <t>平方米，</t>
    </r>
    <r>
      <rPr>
        <i/>
        <sz val="14"/>
        <color theme="3" tint="0.39997558519241921"/>
        <rFont val="Arial"/>
        <family val="2"/>
      </rPr>
      <t>……</t>
    </r>
    <r>
      <rPr>
        <i/>
        <sz val="14"/>
        <color theme="3" tint="0.39997558519241921"/>
        <rFont val="宋体"/>
        <family val="3"/>
        <charset val="134"/>
      </rPr>
      <t>。复杂面积清单需设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t>
    </r>
    <phoneticPr fontId="84" type="noConversion"/>
  </si>
  <si>
    <r>
      <rPr>
        <b/>
        <i/>
        <sz val="14"/>
        <color theme="3" tint="0.39997558519241921"/>
        <rFont val="宋体"/>
        <family val="3"/>
        <charset val="134"/>
      </rPr>
      <t>在建：</t>
    </r>
    <phoneticPr fontId="83" type="noConversion"/>
  </si>
  <si>
    <r>
      <rPr>
        <i/>
        <sz val="14"/>
        <color theme="3" tint="0.39997558519241921"/>
        <rFont val="宋体"/>
        <family val="3"/>
        <charset val="134"/>
      </rPr>
      <t>估价对象为局部时需描述范围，各用途面积明细情况：经营性用途用途规划建筑面积</t>
    </r>
    <r>
      <rPr>
        <i/>
        <sz val="14"/>
        <color theme="3" tint="0.39997558519241921"/>
        <rFont val="Arial"/>
        <family val="2"/>
      </rPr>
      <t>XX</t>
    </r>
    <r>
      <rPr>
        <i/>
        <sz val="14"/>
        <color theme="3" tint="0.39997558519241921"/>
        <rFont val="宋体"/>
        <family val="3"/>
        <charset val="134"/>
      </rPr>
      <t>平方米（其中：），非经营性用途规划建筑面积</t>
    </r>
    <r>
      <rPr>
        <i/>
        <sz val="14"/>
        <color theme="3" tint="0.39997558519241921"/>
        <rFont val="Arial"/>
        <family val="2"/>
      </rPr>
      <t>XX</t>
    </r>
    <r>
      <rPr>
        <i/>
        <sz val="14"/>
        <color theme="3" tint="0.39997558519241921"/>
        <rFont val="宋体"/>
        <family val="3"/>
        <charset val="134"/>
      </rPr>
      <t>平方米（其中：）。复杂面积或有分楼栋、分户清单时需设</t>
    </r>
    <r>
      <rPr>
        <i/>
        <sz val="14"/>
        <color theme="3" tint="0.39997558519241921"/>
        <rFont val="Arial"/>
        <family val="2"/>
      </rPr>
      <t>‘</t>
    </r>
    <r>
      <rPr>
        <i/>
        <sz val="14"/>
        <color theme="3" tint="0.39997558519241921"/>
        <rFont val="宋体"/>
        <family val="3"/>
        <charset val="134"/>
      </rPr>
      <t>附表</t>
    </r>
    <r>
      <rPr>
        <i/>
        <sz val="14"/>
        <color theme="3" tint="0.39997558519241921"/>
        <rFont val="Arial"/>
        <family val="2"/>
      </rPr>
      <t>’</t>
    </r>
    <r>
      <rPr>
        <i/>
        <sz val="14"/>
        <color theme="3" tint="0.39997558519241921"/>
        <rFont val="宋体"/>
        <family val="3"/>
        <charset val="134"/>
      </rPr>
      <t>列示：抵押物清单详见附表。工程进度情况。</t>
    </r>
    <phoneticPr fontId="84" type="noConversion"/>
  </si>
  <si>
    <r>
      <rPr>
        <b/>
        <sz val="14"/>
        <color rgb="FF000000"/>
        <rFont val="宋体"/>
        <family val="3"/>
        <charset val="134"/>
      </rPr>
      <t>估价目的：</t>
    </r>
    <phoneticPr fontId="83" type="noConversion"/>
  </si>
  <si>
    <r>
      <rPr>
        <b/>
        <sz val="14"/>
        <color theme="1"/>
        <rFont val="宋体"/>
        <family val="3"/>
        <charset val="134"/>
      </rPr>
      <t>价值时点：</t>
    </r>
    <phoneticPr fontId="83" type="noConversion"/>
  </si>
  <si>
    <r>
      <rPr>
        <b/>
        <sz val="14"/>
        <color theme="1"/>
        <rFont val="宋体"/>
        <family val="3"/>
        <charset val="134"/>
      </rPr>
      <t>价值类型：</t>
    </r>
    <phoneticPr fontId="83" type="noConversion"/>
  </si>
  <si>
    <r>
      <rPr>
        <sz val="14"/>
        <color theme="1"/>
        <rFont val="宋体"/>
        <family val="3"/>
        <charset val="134"/>
      </rPr>
      <t>根据房地产估价规范、国家现行有关标准规定和项目的具体要求，本次评估采用的是市场价值标准。根据《房地产估价基本术语标准》，市场价值是经适当营销后，由熟悉情况、谨慎行事且不受强迫的交易双方，以公平交易方式在价值时点自愿进行交易的金额。</t>
    </r>
    <phoneticPr fontId="83" type="noConversion"/>
  </si>
  <si>
    <r>
      <rPr>
        <b/>
        <sz val="14"/>
        <color theme="1"/>
        <rFont val="宋体"/>
        <family val="3"/>
        <charset val="134"/>
      </rPr>
      <t>估价结果：</t>
    </r>
    <phoneticPr fontId="83" type="noConversion"/>
  </si>
  <si>
    <r>
      <t>1.</t>
    </r>
    <r>
      <rPr>
        <b/>
        <sz val="12"/>
        <color indexed="8"/>
        <rFont val="宋体"/>
        <family val="3"/>
        <charset val="134"/>
      </rPr>
      <t>房地产价值</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</si>
  <si>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</si>
  <si>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</si>
  <si>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2"/>
        <color theme="1"/>
        <rFont val="宋体"/>
        <family val="3"/>
        <charset val="134"/>
      </rPr>
      <t>单价</t>
    </r>
    <phoneticPr fontId="83" type="noConversion"/>
  </si>
  <si>
    <r>
      <rPr>
        <b/>
        <sz val="12"/>
        <color rgb="FF000000"/>
        <rFont val="宋体"/>
        <family val="3"/>
        <charset val="134"/>
      </rPr>
      <t>总额</t>
    </r>
    <phoneticPr fontId="83" type="noConversion"/>
  </si>
  <si>
    <r>
      <rPr>
        <sz val="12"/>
        <color rgb="FF000000"/>
        <rFont val="宋体"/>
        <family val="3"/>
        <charset val="134"/>
      </rPr>
      <t>总额</t>
    </r>
    <phoneticPr fontId="83" type="noConversion"/>
  </si>
  <si>
    <r>
      <rPr>
        <sz val="14"/>
        <color theme="1"/>
        <rFont val="宋体"/>
        <family val="3"/>
        <charset val="134"/>
      </rPr>
      <t>（转下页）</t>
    </r>
    <phoneticPr fontId="85" type="noConversion"/>
  </si>
  <si>
    <r>
      <rPr>
        <sz val="12"/>
        <color indexed="8"/>
        <rFont val="宋体"/>
        <family val="3"/>
        <charset val="134"/>
      </rPr>
      <t>（</t>
    </r>
    <r>
      <rPr>
        <sz val="12"/>
        <color indexed="8"/>
        <rFont val="Arial"/>
        <family val="2"/>
      </rPr>
      <t>1</t>
    </r>
    <r>
      <rPr>
        <sz val="12"/>
        <color indexed="8"/>
        <rFont val="宋体"/>
        <family val="3"/>
        <charset val="134"/>
      </rPr>
      <t>）已抵押担保的债权数额</t>
    </r>
    <phoneticPr fontId="83" type="noConversion"/>
  </si>
  <si>
    <r>
      <rPr>
        <b/>
        <sz val="14"/>
        <color theme="1"/>
        <rFont val="宋体"/>
        <family val="3"/>
        <charset val="134"/>
      </rPr>
      <t>结果表</t>
    </r>
    <r>
      <rPr>
        <b/>
        <sz val="14"/>
        <color theme="1"/>
        <rFont val="Arial"/>
        <family val="2"/>
      </rPr>
      <t>-1</t>
    </r>
    <phoneticPr fontId="85" type="noConversion"/>
  </si>
  <si>
    <r>
      <rPr>
        <sz val="12"/>
        <color indexed="8"/>
        <rFont val="宋体"/>
        <family val="3"/>
        <charset val="134"/>
      </rPr>
      <t>（</t>
    </r>
    <r>
      <rPr>
        <sz val="12"/>
        <color indexed="8"/>
        <rFont val="Arial"/>
        <family val="2"/>
      </rPr>
      <t>2</t>
    </r>
    <r>
      <rPr>
        <sz val="12"/>
        <color indexed="8"/>
        <rFont val="宋体"/>
        <family val="3"/>
        <charset val="134"/>
      </rPr>
      <t>）拖欠的建设工程价款</t>
    </r>
    <phoneticPr fontId="83" type="noConversion"/>
  </si>
  <si>
    <r>
      <rPr>
        <sz val="12"/>
        <color rgb="FF000000"/>
        <rFont val="宋体"/>
        <family val="3"/>
        <charset val="134"/>
      </rPr>
      <t>总额</t>
    </r>
    <phoneticPr fontId="83" type="noConversion"/>
  </si>
  <si>
    <r>
      <rPr>
        <sz val="12"/>
        <color indexed="8"/>
        <rFont val="宋体"/>
        <family val="3"/>
        <charset val="134"/>
      </rPr>
      <t>（</t>
    </r>
    <r>
      <rPr>
        <sz val="12"/>
        <color indexed="8"/>
        <rFont val="Arial"/>
        <family val="2"/>
      </rPr>
      <t>3</t>
    </r>
    <r>
      <rPr>
        <sz val="12"/>
        <color indexed="8"/>
        <rFont val="宋体"/>
        <family val="3"/>
        <charset val="134"/>
      </rPr>
      <t>）其他法定优先受偿款</t>
    </r>
    <phoneticPr fontId="83" type="noConversion"/>
  </si>
  <si>
    <r>
      <rPr>
        <sz val="12"/>
        <color theme="1"/>
        <rFont val="宋体"/>
        <family val="3"/>
        <charset val="134"/>
      </rPr>
      <t>单价</t>
    </r>
    <phoneticPr fontId="83" type="noConversion"/>
  </si>
  <si>
    <r>
      <rPr>
        <b/>
        <sz val="12"/>
        <color theme="1"/>
        <rFont val="宋体"/>
        <family val="3"/>
        <charset val="134"/>
      </rPr>
      <t>总价</t>
    </r>
    <phoneticPr fontId="83" type="noConversion"/>
  </si>
  <si>
    <r>
      <rPr>
        <b/>
        <sz val="12"/>
        <color theme="1"/>
        <rFont val="宋体"/>
        <family val="3"/>
        <charset val="134"/>
      </rPr>
      <t>大写金额</t>
    </r>
    <phoneticPr fontId="85" type="noConversion"/>
  </si>
  <si>
    <r>
      <rPr>
        <sz val="10"/>
        <color theme="1"/>
        <rFont val="宋体"/>
        <family val="3"/>
        <charset val="134"/>
      </rPr>
      <t>单位：万元、元</t>
    </r>
    <r>
      <rPr>
        <sz val="10"/>
        <color theme="1"/>
        <rFont val="Arial"/>
        <family val="2"/>
      </rPr>
      <t>/</t>
    </r>
    <r>
      <rPr>
        <sz val="10"/>
        <color theme="1"/>
        <rFont val="宋体"/>
        <family val="3"/>
        <charset val="134"/>
      </rPr>
      <t>平方米（币种：人民币）</t>
    </r>
    <phoneticPr fontId="85" type="noConversion"/>
  </si>
  <si>
    <r>
      <rPr>
        <sz val="12"/>
        <color indexed="8"/>
        <rFont val="宋体"/>
        <family val="3"/>
        <charset val="134"/>
      </rPr>
      <t>总</t>
    </r>
    <r>
      <rPr>
        <sz val="12"/>
        <color indexed="8"/>
        <rFont val="Arial"/>
        <family val="2"/>
      </rPr>
      <t xml:space="preserve"> </t>
    </r>
    <r>
      <rPr>
        <sz val="12"/>
        <color indexed="8"/>
        <rFont val="宋体"/>
        <family val="3"/>
        <charset val="134"/>
      </rPr>
      <t>价</t>
    </r>
  </si>
  <si>
    <r>
      <rPr>
        <sz val="12"/>
        <color indexed="8"/>
        <rFont val="宋体"/>
        <family val="3"/>
        <charset val="134"/>
      </rPr>
      <t>楼面单价</t>
    </r>
  </si>
  <si>
    <r>
      <rPr>
        <sz val="12"/>
        <color indexed="8"/>
        <rFont val="宋体"/>
        <family val="3"/>
        <charset val="134"/>
      </rPr>
      <t>大写金额</t>
    </r>
  </si>
  <si>
    <r>
      <rPr>
        <sz val="12"/>
        <color indexed="8"/>
        <rFont val="宋体"/>
        <family val="3"/>
        <charset val="134"/>
      </rPr>
      <t>项目名称</t>
    </r>
    <phoneticPr fontId="85" type="noConversion"/>
  </si>
  <si>
    <r>
      <rPr>
        <sz val="12"/>
        <color indexed="8"/>
        <rFont val="宋体"/>
        <family val="3"/>
        <charset val="134"/>
      </rPr>
      <t>建筑面积</t>
    </r>
    <phoneticPr fontId="83" type="noConversion"/>
  </si>
  <si>
    <r>
      <t>(</t>
    </r>
    <r>
      <rPr>
        <sz val="12"/>
        <color indexed="8"/>
        <rFont val="宋体"/>
        <family val="3"/>
        <charset val="134"/>
      </rPr>
      <t>分摊</t>
    </r>
    <r>
      <rPr>
        <sz val="12"/>
        <color indexed="8"/>
        <rFont val="Arial"/>
        <family val="2"/>
      </rPr>
      <t>)</t>
    </r>
    <r>
      <rPr>
        <sz val="12"/>
        <color indexed="8"/>
        <rFont val="宋体"/>
        <family val="3"/>
        <charset val="134"/>
      </rPr>
      <t>土地面积</t>
    </r>
    <phoneticPr fontId="83" type="noConversion"/>
  </si>
  <si>
    <r>
      <rPr>
        <sz val="12"/>
        <color indexed="8"/>
        <rFont val="宋体"/>
        <family val="3"/>
        <charset val="134"/>
      </rPr>
      <t>楼面单价</t>
    </r>
    <phoneticPr fontId="83" type="noConversion"/>
  </si>
  <si>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83" type="noConversion"/>
  </si>
  <si>
    <r>
      <rPr>
        <b/>
        <sz val="14"/>
        <color theme="1"/>
        <rFont val="宋体"/>
        <family val="3"/>
        <charset val="134"/>
      </rPr>
      <t>注册房地产估价师</t>
    </r>
  </si>
  <si>
    <r>
      <rPr>
        <sz val="14"/>
        <color rgb="FF000000"/>
        <rFont val="宋体"/>
        <family val="3"/>
        <charset val="134"/>
      </rPr>
      <t>姓名</t>
    </r>
  </si>
  <si>
    <r>
      <rPr>
        <sz val="14"/>
        <color rgb="FF000000"/>
        <rFont val="宋体"/>
        <family val="3"/>
        <charset val="134"/>
      </rPr>
      <t>注册号</t>
    </r>
  </si>
  <si>
    <r>
      <rPr>
        <sz val="14"/>
        <color rgb="FF000000"/>
        <rFont val="宋体"/>
        <family val="3"/>
        <charset val="134"/>
      </rPr>
      <t>签名</t>
    </r>
  </si>
  <si>
    <r>
      <rPr>
        <sz val="14"/>
        <color rgb="FF000000"/>
        <rFont val="宋体"/>
        <family val="3"/>
        <charset val="134"/>
      </rPr>
      <t>签名日期</t>
    </r>
  </si>
  <si>
    <r>
      <t xml:space="preserve">  </t>
    </r>
    <r>
      <rPr>
        <sz val="14"/>
        <color rgb="FF000000"/>
        <rFont val="宋体"/>
        <family val="3"/>
        <charset val="134"/>
      </rPr>
      <t>年</t>
    </r>
    <r>
      <rPr>
        <sz val="14"/>
        <color rgb="FF000000"/>
        <rFont val="Arial"/>
        <family val="2"/>
      </rPr>
      <t xml:space="preserve">  </t>
    </r>
    <r>
      <rPr>
        <sz val="14"/>
        <color rgb="FF000000"/>
        <rFont val="宋体"/>
        <family val="3"/>
        <charset val="134"/>
      </rPr>
      <t>月</t>
    </r>
    <r>
      <rPr>
        <sz val="14"/>
        <color rgb="FF000000"/>
        <rFont val="Arial"/>
        <family val="2"/>
      </rPr>
      <t xml:space="preserve">  </t>
    </r>
    <r>
      <rPr>
        <sz val="14"/>
        <color rgb="FF000000"/>
        <rFont val="宋体"/>
        <family val="3"/>
        <charset val="134"/>
      </rPr>
      <t>日</t>
    </r>
    <phoneticPr fontId="3" type="noConversion"/>
  </si>
  <si>
    <r>
      <rPr>
        <b/>
        <sz val="14"/>
        <color theme="1"/>
        <rFont val="宋体"/>
        <family val="3"/>
        <charset val="134"/>
      </rPr>
      <t>其他评估专业人员</t>
    </r>
    <phoneticPr fontId="90" type="noConversion"/>
  </si>
  <si>
    <r>
      <rPr>
        <sz val="14"/>
        <color theme="1"/>
        <rFont val="宋体"/>
        <family val="3"/>
        <charset val="134"/>
      </rPr>
      <t>相关资格或职称</t>
    </r>
  </si>
  <si>
    <r>
      <rPr>
        <b/>
        <sz val="14"/>
        <color theme="1"/>
        <rFont val="宋体"/>
        <family val="3"/>
        <charset val="134"/>
      </rPr>
      <t>特别提示：</t>
    </r>
    <phoneticPr fontId="3" type="noConversion"/>
  </si>
  <si>
    <r>
      <t>1.</t>
    </r>
    <r>
      <rPr>
        <sz val="12"/>
        <color indexed="8"/>
        <rFont val="宋体"/>
        <family val="3"/>
        <charset val="134"/>
      </rPr>
      <t>本《评估意见函》中所列估价结果为初评结果，准确金额以本公司出具的正式《房地产评估报告》为准。</t>
    </r>
    <phoneticPr fontId="89" type="noConversion"/>
  </si>
  <si>
    <r>
      <rPr>
        <sz val="12"/>
        <color theme="9" tint="-0.249977111117893"/>
        <rFont val="宋体"/>
        <family val="3"/>
        <charset val="134"/>
      </rPr>
      <t>（</t>
    </r>
    <r>
      <rPr>
        <sz val="12"/>
        <color theme="9" tint="-0.249977111117893"/>
        <rFont val="Arial"/>
        <family val="2"/>
      </rPr>
      <t>2</t>
    </r>
    <r>
      <rPr>
        <sz val="12"/>
        <color theme="9" tint="-0.249977111117893"/>
        <rFont val="宋体"/>
        <family val="3"/>
        <charset val="134"/>
      </rPr>
      <t>）根据《工程款支付情况说明》，截至价值时点，估价对象不存在应付未付工程款项。（只要没有施工方盖章的，均</t>
    </r>
    <r>
      <rPr>
        <sz val="12"/>
        <color theme="9" tint="-0.249977111117893"/>
        <rFont val="Arial"/>
        <family val="2"/>
      </rPr>
      <t>“</t>
    </r>
    <r>
      <rPr>
        <sz val="12"/>
        <color theme="9" tint="-0.249977111117893"/>
        <rFont val="宋体"/>
        <family val="3"/>
        <charset val="134"/>
      </rPr>
      <t>设定</t>
    </r>
    <r>
      <rPr>
        <sz val="12"/>
        <color theme="9" tint="-0.249977111117893"/>
        <rFont val="Arial"/>
        <family val="2"/>
      </rPr>
      <t>”</t>
    </r>
    <r>
      <rPr>
        <sz val="12"/>
        <color theme="9" tint="-0.249977111117893"/>
        <rFont val="宋体"/>
        <family val="3"/>
        <charset val="134"/>
      </rPr>
      <t>进行表述）</t>
    </r>
    <phoneticPr fontId="90" type="noConversion"/>
  </si>
  <si>
    <r>
      <rPr>
        <sz val="12"/>
        <color theme="9" tint="-0.249977111117893"/>
        <rFont val="宋体"/>
        <family val="3"/>
        <charset val="134"/>
      </rPr>
      <t>（</t>
    </r>
    <r>
      <rPr>
        <sz val="12"/>
        <color theme="9" tint="-0.249977111117893"/>
        <rFont val="Arial"/>
        <family val="2"/>
      </rPr>
      <t>3</t>
    </r>
    <r>
      <rPr>
        <sz val="12"/>
        <color theme="9" tint="-0.249977111117893"/>
        <rFont val="宋体"/>
        <family val="3"/>
        <charset val="134"/>
      </rPr>
      <t>）根据《国有建设用地使用权出让合同》及附件</t>
    </r>
    <r>
      <rPr>
        <sz val="12"/>
        <color theme="9" tint="-0.249977111117893"/>
        <rFont val="Arial"/>
        <family val="2"/>
      </rPr>
      <t>[]</t>
    </r>
    <r>
      <rPr>
        <sz val="12"/>
        <color theme="9" tint="-0.249977111117893"/>
        <rFont val="宋体"/>
        <family val="3"/>
        <charset val="134"/>
      </rPr>
      <t>以及相关款项支付凭证，截至价值时点，估价委托人依据合同已缴纳全部土地成交价款及契税。根据《建设工程规划许可证》</t>
    </r>
    <r>
      <rPr>
        <sz val="12"/>
        <color theme="9" tint="-0.249977111117893"/>
        <rFont val="Arial"/>
        <family val="2"/>
      </rPr>
      <t>[]/</t>
    </r>
    <r>
      <rPr>
        <sz val="12"/>
        <color theme="9" tint="-0.249977111117893"/>
        <rFont val="宋体"/>
        <family val="3"/>
        <charset val="134"/>
      </rPr>
      <t>《预测报告》，估价对象规划建筑面积未超过《国有建设用地使用权出让合同》及附件的约定，本次评估设定估价对象不存在需补缴政府土地收益。</t>
    </r>
    <r>
      <rPr>
        <sz val="12"/>
        <color theme="9" tint="-0.249977111117893"/>
        <rFont val="Arial"/>
        <family val="2"/>
      </rPr>
      <t>OR</t>
    </r>
    <r>
      <rPr>
        <sz val="12"/>
        <color theme="9" tint="-0.249977111117893"/>
        <rFont val="宋体"/>
        <family val="3"/>
        <charset val="134"/>
      </rPr>
      <t>根据《建设工程规划许可证》</t>
    </r>
    <r>
      <rPr>
        <sz val="12"/>
        <color theme="9" tint="-0.249977111117893"/>
        <rFont val="Arial"/>
        <family val="2"/>
      </rPr>
      <t>[]</t>
    </r>
    <r>
      <rPr>
        <sz val="12"/>
        <color theme="9" tint="-0.249977111117893"/>
        <rFont val="宋体"/>
        <family val="3"/>
        <charset val="134"/>
      </rPr>
      <t>，估价对象规划建筑面积超出《国有建设用地使用权出让合同》的约定，新增地上经营性商业用房及地下车库规划建筑面积为</t>
    </r>
    <r>
      <rPr>
        <sz val="12"/>
        <color theme="9" tint="-0.249977111117893"/>
        <rFont val="Arial"/>
        <family val="2"/>
      </rPr>
      <t>XX</t>
    </r>
    <r>
      <rPr>
        <sz val="12"/>
        <color theme="9" tint="-0.249977111117893"/>
        <rFont val="宋体"/>
        <family val="3"/>
        <charset val="134"/>
      </rPr>
      <t>平方米。根据上述《国有建设用地使用权出让合同》及附件约定的计算标准，该部分需补缴的政府土地收益及契税、印花税为</t>
    </r>
    <r>
      <rPr>
        <sz val="12"/>
        <color theme="9" tint="-0.249977111117893"/>
        <rFont val="Arial"/>
        <family val="2"/>
      </rPr>
      <t>XX</t>
    </r>
    <r>
      <rPr>
        <sz val="12"/>
        <color theme="9" tint="-0.249977111117893"/>
        <rFont val="宋体"/>
        <family val="3"/>
        <charset val="134"/>
      </rPr>
      <t>万元。上述应补缴的政府土地收益金额仅为测算值，最终应补缴的金额应以土地管理部门的审定结果为准。如上述情况发生变化，估价结果需做相应调整。</t>
    </r>
  </si>
  <si>
    <r>
      <rPr>
        <sz val="11"/>
        <color indexed="53"/>
        <rFont val="Arial"/>
        <family val="2"/>
      </rPr>
      <t>8.</t>
    </r>
    <r>
      <rPr>
        <sz val="11"/>
        <color indexed="53"/>
        <rFont val="宋体"/>
        <family val="3"/>
        <charset val="134"/>
      </rPr>
      <t>其他需特殊说明事项：无</t>
    </r>
    <r>
      <rPr>
        <i/>
        <sz val="11"/>
        <color theme="3" tint="0.39997558519241921"/>
        <rFont val="宋体"/>
        <family val="3"/>
        <charset val="134"/>
      </rPr>
      <t>（注意调整序号）</t>
    </r>
    <phoneticPr fontId="87" type="noConversion"/>
  </si>
  <si>
    <r>
      <t xml:space="preserve">    </t>
    </r>
    <r>
      <rPr>
        <sz val="14"/>
        <color theme="1"/>
        <rFont val="宋体"/>
        <family val="3"/>
        <charset val="134"/>
      </rPr>
      <t>顺致</t>
    </r>
    <phoneticPr fontId="3" type="noConversion"/>
  </si>
  <si>
    <r>
      <rPr>
        <sz val="14"/>
        <color theme="1"/>
        <rFont val="宋体"/>
        <family val="3"/>
        <charset val="134"/>
      </rPr>
      <t>商祺</t>
    </r>
    <phoneticPr fontId="3" type="noConversion"/>
  </si>
  <si>
    <r>
      <rPr>
        <sz val="14"/>
        <color theme="1"/>
        <rFont val="宋体"/>
        <family val="3"/>
        <charset val="134"/>
      </rPr>
      <t>北京康正宏基房地产评估有限公司</t>
    </r>
    <phoneticPr fontId="3" type="noConversion"/>
  </si>
  <si>
    <r>
      <rPr>
        <b/>
        <sz val="14"/>
        <color theme="1"/>
        <rFont val="宋体"/>
        <family val="3"/>
        <charset val="134"/>
      </rPr>
      <t>参与本次估价工作的评估专业人员：</t>
    </r>
    <r>
      <rPr>
        <b/>
        <i/>
        <sz val="14"/>
        <color theme="3" tint="0.39997558519241921"/>
        <rFont val="宋体"/>
        <family val="3"/>
        <charset val="134"/>
      </rPr>
      <t>（仅华夏）</t>
    </r>
    <phoneticPr fontId="3" type="noConversion"/>
  </si>
  <si>
    <r>
      <rPr>
        <b/>
        <sz val="14"/>
        <color indexed="10"/>
        <rFont val="宋体"/>
        <family val="3"/>
        <charset val="134"/>
        <scheme val="minor"/>
      </rPr>
      <t>请用EXCEL2010以上版本打开，否则个别格式设置会与原表不一致，影响使用</t>
    </r>
    <phoneticPr fontId="33" type="noConversion"/>
  </si>
  <si>
    <r>
      <rPr>
        <sz val="11"/>
        <color indexed="8"/>
        <rFont val="宋体"/>
        <family val="3"/>
        <charset val="134"/>
        <scheme val="minor"/>
      </rPr>
      <t>无底纹单元格</t>
    </r>
    <phoneticPr fontId="33" type="noConversion"/>
  </si>
  <si>
    <r>
      <rPr>
        <sz val="11"/>
        <color indexed="8"/>
        <rFont val="宋体"/>
        <family val="3"/>
        <charset val="134"/>
        <scheme val="minor"/>
      </rPr>
      <t>黄色底纹单元格</t>
    </r>
    <phoneticPr fontId="33" type="noConversion"/>
  </si>
  <si>
    <r>
      <rPr>
        <sz val="11"/>
        <color indexed="8"/>
        <rFont val="宋体"/>
        <family val="3"/>
        <charset val="134"/>
        <scheme val="minor"/>
      </rPr>
      <t>灰色底纹单元格</t>
    </r>
    <phoneticPr fontId="33" type="noConversion"/>
  </si>
  <si>
    <r>
      <rPr>
        <sz val="11"/>
        <color indexed="8"/>
        <rFont val="宋体"/>
        <family val="3"/>
        <charset val="134"/>
        <scheme val="minor"/>
      </rPr>
      <t>红色底纹黄色字体</t>
    </r>
    <phoneticPr fontId="33" type="noConversion"/>
  </si>
  <si>
    <r>
      <rPr>
        <b/>
        <sz val="12"/>
        <color indexed="8"/>
        <rFont val="宋体"/>
        <family val="3"/>
        <charset val="134"/>
        <scheme val="minor"/>
      </rPr>
      <t>关注批注角标</t>
    </r>
    <phoneticPr fontId="33" type="noConversion"/>
  </si>
  <si>
    <r>
      <rPr>
        <sz val="11"/>
        <color indexed="8"/>
        <rFont val="宋体"/>
        <family val="3"/>
        <charset val="134"/>
        <scheme val="minor"/>
      </rPr>
      <t>基础表</t>
    </r>
    <phoneticPr fontId="3" type="noConversion"/>
  </si>
  <si>
    <r>
      <rPr>
        <sz val="11"/>
        <color indexed="8"/>
        <rFont val="宋体"/>
        <family val="3"/>
        <charset val="134"/>
        <scheme val="minor"/>
      </rPr>
      <t>数据表</t>
    </r>
    <phoneticPr fontId="3" type="noConversion"/>
  </si>
  <si>
    <r>
      <rPr>
        <sz val="11"/>
        <color indexed="8"/>
        <rFont val="宋体"/>
        <family val="3"/>
        <charset val="134"/>
        <scheme val="minor"/>
      </rPr>
      <t>汇总表</t>
    </r>
    <phoneticPr fontId="3" type="noConversion"/>
  </si>
  <si>
    <r>
      <rPr>
        <sz val="11"/>
        <color indexed="8"/>
        <rFont val="宋体"/>
        <family val="3"/>
        <charset val="134"/>
        <scheme val="minor"/>
      </rPr>
      <t>取费表</t>
    </r>
    <phoneticPr fontId="3" type="noConversion"/>
  </si>
  <si>
    <r>
      <rPr>
        <sz val="11"/>
        <color indexed="8"/>
        <rFont val="宋体"/>
        <family val="3"/>
        <charset val="134"/>
        <scheme val="minor"/>
      </rPr>
      <t>房地状况</t>
    </r>
    <phoneticPr fontId="3" type="noConversion"/>
  </si>
  <si>
    <r>
      <rPr>
        <sz val="11"/>
        <color indexed="8"/>
        <rFont val="宋体"/>
        <family val="3"/>
        <charset val="134"/>
        <scheme val="minor"/>
      </rPr>
      <t>结果表</t>
    </r>
    <phoneticPr fontId="3" type="noConversion"/>
  </si>
  <si>
    <r>
      <rPr>
        <sz val="11"/>
        <color indexed="8"/>
        <rFont val="宋体"/>
        <family val="3"/>
        <charset val="134"/>
        <scheme val="minor"/>
      </rPr>
      <t>方法</t>
    </r>
    <phoneticPr fontId="3" type="noConversion"/>
  </si>
  <si>
    <r>
      <rPr>
        <sz val="11"/>
        <color indexed="8"/>
        <rFont val="宋体"/>
        <family val="3"/>
        <charset val="134"/>
        <scheme val="minor"/>
      </rPr>
      <t>成本</t>
    </r>
    <phoneticPr fontId="3" type="noConversion"/>
  </si>
  <si>
    <r>
      <rPr>
        <sz val="11"/>
        <color indexed="8"/>
        <rFont val="宋体"/>
        <family val="3"/>
        <charset val="134"/>
        <scheme val="minor"/>
      </rPr>
      <t>假开</t>
    </r>
    <phoneticPr fontId="3" type="noConversion"/>
  </si>
  <si>
    <r>
      <rPr>
        <sz val="11"/>
        <color indexed="8"/>
        <rFont val="宋体"/>
        <family val="3"/>
        <charset val="134"/>
        <scheme val="minor"/>
      </rPr>
      <t>收益</t>
    </r>
    <phoneticPr fontId="3" type="noConversion"/>
  </si>
  <si>
    <r>
      <rPr>
        <sz val="11"/>
        <color indexed="8"/>
        <rFont val="宋体"/>
        <family val="3"/>
        <charset val="134"/>
        <scheme val="minor"/>
      </rPr>
      <t>比较</t>
    </r>
    <phoneticPr fontId="3" type="noConversion"/>
  </si>
  <si>
    <r>
      <rPr>
        <sz val="11"/>
        <color indexed="8"/>
        <rFont val="宋体"/>
        <family val="3"/>
        <charset val="134"/>
        <scheme val="minor"/>
      </rPr>
      <t>住宅</t>
    </r>
    <phoneticPr fontId="3" type="noConversion"/>
  </si>
  <si>
    <r>
      <rPr>
        <sz val="11"/>
        <color indexed="8"/>
        <rFont val="宋体"/>
        <family val="3"/>
        <charset val="134"/>
        <scheme val="minor"/>
      </rPr>
      <t>商业</t>
    </r>
    <phoneticPr fontId="3" type="noConversion"/>
  </si>
  <si>
    <r>
      <rPr>
        <sz val="11"/>
        <color indexed="8"/>
        <rFont val="宋体"/>
        <family val="3"/>
        <charset val="134"/>
        <scheme val="minor"/>
      </rPr>
      <t>办公</t>
    </r>
    <phoneticPr fontId="3" type="noConversion"/>
  </si>
  <si>
    <r>
      <rPr>
        <sz val="11"/>
        <color indexed="8"/>
        <rFont val="宋体"/>
        <family val="3"/>
        <charset val="134"/>
        <scheme val="minor"/>
      </rPr>
      <t>工业</t>
    </r>
    <phoneticPr fontId="33" type="noConversion"/>
  </si>
  <si>
    <r>
      <rPr>
        <sz val="11"/>
        <color indexed="8"/>
        <rFont val="宋体"/>
        <family val="3"/>
        <charset val="134"/>
        <scheme val="minor"/>
      </rPr>
      <t>车位</t>
    </r>
    <phoneticPr fontId="33" type="noConversion"/>
  </si>
  <si>
    <r>
      <rPr>
        <sz val="11"/>
        <color indexed="8"/>
        <rFont val="宋体"/>
        <family val="3"/>
        <charset val="134"/>
        <scheme val="minor"/>
      </rPr>
      <t>仓储</t>
    </r>
    <phoneticPr fontId="33" type="noConversion"/>
  </si>
  <si>
    <r>
      <rPr>
        <sz val="11"/>
        <color indexed="8"/>
        <rFont val="宋体"/>
        <family val="3"/>
        <charset val="134"/>
        <scheme val="minor"/>
      </rPr>
      <t>土地-住宅、综合</t>
    </r>
    <phoneticPr fontId="33" type="noConversion"/>
  </si>
  <si>
    <r>
      <rPr>
        <sz val="11"/>
        <color indexed="8"/>
        <rFont val="宋体"/>
        <family val="3"/>
        <charset val="134"/>
        <scheme val="minor"/>
      </rPr>
      <t>土地-工业</t>
    </r>
    <phoneticPr fontId="33" type="noConversion"/>
  </si>
  <si>
    <r>
      <rPr>
        <sz val="11"/>
        <color indexed="8"/>
        <rFont val="宋体"/>
        <family val="3"/>
        <charset val="134"/>
        <scheme val="minor"/>
      </rPr>
      <t>典型户型修正</t>
    </r>
    <phoneticPr fontId="33" type="noConversion"/>
  </si>
  <si>
    <r>
      <rPr>
        <b/>
        <sz val="12"/>
        <color indexed="10"/>
        <rFont val="宋体"/>
        <family val="3"/>
        <charset val="134"/>
        <scheme val="minor"/>
      </rPr>
      <t>数据-基础表  面积录入特殊说明</t>
    </r>
    <phoneticPr fontId="33" type="noConversion"/>
  </si>
  <si>
    <r>
      <rPr>
        <sz val="11"/>
        <color indexed="8"/>
        <rFont val="宋体"/>
        <family val="3"/>
        <charset val="134"/>
        <scheme val="minor"/>
      </rPr>
      <t>估价方法</t>
    </r>
    <phoneticPr fontId="16" type="noConversion"/>
  </si>
  <si>
    <r>
      <rPr>
        <sz val="11"/>
        <color indexed="8"/>
        <rFont val="宋体"/>
        <family val="3"/>
        <charset val="134"/>
        <scheme val="minor"/>
      </rPr>
      <t>位置</t>
    </r>
    <phoneticPr fontId="16" type="noConversion"/>
  </si>
  <si>
    <r>
      <rPr>
        <sz val="11"/>
        <color indexed="8"/>
        <rFont val="宋体"/>
        <family val="3"/>
        <charset val="134"/>
        <scheme val="minor"/>
      </rPr>
      <t>主用途</t>
    </r>
    <phoneticPr fontId="16" type="noConversion"/>
  </si>
  <si>
    <r>
      <rPr>
        <sz val="11"/>
        <color indexed="8"/>
        <rFont val="宋体"/>
        <family val="3"/>
        <charset val="134"/>
        <scheme val="minor"/>
      </rPr>
      <t>法定最高年限</t>
    </r>
    <phoneticPr fontId="16" type="noConversion"/>
  </si>
  <si>
    <r>
      <rPr>
        <sz val="11"/>
        <color indexed="8"/>
        <rFont val="宋体"/>
        <family val="3"/>
        <charset val="134"/>
        <scheme val="minor"/>
      </rPr>
      <t>地类判定</t>
    </r>
    <phoneticPr fontId="16" type="noConversion"/>
  </si>
  <si>
    <r>
      <rPr>
        <sz val="11"/>
        <color indexed="8"/>
        <rFont val="宋体"/>
        <family val="3"/>
        <charset val="134"/>
        <scheme val="minor"/>
      </rPr>
      <t>土地年限区间</t>
    </r>
    <phoneticPr fontId="16" type="noConversion"/>
  </si>
  <si>
    <r>
      <rPr>
        <sz val="11"/>
        <color indexed="8"/>
        <rFont val="宋体"/>
        <family val="3"/>
        <charset val="134"/>
        <scheme val="minor"/>
      </rPr>
      <t>类别</t>
    </r>
    <phoneticPr fontId="16" type="noConversion"/>
  </si>
  <si>
    <r>
      <rPr>
        <sz val="11"/>
        <color indexed="8"/>
        <rFont val="宋体"/>
        <family val="3"/>
        <charset val="134"/>
        <scheme val="minor"/>
      </rPr>
      <t>居住社区成熟度</t>
    </r>
    <phoneticPr fontId="16" type="noConversion"/>
  </si>
  <si>
    <r>
      <rPr>
        <sz val="11"/>
        <color indexed="8"/>
        <rFont val="宋体"/>
        <family val="3"/>
        <charset val="134"/>
        <scheme val="minor"/>
      </rPr>
      <t>商业繁华度</t>
    </r>
    <phoneticPr fontId="16" type="noConversion"/>
  </si>
  <si>
    <r>
      <rPr>
        <sz val="11"/>
        <color indexed="8"/>
        <rFont val="宋体"/>
        <family val="3"/>
        <charset val="134"/>
        <scheme val="minor"/>
      </rPr>
      <t>办公集聚程度</t>
    </r>
    <phoneticPr fontId="16" type="noConversion"/>
  </si>
  <si>
    <r>
      <rPr>
        <sz val="11"/>
        <color indexed="8"/>
        <rFont val="宋体"/>
        <family val="3"/>
        <charset val="134"/>
        <scheme val="minor"/>
      </rPr>
      <t>产业集聚程度</t>
    </r>
    <phoneticPr fontId="16" type="noConversion"/>
  </si>
  <si>
    <r>
      <rPr>
        <sz val="11"/>
        <color indexed="8"/>
        <rFont val="宋体"/>
        <family val="3"/>
        <charset val="134"/>
        <scheme val="minor"/>
      </rPr>
      <t>交通便捷度</t>
    </r>
    <phoneticPr fontId="16" type="noConversion"/>
  </si>
  <si>
    <r>
      <rPr>
        <sz val="11"/>
        <color indexed="8"/>
        <rFont val="宋体"/>
        <family val="3"/>
        <charset val="134"/>
        <scheme val="minor"/>
      </rPr>
      <t>环境质量</t>
    </r>
    <phoneticPr fontId="16" type="noConversion"/>
  </si>
  <si>
    <t>临街状况</t>
    <phoneticPr fontId="43" type="noConversion"/>
  </si>
  <si>
    <r>
      <rPr>
        <sz val="11"/>
        <color indexed="8"/>
        <rFont val="宋体"/>
        <family val="3"/>
        <charset val="134"/>
        <scheme val="minor"/>
      </rPr>
      <t>内部装修维护情况</t>
    </r>
    <phoneticPr fontId="16" type="noConversion"/>
  </si>
  <si>
    <r>
      <rPr>
        <sz val="11"/>
        <color indexed="8"/>
        <rFont val="宋体"/>
        <family val="3"/>
        <charset val="134"/>
        <scheme val="minor"/>
      </rPr>
      <t>单价内涵</t>
    </r>
    <phoneticPr fontId="16" type="noConversion"/>
  </si>
  <si>
    <r>
      <rPr>
        <sz val="11"/>
        <color indexed="8"/>
        <rFont val="宋体"/>
        <family val="3"/>
        <charset val="134"/>
        <scheme val="minor"/>
      </rPr>
      <t>成本法</t>
    </r>
    <phoneticPr fontId="16" type="noConversion"/>
  </si>
  <si>
    <r>
      <rPr>
        <sz val="11"/>
        <color indexed="8"/>
        <rFont val="宋体"/>
        <family val="3"/>
        <charset val="134"/>
        <scheme val="minor"/>
      </rPr>
      <t>是</t>
    </r>
    <phoneticPr fontId="16" type="noConversion"/>
  </si>
  <si>
    <r>
      <rPr>
        <sz val="11"/>
        <color indexed="8"/>
        <rFont val="宋体"/>
        <family val="3"/>
        <charset val="134"/>
        <scheme val="minor"/>
      </rPr>
      <t>地上</t>
    </r>
    <phoneticPr fontId="16" type="noConversion"/>
  </si>
  <si>
    <r>
      <rPr>
        <sz val="11"/>
        <color indexed="8"/>
        <rFont val="宋体"/>
        <family val="3"/>
        <charset val="134"/>
        <scheme val="minor"/>
      </rPr>
      <t>住宅</t>
    </r>
    <phoneticPr fontId="16" type="noConversion"/>
  </si>
  <si>
    <r>
      <rPr>
        <sz val="11"/>
        <color indexed="8"/>
        <rFont val="宋体"/>
        <family val="3"/>
        <charset val="134"/>
        <scheme val="minor"/>
      </rPr>
      <t>经营性</t>
    </r>
    <phoneticPr fontId="16" type="noConversion"/>
  </si>
  <si>
    <r>
      <rPr>
        <sz val="11"/>
        <color indexed="8"/>
        <rFont val="宋体"/>
        <family val="3"/>
        <charset val="134"/>
        <scheme val="minor"/>
      </rPr>
      <t>好</t>
    </r>
  </si>
  <si>
    <r>
      <rPr>
        <sz val="11"/>
        <color indexed="8"/>
        <rFont val="宋体"/>
        <family val="3"/>
        <charset val="134"/>
        <scheme val="minor"/>
      </rPr>
      <t>多面临街</t>
    </r>
    <phoneticPr fontId="43" type="noConversion"/>
  </si>
  <si>
    <r>
      <rPr>
        <sz val="11"/>
        <color indexed="8"/>
        <rFont val="宋体"/>
        <family val="3"/>
        <charset val="134"/>
        <scheme val="minor"/>
      </rPr>
      <t>单位面积地价</t>
    </r>
    <phoneticPr fontId="16" type="noConversion"/>
  </si>
  <si>
    <r>
      <rPr>
        <sz val="11"/>
        <color indexed="8"/>
        <rFont val="宋体"/>
        <family val="3"/>
        <charset val="134"/>
        <scheme val="minor"/>
      </rPr>
      <t>平层住宅</t>
    </r>
    <phoneticPr fontId="16" type="noConversion"/>
  </si>
  <si>
    <r>
      <rPr>
        <sz val="11"/>
        <color indexed="8"/>
        <rFont val="宋体"/>
        <family val="3"/>
        <charset val="134"/>
        <scheme val="minor"/>
      </rPr>
      <t>否</t>
    </r>
    <phoneticPr fontId="16" type="noConversion"/>
  </si>
  <si>
    <r>
      <rPr>
        <sz val="11"/>
        <color indexed="8"/>
        <rFont val="宋体"/>
        <family val="3"/>
        <charset val="134"/>
        <scheme val="minor"/>
      </rPr>
      <t>商业</t>
    </r>
    <phoneticPr fontId="16" type="noConversion"/>
  </si>
  <si>
    <r>
      <rPr>
        <sz val="11"/>
        <color indexed="8"/>
        <rFont val="宋体"/>
        <family val="3"/>
        <charset val="134"/>
        <scheme val="minor"/>
      </rPr>
      <t>非经营性</t>
    </r>
    <phoneticPr fontId="16" type="noConversion"/>
  </si>
  <si>
    <r>
      <rPr>
        <sz val="11"/>
        <color indexed="8"/>
        <rFont val="宋体"/>
        <family val="3"/>
        <charset val="134"/>
        <scheme val="minor"/>
      </rPr>
      <t>较好</t>
    </r>
  </si>
  <si>
    <r>
      <rPr>
        <sz val="11"/>
        <color indexed="8"/>
        <rFont val="宋体"/>
        <family val="3"/>
        <charset val="134"/>
        <scheme val="minor"/>
      </rPr>
      <t>双面临街</t>
    </r>
    <phoneticPr fontId="43" type="noConversion"/>
  </si>
  <si>
    <r>
      <rPr>
        <sz val="11"/>
        <color indexed="8"/>
        <rFont val="宋体"/>
        <family val="3"/>
        <charset val="134"/>
        <scheme val="minor"/>
      </rPr>
      <t>楼面地价</t>
    </r>
    <phoneticPr fontId="16" type="noConversion"/>
  </si>
  <si>
    <r>
      <t>LOFT</t>
    </r>
    <r>
      <rPr>
        <sz val="11"/>
        <color indexed="8"/>
        <rFont val="宋体"/>
        <family val="3"/>
        <charset val="134"/>
        <scheme val="minor"/>
      </rPr>
      <t>住宅</t>
    </r>
    <phoneticPr fontId="16" type="noConversion"/>
  </si>
  <si>
    <r>
      <rPr>
        <sz val="11"/>
        <color indexed="8"/>
        <rFont val="宋体"/>
        <family val="3"/>
        <charset val="134"/>
        <scheme val="minor"/>
      </rPr>
      <t>假设开发法</t>
    </r>
    <phoneticPr fontId="16" type="noConversion"/>
  </si>
  <si>
    <r>
      <rPr>
        <sz val="11"/>
        <color indexed="8"/>
        <rFont val="宋体"/>
        <family val="3"/>
        <charset val="134"/>
        <scheme val="minor"/>
      </rPr>
      <t>地下</t>
    </r>
    <phoneticPr fontId="16" type="noConversion"/>
  </si>
  <si>
    <r>
      <rPr>
        <sz val="11"/>
        <color indexed="8"/>
        <rFont val="宋体"/>
        <family val="3"/>
        <charset val="134"/>
        <scheme val="minor"/>
      </rPr>
      <t>办公</t>
    </r>
    <phoneticPr fontId="16" type="noConversion"/>
  </si>
  <si>
    <r>
      <rPr>
        <sz val="11"/>
        <color indexed="8"/>
        <rFont val="宋体"/>
        <family val="3"/>
        <charset val="134"/>
        <scheme val="minor"/>
      </rPr>
      <t>一般</t>
    </r>
  </si>
  <si>
    <r>
      <rPr>
        <sz val="11"/>
        <color indexed="8"/>
        <rFont val="宋体"/>
        <family val="3"/>
        <charset val="134"/>
        <scheme val="minor"/>
      </rPr>
      <t>单面临街</t>
    </r>
    <phoneticPr fontId="43" type="noConversion"/>
  </si>
  <si>
    <r>
      <rPr>
        <sz val="11"/>
        <color indexed="8"/>
        <rFont val="宋体"/>
        <family val="3"/>
        <charset val="134"/>
        <scheme val="minor"/>
      </rPr>
      <t>普通住宅</t>
    </r>
    <phoneticPr fontId="16" type="noConversion"/>
  </si>
  <si>
    <r>
      <rPr>
        <sz val="11"/>
        <color indexed="8"/>
        <rFont val="宋体"/>
        <family val="3"/>
        <charset val="134"/>
        <scheme val="minor"/>
      </rPr>
      <t>收益法</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</si>
  <si>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</si>
  <si>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</si>
  <si>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较差</t>
    </r>
  </si>
  <si>
    <r>
      <rPr>
        <sz val="11"/>
        <color indexed="8"/>
        <rFont val="宋体"/>
        <family val="3"/>
        <charset val="134"/>
        <scheme val="minor"/>
      </rPr>
      <t>不临街</t>
    </r>
    <phoneticPr fontId="43" type="noConversion"/>
  </si>
  <si>
    <r>
      <rPr>
        <sz val="11"/>
        <color indexed="8"/>
        <rFont val="宋体"/>
        <family val="3"/>
        <charset val="134"/>
        <scheme val="minor"/>
      </rPr>
      <t>公寓</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</si>
  <si>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</si>
  <si>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差</t>
    </r>
  </si>
  <si>
    <r>
      <rPr>
        <sz val="11"/>
        <color indexed="8"/>
        <rFont val="宋体"/>
        <family val="3"/>
        <charset val="134"/>
        <scheme val="minor"/>
      </rPr>
      <t>洋房</t>
    </r>
    <phoneticPr fontId="16" type="noConversion"/>
  </si>
  <si>
    <r>
      <rPr>
        <sz val="11"/>
        <color indexed="8"/>
        <rFont val="宋体"/>
        <family val="3"/>
        <charset val="134"/>
        <scheme val="minor"/>
      </rPr>
      <t>车库—商业</t>
    </r>
    <phoneticPr fontId="16" type="noConversion"/>
  </si>
  <si>
    <r>
      <rPr>
        <sz val="11"/>
        <color indexed="8"/>
        <rFont val="宋体"/>
        <family val="3"/>
        <charset val="134"/>
        <scheme val="minor"/>
      </rPr>
      <t>工业</t>
    </r>
    <phoneticPr fontId="16" type="noConversion"/>
  </si>
  <si>
    <r>
      <rPr>
        <sz val="11"/>
        <color indexed="8"/>
        <rFont val="宋体"/>
        <family val="3"/>
        <charset val="134"/>
        <scheme val="minor"/>
      </rPr>
      <t>叠拼</t>
    </r>
    <phoneticPr fontId="16" type="noConversion"/>
  </si>
  <si>
    <r>
      <rPr>
        <sz val="11"/>
        <color indexed="8"/>
        <rFont val="宋体"/>
        <family val="3"/>
        <charset val="134"/>
        <scheme val="minor"/>
      </rPr>
      <t>比较法-住宅</t>
    </r>
    <phoneticPr fontId="16" type="noConversion"/>
  </si>
  <si>
    <r>
      <rPr>
        <sz val="11"/>
        <color indexed="8"/>
        <rFont val="宋体"/>
        <family val="3"/>
        <charset val="134"/>
        <scheme val="minor"/>
      </rPr>
      <t>车库—办公</t>
    </r>
    <phoneticPr fontId="16" type="noConversion"/>
  </si>
  <si>
    <r>
      <rPr>
        <sz val="11"/>
        <color indexed="8"/>
        <rFont val="宋体"/>
        <family val="3"/>
        <charset val="134"/>
        <scheme val="minor"/>
      </rPr>
      <t>联排</t>
    </r>
    <phoneticPr fontId="16" type="noConversion"/>
  </si>
  <si>
    <r>
      <rPr>
        <sz val="11"/>
        <color indexed="8"/>
        <rFont val="宋体"/>
        <family val="3"/>
        <charset val="134"/>
        <scheme val="minor"/>
      </rPr>
      <t>比较法-商业</t>
    </r>
    <phoneticPr fontId="16" type="noConversion"/>
  </si>
  <si>
    <r>
      <rPr>
        <sz val="11"/>
        <color indexed="8"/>
        <rFont val="宋体"/>
        <family val="3"/>
        <charset val="134"/>
        <scheme val="minor"/>
      </rPr>
      <t>仓储</t>
    </r>
    <phoneticPr fontId="16" type="noConversion"/>
  </si>
  <si>
    <r>
      <rPr>
        <sz val="11"/>
        <color indexed="8"/>
        <rFont val="宋体"/>
        <family val="3"/>
        <charset val="134"/>
        <scheme val="minor"/>
      </rPr>
      <t>双拼</t>
    </r>
    <phoneticPr fontId="16" type="noConversion"/>
  </si>
  <si>
    <r>
      <rPr>
        <sz val="11"/>
        <color indexed="8"/>
        <rFont val="宋体"/>
        <family val="3"/>
        <charset val="134"/>
        <scheme val="minor"/>
      </rPr>
      <t>比较法-办公</t>
    </r>
    <phoneticPr fontId="16" type="noConversion"/>
  </si>
  <si>
    <r>
      <rPr>
        <sz val="11"/>
        <color indexed="8"/>
        <rFont val="宋体"/>
        <family val="3"/>
        <charset val="134"/>
        <scheme val="minor"/>
      </rPr>
      <t>独栋</t>
    </r>
    <phoneticPr fontId="16" type="noConversion"/>
  </si>
  <si>
    <r>
      <rPr>
        <sz val="11"/>
        <color indexed="8"/>
        <rFont val="宋体"/>
        <family val="3"/>
        <charset val="134"/>
        <scheme val="minor"/>
      </rPr>
      <t>比较法-工业</t>
    </r>
    <phoneticPr fontId="16" type="noConversion"/>
  </si>
  <si>
    <r>
      <rPr>
        <sz val="11"/>
        <color indexed="8"/>
        <rFont val="宋体"/>
        <family val="3"/>
        <charset val="134"/>
        <scheme val="minor"/>
      </rPr>
      <t>底商</t>
    </r>
    <phoneticPr fontId="16" type="noConversion"/>
  </si>
  <si>
    <r>
      <rPr>
        <sz val="11"/>
        <color indexed="8"/>
        <rFont val="宋体"/>
        <family val="3"/>
        <charset val="134"/>
        <scheme val="minor"/>
      </rPr>
      <t>比较法-车位</t>
    </r>
    <phoneticPr fontId="16" type="noConversion"/>
  </si>
  <si>
    <r>
      <rPr>
        <sz val="11"/>
        <color indexed="8"/>
        <rFont val="宋体"/>
        <family val="3"/>
        <charset val="134"/>
        <scheme val="minor"/>
      </rPr>
      <t>独立商业</t>
    </r>
    <phoneticPr fontId="16" type="noConversion"/>
  </si>
  <si>
    <r>
      <rPr>
        <sz val="11"/>
        <color indexed="8"/>
        <rFont val="宋体"/>
        <family val="3"/>
        <charset val="134"/>
        <scheme val="minor"/>
      </rPr>
      <t>比较法-仓储</t>
    </r>
    <phoneticPr fontId="16" type="noConversion"/>
  </si>
  <si>
    <r>
      <rPr>
        <sz val="11"/>
        <color indexed="8"/>
        <rFont val="宋体"/>
        <family val="3"/>
        <charset val="134"/>
        <scheme val="minor"/>
      </rPr>
      <t>商业街</t>
    </r>
    <phoneticPr fontId="16" type="noConversion"/>
  </si>
  <si>
    <r>
      <rPr>
        <sz val="11"/>
        <color indexed="8"/>
        <rFont val="宋体"/>
        <family val="3"/>
        <charset val="134"/>
        <scheme val="minor"/>
      </rPr>
      <t>土地比较法-住宅、综合</t>
    </r>
    <phoneticPr fontId="16" type="noConversion"/>
  </si>
  <si>
    <r>
      <rPr>
        <sz val="11"/>
        <color indexed="8"/>
        <rFont val="宋体"/>
        <family val="3"/>
        <charset val="134"/>
        <scheme val="minor"/>
      </rPr>
      <t>酒店</t>
    </r>
    <phoneticPr fontId="16" type="noConversion"/>
  </si>
  <si>
    <r>
      <rPr>
        <sz val="11"/>
        <color indexed="8"/>
        <rFont val="宋体"/>
        <family val="3"/>
        <charset val="134"/>
        <scheme val="minor"/>
      </rPr>
      <t>土地比较法-工业</t>
    </r>
    <phoneticPr fontId="16" type="noConversion"/>
  </si>
  <si>
    <r>
      <rPr>
        <sz val="11"/>
        <color indexed="8"/>
        <rFont val="宋体"/>
        <family val="3"/>
        <charset val="134"/>
        <scheme val="minor"/>
      </rPr>
      <t>标准厂房</t>
    </r>
    <phoneticPr fontId="16" type="noConversion"/>
  </si>
  <si>
    <r>
      <rPr>
        <sz val="11"/>
        <color indexed="8"/>
        <rFont val="宋体"/>
        <family val="3"/>
        <charset val="134"/>
        <scheme val="minor"/>
      </rPr>
      <t>特殊厂房</t>
    </r>
    <phoneticPr fontId="16" type="noConversion"/>
  </si>
  <si>
    <r>
      <rPr>
        <sz val="11"/>
        <color indexed="8"/>
        <rFont val="宋体"/>
        <family val="3"/>
        <charset val="134"/>
        <scheme val="minor"/>
      </rPr>
      <t>办公楼</t>
    </r>
    <phoneticPr fontId="16" type="noConversion"/>
  </si>
  <si>
    <r>
      <rPr>
        <sz val="11"/>
        <color indexed="8"/>
        <rFont val="宋体"/>
        <family val="3"/>
        <charset val="134"/>
        <scheme val="minor"/>
      </rPr>
      <t>宿舍</t>
    </r>
    <phoneticPr fontId="16" type="noConversion"/>
  </si>
  <si>
    <r>
      <rPr>
        <sz val="11"/>
        <color indexed="8"/>
        <rFont val="宋体"/>
        <family val="3"/>
        <charset val="134"/>
        <scheme val="minor"/>
      </rPr>
      <t>食堂</t>
    </r>
    <phoneticPr fontId="16" type="noConversion"/>
  </si>
  <si>
    <r>
      <rPr>
        <sz val="11"/>
        <color indexed="8"/>
        <rFont val="宋体"/>
        <family val="3"/>
        <charset val="134"/>
        <scheme val="minor"/>
      </rPr>
      <t>车库</t>
    </r>
    <phoneticPr fontId="16" type="noConversion"/>
  </si>
  <si>
    <r>
      <rPr>
        <sz val="11"/>
        <color indexed="8"/>
        <rFont val="宋体"/>
        <family val="3"/>
        <charset val="134"/>
        <scheme val="minor"/>
      </rPr>
      <t>戊类库房</t>
    </r>
    <phoneticPr fontId="16" type="noConversion"/>
  </si>
  <si>
    <r>
      <rPr>
        <sz val="11"/>
        <color indexed="8"/>
        <rFont val="宋体"/>
        <family val="3"/>
        <charset val="134"/>
        <scheme val="minor"/>
      </rPr>
      <t>燃品库房</t>
    </r>
    <phoneticPr fontId="16" type="noConversion"/>
  </si>
  <si>
    <r>
      <rPr>
        <sz val="11"/>
        <color indexed="8"/>
        <rFont val="宋体"/>
        <family val="3"/>
        <charset val="134"/>
        <scheme val="minor"/>
      </rPr>
      <t>非燃品库房</t>
    </r>
    <phoneticPr fontId="16" type="noConversion"/>
  </si>
  <si>
    <r>
      <rPr>
        <sz val="11"/>
        <color indexed="8"/>
        <rFont val="宋体"/>
        <family val="3"/>
        <charset val="134"/>
        <scheme val="minor"/>
      </rPr>
      <t>限价商品房</t>
    </r>
    <phoneticPr fontId="40" type="noConversion"/>
  </si>
  <si>
    <r>
      <rPr>
        <sz val="11"/>
        <color indexed="8"/>
        <rFont val="宋体"/>
        <family val="3"/>
        <charset val="134"/>
        <scheme val="minor"/>
      </rPr>
      <t>自住商品房</t>
    </r>
    <phoneticPr fontId="40" type="noConversion"/>
  </si>
  <si>
    <r>
      <rPr>
        <sz val="10"/>
        <color indexed="8"/>
        <rFont val="宋体"/>
        <family val="3"/>
        <charset val="134"/>
      </rPr>
      <t>权利状况（抵押）</t>
    </r>
    <phoneticPr fontId="83" type="noConversion"/>
  </si>
  <si>
    <r>
      <rPr>
        <sz val="10"/>
        <color indexed="8"/>
        <rFont val="宋体"/>
        <family val="3"/>
        <charset val="134"/>
      </rPr>
      <t>其他资料</t>
    </r>
    <phoneticPr fontId="83" type="noConversion"/>
  </si>
  <si>
    <r>
      <rPr>
        <sz val="10"/>
        <color indexed="8"/>
        <rFont val="宋体"/>
        <family val="3"/>
        <charset val="134"/>
      </rPr>
      <t>权利人</t>
    </r>
    <phoneticPr fontId="83" type="noConversion"/>
  </si>
  <si>
    <r>
      <rPr>
        <sz val="10"/>
        <color indexed="8"/>
        <rFont val="宋体"/>
        <family val="3"/>
        <charset val="134"/>
      </rPr>
      <t>权利范围</t>
    </r>
    <phoneticPr fontId="83" type="noConversion"/>
  </si>
  <si>
    <r>
      <rPr>
        <sz val="10"/>
        <color indexed="8"/>
        <rFont val="宋体"/>
        <family val="3"/>
        <charset val="134"/>
      </rPr>
      <t>权利价值</t>
    </r>
    <phoneticPr fontId="83" type="noConversion"/>
  </si>
  <si>
    <r>
      <rPr>
        <b/>
        <sz val="14"/>
        <color rgb="FFFF0000"/>
        <rFont val="宋体"/>
        <family val="3"/>
        <charset val="134"/>
      </rPr>
      <t>数据基础表</t>
    </r>
    <phoneticPr fontId="3" type="noConversion"/>
  </si>
  <si>
    <r>
      <rPr>
        <b/>
        <sz val="16"/>
        <color rgb="FFFF0000"/>
        <rFont val="宋体"/>
        <family val="3"/>
        <charset val="134"/>
      </rPr>
      <t>抵押物清单</t>
    </r>
    <phoneticPr fontId="3" type="noConversion"/>
  </si>
  <si>
    <r>
      <rPr>
        <sz val="10"/>
        <color indexed="8"/>
        <rFont val="宋体"/>
        <family val="3"/>
        <charset val="134"/>
      </rPr>
      <t>土地面积</t>
    </r>
    <phoneticPr fontId="3" type="noConversion"/>
  </si>
  <si>
    <r>
      <rPr>
        <sz val="10"/>
        <color indexed="8"/>
        <rFont val="宋体"/>
        <family val="3"/>
        <charset val="134"/>
      </rPr>
      <t>建筑面积</t>
    </r>
    <phoneticPr fontId="3" type="noConversion"/>
  </si>
  <si>
    <r>
      <rPr>
        <sz val="10"/>
        <color indexed="8"/>
        <rFont val="宋体"/>
        <family val="3"/>
        <charset val="134"/>
      </rPr>
      <t>人防是否参与分摊</t>
    </r>
    <phoneticPr fontId="3" type="noConversion"/>
  </si>
  <si>
    <r>
      <rPr>
        <sz val="10"/>
        <color indexed="8"/>
        <rFont val="宋体"/>
        <family val="3"/>
        <charset val="134"/>
      </rPr>
      <t>测绘分摊土地面积</t>
    </r>
    <phoneticPr fontId="3" type="noConversion"/>
  </si>
  <si>
    <r>
      <rPr>
        <sz val="10"/>
        <color theme="1"/>
        <rFont val="宋体"/>
        <family val="3"/>
        <charset val="134"/>
      </rPr>
      <t>计容建筑面积</t>
    </r>
    <phoneticPr fontId="3" type="noConversion"/>
  </si>
  <si>
    <r>
      <rPr>
        <sz val="10"/>
        <color indexed="8"/>
        <rFont val="宋体"/>
        <family val="3"/>
        <charset val="134"/>
      </rPr>
      <t>计容部位</t>
    </r>
    <phoneticPr fontId="3" type="noConversion"/>
  </si>
  <si>
    <r>
      <rPr>
        <sz val="10"/>
        <color indexed="8"/>
        <rFont val="宋体"/>
        <family val="3"/>
        <charset val="134"/>
      </rPr>
      <t>否</t>
    </r>
  </si>
  <si>
    <r>
      <rPr>
        <sz val="10"/>
        <color indexed="8"/>
        <rFont val="宋体"/>
        <family val="3"/>
        <charset val="134"/>
      </rPr>
      <t>建筑面积合计</t>
    </r>
    <phoneticPr fontId="5" type="noConversion"/>
  </si>
  <si>
    <r>
      <rPr>
        <sz val="10"/>
        <color indexed="8"/>
        <rFont val="宋体"/>
        <family val="3"/>
        <charset val="134"/>
      </rPr>
      <t>（分摊）土地面积</t>
    </r>
    <phoneticPr fontId="5"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</si>
  <si>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</si>
  <si>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</si>
  <si>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5" type="noConversion"/>
  </si>
  <si>
    <r>
      <rPr>
        <sz val="10"/>
        <color indexed="8"/>
        <rFont val="宋体"/>
        <family val="3"/>
        <charset val="134"/>
      </rPr>
      <t>是否为抵押范围</t>
    </r>
    <phoneticPr fontId="5" type="noConversion"/>
  </si>
  <si>
    <r>
      <rPr>
        <sz val="10"/>
        <color indexed="8"/>
        <rFont val="宋体"/>
        <family val="3"/>
        <charset val="134"/>
      </rPr>
      <t>（分摊）土地面积</t>
    </r>
    <phoneticPr fontId="5" type="noConversion"/>
  </si>
  <si>
    <r>
      <rPr>
        <sz val="10"/>
        <color indexed="8"/>
        <rFont val="宋体"/>
        <family val="3"/>
        <charset val="134"/>
      </rPr>
      <t>楼基面积</t>
    </r>
    <phoneticPr fontId="5" type="noConversion"/>
  </si>
  <si>
    <r>
      <rPr>
        <sz val="10"/>
        <color indexed="8"/>
        <rFont val="宋体"/>
        <family val="3"/>
        <charset val="134"/>
      </rPr>
      <t>建筑面积（含人防）</t>
    </r>
    <phoneticPr fontId="5" type="noConversion"/>
  </si>
  <si>
    <r>
      <rPr>
        <sz val="10"/>
        <color indexed="8"/>
        <rFont val="宋体"/>
        <family val="3"/>
        <charset val="134"/>
      </rPr>
      <t>不在估价范围内的项目</t>
    </r>
    <phoneticPr fontId="3" type="noConversion"/>
  </si>
  <si>
    <r>
      <rPr>
        <sz val="10"/>
        <color indexed="8"/>
        <rFont val="宋体"/>
        <family val="3"/>
        <charset val="134"/>
      </rPr>
      <t>土地使用权证号</t>
    </r>
    <phoneticPr fontId="5" type="noConversion"/>
  </si>
  <si>
    <r>
      <rPr>
        <sz val="10"/>
        <color indexed="8"/>
        <rFont val="宋体"/>
        <family val="3"/>
        <charset val="134"/>
      </rPr>
      <t>建筑面积依据</t>
    </r>
    <phoneticPr fontId="5" type="noConversion"/>
  </si>
  <si>
    <r>
      <rPr>
        <sz val="10"/>
        <color indexed="8"/>
        <rFont val="宋体"/>
        <family val="3"/>
        <charset val="134"/>
      </rPr>
      <t>抵押物</t>
    </r>
    <phoneticPr fontId="3" type="noConversion"/>
  </si>
  <si>
    <r>
      <rPr>
        <sz val="10"/>
        <color indexed="8"/>
        <rFont val="宋体"/>
        <family val="3"/>
        <charset val="134"/>
      </rPr>
      <t>合计</t>
    </r>
    <phoneticPr fontId="3" type="noConversion"/>
  </si>
  <si>
    <r>
      <rPr>
        <sz val="10"/>
        <color indexed="8"/>
        <rFont val="宋体"/>
        <family val="3"/>
        <charset val="134"/>
      </rPr>
      <t>经营性用途（预留</t>
    </r>
    <r>
      <rPr>
        <sz val="10"/>
        <color indexed="8"/>
        <rFont val="Arial"/>
        <family val="2"/>
      </rPr>
      <t>10</t>
    </r>
    <r>
      <rPr>
        <sz val="10"/>
        <color indexed="8"/>
        <rFont val="宋体"/>
        <family val="3"/>
        <charset val="134"/>
      </rPr>
      <t>格</t>
    </r>
    <r>
      <rPr>
        <sz val="10"/>
        <color indexed="8"/>
        <rFont val="Arial"/>
        <family val="2"/>
      </rPr>
      <t>)</t>
    </r>
    <phoneticPr fontId="5" type="noConversion"/>
  </si>
  <si>
    <r>
      <rPr>
        <sz val="10"/>
        <color indexed="8"/>
        <rFont val="宋体"/>
        <family val="3"/>
        <charset val="134"/>
      </rPr>
      <t>非经营性用途（共设</t>
    </r>
    <r>
      <rPr>
        <sz val="10"/>
        <color indexed="8"/>
        <rFont val="Arial"/>
        <family val="2"/>
      </rPr>
      <t>8</t>
    </r>
    <r>
      <rPr>
        <sz val="10"/>
        <color indexed="8"/>
        <rFont val="宋体"/>
        <family val="3"/>
        <charset val="134"/>
      </rPr>
      <t>格，固定）</t>
    </r>
    <phoneticPr fontId="5" type="noConversion"/>
  </si>
  <si>
    <r>
      <rPr>
        <sz val="10"/>
        <color indexed="8"/>
        <rFont val="宋体"/>
        <family val="3"/>
        <charset val="134"/>
      </rPr>
      <t>人防</t>
    </r>
    <phoneticPr fontId="3" type="noConversion"/>
  </si>
  <si>
    <r>
      <rPr>
        <sz val="10"/>
        <color indexed="8"/>
        <rFont val="宋体"/>
        <family val="3"/>
        <charset val="134"/>
      </rPr>
      <t>文字说明</t>
    </r>
    <phoneticPr fontId="3" type="noConversion"/>
  </si>
  <si>
    <r>
      <rPr>
        <sz val="10"/>
        <color indexed="8"/>
        <rFont val="宋体"/>
        <family val="3"/>
        <charset val="134"/>
      </rPr>
      <t>（分摊）土地面积</t>
    </r>
    <phoneticPr fontId="3" type="noConversion"/>
  </si>
  <si>
    <r>
      <rPr>
        <sz val="10"/>
        <color indexed="8"/>
        <rFont val="宋体"/>
        <family val="3"/>
        <charset val="134"/>
      </rPr>
      <t>建筑面积</t>
    </r>
    <phoneticPr fontId="3" type="noConversion"/>
  </si>
  <si>
    <r>
      <rPr>
        <sz val="10"/>
        <color indexed="8"/>
        <rFont val="宋体"/>
        <family val="3"/>
        <charset val="134"/>
      </rPr>
      <t>小计</t>
    </r>
    <phoneticPr fontId="3" type="noConversion"/>
  </si>
  <si>
    <r>
      <rPr>
        <sz val="10"/>
        <color indexed="8"/>
        <rFont val="宋体"/>
        <family val="3"/>
        <charset val="134"/>
      </rPr>
      <t>地上</t>
    </r>
    <phoneticPr fontId="3" type="noConversion"/>
  </si>
  <si>
    <r>
      <rPr>
        <sz val="10"/>
        <color indexed="8"/>
        <rFont val="宋体"/>
        <family val="3"/>
        <charset val="134"/>
      </rPr>
      <t>地下</t>
    </r>
    <phoneticPr fontId="3" type="noConversion"/>
  </si>
  <si>
    <r>
      <rPr>
        <sz val="10"/>
        <color indexed="8"/>
        <rFont val="宋体"/>
        <family val="3"/>
        <charset val="134"/>
      </rPr>
      <t>没有请明确为</t>
    </r>
    <r>
      <rPr>
        <sz val="10"/>
        <color indexed="8"/>
        <rFont val="Arial"/>
        <family val="2"/>
      </rPr>
      <t>“</t>
    </r>
    <r>
      <rPr>
        <sz val="10"/>
        <color indexed="8"/>
        <rFont val="宋体"/>
        <family val="3"/>
        <charset val="134"/>
      </rPr>
      <t>无</t>
    </r>
    <r>
      <rPr>
        <sz val="10"/>
        <color indexed="8"/>
        <rFont val="Arial"/>
        <family val="2"/>
      </rPr>
      <t>”</t>
    </r>
    <phoneticPr fontId="3" type="noConversion"/>
  </si>
  <si>
    <r>
      <rPr>
        <sz val="10"/>
        <color indexed="8"/>
        <rFont val="宋体"/>
        <family val="3"/>
        <charset val="134"/>
      </rPr>
      <t>经营性用途</t>
    </r>
    <phoneticPr fontId="5" type="noConversion"/>
  </si>
  <si>
    <r>
      <rPr>
        <sz val="10"/>
        <color indexed="8"/>
        <rFont val="宋体"/>
        <family val="3"/>
        <charset val="134"/>
      </rPr>
      <t>非经营性用途</t>
    </r>
    <phoneticPr fontId="5" type="noConversion"/>
  </si>
  <si>
    <r>
      <rPr>
        <sz val="10"/>
        <color indexed="8"/>
        <rFont val="宋体"/>
        <family val="3"/>
        <charset val="134"/>
      </rPr>
      <t>公共配套设施</t>
    </r>
    <phoneticPr fontId="3" type="noConversion"/>
  </si>
  <si>
    <r>
      <rPr>
        <sz val="10"/>
        <color indexed="8"/>
        <rFont val="宋体"/>
        <family val="3"/>
        <charset val="134"/>
      </rPr>
      <t>物业管理用房</t>
    </r>
    <phoneticPr fontId="3" type="noConversion"/>
  </si>
  <si>
    <r>
      <rPr>
        <sz val="10"/>
        <color indexed="8"/>
        <rFont val="宋体"/>
        <family val="3"/>
        <charset val="134"/>
      </rPr>
      <t>设备及其他</t>
    </r>
    <phoneticPr fontId="3" type="noConversion"/>
  </si>
  <si>
    <r>
      <rPr>
        <sz val="10"/>
        <color indexed="8"/>
        <rFont val="宋体"/>
        <family val="3"/>
        <charset val="134"/>
      </rPr>
      <t>未注明</t>
    </r>
    <phoneticPr fontId="3" type="noConversion"/>
  </si>
  <si>
    <r>
      <rPr>
        <sz val="10"/>
        <color rgb="FFFF0000"/>
        <rFont val="宋体"/>
        <family val="3"/>
        <charset val="134"/>
      </rPr>
      <t>（住宅）</t>
    </r>
    <phoneticPr fontId="3" type="noConversion"/>
  </si>
  <si>
    <r>
      <rPr>
        <sz val="10"/>
        <color rgb="FFFF0000"/>
        <rFont val="宋体"/>
        <family val="3"/>
        <charset val="134"/>
      </rPr>
      <t>（住宅、计出让金）</t>
    </r>
    <phoneticPr fontId="3" type="noConversion"/>
  </si>
  <si>
    <r>
      <rPr>
        <sz val="10"/>
        <color indexed="8"/>
        <rFont val="宋体"/>
        <family val="3"/>
        <charset val="134"/>
      </rPr>
      <t>总值</t>
    </r>
    <phoneticPr fontId="3" type="noConversion"/>
  </si>
  <si>
    <r>
      <rPr>
        <sz val="10"/>
        <color indexed="8"/>
        <rFont val="宋体"/>
        <family val="3"/>
        <charset val="134"/>
      </rPr>
      <t>扣减值</t>
    </r>
    <phoneticPr fontId="3" type="noConversion"/>
  </si>
  <si>
    <r>
      <rPr>
        <b/>
        <sz val="11"/>
        <color indexed="8"/>
        <rFont val="宋体"/>
        <family val="3"/>
        <charset val="134"/>
      </rPr>
      <t>面积总计</t>
    </r>
    <phoneticPr fontId="7" type="noConversion"/>
  </si>
  <si>
    <r>
      <rPr>
        <sz val="11"/>
        <color indexed="8"/>
        <rFont val="宋体"/>
        <family val="3"/>
        <charset val="134"/>
      </rPr>
      <t>总</t>
    </r>
    <phoneticPr fontId="7" type="noConversion"/>
  </si>
  <si>
    <r>
      <rPr>
        <b/>
        <sz val="11"/>
        <color indexed="8"/>
        <rFont val="宋体"/>
        <family val="3"/>
        <charset val="134"/>
      </rPr>
      <t>土地面积</t>
    </r>
    <phoneticPr fontId="10" type="noConversion"/>
  </si>
  <si>
    <r>
      <rPr>
        <b/>
        <sz val="11"/>
        <rFont val="宋体"/>
        <family val="3"/>
        <charset val="134"/>
      </rPr>
      <t>建筑面积</t>
    </r>
    <phoneticPr fontId="10" type="noConversion"/>
  </si>
  <si>
    <r>
      <t>1.</t>
    </r>
    <r>
      <rPr>
        <sz val="11"/>
        <color indexed="8"/>
        <rFont val="宋体"/>
        <family val="3"/>
        <charset val="134"/>
      </rPr>
      <t>其中：</t>
    </r>
    <phoneticPr fontId="7" type="noConversion"/>
  </si>
  <si>
    <r>
      <rPr>
        <sz val="11"/>
        <color indexed="8"/>
        <rFont val="宋体"/>
        <family val="3"/>
        <charset val="134"/>
      </rPr>
      <t>住宅</t>
    </r>
    <phoneticPr fontId="7" type="noConversion"/>
  </si>
  <si>
    <r>
      <rPr>
        <sz val="11"/>
        <color indexed="8"/>
        <rFont val="宋体"/>
        <family val="3"/>
        <charset val="134"/>
      </rPr>
      <t>非住宅</t>
    </r>
    <phoneticPr fontId="7" type="noConversion"/>
  </si>
  <si>
    <r>
      <rPr>
        <sz val="11"/>
        <color indexed="8"/>
        <rFont val="宋体"/>
        <family val="3"/>
        <charset val="134"/>
      </rPr>
      <t>估价对象</t>
    </r>
    <phoneticPr fontId="7" type="noConversion"/>
  </si>
  <si>
    <r>
      <rPr>
        <sz val="11"/>
        <color indexed="8"/>
        <rFont val="宋体"/>
        <family val="3"/>
        <charset val="134"/>
      </rPr>
      <t>地上</t>
    </r>
    <phoneticPr fontId="7" type="noConversion"/>
  </si>
  <si>
    <r>
      <rPr>
        <b/>
        <sz val="11"/>
        <color indexed="8"/>
        <rFont val="宋体"/>
        <family val="3"/>
        <charset val="134"/>
      </rPr>
      <t>建筑面积</t>
    </r>
    <phoneticPr fontId="10" type="noConversion"/>
  </si>
  <si>
    <r>
      <rPr>
        <sz val="11"/>
        <color indexed="8"/>
        <rFont val="宋体"/>
        <family val="3"/>
        <charset val="134"/>
      </rPr>
      <t>自定义容积率</t>
    </r>
    <phoneticPr fontId="7" type="noConversion"/>
  </si>
  <si>
    <r>
      <t>2.</t>
    </r>
    <r>
      <rPr>
        <sz val="11"/>
        <color indexed="8"/>
        <rFont val="宋体"/>
        <family val="3"/>
        <charset val="134"/>
      </rPr>
      <t>其中：</t>
    </r>
    <phoneticPr fontId="7" type="noConversion"/>
  </si>
  <si>
    <r>
      <rPr>
        <sz val="11"/>
        <color indexed="8"/>
        <rFont val="宋体"/>
        <family val="3"/>
        <charset val="134"/>
      </rPr>
      <t>计出让部分</t>
    </r>
    <phoneticPr fontId="10" type="noConversion"/>
  </si>
  <si>
    <r>
      <rPr>
        <sz val="11"/>
        <color indexed="8"/>
        <rFont val="宋体"/>
        <family val="3"/>
        <charset val="134"/>
      </rPr>
      <t>地上经营性用途</t>
    </r>
    <phoneticPr fontId="7" type="noConversion"/>
  </si>
  <si>
    <r>
      <rPr>
        <sz val="11"/>
        <color indexed="8"/>
        <rFont val="宋体"/>
        <family val="3"/>
        <charset val="134"/>
      </rPr>
      <t>地上其他</t>
    </r>
    <phoneticPr fontId="7" type="noConversion"/>
  </si>
  <si>
    <r>
      <rPr>
        <sz val="11"/>
        <color indexed="8"/>
        <rFont val="宋体"/>
        <family val="3"/>
        <charset val="134"/>
      </rPr>
      <t>地下办公（含物业）</t>
    </r>
    <phoneticPr fontId="7" type="noConversion"/>
  </si>
  <si>
    <r>
      <rPr>
        <sz val="11"/>
        <color indexed="8"/>
        <rFont val="宋体"/>
        <family val="3"/>
        <charset val="134"/>
      </rPr>
      <t>地下仓储</t>
    </r>
    <phoneticPr fontId="7" type="noConversion"/>
  </si>
  <si>
    <r>
      <rPr>
        <sz val="11"/>
        <color indexed="8"/>
        <rFont val="宋体"/>
        <family val="3"/>
        <charset val="134"/>
      </rPr>
      <t>地下车库（除商业、办公）</t>
    </r>
    <phoneticPr fontId="7" type="noConversion"/>
  </si>
  <si>
    <r>
      <rPr>
        <sz val="11"/>
        <color indexed="8"/>
        <rFont val="宋体"/>
        <family val="3"/>
        <charset val="134"/>
      </rPr>
      <t>小计</t>
    </r>
    <phoneticPr fontId="7" type="noConversion"/>
  </si>
  <si>
    <r>
      <rPr>
        <b/>
        <sz val="11"/>
        <color indexed="8"/>
        <rFont val="宋体"/>
        <family val="3"/>
        <charset val="134"/>
      </rPr>
      <t>按面积比例</t>
    </r>
  </si>
  <si>
    <r>
      <rPr>
        <sz val="11"/>
        <color indexed="8"/>
        <rFont val="宋体"/>
        <family val="3"/>
        <charset val="134"/>
      </rPr>
      <t>经营性</t>
    </r>
  </si>
  <si>
    <r>
      <rPr>
        <b/>
        <sz val="11"/>
        <color indexed="8"/>
        <rFont val="宋体"/>
        <family val="3"/>
        <charset val="134"/>
      </rPr>
      <t>土地面积</t>
    </r>
    <phoneticPr fontId="10" type="noConversion"/>
  </si>
  <si>
    <r>
      <rPr>
        <b/>
        <sz val="11"/>
        <rFont val="宋体"/>
        <family val="3"/>
        <charset val="134"/>
      </rPr>
      <t>建筑面积</t>
    </r>
    <phoneticPr fontId="10" type="noConversion"/>
  </si>
  <si>
    <r>
      <rPr>
        <sz val="11"/>
        <color indexed="8"/>
        <rFont val="宋体"/>
        <family val="3"/>
        <charset val="134"/>
      </rPr>
      <t>地下商业</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</si>
  <si>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办公</t>
    </r>
    <phoneticPr fontId="7" type="noConversion"/>
  </si>
  <si>
    <r>
      <rPr>
        <b/>
        <sz val="14"/>
        <color rgb="FFFF0000"/>
        <rFont val="宋体"/>
        <family val="3"/>
        <charset val="134"/>
      </rPr>
      <t>数据汇总表</t>
    </r>
    <phoneticPr fontId="7" type="noConversion"/>
  </si>
  <si>
    <r>
      <rPr>
        <b/>
        <sz val="11"/>
        <color indexed="8"/>
        <rFont val="宋体"/>
        <family val="3"/>
        <charset val="134"/>
      </rPr>
      <t>估价对象</t>
    </r>
    <phoneticPr fontId="7" type="noConversion"/>
  </si>
  <si>
    <r>
      <rPr>
        <b/>
        <sz val="11"/>
        <color indexed="8"/>
        <rFont val="宋体"/>
        <family val="3"/>
        <charset val="134"/>
      </rPr>
      <t>容积率</t>
    </r>
    <phoneticPr fontId="7" type="noConversion"/>
  </si>
  <si>
    <r>
      <rPr>
        <sz val="11"/>
        <color indexed="8"/>
        <rFont val="宋体"/>
        <family val="3"/>
        <charset val="134"/>
      </rPr>
      <t>项目</t>
    </r>
    <phoneticPr fontId="7" type="noConversion"/>
  </si>
  <si>
    <r>
      <rPr>
        <sz val="11"/>
        <color indexed="8"/>
        <rFont val="宋体"/>
        <family val="3"/>
        <charset val="134"/>
      </rPr>
      <t>地下车库</t>
    </r>
    <r>
      <rPr>
        <sz val="11"/>
        <color indexed="8"/>
        <rFont val="Arial"/>
        <family val="2"/>
      </rPr>
      <t>-</t>
    </r>
    <r>
      <rPr>
        <sz val="11"/>
        <color indexed="8"/>
        <rFont val="宋体"/>
        <family val="3"/>
        <charset val="134"/>
      </rPr>
      <t>商业</t>
    </r>
    <phoneticPr fontId="7" type="noConversion"/>
  </si>
  <si>
    <r>
      <rPr>
        <b/>
        <sz val="11"/>
        <color indexed="8"/>
        <rFont val="宋体"/>
        <family val="3"/>
        <charset val="134"/>
      </rPr>
      <t>分摊非经营性用途用房</t>
    </r>
    <phoneticPr fontId="7" type="noConversion"/>
  </si>
  <si>
    <r>
      <t>3.</t>
    </r>
    <r>
      <rPr>
        <sz val="11"/>
        <color indexed="8"/>
        <rFont val="宋体"/>
        <family val="3"/>
        <charset val="134"/>
      </rPr>
      <t>其中：</t>
    </r>
    <phoneticPr fontId="10" type="noConversion"/>
  </si>
  <si>
    <r>
      <rPr>
        <sz val="11"/>
        <color indexed="8"/>
        <rFont val="宋体"/>
        <family val="3"/>
        <charset val="134"/>
      </rPr>
      <t>类别</t>
    </r>
    <phoneticPr fontId="7" type="noConversion"/>
  </si>
  <si>
    <r>
      <rPr>
        <sz val="11"/>
        <color indexed="8"/>
        <rFont val="宋体"/>
        <family val="3"/>
        <charset val="134"/>
      </rPr>
      <t>项目类型</t>
    </r>
    <phoneticPr fontId="7" type="noConversion"/>
  </si>
  <si>
    <r>
      <rPr>
        <b/>
        <sz val="11"/>
        <color indexed="8"/>
        <rFont val="宋体"/>
        <family val="3"/>
        <charset val="134"/>
      </rPr>
      <t>分摊原则：</t>
    </r>
    <phoneticPr fontId="7" type="noConversion"/>
  </si>
  <si>
    <r>
      <rPr>
        <sz val="11"/>
        <color indexed="8"/>
        <rFont val="宋体"/>
        <family val="3"/>
        <charset val="134"/>
      </rPr>
      <t>按面积比例分摊</t>
    </r>
    <phoneticPr fontId="7" type="noConversion"/>
  </si>
  <si>
    <r>
      <rPr>
        <sz val="11"/>
        <color indexed="8"/>
        <rFont val="宋体"/>
        <family val="3"/>
        <charset val="134"/>
      </rPr>
      <t>自定义分摊</t>
    </r>
    <phoneticPr fontId="7" type="noConversion"/>
  </si>
  <si>
    <r>
      <rPr>
        <sz val="11"/>
        <color indexed="8"/>
        <rFont val="宋体"/>
        <family val="3"/>
        <charset val="134"/>
      </rPr>
      <t>面积加总（含分摊非经营）</t>
    </r>
    <phoneticPr fontId="3" type="noConversion"/>
  </si>
  <si>
    <r>
      <rPr>
        <sz val="11"/>
        <rFont val="宋体"/>
        <family val="3"/>
        <charset val="134"/>
      </rPr>
      <t>合计</t>
    </r>
    <phoneticPr fontId="7" type="noConversion"/>
  </si>
  <si>
    <r>
      <rPr>
        <sz val="11"/>
        <color indexed="8"/>
        <rFont val="宋体"/>
        <family val="3"/>
        <charset val="134"/>
      </rPr>
      <t>地上</t>
    </r>
    <phoneticPr fontId="7" type="noConversion"/>
  </si>
  <si>
    <r>
      <rPr>
        <sz val="11"/>
        <color indexed="8"/>
        <rFont val="宋体"/>
        <family val="3"/>
        <charset val="134"/>
      </rPr>
      <t>地下</t>
    </r>
    <phoneticPr fontId="7" type="noConversion"/>
  </si>
  <si>
    <r>
      <rPr>
        <sz val="11"/>
        <color indexed="8"/>
        <rFont val="宋体"/>
        <family val="3"/>
        <charset val="134"/>
      </rPr>
      <t>土地面积</t>
    </r>
    <phoneticPr fontId="7" type="noConversion"/>
  </si>
  <si>
    <r>
      <rPr>
        <sz val="11"/>
        <color indexed="8"/>
        <rFont val="宋体"/>
        <family val="3"/>
        <charset val="134"/>
      </rPr>
      <t>建筑面积</t>
    </r>
    <phoneticPr fontId="7" type="noConversion"/>
  </si>
  <si>
    <r>
      <rPr>
        <sz val="11"/>
        <color indexed="8"/>
        <rFont val="宋体"/>
        <family val="3"/>
        <charset val="134"/>
      </rPr>
      <t>设备</t>
    </r>
    <phoneticPr fontId="7" type="noConversion"/>
  </si>
  <si>
    <r>
      <rPr>
        <sz val="11"/>
        <color indexed="8"/>
        <rFont val="宋体"/>
        <family val="3"/>
        <charset val="134"/>
      </rPr>
      <t>公共配套</t>
    </r>
    <r>
      <rPr>
        <sz val="11"/>
        <color indexed="8"/>
        <rFont val="Arial"/>
        <family val="2"/>
      </rPr>
      <t>(</t>
    </r>
    <r>
      <rPr>
        <sz val="11"/>
        <color indexed="8"/>
        <rFont val="宋体"/>
        <family val="3"/>
        <charset val="134"/>
      </rPr>
      <t>住宅</t>
    </r>
    <r>
      <rPr>
        <sz val="11"/>
        <color indexed="8"/>
        <rFont val="Arial"/>
        <family val="2"/>
      </rPr>
      <t>)</t>
    </r>
    <phoneticPr fontId="7" type="noConversion"/>
  </si>
  <si>
    <r>
      <rPr>
        <sz val="11"/>
        <color indexed="8"/>
        <rFont val="宋体"/>
        <family val="3"/>
        <charset val="134"/>
      </rPr>
      <t>合</t>
    </r>
    <phoneticPr fontId="7" type="noConversion"/>
  </si>
  <si>
    <r>
      <rPr>
        <sz val="11"/>
        <color indexed="8"/>
        <rFont val="宋体"/>
        <family val="3"/>
        <charset val="134"/>
      </rPr>
      <t>土地面积</t>
    </r>
    <phoneticPr fontId="3" type="noConversion"/>
  </si>
  <si>
    <r>
      <rPr>
        <sz val="11"/>
        <color indexed="8"/>
        <rFont val="宋体"/>
        <family val="3"/>
        <charset val="134"/>
      </rPr>
      <t>建筑面积</t>
    </r>
    <phoneticPr fontId="3" type="noConversion"/>
  </si>
  <si>
    <r>
      <rPr>
        <sz val="11"/>
        <color indexed="8"/>
        <rFont val="宋体"/>
        <family val="3"/>
        <charset val="134"/>
      </rPr>
      <t>经营性</t>
    </r>
    <phoneticPr fontId="7" type="noConversion"/>
  </si>
  <si>
    <r>
      <rPr>
        <b/>
        <sz val="11"/>
        <color indexed="8"/>
        <rFont val="宋体"/>
        <family val="3"/>
        <charset val="134"/>
      </rPr>
      <t>小计</t>
    </r>
    <phoneticPr fontId="7" type="noConversion"/>
  </si>
  <si>
    <r>
      <rPr>
        <sz val="11"/>
        <color indexed="8"/>
        <rFont val="宋体"/>
        <family val="3"/>
        <charset val="134"/>
      </rPr>
      <t>非经营性</t>
    </r>
    <phoneticPr fontId="10" type="noConversion"/>
  </si>
  <si>
    <r>
      <rPr>
        <sz val="11"/>
        <color indexed="8"/>
        <rFont val="宋体"/>
        <family val="3"/>
        <charset val="134"/>
      </rPr>
      <t>设备及其他</t>
    </r>
    <phoneticPr fontId="7" type="noConversion"/>
  </si>
  <si>
    <r>
      <rPr>
        <sz val="11"/>
        <color indexed="8"/>
        <rFont val="宋体"/>
        <family val="3"/>
        <charset val="134"/>
      </rPr>
      <t>公共配套及物业（住宅）</t>
    </r>
    <phoneticPr fontId="7" type="noConversion"/>
  </si>
  <si>
    <r>
      <rPr>
        <b/>
        <sz val="11"/>
        <color indexed="8"/>
        <rFont val="宋体"/>
        <family val="3"/>
        <charset val="134"/>
      </rPr>
      <t>合计</t>
    </r>
    <phoneticPr fontId="7" type="noConversion"/>
  </si>
  <si>
    <r>
      <rPr>
        <sz val="11"/>
        <color indexed="8"/>
        <rFont val="宋体"/>
        <family val="3"/>
        <charset val="134"/>
      </rPr>
      <t>住宅用房合计</t>
    </r>
    <phoneticPr fontId="7" type="noConversion"/>
  </si>
  <si>
    <r>
      <rPr>
        <b/>
        <sz val="14"/>
        <color rgb="FFFF0000"/>
        <rFont val="宋体"/>
        <family val="3"/>
        <charset val="134"/>
      </rPr>
      <t>数据取费表</t>
    </r>
    <phoneticPr fontId="3" type="noConversion"/>
  </si>
  <si>
    <r>
      <rPr>
        <b/>
        <sz val="11"/>
        <color indexed="8"/>
        <rFont val="宋体"/>
        <family val="3"/>
        <charset val="134"/>
      </rPr>
      <t>价值时点</t>
    </r>
    <r>
      <rPr>
        <b/>
        <sz val="11"/>
        <color indexed="8"/>
        <rFont val="Arial"/>
        <family val="2"/>
      </rPr>
      <t>/</t>
    </r>
    <r>
      <rPr>
        <b/>
        <sz val="11"/>
        <color indexed="8"/>
        <rFont val="宋体"/>
        <family val="3"/>
        <charset val="134"/>
      </rPr>
      <t>估价期日</t>
    </r>
    <phoneticPr fontId="3" type="noConversion"/>
  </si>
  <si>
    <r>
      <rPr>
        <b/>
        <sz val="11"/>
        <color indexed="8"/>
        <rFont val="宋体"/>
        <family val="3"/>
        <charset val="134"/>
      </rPr>
      <t>综合取费</t>
    </r>
    <phoneticPr fontId="3" type="noConversion"/>
  </si>
  <si>
    <r>
      <rPr>
        <sz val="11"/>
        <color indexed="8"/>
        <rFont val="宋体"/>
        <family val="3"/>
        <charset val="134"/>
      </rPr>
      <t>土地使用年期</t>
    </r>
    <phoneticPr fontId="3" type="noConversion"/>
  </si>
  <si>
    <r>
      <rPr>
        <sz val="11"/>
        <color indexed="8"/>
        <rFont val="宋体"/>
        <family val="3"/>
        <charset val="134"/>
      </rPr>
      <t>建安费用</t>
    </r>
    <phoneticPr fontId="3" type="noConversion"/>
  </si>
  <si>
    <r>
      <rPr>
        <sz val="11"/>
        <color indexed="8"/>
        <rFont val="宋体"/>
        <family val="3"/>
        <charset val="134"/>
      </rPr>
      <t>无租约</t>
    </r>
    <r>
      <rPr>
        <sz val="11"/>
        <color indexed="8"/>
        <rFont val="Arial"/>
        <family val="2"/>
      </rPr>
      <t>/</t>
    </r>
    <r>
      <rPr>
        <sz val="11"/>
        <color indexed="8"/>
        <rFont val="宋体"/>
        <family val="3"/>
        <charset val="134"/>
      </rPr>
      <t>租期内</t>
    </r>
    <phoneticPr fontId="3" type="noConversion"/>
  </si>
  <si>
    <r>
      <rPr>
        <sz val="11"/>
        <color indexed="8"/>
        <rFont val="宋体"/>
        <family val="3"/>
        <charset val="134"/>
      </rPr>
      <t>租期外</t>
    </r>
    <phoneticPr fontId="3" type="noConversion"/>
  </si>
  <si>
    <r>
      <rPr>
        <sz val="11"/>
        <color indexed="8"/>
        <rFont val="宋体"/>
        <family val="3"/>
        <charset val="134"/>
      </rPr>
      <t>收益期</t>
    </r>
    <phoneticPr fontId="3" type="noConversion"/>
  </si>
  <si>
    <r>
      <rPr>
        <sz val="11"/>
        <color indexed="8"/>
        <rFont val="宋体"/>
        <family val="3"/>
        <charset val="134"/>
      </rPr>
      <t>项目类型</t>
    </r>
    <phoneticPr fontId="4" type="noConversion"/>
  </si>
  <si>
    <r>
      <rPr>
        <sz val="11"/>
        <color indexed="8"/>
        <rFont val="宋体"/>
        <family val="3"/>
        <charset val="134"/>
      </rPr>
      <t>类别</t>
    </r>
    <phoneticPr fontId="3" type="noConversion"/>
  </si>
  <si>
    <r>
      <rPr>
        <sz val="11"/>
        <color indexed="8"/>
        <rFont val="宋体"/>
        <family val="3"/>
        <charset val="134"/>
      </rPr>
      <t>地类判定</t>
    </r>
    <phoneticPr fontId="3" type="noConversion"/>
  </si>
  <si>
    <r>
      <rPr>
        <sz val="11"/>
        <rFont val="宋体"/>
        <family val="3"/>
        <charset val="134"/>
      </rPr>
      <t>法定最高</t>
    </r>
    <r>
      <rPr>
        <sz val="11"/>
        <rFont val="Arial"/>
        <family val="2"/>
      </rPr>
      <t>/</t>
    </r>
    <r>
      <rPr>
        <sz val="11"/>
        <rFont val="宋体"/>
        <family val="3"/>
        <charset val="134"/>
      </rPr>
      <t>出让年限</t>
    </r>
    <phoneticPr fontId="3" type="noConversion"/>
  </si>
  <si>
    <r>
      <rPr>
        <sz val="11"/>
        <color indexed="8"/>
        <rFont val="宋体"/>
        <family val="3"/>
        <charset val="134"/>
      </rPr>
      <t>终止日期</t>
    </r>
    <phoneticPr fontId="3" type="noConversion"/>
  </si>
  <si>
    <r>
      <rPr>
        <sz val="11"/>
        <color indexed="8"/>
        <rFont val="宋体"/>
        <family val="3"/>
        <charset val="134"/>
      </rPr>
      <t>剩余土地使用年限</t>
    </r>
    <phoneticPr fontId="3" type="noConversion"/>
  </si>
  <si>
    <r>
      <rPr>
        <sz val="11"/>
        <color indexed="8"/>
        <rFont val="宋体"/>
        <family val="3"/>
        <charset val="134"/>
      </rPr>
      <t>年期修正系数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</si>
  <si>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土地</t>
    </r>
    <phoneticPr fontId="3" type="noConversion"/>
  </si>
  <si>
    <r>
      <rPr>
        <sz val="11"/>
        <color indexed="8"/>
        <rFont val="宋体"/>
        <family val="3"/>
        <charset val="134"/>
      </rPr>
      <t>报酬率</t>
    </r>
    <r>
      <rPr>
        <sz val="11"/>
        <color indexed="8"/>
        <rFont val="Arial"/>
        <family val="2"/>
      </rPr>
      <t>-</t>
    </r>
    <r>
      <rPr>
        <sz val="11"/>
        <color indexed="8"/>
        <rFont val="宋体"/>
        <family val="3"/>
        <charset val="134"/>
      </rPr>
      <t>综合</t>
    </r>
    <phoneticPr fontId="3" type="noConversion"/>
  </si>
  <si>
    <r>
      <rPr>
        <sz val="11"/>
        <color theme="1"/>
        <rFont val="宋体"/>
        <family val="3"/>
        <charset val="134"/>
      </rPr>
      <t>资本化率</t>
    </r>
    <r>
      <rPr>
        <sz val="11"/>
        <color theme="1"/>
        <rFont val="Arial"/>
        <family val="2"/>
      </rPr>
      <t>-</t>
    </r>
    <r>
      <rPr>
        <sz val="11"/>
        <color theme="1"/>
        <rFont val="宋体"/>
        <family val="3"/>
        <charset val="134"/>
      </rPr>
      <t>建筑物</t>
    </r>
    <phoneticPr fontId="3" type="noConversion"/>
  </si>
  <si>
    <r>
      <rPr>
        <sz val="11"/>
        <color indexed="8"/>
        <rFont val="宋体"/>
        <family val="3"/>
        <charset val="134"/>
      </rPr>
      <t>建筑面积</t>
    </r>
    <phoneticPr fontId="4" type="noConversion"/>
  </si>
  <si>
    <r>
      <rPr>
        <sz val="11"/>
        <color indexed="8"/>
        <rFont val="宋体"/>
        <family val="3"/>
        <charset val="134"/>
      </rPr>
      <t>单方造价</t>
    </r>
    <phoneticPr fontId="4" type="noConversion"/>
  </si>
  <si>
    <r>
      <rPr>
        <sz val="11"/>
        <color indexed="8"/>
        <rFont val="宋体"/>
        <family val="3"/>
        <charset val="134"/>
      </rPr>
      <t>建安总额</t>
    </r>
    <phoneticPr fontId="4" type="noConversion"/>
  </si>
  <si>
    <r>
      <rPr>
        <sz val="11"/>
        <color indexed="8"/>
        <rFont val="宋体"/>
        <family val="3"/>
        <charset val="134"/>
      </rPr>
      <t>在建建安</t>
    </r>
    <phoneticPr fontId="4" type="noConversion"/>
  </si>
  <si>
    <r>
      <rPr>
        <sz val="11"/>
        <color indexed="8"/>
        <rFont val="宋体"/>
        <family val="3"/>
        <charset val="134"/>
      </rPr>
      <t>续建建安</t>
    </r>
    <phoneticPr fontId="4" type="noConversion"/>
  </si>
  <si>
    <r>
      <rPr>
        <sz val="11"/>
        <color indexed="8"/>
        <rFont val="宋体"/>
        <family val="3"/>
        <charset val="134"/>
      </rPr>
      <t>利润</t>
    </r>
    <phoneticPr fontId="3" type="noConversion"/>
  </si>
  <si>
    <r>
      <rPr>
        <sz val="11"/>
        <color indexed="8"/>
        <rFont val="宋体"/>
        <family val="3"/>
        <charset val="134"/>
      </rPr>
      <t>分摊土地面积（经营性）</t>
    </r>
    <phoneticPr fontId="3" type="noConversion"/>
  </si>
  <si>
    <r>
      <rPr>
        <sz val="11"/>
        <color indexed="8"/>
        <rFont val="宋体"/>
        <family val="3"/>
        <charset val="134"/>
      </rPr>
      <t>建筑面积（分摊设备）</t>
    </r>
    <phoneticPr fontId="3" type="noConversion"/>
  </si>
  <si>
    <r>
      <rPr>
        <sz val="11"/>
        <color indexed="8"/>
        <rFont val="宋体"/>
        <family val="3"/>
        <charset val="134"/>
      </rPr>
      <t>总建安（分摊非经营）</t>
    </r>
    <phoneticPr fontId="3" type="noConversion"/>
  </si>
  <si>
    <r>
      <rPr>
        <sz val="11"/>
        <color indexed="8"/>
        <rFont val="宋体"/>
        <family val="3"/>
        <charset val="134"/>
      </rPr>
      <t>租金</t>
    </r>
    <phoneticPr fontId="3" type="noConversion"/>
  </si>
  <si>
    <r>
      <rPr>
        <sz val="11"/>
        <color indexed="8"/>
        <rFont val="宋体"/>
        <family val="3"/>
        <charset val="134"/>
      </rPr>
      <t>年租金增长率</t>
    </r>
    <phoneticPr fontId="3" type="noConversion"/>
  </si>
  <si>
    <r>
      <rPr>
        <sz val="11"/>
        <color indexed="8"/>
        <rFont val="宋体"/>
        <family val="3"/>
        <charset val="134"/>
      </rPr>
      <t>空置率</t>
    </r>
    <phoneticPr fontId="3" type="noConversion"/>
  </si>
  <si>
    <r>
      <rPr>
        <sz val="11"/>
        <color indexed="8"/>
        <rFont val="宋体"/>
        <family val="3"/>
        <charset val="134"/>
      </rPr>
      <t>成新度</t>
    </r>
    <phoneticPr fontId="3" type="noConversion"/>
  </si>
  <si>
    <r>
      <rPr>
        <sz val="11"/>
        <color indexed="8"/>
        <rFont val="宋体"/>
        <family val="3"/>
        <charset val="134"/>
      </rPr>
      <t>收益年期</t>
    </r>
    <r>
      <rPr>
        <sz val="11"/>
        <color indexed="8"/>
        <rFont val="Arial"/>
        <family val="2"/>
      </rPr>
      <t>(</t>
    </r>
    <r>
      <rPr>
        <sz val="11"/>
        <color indexed="8"/>
        <rFont val="宋体"/>
        <family val="3"/>
        <charset val="134"/>
      </rPr>
      <t>总</t>
    </r>
    <r>
      <rPr>
        <sz val="11"/>
        <color indexed="8"/>
        <rFont val="Arial"/>
        <family val="2"/>
      </rPr>
      <t>)</t>
    </r>
    <phoneticPr fontId="3" type="noConversion"/>
  </si>
  <si>
    <r>
      <rPr>
        <sz val="11"/>
        <color indexed="8"/>
        <rFont val="宋体"/>
        <family val="3"/>
        <charset val="134"/>
      </rPr>
      <t>剩余租赁期</t>
    </r>
    <phoneticPr fontId="3" type="noConversion"/>
  </si>
  <si>
    <r>
      <rPr>
        <sz val="11"/>
        <color indexed="8"/>
        <rFont val="宋体"/>
        <family val="3"/>
        <charset val="134"/>
      </rPr>
      <t>租赁期外收益期</t>
    </r>
    <phoneticPr fontId="3" type="noConversion"/>
  </si>
  <si>
    <r>
      <rPr>
        <sz val="11"/>
        <color indexed="8"/>
        <rFont val="宋体"/>
        <family val="3"/>
        <charset val="134"/>
      </rPr>
      <t>车位数</t>
    </r>
    <r>
      <rPr>
        <sz val="11"/>
        <color indexed="8"/>
        <rFont val="Arial"/>
        <family val="2"/>
      </rPr>
      <t>/</t>
    </r>
    <r>
      <rPr>
        <sz val="11"/>
        <color indexed="8"/>
        <rFont val="宋体"/>
        <family val="3"/>
        <charset val="134"/>
      </rPr>
      <t>套数</t>
    </r>
    <r>
      <rPr>
        <sz val="11"/>
        <color indexed="8"/>
        <rFont val="Arial"/>
        <family val="2"/>
      </rPr>
      <t>/</t>
    </r>
    <r>
      <rPr>
        <sz val="11"/>
        <color indexed="8"/>
        <rFont val="宋体"/>
        <family val="3"/>
        <charset val="134"/>
      </rPr>
      <t>收益面积</t>
    </r>
    <phoneticPr fontId="3" type="noConversion"/>
  </si>
  <si>
    <r>
      <rPr>
        <sz val="11"/>
        <color indexed="8"/>
        <rFont val="宋体"/>
        <family val="3"/>
        <charset val="134"/>
      </rPr>
      <t>天</t>
    </r>
    <r>
      <rPr>
        <sz val="11"/>
        <color indexed="8"/>
        <rFont val="Arial"/>
        <family val="2"/>
      </rPr>
      <t>/</t>
    </r>
    <r>
      <rPr>
        <sz val="11"/>
        <color indexed="8"/>
        <rFont val="宋体"/>
        <family val="3"/>
        <charset val="134"/>
      </rPr>
      <t>月</t>
    </r>
    <r>
      <rPr>
        <sz val="11"/>
        <color indexed="8"/>
        <rFont val="Arial"/>
        <family val="2"/>
      </rPr>
      <t>/</t>
    </r>
    <r>
      <rPr>
        <sz val="11"/>
        <color indexed="8"/>
        <rFont val="宋体"/>
        <family val="3"/>
        <charset val="134"/>
      </rPr>
      <t>年</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</si>
  <si>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按票据</t>
    </r>
    <phoneticPr fontId="3" type="noConversion"/>
  </si>
  <si>
    <r>
      <rPr>
        <sz val="11"/>
        <color indexed="8"/>
        <rFont val="宋体"/>
        <family val="3"/>
        <charset val="134"/>
      </rPr>
      <t>维修费率</t>
    </r>
    <phoneticPr fontId="3" type="noConversion"/>
  </si>
  <si>
    <r>
      <rPr>
        <sz val="11"/>
        <color indexed="8"/>
        <rFont val="宋体"/>
        <family val="3"/>
        <charset val="134"/>
      </rPr>
      <t>保险费率</t>
    </r>
    <phoneticPr fontId="3" type="noConversion"/>
  </si>
  <si>
    <r>
      <rPr>
        <sz val="11"/>
        <color indexed="8"/>
        <rFont val="宋体"/>
        <family val="3"/>
        <charset val="134"/>
      </rPr>
      <t>管理费率</t>
    </r>
    <phoneticPr fontId="3" type="noConversion"/>
  </si>
  <si>
    <r>
      <rPr>
        <sz val="11"/>
        <color indexed="8"/>
        <rFont val="宋体"/>
        <family val="3"/>
        <charset val="134"/>
      </rPr>
      <t>请选择所对应的收益法</t>
    </r>
    <phoneticPr fontId="3" type="noConversion"/>
  </si>
  <si>
    <r>
      <rPr>
        <sz val="11"/>
        <color indexed="8"/>
        <rFont val="宋体"/>
        <family val="3"/>
        <charset val="134"/>
      </rPr>
      <t>收益法结果</t>
    </r>
    <phoneticPr fontId="3" type="noConversion"/>
  </si>
  <si>
    <r>
      <rPr>
        <sz val="11"/>
        <color indexed="8"/>
        <rFont val="宋体"/>
        <family val="3"/>
        <charset val="134"/>
      </rPr>
      <t>辅助计算</t>
    </r>
    <phoneticPr fontId="3" type="noConversion"/>
  </si>
  <si>
    <r>
      <rPr>
        <sz val="11"/>
        <color indexed="8"/>
        <rFont val="宋体"/>
        <family val="3"/>
        <charset val="134"/>
      </rPr>
      <t>在建建安（分摊非经营）</t>
    </r>
    <phoneticPr fontId="3" type="noConversion"/>
  </si>
  <si>
    <r>
      <rPr>
        <sz val="11"/>
        <color indexed="8"/>
        <rFont val="宋体"/>
        <family val="3"/>
        <charset val="134"/>
      </rPr>
      <t>续建建安（分摊非经营）</t>
    </r>
    <phoneticPr fontId="3" type="noConversion"/>
  </si>
  <si>
    <r>
      <rPr>
        <sz val="11"/>
        <color indexed="8"/>
        <rFont val="宋体"/>
        <family val="3"/>
        <charset val="134"/>
      </rPr>
      <t>设备及其他</t>
    </r>
  </si>
  <si>
    <r>
      <rPr>
        <sz val="11"/>
        <color indexed="8"/>
        <rFont val="宋体"/>
        <family val="3"/>
        <charset val="134"/>
      </rPr>
      <t>非经营性</t>
    </r>
  </si>
  <si>
    <r>
      <rPr>
        <sz val="11"/>
        <color indexed="8"/>
        <rFont val="宋体"/>
        <family val="3"/>
        <charset val="134"/>
      </rPr>
      <t>公共配套及物业（住宅）</t>
    </r>
    <phoneticPr fontId="3" type="noConversion"/>
  </si>
  <si>
    <r>
      <rPr>
        <sz val="11"/>
        <color indexed="8"/>
        <rFont val="宋体"/>
        <family val="3"/>
        <charset val="134"/>
      </rPr>
      <t>公共配套</t>
    </r>
  </si>
  <si>
    <r>
      <rPr>
        <b/>
        <sz val="11"/>
        <color indexed="8"/>
        <rFont val="宋体"/>
        <family val="3"/>
        <charset val="134"/>
      </rPr>
      <t>合计</t>
    </r>
    <phoneticPr fontId="4" type="noConversion"/>
  </si>
  <si>
    <r>
      <rPr>
        <b/>
        <sz val="11"/>
        <color indexed="8"/>
        <rFont val="宋体"/>
        <family val="3"/>
        <charset val="134"/>
      </rPr>
      <t>开发期</t>
    </r>
    <phoneticPr fontId="3" type="noConversion"/>
  </si>
  <si>
    <r>
      <rPr>
        <sz val="11"/>
        <rFont val="宋体"/>
        <family val="3"/>
        <charset val="134"/>
      </rPr>
      <t>土地开发期</t>
    </r>
  </si>
  <si>
    <r>
      <rPr>
        <sz val="11"/>
        <rFont val="宋体"/>
        <family val="3"/>
        <charset val="134"/>
      </rPr>
      <t>建设期</t>
    </r>
    <phoneticPr fontId="4" type="noConversion"/>
  </si>
  <si>
    <r>
      <rPr>
        <sz val="11"/>
        <color indexed="8"/>
        <rFont val="宋体"/>
        <family val="3"/>
        <charset val="134"/>
      </rPr>
      <t>已建工期</t>
    </r>
    <phoneticPr fontId="4" type="noConversion"/>
  </si>
  <si>
    <r>
      <rPr>
        <sz val="11"/>
        <rFont val="宋体"/>
        <family val="3"/>
        <charset val="134"/>
      </rPr>
      <t>项目开发期</t>
    </r>
    <phoneticPr fontId="4" type="noConversion"/>
  </si>
  <si>
    <r>
      <rPr>
        <sz val="11"/>
        <color indexed="8"/>
        <rFont val="宋体"/>
        <family val="3"/>
        <charset val="134"/>
      </rPr>
      <t>项目已运行</t>
    </r>
    <phoneticPr fontId="4" type="noConversion"/>
  </si>
  <si>
    <r>
      <rPr>
        <sz val="11"/>
        <rFont val="宋体"/>
        <family val="3"/>
        <charset val="134"/>
      </rPr>
      <t>续建工期</t>
    </r>
    <phoneticPr fontId="4" type="noConversion"/>
  </si>
  <si>
    <r>
      <rPr>
        <b/>
        <sz val="11"/>
        <color indexed="8"/>
        <rFont val="宋体"/>
        <family val="3"/>
        <charset val="134"/>
      </rPr>
      <t>其他取费</t>
    </r>
    <phoneticPr fontId="3" type="noConversion"/>
  </si>
  <si>
    <r>
      <rPr>
        <sz val="11"/>
        <color indexed="8"/>
        <rFont val="宋体"/>
        <family val="3"/>
        <charset val="134"/>
      </rPr>
      <t>取值</t>
    </r>
    <phoneticPr fontId="3" type="noConversion"/>
  </si>
  <si>
    <r>
      <rPr>
        <sz val="11"/>
        <color indexed="8"/>
        <rFont val="宋体"/>
        <family val="3"/>
        <charset val="134"/>
      </rPr>
      <t>备注</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</si>
  <si>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</si>
  <si>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非住宅</t>
    </r>
    <phoneticPr fontId="3" type="noConversion"/>
  </si>
  <si>
    <r>
      <rPr>
        <sz val="11"/>
        <color indexed="8"/>
        <rFont val="宋体"/>
        <family val="3"/>
        <charset val="134"/>
      </rPr>
      <t>城市基础设施建设费</t>
    </r>
    <r>
      <rPr>
        <sz val="11"/>
        <color indexed="8"/>
        <rFont val="Arial"/>
        <family val="2"/>
      </rPr>
      <t>-</t>
    </r>
    <r>
      <rPr>
        <sz val="11"/>
        <color indexed="8"/>
        <rFont val="宋体"/>
        <family val="3"/>
        <charset val="134"/>
      </rPr>
      <t>已缴纳</t>
    </r>
    <r>
      <rPr>
        <sz val="11"/>
        <color rgb="FFFF0000"/>
        <rFont val="宋体"/>
        <family val="3"/>
        <charset val="134"/>
      </rPr>
      <t>（万元）</t>
    </r>
    <phoneticPr fontId="3" type="noConversion"/>
  </si>
  <si>
    <r>
      <rPr>
        <sz val="11"/>
        <color indexed="8"/>
        <rFont val="宋体"/>
        <family val="3"/>
        <charset val="134"/>
      </rPr>
      <t>红线外市政基础设施（总）</t>
    </r>
    <phoneticPr fontId="3" type="noConversion"/>
  </si>
  <si>
    <r>
      <rPr>
        <sz val="11"/>
        <color indexed="8"/>
        <rFont val="宋体"/>
        <family val="3"/>
        <charset val="134"/>
      </rPr>
      <t>红线外市政基础设施（现状）</t>
    </r>
    <phoneticPr fontId="3" type="noConversion"/>
  </si>
  <si>
    <r>
      <rPr>
        <sz val="11"/>
        <color indexed="8"/>
        <rFont val="宋体"/>
        <family val="3"/>
        <charset val="134"/>
      </rPr>
      <t>红线外市政基础设施（待完成）</t>
    </r>
    <phoneticPr fontId="3" type="noConversion"/>
  </si>
  <si>
    <r>
      <rPr>
        <sz val="11"/>
        <color indexed="8"/>
        <rFont val="宋体"/>
        <family val="3"/>
        <charset val="134"/>
      </rPr>
      <t>勘察设计和前期工程费</t>
    </r>
    <phoneticPr fontId="3" type="noConversion"/>
  </si>
  <si>
    <r>
      <rPr>
        <sz val="11"/>
        <color indexed="8"/>
        <rFont val="宋体"/>
        <family val="3"/>
        <charset val="134"/>
      </rPr>
      <t>公共配套设施费用</t>
    </r>
    <phoneticPr fontId="3" type="noConversion"/>
  </si>
  <si>
    <r>
      <rPr>
        <sz val="11"/>
        <color indexed="8"/>
        <rFont val="宋体"/>
        <family val="3"/>
        <charset val="134"/>
      </rPr>
      <t>红线内市政基础设施</t>
    </r>
    <phoneticPr fontId="3" type="noConversion"/>
  </si>
  <si>
    <r>
      <rPr>
        <sz val="11"/>
        <color indexed="8"/>
        <rFont val="宋体"/>
        <family val="3"/>
        <charset val="134"/>
      </rPr>
      <t>建造成本中相关税费</t>
    </r>
    <phoneticPr fontId="3" type="noConversion"/>
  </si>
  <si>
    <r>
      <rPr>
        <sz val="11"/>
        <color indexed="8"/>
        <rFont val="宋体"/>
        <family val="3"/>
        <charset val="134"/>
      </rPr>
      <t>管理费用</t>
    </r>
    <phoneticPr fontId="3" type="noConversion"/>
  </si>
  <si>
    <r>
      <rPr>
        <sz val="11"/>
        <color indexed="8"/>
        <rFont val="宋体"/>
        <family val="3"/>
        <charset val="134"/>
      </rPr>
      <t>销售费用</t>
    </r>
    <phoneticPr fontId="3" type="noConversion"/>
  </si>
  <si>
    <r>
      <rPr>
        <sz val="11"/>
        <color indexed="8"/>
        <rFont val="宋体"/>
        <family val="3"/>
        <charset val="134"/>
      </rPr>
      <t>一年期存款利率</t>
    </r>
    <phoneticPr fontId="3" type="noConversion"/>
  </si>
  <si>
    <r>
      <rPr>
        <sz val="11"/>
        <color indexed="8"/>
        <rFont val="宋体"/>
        <family val="3"/>
        <charset val="134"/>
      </rPr>
      <t>销售税费</t>
    </r>
    <r>
      <rPr>
        <sz val="11"/>
        <color indexed="8"/>
        <rFont val="Arial"/>
        <family val="2"/>
      </rPr>
      <t>/</t>
    </r>
    <r>
      <rPr>
        <sz val="11"/>
        <color indexed="8"/>
        <rFont val="宋体"/>
        <family val="3"/>
        <charset val="134"/>
      </rPr>
      <t>两税两费</t>
    </r>
    <phoneticPr fontId="3" type="noConversion"/>
  </si>
  <si>
    <r>
      <rPr>
        <sz val="11"/>
        <color indexed="8"/>
        <rFont val="宋体"/>
        <family val="3"/>
        <charset val="134"/>
      </rPr>
      <t>增值税</t>
    </r>
    <phoneticPr fontId="3" type="noConversion"/>
  </si>
  <si>
    <r>
      <rPr>
        <sz val="11"/>
        <color indexed="8"/>
        <rFont val="宋体"/>
        <family val="3"/>
        <charset val="134"/>
      </rPr>
      <t>附加税合计</t>
    </r>
    <phoneticPr fontId="3" type="noConversion"/>
  </si>
  <si>
    <r>
      <rPr>
        <sz val="11"/>
        <color indexed="8"/>
        <rFont val="宋体"/>
        <family val="3"/>
        <charset val="134"/>
      </rPr>
      <t>城市维护建设税</t>
    </r>
    <phoneticPr fontId="3" type="noConversion"/>
  </si>
  <si>
    <r>
      <rPr>
        <sz val="11"/>
        <color indexed="8"/>
        <rFont val="宋体"/>
        <family val="3"/>
        <charset val="134"/>
      </rPr>
      <t>教育费附加</t>
    </r>
    <phoneticPr fontId="3" type="noConversion"/>
  </si>
  <si>
    <r>
      <rPr>
        <sz val="11"/>
        <color indexed="8"/>
        <rFont val="宋体"/>
        <family val="3"/>
        <charset val="134"/>
      </rPr>
      <t>地方教育费附加</t>
    </r>
    <phoneticPr fontId="3" type="noConversion"/>
  </si>
  <si>
    <r>
      <rPr>
        <sz val="11"/>
        <color indexed="8"/>
        <rFont val="宋体"/>
        <family val="3"/>
        <charset val="134"/>
      </rPr>
      <t>其他税种</t>
    </r>
    <phoneticPr fontId="3" type="noConversion"/>
  </si>
  <si>
    <r>
      <rPr>
        <sz val="11"/>
        <color indexed="8"/>
        <rFont val="宋体"/>
        <family val="3"/>
        <charset val="134"/>
      </rPr>
      <t>契税</t>
    </r>
    <phoneticPr fontId="3" type="noConversion"/>
  </si>
  <si>
    <r>
      <rPr>
        <sz val="11"/>
        <color indexed="8"/>
        <rFont val="宋体"/>
        <family val="3"/>
        <charset val="134"/>
      </rPr>
      <t>印花税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</si>
  <si>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按原值计税</t>
    </r>
    <phoneticPr fontId="3" type="noConversion"/>
  </si>
  <si>
    <r>
      <rPr>
        <sz val="11"/>
        <color indexed="8"/>
        <rFont val="宋体"/>
        <family val="3"/>
        <charset val="134"/>
      </rPr>
      <t>房产税</t>
    </r>
    <r>
      <rPr>
        <sz val="11"/>
        <color indexed="8"/>
        <rFont val="Arial"/>
        <family val="2"/>
      </rPr>
      <t>-</t>
    </r>
    <r>
      <rPr>
        <sz val="11"/>
        <color indexed="8"/>
        <rFont val="宋体"/>
        <family val="3"/>
        <charset val="134"/>
      </rPr>
      <t>按租金计税</t>
    </r>
    <phoneticPr fontId="3" type="noConversion"/>
  </si>
  <si>
    <r>
      <rPr>
        <sz val="11"/>
        <color indexed="8"/>
        <rFont val="宋体"/>
        <family val="3"/>
        <charset val="134"/>
      </rPr>
      <t>土地使用税</t>
    </r>
    <phoneticPr fontId="3" type="noConversion"/>
  </si>
  <si>
    <r>
      <rPr>
        <sz val="11"/>
        <color indexed="8"/>
        <rFont val="宋体"/>
        <family val="3"/>
        <charset val="134"/>
      </rPr>
      <t>城镇土地纳税等级分级范围</t>
    </r>
    <phoneticPr fontId="3" type="noConversion"/>
  </si>
  <si>
    <r>
      <rPr>
        <sz val="11"/>
        <color indexed="8"/>
        <rFont val="宋体"/>
        <family val="3"/>
        <charset val="134"/>
      </rPr>
      <t>北京</t>
    </r>
    <phoneticPr fontId="3" type="noConversion"/>
  </si>
  <si>
    <r>
      <rPr>
        <sz val="11"/>
        <color indexed="8"/>
        <rFont val="宋体"/>
        <family val="3"/>
        <charset val="134"/>
      </rPr>
      <t>一级</t>
    </r>
    <phoneticPr fontId="3" type="noConversion"/>
  </si>
  <si>
    <r>
      <rPr>
        <sz val="11"/>
        <color indexed="8"/>
        <rFont val="宋体"/>
        <family val="3"/>
        <charset val="134"/>
      </rPr>
      <t>二级</t>
    </r>
    <phoneticPr fontId="3" type="noConversion"/>
  </si>
  <si>
    <r>
      <rPr>
        <sz val="11"/>
        <color indexed="8"/>
        <rFont val="宋体"/>
        <family val="3"/>
        <charset val="134"/>
      </rPr>
      <t>三级</t>
    </r>
    <phoneticPr fontId="3" type="noConversion"/>
  </si>
  <si>
    <r>
      <rPr>
        <sz val="11"/>
        <color indexed="8"/>
        <rFont val="宋体"/>
        <family val="3"/>
        <charset val="134"/>
      </rPr>
      <t>四级</t>
    </r>
    <phoneticPr fontId="3" type="noConversion"/>
  </si>
  <si>
    <r>
      <rPr>
        <sz val="11"/>
        <color indexed="8"/>
        <rFont val="宋体"/>
        <family val="3"/>
        <charset val="134"/>
      </rPr>
      <t>五级</t>
    </r>
    <phoneticPr fontId="3" type="noConversion"/>
  </si>
  <si>
    <r>
      <rPr>
        <sz val="11"/>
        <color indexed="8"/>
        <rFont val="宋体"/>
        <family val="3"/>
        <charset val="134"/>
      </rPr>
      <t>六级</t>
    </r>
    <phoneticPr fontId="3" type="noConversion"/>
  </si>
  <si>
    <r>
      <rPr>
        <sz val="11"/>
        <color indexed="8"/>
        <rFont val="宋体"/>
        <family val="3"/>
        <charset val="134"/>
      </rPr>
      <t>七级</t>
    </r>
    <phoneticPr fontId="3" type="noConversion"/>
  </si>
  <si>
    <r>
      <rPr>
        <sz val="11"/>
        <color indexed="8"/>
        <rFont val="宋体"/>
        <family val="3"/>
        <charset val="134"/>
      </rPr>
      <t>八级</t>
    </r>
    <phoneticPr fontId="3" type="noConversion"/>
  </si>
  <si>
    <r>
      <rPr>
        <sz val="11"/>
        <color indexed="8"/>
        <rFont val="宋体"/>
        <family val="3"/>
        <charset val="134"/>
      </rPr>
      <t>九级</t>
    </r>
    <phoneticPr fontId="3" type="noConversion"/>
  </si>
  <si>
    <r>
      <rPr>
        <sz val="11"/>
        <color indexed="8"/>
        <rFont val="宋体"/>
        <family val="3"/>
        <charset val="134"/>
      </rPr>
      <t>十级</t>
    </r>
    <phoneticPr fontId="3" type="noConversion"/>
  </si>
  <si>
    <r>
      <rPr>
        <sz val="11"/>
        <color indexed="8"/>
        <rFont val="宋体"/>
        <family val="3"/>
        <charset val="134"/>
      </rPr>
      <t>居住社区成熟度</t>
    </r>
  </si>
  <si>
    <r>
      <rPr>
        <sz val="11"/>
        <color indexed="8"/>
        <rFont val="宋体"/>
        <family val="3"/>
        <charset val="134"/>
      </rPr>
      <t>公共配套设施</t>
    </r>
    <phoneticPr fontId="24" type="noConversion"/>
  </si>
  <si>
    <r>
      <rPr>
        <sz val="11"/>
        <color indexed="8"/>
        <rFont val="宋体"/>
        <family val="3"/>
        <charset val="134"/>
      </rPr>
      <t>交通便捷度</t>
    </r>
  </si>
  <si>
    <r>
      <rPr>
        <sz val="11"/>
        <color indexed="8"/>
        <rFont val="宋体"/>
        <family val="3"/>
        <charset val="134"/>
      </rPr>
      <t>基础设施水平</t>
    </r>
    <phoneticPr fontId="24" type="noConversion"/>
  </si>
  <si>
    <r>
      <rPr>
        <sz val="11"/>
        <color indexed="8"/>
        <rFont val="宋体"/>
        <family val="3"/>
        <charset val="134"/>
      </rPr>
      <t>自然及人文环境</t>
    </r>
  </si>
  <si>
    <r>
      <rPr>
        <b/>
        <sz val="14"/>
        <color rgb="FFFF0000"/>
        <rFont val="宋体"/>
        <family val="3"/>
        <charset val="134"/>
      </rPr>
      <t>估价结果（过程）</t>
    </r>
    <phoneticPr fontId="8" type="noConversion"/>
  </si>
  <si>
    <r>
      <rPr>
        <sz val="12"/>
        <color indexed="8"/>
        <rFont val="宋体"/>
        <family val="3"/>
        <charset val="134"/>
      </rPr>
      <t>估价对象状态</t>
    </r>
    <phoneticPr fontId="8" type="noConversion"/>
  </si>
  <si>
    <r>
      <rPr>
        <sz val="10"/>
        <color indexed="8"/>
        <rFont val="宋体"/>
        <family val="3"/>
        <charset val="134"/>
      </rPr>
      <t>权重确定打分评价体系</t>
    </r>
  </si>
  <si>
    <r>
      <rPr>
        <sz val="11"/>
        <color indexed="8"/>
        <rFont val="宋体"/>
        <family val="3"/>
        <charset val="134"/>
      </rPr>
      <t>评价因素</t>
    </r>
  </si>
  <si>
    <r>
      <rPr>
        <sz val="11"/>
        <color indexed="8"/>
        <rFont val="宋体"/>
        <family val="3"/>
        <charset val="134"/>
      </rPr>
      <t>标准分值</t>
    </r>
  </si>
  <si>
    <r>
      <rPr>
        <sz val="10"/>
        <color indexed="8"/>
        <rFont val="宋体"/>
        <family val="3"/>
        <charset val="134"/>
      </rPr>
      <t>打分考虑因素</t>
    </r>
    <phoneticPr fontId="8" type="noConversion"/>
  </si>
  <si>
    <r>
      <rPr>
        <sz val="11"/>
        <color indexed="8"/>
        <rFont val="宋体"/>
        <family val="3"/>
        <charset val="134"/>
      </rPr>
      <t>估价方法的代表性</t>
    </r>
  </si>
  <si>
    <r>
      <t>1.</t>
    </r>
    <r>
      <rPr>
        <sz val="10"/>
        <color indexed="8"/>
        <rFont val="宋体"/>
        <family val="3"/>
        <charset val="134"/>
      </rPr>
      <t>估价方法选取分析</t>
    </r>
    <r>
      <rPr>
        <b/>
        <sz val="10"/>
        <color indexed="8"/>
        <rFont val="宋体"/>
        <family val="3"/>
        <charset val="134"/>
      </rPr>
      <t>充分、合理</t>
    </r>
    <r>
      <rPr>
        <sz val="10"/>
        <color indexed="8"/>
        <rFont val="宋体"/>
        <family val="3"/>
        <charset val="134"/>
      </rPr>
      <t>，取</t>
    </r>
    <r>
      <rPr>
        <sz val="10"/>
        <color indexed="8"/>
        <rFont val="Arial"/>
        <family val="2"/>
      </rPr>
      <t>20</t>
    </r>
    <r>
      <rPr>
        <sz val="10"/>
        <color indexed="8"/>
        <rFont val="宋体"/>
        <family val="3"/>
        <charset val="134"/>
      </rPr>
      <t>～</t>
    </r>
    <r>
      <rPr>
        <sz val="10"/>
        <color indexed="8"/>
        <rFont val="Arial"/>
        <family val="2"/>
      </rPr>
      <t>25</t>
    </r>
    <r>
      <rPr>
        <sz val="10"/>
        <color indexed="8"/>
        <rFont val="宋体"/>
        <family val="3"/>
        <charset val="134"/>
      </rPr>
      <t>分；</t>
    </r>
    <phoneticPr fontId="8" type="noConversion"/>
  </si>
  <si>
    <r>
      <t>2.</t>
    </r>
    <r>
      <rPr>
        <sz val="10"/>
        <color indexed="8"/>
        <rFont val="宋体"/>
        <family val="3"/>
        <charset val="134"/>
      </rPr>
      <t>估价方法选取分析</t>
    </r>
    <r>
      <rPr>
        <b/>
        <sz val="10"/>
        <color indexed="8"/>
        <rFont val="宋体"/>
        <family val="3"/>
        <charset val="134"/>
      </rPr>
      <t>较充分、合理</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</si>
  <si>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估价方法选取分析</t>
    </r>
    <r>
      <rPr>
        <b/>
        <sz val="10"/>
        <color indexed="8"/>
        <rFont val="宋体"/>
        <family val="3"/>
        <charset val="134"/>
      </rPr>
      <t>较不充分</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</si>
  <si>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估价方法所要求的估价资料的完整性</t>
    </r>
  </si>
  <si>
    <r>
      <t>1.</t>
    </r>
    <r>
      <rPr>
        <sz val="10"/>
        <color indexed="8"/>
        <rFont val="宋体"/>
        <family val="3"/>
        <charset val="134"/>
      </rPr>
      <t>估价资料</t>
    </r>
    <r>
      <rPr>
        <b/>
        <sz val="10"/>
        <color indexed="8"/>
        <rFont val="宋体"/>
        <family val="3"/>
        <charset val="134"/>
      </rPr>
      <t>完整</t>
    </r>
    <r>
      <rPr>
        <sz val="10"/>
        <color indexed="8"/>
        <rFont val="宋体"/>
        <family val="3"/>
        <charset val="134"/>
      </rPr>
      <t>，来源依据充分，取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</si>
  <si>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估价资料有</t>
    </r>
    <r>
      <rPr>
        <b/>
        <sz val="10"/>
        <color indexed="8"/>
        <rFont val="宋体"/>
        <family val="3"/>
        <charset val="134"/>
      </rPr>
      <t>欠缺</t>
    </r>
    <r>
      <rPr>
        <sz val="10"/>
        <color indexed="8"/>
        <rFont val="宋体"/>
        <family val="3"/>
        <charset val="134"/>
      </rPr>
      <t>，来源依据较不充分，取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</si>
  <si>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参数选取的客观性</t>
    </r>
  </si>
  <si>
    <r>
      <t>1.</t>
    </r>
    <r>
      <rPr>
        <sz val="10"/>
        <color indexed="8"/>
        <rFont val="宋体"/>
        <family val="3"/>
        <charset val="134"/>
      </rPr>
      <t>参数从</t>
    </r>
    <r>
      <rPr>
        <b/>
        <sz val="10"/>
        <color indexed="8"/>
        <rFont val="宋体"/>
        <family val="3"/>
        <charset val="134"/>
      </rPr>
      <t>市场上获取</t>
    </r>
    <r>
      <rPr>
        <sz val="10"/>
        <color indexed="8"/>
        <rFont val="宋体"/>
        <family val="3"/>
        <charset val="134"/>
      </rPr>
      <t>，或从权威机构发布的信息上获取，取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</si>
  <si>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部分参数为</t>
    </r>
    <r>
      <rPr>
        <b/>
        <sz val="10"/>
        <color indexed="8"/>
        <rFont val="宋体"/>
        <family val="3"/>
        <charset val="134"/>
      </rPr>
      <t>自行分析</t>
    </r>
    <r>
      <rPr>
        <sz val="10"/>
        <color indexed="8"/>
        <rFont val="宋体"/>
        <family val="3"/>
        <charset val="134"/>
      </rPr>
      <t>取得，理由较充分，取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</si>
  <si>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参数确定的时效性</t>
    </r>
  </si>
  <si>
    <r>
      <t>1.</t>
    </r>
    <r>
      <rPr>
        <sz val="10"/>
        <color indexed="8"/>
        <rFont val="宋体"/>
        <family val="3"/>
        <charset val="134"/>
      </rPr>
      <t>参数在规定的时效范围内，且距估价期日</t>
    </r>
    <r>
      <rPr>
        <b/>
        <sz val="10"/>
        <color indexed="8"/>
        <rFont val="宋体"/>
        <family val="3"/>
        <charset val="134"/>
      </rPr>
      <t>未超过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10</t>
    </r>
    <r>
      <rPr>
        <sz val="10"/>
        <color indexed="8"/>
        <rFont val="宋体"/>
        <family val="3"/>
        <charset val="134"/>
      </rPr>
      <t>～</t>
    </r>
    <r>
      <rPr>
        <sz val="10"/>
        <color indexed="8"/>
        <rFont val="Arial"/>
        <family val="2"/>
      </rPr>
      <t>15</t>
    </r>
    <r>
      <rPr>
        <sz val="10"/>
        <color indexed="8"/>
        <rFont val="宋体"/>
        <family val="3"/>
        <charset val="134"/>
      </rPr>
      <t>分；</t>
    </r>
    <phoneticPr fontId="8" type="noConversion"/>
  </si>
  <si>
    <r>
      <t>2.</t>
    </r>
    <r>
      <rPr>
        <sz val="10"/>
        <color indexed="8"/>
        <rFont val="宋体"/>
        <family val="3"/>
        <charset val="134"/>
      </rPr>
      <t>参数在规定的时效范围内，但距估价期日</t>
    </r>
    <r>
      <rPr>
        <b/>
        <sz val="10"/>
        <color indexed="8"/>
        <rFont val="宋体"/>
        <family val="3"/>
        <charset val="134"/>
      </rPr>
      <t>超过</t>
    </r>
    <r>
      <rPr>
        <b/>
        <sz val="10"/>
        <color indexed="8"/>
        <rFont val="Arial"/>
        <family val="2"/>
      </rPr>
      <t>1</t>
    </r>
    <r>
      <rPr>
        <b/>
        <sz val="10"/>
        <color indexed="8"/>
        <rFont val="宋体"/>
        <family val="3"/>
        <charset val="134"/>
      </rPr>
      <t>年</t>
    </r>
    <r>
      <rPr>
        <sz val="10"/>
        <color indexed="8"/>
        <rFont val="宋体"/>
        <family val="3"/>
        <charset val="134"/>
      </rPr>
      <t>，取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</si>
  <si>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sz val="11"/>
        <color indexed="8"/>
        <rFont val="宋体"/>
        <family val="3"/>
        <charset val="134"/>
      </rPr>
      <t>估价结果的现势性</t>
    </r>
  </si>
  <si>
    <r>
      <t>1.</t>
    </r>
    <r>
      <rPr>
        <sz val="10"/>
        <color indexed="8"/>
        <rFont val="宋体"/>
        <family val="3"/>
        <charset val="134"/>
      </rPr>
      <t>估价结果与同类用途房地产市场</t>
    </r>
    <r>
      <rPr>
        <b/>
        <sz val="10"/>
        <color indexed="8"/>
        <rFont val="宋体"/>
        <family val="3"/>
        <charset val="134"/>
      </rPr>
      <t>价格水平一致</t>
    </r>
    <r>
      <rPr>
        <sz val="10"/>
        <color indexed="8"/>
        <rFont val="宋体"/>
        <family val="3"/>
        <charset val="134"/>
      </rPr>
      <t>，且考虑了房地产市场发展趋势，取</t>
    </r>
    <r>
      <rPr>
        <sz val="10"/>
        <color indexed="8"/>
        <rFont val="Arial"/>
        <family val="2"/>
      </rPr>
      <t>20</t>
    </r>
    <r>
      <rPr>
        <sz val="10"/>
        <color indexed="8"/>
        <rFont val="宋体"/>
        <family val="3"/>
        <charset val="134"/>
      </rPr>
      <t>～</t>
    </r>
    <r>
      <rPr>
        <sz val="10"/>
        <color indexed="8"/>
        <rFont val="Arial"/>
        <family val="2"/>
      </rPr>
      <t>30</t>
    </r>
    <r>
      <rPr>
        <sz val="10"/>
        <color indexed="8"/>
        <rFont val="宋体"/>
        <family val="3"/>
        <charset val="134"/>
      </rPr>
      <t>分；</t>
    </r>
    <phoneticPr fontId="8" type="noConversion"/>
  </si>
  <si>
    <r>
      <t>2.</t>
    </r>
    <r>
      <rPr>
        <sz val="10"/>
        <color indexed="8"/>
        <rFont val="宋体"/>
        <family val="3"/>
        <charset val="134"/>
      </rPr>
      <t>估价结果与同类用途房地产价格</t>
    </r>
    <r>
      <rPr>
        <b/>
        <sz val="10"/>
        <color indexed="8"/>
        <rFont val="宋体"/>
        <family val="3"/>
        <charset val="134"/>
      </rPr>
      <t>水平基本一致</t>
    </r>
    <r>
      <rPr>
        <sz val="10"/>
        <color indexed="8"/>
        <rFont val="宋体"/>
        <family val="3"/>
        <charset val="134"/>
      </rPr>
      <t>，且适当考虑了房地产市场发展趋势，取</t>
    </r>
    <r>
      <rPr>
        <sz val="10"/>
        <color indexed="8"/>
        <rFont val="Arial"/>
        <family val="2"/>
      </rPr>
      <t>10</t>
    </r>
    <r>
      <rPr>
        <sz val="10"/>
        <color indexed="8"/>
        <rFont val="宋体"/>
        <family val="3"/>
        <charset val="134"/>
      </rPr>
      <t>～</t>
    </r>
    <r>
      <rPr>
        <sz val="10"/>
        <color indexed="8"/>
        <rFont val="Arial"/>
        <family val="2"/>
      </rPr>
      <t>19</t>
    </r>
    <r>
      <rPr>
        <sz val="10"/>
        <color indexed="8"/>
        <rFont val="宋体"/>
        <family val="3"/>
        <charset val="134"/>
      </rPr>
      <t>分；</t>
    </r>
    <phoneticPr fontId="8" type="noConversion"/>
  </si>
  <si>
    <r>
      <t>3.</t>
    </r>
    <r>
      <rPr>
        <sz val="10"/>
        <color indexed="8"/>
        <rFont val="宋体"/>
        <family val="3"/>
        <charset val="134"/>
      </rPr>
      <t>估价结果与同类用途房地产</t>
    </r>
    <r>
      <rPr>
        <b/>
        <sz val="10"/>
        <color indexed="8"/>
        <rFont val="宋体"/>
        <family val="3"/>
        <charset val="134"/>
      </rPr>
      <t>价格水平有一定差距</t>
    </r>
    <r>
      <rPr>
        <sz val="10"/>
        <color indexed="8"/>
        <rFont val="宋体"/>
        <family val="3"/>
        <charset val="134"/>
      </rPr>
      <t>，且适当考虑房地产市场发展趋势，取</t>
    </r>
    <r>
      <rPr>
        <sz val="10"/>
        <color indexed="8"/>
        <rFont val="Arial"/>
        <family val="2"/>
      </rPr>
      <t>0</t>
    </r>
    <r>
      <rPr>
        <sz val="10"/>
        <color indexed="8"/>
        <rFont val="宋体"/>
        <family val="3"/>
        <charset val="134"/>
      </rPr>
      <t>～</t>
    </r>
    <r>
      <rPr>
        <sz val="10"/>
        <color indexed="8"/>
        <rFont val="Arial"/>
        <family val="2"/>
      </rPr>
      <t>9</t>
    </r>
    <r>
      <rPr>
        <sz val="10"/>
        <color indexed="8"/>
        <rFont val="宋体"/>
        <family val="3"/>
        <charset val="134"/>
      </rPr>
      <t>分；</t>
    </r>
    <phoneticPr fontId="8" type="noConversion"/>
  </si>
  <si>
    <r>
      <rPr>
        <b/>
        <sz val="11"/>
        <color indexed="8"/>
        <rFont val="宋体"/>
        <family val="3"/>
        <charset val="134"/>
      </rPr>
      <t>分值</t>
    </r>
  </si>
  <si>
    <r>
      <rPr>
        <sz val="10"/>
        <color indexed="8"/>
        <rFont val="宋体"/>
        <family val="3"/>
        <charset val="134"/>
      </rPr>
      <t>含分摊设备建面</t>
    </r>
    <phoneticPr fontId="8" type="noConversion"/>
  </si>
  <si>
    <r>
      <rPr>
        <sz val="10"/>
        <color indexed="8"/>
        <rFont val="宋体"/>
        <family val="3"/>
        <charset val="134"/>
      </rPr>
      <t>用途建面</t>
    </r>
    <phoneticPr fontId="8" type="noConversion"/>
  </si>
  <si>
    <r>
      <rPr>
        <b/>
        <sz val="11"/>
        <color indexed="8"/>
        <rFont val="宋体"/>
        <family val="3"/>
        <charset val="134"/>
      </rPr>
      <t>权重</t>
    </r>
  </si>
  <si>
    <r>
      <rPr>
        <sz val="10"/>
        <color indexed="8"/>
        <rFont val="宋体"/>
        <family val="3"/>
        <charset val="134"/>
      </rPr>
      <t>建筑面积</t>
    </r>
    <phoneticPr fontId="8" type="noConversion"/>
  </si>
  <si>
    <r>
      <rPr>
        <b/>
        <sz val="11"/>
        <color indexed="8"/>
        <rFont val="宋体"/>
        <family val="3"/>
        <charset val="134"/>
      </rPr>
      <t>各方法结果</t>
    </r>
    <phoneticPr fontId="9" type="noConversion"/>
  </si>
  <si>
    <r>
      <rPr>
        <sz val="11"/>
        <color indexed="8"/>
        <rFont val="宋体"/>
        <family val="3"/>
        <charset val="134"/>
      </rPr>
      <t>总价</t>
    </r>
    <phoneticPr fontId="9" type="noConversion"/>
  </si>
  <si>
    <r>
      <rPr>
        <b/>
        <sz val="11"/>
        <color indexed="8"/>
        <rFont val="宋体"/>
        <family val="3"/>
        <charset val="134"/>
      </rPr>
      <t>权重结果</t>
    </r>
    <phoneticPr fontId="9" type="noConversion"/>
  </si>
  <si>
    <r>
      <rPr>
        <sz val="10"/>
        <color indexed="8"/>
        <rFont val="宋体"/>
        <family val="3"/>
        <charset val="134"/>
      </rPr>
      <t>万元</t>
    </r>
    <phoneticPr fontId="8" type="noConversion"/>
  </si>
  <si>
    <r>
      <rPr>
        <sz val="10"/>
        <color indexed="8"/>
        <rFont val="宋体"/>
        <family val="3"/>
        <charset val="134"/>
      </rPr>
      <t>土地面积</t>
    </r>
    <phoneticPr fontId="8" type="noConversion"/>
  </si>
  <si>
    <r>
      <rPr>
        <sz val="11"/>
        <color indexed="8"/>
        <rFont val="宋体"/>
        <family val="3"/>
        <charset val="134"/>
      </rPr>
      <t>楼面单价</t>
    </r>
    <phoneticPr fontId="9" type="noConversion"/>
  </si>
  <si>
    <r>
      <rPr>
        <sz val="10"/>
        <color indexed="8"/>
        <rFont val="宋体"/>
        <family val="3"/>
        <charset val="134"/>
      </rPr>
      <t>元</t>
    </r>
    <r>
      <rPr>
        <sz val="10"/>
        <color indexed="8"/>
        <rFont val="Arial"/>
        <family val="2"/>
      </rPr>
      <t>/</t>
    </r>
    <r>
      <rPr>
        <sz val="10"/>
        <color indexed="8"/>
        <rFont val="宋体"/>
        <family val="3"/>
        <charset val="134"/>
      </rPr>
      <t>平方米</t>
    </r>
    <phoneticPr fontId="8" type="noConversion"/>
  </si>
  <si>
    <r>
      <rPr>
        <sz val="11"/>
        <color indexed="8"/>
        <rFont val="宋体"/>
        <family val="3"/>
        <charset val="134"/>
      </rPr>
      <t>地面单价</t>
    </r>
    <phoneticPr fontId="9" type="noConversion"/>
  </si>
  <si>
    <r>
      <rPr>
        <sz val="11"/>
        <color indexed="8"/>
        <rFont val="宋体"/>
        <family val="3"/>
        <charset val="134"/>
      </rPr>
      <t>各方法结果差值</t>
    </r>
    <phoneticPr fontId="8" type="noConversion"/>
  </si>
  <si>
    <r>
      <rPr>
        <b/>
        <sz val="11"/>
        <color indexed="8"/>
        <rFont val="宋体"/>
        <family val="3"/>
        <charset val="134"/>
      </rPr>
      <t>扣减项</t>
    </r>
    <r>
      <rPr>
        <b/>
        <sz val="11"/>
        <color indexed="8"/>
        <rFont val="Arial"/>
        <family val="2"/>
      </rPr>
      <t>(</t>
    </r>
    <r>
      <rPr>
        <b/>
        <sz val="11"/>
        <color indexed="8"/>
        <rFont val="宋体"/>
        <family val="3"/>
        <charset val="134"/>
      </rPr>
      <t>出让金、平整费用等</t>
    </r>
    <r>
      <rPr>
        <b/>
        <sz val="11"/>
        <color indexed="8"/>
        <rFont val="Arial"/>
        <family val="2"/>
      </rPr>
      <t>)</t>
    </r>
    <phoneticPr fontId="8" type="noConversion"/>
  </si>
  <si>
    <r>
      <rPr>
        <sz val="11"/>
        <color rgb="FFFF0000"/>
        <rFont val="宋体"/>
        <family val="3"/>
        <charset val="134"/>
      </rPr>
      <t>扣减项</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</si>
  <si>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</si>
  <si>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</si>
  <si>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总值</t>
    </r>
    <phoneticPr fontId="8" type="noConversion"/>
  </si>
  <si>
    <r>
      <rPr>
        <sz val="11"/>
        <color rgb="FFFF0000"/>
        <rFont val="宋体"/>
        <family val="3"/>
        <charset val="134"/>
      </rPr>
      <t>合计</t>
    </r>
    <phoneticPr fontId="8" type="noConversion"/>
  </si>
  <si>
    <r>
      <rPr>
        <b/>
        <sz val="11"/>
        <color indexed="8"/>
        <rFont val="宋体"/>
        <family val="3"/>
        <charset val="134"/>
      </rPr>
      <t>房地产价值</t>
    </r>
    <phoneticPr fontId="8" type="noConversion"/>
  </si>
  <si>
    <r>
      <rPr>
        <b/>
        <sz val="11"/>
        <color indexed="8"/>
        <rFont val="宋体"/>
        <family val="3"/>
        <charset val="134"/>
      </rPr>
      <t>土地与建筑物价值分配原则</t>
    </r>
    <phoneticPr fontId="8" type="noConversion"/>
  </si>
  <si>
    <r>
      <rPr>
        <sz val="10"/>
        <color indexed="8"/>
        <rFont val="宋体"/>
        <family val="3"/>
        <charset val="134"/>
      </rPr>
      <t>自定义比例设置</t>
    </r>
    <phoneticPr fontId="88" type="noConversion"/>
  </si>
  <si>
    <r>
      <rPr>
        <sz val="11"/>
        <color indexed="8"/>
        <rFont val="宋体"/>
        <family val="3"/>
        <charset val="134"/>
      </rPr>
      <t>土地价值</t>
    </r>
    <phoneticPr fontId="8" type="noConversion"/>
  </si>
  <si>
    <r>
      <rPr>
        <sz val="10"/>
        <color indexed="8"/>
        <rFont val="宋体"/>
        <family val="3"/>
        <charset val="134"/>
      </rPr>
      <t>土地价值</t>
    </r>
    <phoneticPr fontId="88" type="noConversion"/>
  </si>
  <si>
    <r>
      <rPr>
        <sz val="11"/>
        <color indexed="8"/>
        <rFont val="宋体"/>
        <family val="3"/>
        <charset val="134"/>
      </rPr>
      <t>建筑物价值</t>
    </r>
    <phoneticPr fontId="8" type="noConversion"/>
  </si>
  <si>
    <r>
      <rPr>
        <sz val="10"/>
        <color indexed="8"/>
        <rFont val="宋体"/>
        <family val="3"/>
        <charset val="134"/>
      </rPr>
      <t>建筑物价值</t>
    </r>
    <phoneticPr fontId="88" type="noConversion"/>
  </si>
  <si>
    <r>
      <rPr>
        <b/>
        <sz val="11"/>
        <color indexed="8"/>
        <rFont val="宋体"/>
        <family val="3"/>
        <charset val="134"/>
      </rPr>
      <t>优先受偿情况</t>
    </r>
    <phoneticPr fontId="8" type="noConversion"/>
  </si>
  <si>
    <r>
      <rPr>
        <sz val="11"/>
        <color indexed="8"/>
        <rFont val="宋体"/>
        <family val="3"/>
        <charset val="134"/>
      </rPr>
      <t>已抵押担保数额</t>
    </r>
    <phoneticPr fontId="8" type="noConversion"/>
  </si>
  <si>
    <r>
      <rPr>
        <sz val="11"/>
        <color indexed="8"/>
        <rFont val="宋体"/>
        <family val="3"/>
        <charset val="134"/>
      </rPr>
      <t>拖欠工程款</t>
    </r>
    <phoneticPr fontId="8" type="noConversion"/>
  </si>
  <si>
    <r>
      <rPr>
        <sz val="11"/>
        <color indexed="8"/>
        <rFont val="宋体"/>
        <family val="3"/>
        <charset val="134"/>
      </rPr>
      <t>其他</t>
    </r>
    <phoneticPr fontId="8" type="noConversion"/>
  </si>
  <si>
    <r>
      <rPr>
        <sz val="11"/>
        <color indexed="8"/>
        <rFont val="宋体"/>
        <family val="3"/>
        <charset val="134"/>
      </rPr>
      <t>补交地价款</t>
    </r>
    <phoneticPr fontId="3" type="noConversion"/>
  </si>
  <si>
    <r>
      <rPr>
        <b/>
        <sz val="11"/>
        <color indexed="8"/>
        <rFont val="宋体"/>
        <family val="3"/>
        <charset val="134"/>
      </rPr>
      <t>补交地价款</t>
    </r>
    <phoneticPr fontId="8" type="noConversion"/>
  </si>
  <si>
    <r>
      <rPr>
        <sz val="11"/>
        <color rgb="FFFF0000"/>
        <rFont val="宋体"/>
        <family val="3"/>
        <charset val="134"/>
      </rPr>
      <t>面积</t>
    </r>
    <phoneticPr fontId="8" type="noConversion"/>
  </si>
  <si>
    <r>
      <rPr>
        <sz val="11"/>
        <color rgb="FFFF0000"/>
        <rFont val="宋体"/>
        <family val="3"/>
        <charset val="134"/>
      </rPr>
      <t>单价</t>
    </r>
    <phoneticPr fontId="8" type="noConversion"/>
  </si>
  <si>
    <r>
      <rPr>
        <sz val="11"/>
        <color rgb="FFFF0000"/>
        <rFont val="宋体"/>
        <family val="3"/>
        <charset val="134"/>
      </rPr>
      <t>税费</t>
    </r>
    <phoneticPr fontId="8" type="noConversion"/>
  </si>
  <si>
    <r>
      <rPr>
        <sz val="11"/>
        <color rgb="FFFF0000"/>
        <rFont val="宋体"/>
        <family val="3"/>
        <charset val="134"/>
      </rPr>
      <t>总值</t>
    </r>
    <phoneticPr fontId="8" type="noConversion"/>
  </si>
  <si>
    <r>
      <t>(</t>
    </r>
    <r>
      <rPr>
        <sz val="10"/>
        <color indexed="8"/>
        <rFont val="宋体"/>
        <family val="3"/>
        <charset val="134"/>
      </rPr>
      <t>列示计算过程</t>
    </r>
    <r>
      <rPr>
        <sz val="10"/>
        <color indexed="8"/>
        <rFont val="Arial"/>
        <family val="2"/>
      </rPr>
      <t>,</t>
    </r>
    <phoneticPr fontId="3" type="noConversion"/>
  </si>
  <si>
    <r>
      <rPr>
        <sz val="10"/>
        <color indexed="8"/>
        <rFont val="宋体"/>
        <family val="3"/>
        <charset val="134"/>
      </rPr>
      <t>不固定格式</t>
    </r>
    <r>
      <rPr>
        <sz val="10"/>
        <color indexed="8"/>
        <rFont val="Arial"/>
        <family val="2"/>
      </rPr>
      <t>)</t>
    </r>
    <phoneticPr fontId="3" type="noConversion"/>
  </si>
  <si>
    <r>
      <rPr>
        <b/>
        <sz val="14"/>
        <color rgb="FFFF0000"/>
        <rFont val="宋体"/>
        <family val="3"/>
        <charset val="134"/>
      </rPr>
      <t>抵押净值计算</t>
    </r>
    <phoneticPr fontId="8" type="noConversion"/>
  </si>
  <si>
    <r>
      <rPr>
        <b/>
        <sz val="10"/>
        <color theme="1"/>
        <rFont val="宋体"/>
        <family val="3"/>
        <charset val="134"/>
      </rPr>
      <t>预计处置时需缴纳的各项地价、税费清单计算明细表</t>
    </r>
  </si>
  <si>
    <r>
      <rPr>
        <b/>
        <sz val="10"/>
        <color indexed="8"/>
        <rFont val="宋体"/>
        <family val="3"/>
        <charset val="134"/>
      </rPr>
      <t>净值计算基数</t>
    </r>
    <r>
      <rPr>
        <b/>
        <sz val="10"/>
        <color indexed="8"/>
        <rFont val="Arial"/>
        <family val="2"/>
      </rPr>
      <t>“</t>
    </r>
    <r>
      <rPr>
        <b/>
        <sz val="10"/>
        <color indexed="8"/>
        <rFont val="宋体"/>
        <family val="3"/>
        <charset val="134"/>
      </rPr>
      <t>房地产销售收入</t>
    </r>
    <r>
      <rPr>
        <b/>
        <sz val="10"/>
        <color indexed="8"/>
        <rFont val="Arial"/>
        <family val="2"/>
      </rPr>
      <t>”</t>
    </r>
    <phoneticPr fontId="8" type="noConversion"/>
  </si>
  <si>
    <r>
      <rPr>
        <sz val="10"/>
        <color indexed="8"/>
        <rFont val="宋体"/>
        <family val="3"/>
        <charset val="134"/>
      </rPr>
      <t>按评估值的</t>
    </r>
    <phoneticPr fontId="8" type="noConversion"/>
  </si>
  <si>
    <r>
      <rPr>
        <sz val="10"/>
        <color indexed="8"/>
        <rFont val="宋体"/>
        <family val="3"/>
        <charset val="134"/>
      </rPr>
      <t>计算</t>
    </r>
    <phoneticPr fontId="8" type="noConversion"/>
  </si>
  <si>
    <r>
      <rPr>
        <b/>
        <sz val="10"/>
        <color theme="1"/>
        <rFont val="宋体"/>
        <family val="3"/>
        <charset val="134"/>
      </rPr>
      <t>估价对象基本情况</t>
    </r>
  </si>
  <si>
    <r>
      <rPr>
        <b/>
        <sz val="10"/>
        <color indexed="8"/>
        <rFont val="宋体"/>
        <family val="3"/>
        <charset val="134"/>
      </rPr>
      <t>处置时需缴纳的相关税费</t>
    </r>
    <phoneticPr fontId="8" type="noConversion"/>
  </si>
  <si>
    <r>
      <rPr>
        <b/>
        <sz val="10"/>
        <color theme="1"/>
        <rFont val="宋体"/>
        <family val="3"/>
        <charset val="134"/>
      </rPr>
      <t>估价对象</t>
    </r>
  </si>
  <si>
    <r>
      <rPr>
        <b/>
        <sz val="10"/>
        <color indexed="8"/>
        <rFont val="宋体"/>
        <family val="3"/>
        <charset val="134"/>
      </rPr>
      <t>税（费）种</t>
    </r>
    <phoneticPr fontId="8" type="noConversion"/>
  </si>
  <si>
    <r>
      <rPr>
        <sz val="10"/>
        <color indexed="8"/>
        <rFont val="宋体"/>
        <family val="3"/>
        <charset val="134"/>
      </rPr>
      <t>金额</t>
    </r>
    <phoneticPr fontId="8" type="noConversion"/>
  </si>
  <si>
    <r>
      <rPr>
        <sz val="10"/>
        <color indexed="8"/>
        <rFont val="宋体"/>
        <family val="3"/>
        <charset val="134"/>
      </rPr>
      <t>计算方法</t>
    </r>
    <phoneticPr fontId="8" type="noConversion"/>
  </si>
  <si>
    <r>
      <rPr>
        <b/>
        <sz val="10"/>
        <color indexed="8"/>
        <rFont val="宋体"/>
        <family val="3"/>
        <charset val="134"/>
      </rPr>
      <t>税（费）率</t>
    </r>
    <phoneticPr fontId="8" type="noConversion"/>
  </si>
  <si>
    <r>
      <rPr>
        <sz val="10"/>
        <color indexed="8"/>
        <rFont val="宋体"/>
        <family val="3"/>
        <charset val="134"/>
      </rPr>
      <t>备注</t>
    </r>
    <phoneticPr fontId="8" type="noConversion"/>
  </si>
  <si>
    <r>
      <t>1.</t>
    </r>
    <r>
      <rPr>
        <sz val="10"/>
        <color indexed="8"/>
        <rFont val="宋体"/>
        <family val="3"/>
        <charset val="134"/>
      </rPr>
      <t>增值税及附加</t>
    </r>
    <phoneticPr fontId="8" type="noConversion"/>
  </si>
  <si>
    <r>
      <rPr>
        <sz val="10"/>
        <color indexed="10"/>
        <rFont val="宋体"/>
        <family val="3"/>
        <charset val="134"/>
      </rPr>
      <t>属于免缴时请录入面缴类别</t>
    </r>
    <phoneticPr fontId="8" type="noConversion"/>
  </si>
  <si>
    <r>
      <rPr>
        <sz val="10"/>
        <color indexed="8"/>
        <rFont val="宋体"/>
        <family val="3"/>
        <charset val="134"/>
      </rPr>
      <t>情况</t>
    </r>
    <r>
      <rPr>
        <sz val="10"/>
        <color indexed="8"/>
        <rFont val="Arial"/>
        <family val="2"/>
      </rPr>
      <t>1</t>
    </r>
    <r>
      <rPr>
        <sz val="10"/>
        <color indexed="8"/>
        <rFont val="宋体"/>
        <family val="3"/>
        <charset val="134"/>
      </rPr>
      <t>：</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</si>
  <si>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年以上的普通住宅（北上广深）</t>
    </r>
    <phoneticPr fontId="8" type="noConversion"/>
  </si>
  <si>
    <r>
      <rPr>
        <sz val="10"/>
        <color indexed="8"/>
        <rFont val="宋体"/>
        <family val="3"/>
        <charset val="134"/>
      </rPr>
      <t>免征</t>
    </r>
    <phoneticPr fontId="8" type="noConversion"/>
  </si>
  <si>
    <r>
      <rPr>
        <sz val="10"/>
        <color indexed="8"/>
        <rFont val="宋体"/>
        <family val="3"/>
        <charset val="134"/>
      </rPr>
      <t>个人购买的</t>
    </r>
    <r>
      <rPr>
        <sz val="10"/>
        <color indexed="8"/>
        <rFont val="Arial"/>
        <family val="2"/>
      </rPr>
      <t>2</t>
    </r>
    <r>
      <rPr>
        <sz val="10"/>
        <color indexed="8"/>
        <rFont val="宋体"/>
        <family val="3"/>
        <charset val="134"/>
      </rPr>
      <t>年以上的住宅（非北上广深）</t>
    </r>
    <phoneticPr fontId="8" type="noConversion"/>
  </si>
  <si>
    <r>
      <rPr>
        <sz val="10"/>
        <color indexed="8"/>
        <rFont val="宋体"/>
        <family val="3"/>
        <charset val="134"/>
      </rPr>
      <t>个体工商户购买的住宅</t>
    </r>
    <phoneticPr fontId="8" type="noConversion"/>
  </si>
  <si>
    <r>
      <rPr>
        <sz val="10"/>
        <color indexed="8"/>
        <rFont val="宋体"/>
        <family val="3"/>
        <charset val="134"/>
      </rPr>
      <t>情况</t>
    </r>
    <r>
      <rPr>
        <sz val="10"/>
        <color indexed="8"/>
        <rFont val="Arial"/>
        <family val="2"/>
      </rPr>
      <t>2</t>
    </r>
    <r>
      <rPr>
        <sz val="10"/>
        <color indexed="8"/>
        <rFont val="宋体"/>
        <family val="3"/>
        <charset val="134"/>
      </rPr>
      <t>：</t>
    </r>
    <phoneticPr fontId="8" type="noConversion"/>
  </si>
  <si>
    <r>
      <rPr>
        <sz val="10"/>
        <color indexed="8"/>
        <rFont val="宋体"/>
        <family val="3"/>
        <charset val="134"/>
      </rPr>
      <t>个人购买的不足</t>
    </r>
    <r>
      <rPr>
        <sz val="10"/>
        <color indexed="8"/>
        <rFont val="Arial"/>
        <family val="2"/>
      </rPr>
      <t>2</t>
    </r>
    <r>
      <rPr>
        <sz val="10"/>
        <color indexed="8"/>
        <rFont val="宋体"/>
        <family val="3"/>
        <charset val="134"/>
      </rPr>
      <t>年的住宅</t>
    </r>
    <phoneticPr fontId="8" type="noConversion"/>
  </si>
  <si>
    <r>
      <rPr>
        <sz val="10"/>
        <color indexed="8"/>
        <rFont val="宋体"/>
        <family val="3"/>
        <charset val="134"/>
      </rPr>
      <t>全额计税</t>
    </r>
    <phoneticPr fontId="8" type="noConversion"/>
  </si>
  <si>
    <r>
      <rPr>
        <sz val="10"/>
        <color indexed="8"/>
        <rFont val="宋体"/>
        <family val="3"/>
        <charset val="134"/>
      </rPr>
      <t>情况</t>
    </r>
    <r>
      <rPr>
        <sz val="10"/>
        <color indexed="8"/>
        <rFont val="Arial"/>
        <family val="2"/>
      </rPr>
      <t>3</t>
    </r>
    <r>
      <rPr>
        <sz val="10"/>
        <color indexed="8"/>
        <rFont val="宋体"/>
        <family val="3"/>
        <charset val="134"/>
      </rPr>
      <t>：</t>
    </r>
    <phoneticPr fontId="8" type="noConversion"/>
  </si>
  <si>
    <r>
      <rPr>
        <sz val="10"/>
        <color indexed="8"/>
        <rFont val="宋体"/>
        <family val="3"/>
        <charset val="134"/>
      </rPr>
      <t>情况</t>
    </r>
    <r>
      <rPr>
        <sz val="10"/>
        <color indexed="8"/>
        <rFont val="Arial"/>
        <family val="2"/>
      </rPr>
      <t>4</t>
    </r>
    <r>
      <rPr>
        <sz val="10"/>
        <color indexed="8"/>
        <rFont val="宋体"/>
        <family val="3"/>
        <charset val="134"/>
      </rPr>
      <t>：</t>
    </r>
    <phoneticPr fontId="8" type="noConversion"/>
  </si>
  <si>
    <r>
      <rPr>
        <sz val="10"/>
        <color indexed="8"/>
        <rFont val="宋体"/>
        <family val="3"/>
        <charset val="134"/>
      </rPr>
      <t>差额计税</t>
    </r>
    <phoneticPr fontId="8" type="noConversion"/>
  </si>
  <si>
    <r>
      <t>2.</t>
    </r>
    <r>
      <rPr>
        <sz val="10"/>
        <color indexed="8"/>
        <rFont val="宋体"/>
        <family val="3"/>
        <charset val="134"/>
      </rPr>
      <t>印花税</t>
    </r>
    <phoneticPr fontId="8" type="noConversion"/>
  </si>
  <si>
    <r>
      <rPr>
        <sz val="10"/>
        <color indexed="8"/>
        <rFont val="宋体"/>
        <family val="3"/>
        <charset val="134"/>
      </rPr>
      <t>销售额</t>
    </r>
    <r>
      <rPr>
        <sz val="10"/>
        <color indexed="8"/>
        <rFont val="Arial"/>
        <family val="2"/>
      </rPr>
      <t>×</t>
    </r>
    <r>
      <rPr>
        <sz val="10"/>
        <color indexed="8"/>
        <rFont val="宋体"/>
        <family val="3"/>
        <charset val="134"/>
      </rPr>
      <t>税（费）率</t>
    </r>
    <phoneticPr fontId="8" type="noConversion"/>
  </si>
  <si>
    <r>
      <t>3.</t>
    </r>
    <r>
      <rPr>
        <sz val="10"/>
        <color indexed="8"/>
        <rFont val="宋体"/>
        <family val="3"/>
        <charset val="134"/>
      </rPr>
      <t>土地增值税</t>
    </r>
    <phoneticPr fontId="8" type="noConversion"/>
  </si>
  <si>
    <r>
      <rPr>
        <sz val="10"/>
        <color indexed="8"/>
        <rFont val="宋体"/>
        <family val="3"/>
        <charset val="134"/>
      </rPr>
      <t>增值额</t>
    </r>
    <r>
      <rPr>
        <sz val="10"/>
        <color indexed="8"/>
        <rFont val="Arial"/>
        <family val="2"/>
      </rPr>
      <t>×</t>
    </r>
    <r>
      <rPr>
        <sz val="10"/>
        <color indexed="8"/>
        <rFont val="宋体"/>
        <family val="3"/>
        <charset val="134"/>
      </rPr>
      <t>税（费）率</t>
    </r>
    <phoneticPr fontId="8" type="noConversion"/>
  </si>
  <si>
    <r>
      <rPr>
        <sz val="10"/>
        <color rgb="FFFF0000"/>
        <rFont val="宋体"/>
        <family val="3"/>
        <charset val="134"/>
      </rPr>
      <t>属于免缴时请录入面缴类别</t>
    </r>
    <phoneticPr fontId="8" type="noConversion"/>
  </si>
  <si>
    <r>
      <rPr>
        <sz val="10"/>
        <color indexed="8"/>
        <rFont val="宋体"/>
        <family val="3"/>
        <charset val="134"/>
      </rPr>
      <t>个人住宅</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</si>
  <si>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以外的其他情形</t>
    </r>
    <phoneticPr fontId="8" type="noConversion"/>
  </si>
  <si>
    <r>
      <t>4.</t>
    </r>
    <r>
      <rPr>
        <sz val="10"/>
        <color indexed="8"/>
        <rFont val="宋体"/>
        <family val="3"/>
        <charset val="134"/>
      </rPr>
      <t>个人所得税</t>
    </r>
    <phoneticPr fontId="8" type="noConversion"/>
  </si>
  <si>
    <r>
      <rPr>
        <b/>
        <sz val="10"/>
        <color indexed="8"/>
        <rFont val="宋体"/>
        <family val="3"/>
        <charset val="134"/>
      </rPr>
      <t>销售不动产增值税及附加计算</t>
    </r>
    <phoneticPr fontId="33" type="noConversion"/>
  </si>
  <si>
    <r>
      <rPr>
        <b/>
        <sz val="10"/>
        <rFont val="宋体"/>
        <family val="3"/>
        <charset val="134"/>
      </rPr>
      <t>项目</t>
    </r>
    <phoneticPr fontId="37" type="noConversion"/>
  </si>
  <si>
    <r>
      <rPr>
        <b/>
        <sz val="10"/>
        <rFont val="宋体"/>
        <family val="3"/>
        <charset val="134"/>
      </rPr>
      <t>系数</t>
    </r>
    <phoneticPr fontId="37" type="noConversion"/>
  </si>
  <si>
    <r>
      <rPr>
        <sz val="10"/>
        <color indexed="8"/>
        <rFont val="宋体"/>
        <family val="3"/>
        <charset val="134"/>
      </rPr>
      <t>备注</t>
    </r>
    <phoneticPr fontId="37" type="noConversion"/>
  </si>
  <si>
    <r>
      <rPr>
        <b/>
        <sz val="10"/>
        <rFont val="宋体"/>
        <family val="3"/>
        <charset val="134"/>
      </rPr>
      <t>销售额</t>
    </r>
    <phoneticPr fontId="33" type="noConversion"/>
  </si>
  <si>
    <r>
      <rPr>
        <sz val="10"/>
        <color rgb="FF000000"/>
        <rFont val="宋体"/>
        <family val="3"/>
        <charset val="134"/>
      </rPr>
      <t>其他处置费用</t>
    </r>
  </si>
  <si>
    <r>
      <rPr>
        <sz val="10"/>
        <color rgb="FF000000"/>
        <rFont val="宋体"/>
        <family val="3"/>
        <charset val="134"/>
      </rPr>
      <t>律师费</t>
    </r>
  </si>
  <si>
    <r>
      <rPr>
        <sz val="10"/>
        <rFont val="宋体"/>
        <family val="3"/>
        <charset val="134"/>
      </rPr>
      <t>全部价款</t>
    </r>
    <phoneticPr fontId="37" type="noConversion"/>
  </si>
  <si>
    <r>
      <rPr>
        <sz val="10"/>
        <color rgb="FF000000"/>
        <rFont val="宋体"/>
        <family val="3"/>
        <charset val="134"/>
      </rPr>
      <t>诉讼费</t>
    </r>
  </si>
  <si>
    <r>
      <rPr>
        <sz val="10"/>
        <color indexed="8"/>
        <rFont val="宋体"/>
        <family val="3"/>
        <charset val="134"/>
      </rPr>
      <t>最低</t>
    </r>
    <r>
      <rPr>
        <sz val="10"/>
        <color indexed="8"/>
        <rFont val="Arial"/>
        <family val="2"/>
      </rPr>
      <t>50</t>
    </r>
    <r>
      <rPr>
        <sz val="10"/>
        <color indexed="8"/>
        <rFont val="宋体"/>
        <family val="3"/>
        <charset val="134"/>
      </rPr>
      <t>元</t>
    </r>
    <phoneticPr fontId="8" type="noConversion"/>
  </si>
  <si>
    <r>
      <rPr>
        <sz val="10"/>
        <rFont val="宋体"/>
        <family val="3"/>
        <charset val="134"/>
      </rPr>
      <t>价外费用</t>
    </r>
    <phoneticPr fontId="33" type="noConversion"/>
  </si>
  <si>
    <r>
      <rPr>
        <sz val="10"/>
        <color rgb="FF000000"/>
        <rFont val="宋体"/>
        <family val="3"/>
        <charset val="134"/>
      </rPr>
      <t>执行费</t>
    </r>
  </si>
  <si>
    <r>
      <rPr>
        <b/>
        <sz val="10"/>
        <rFont val="宋体"/>
        <family val="3"/>
        <charset val="134"/>
      </rPr>
      <t>原购房价</t>
    </r>
    <r>
      <rPr>
        <b/>
        <sz val="10"/>
        <rFont val="Arial"/>
        <family val="2"/>
      </rPr>
      <t>/</t>
    </r>
    <r>
      <rPr>
        <b/>
        <sz val="10"/>
        <rFont val="宋体"/>
        <family val="3"/>
        <charset val="134"/>
      </rPr>
      <t>作价</t>
    </r>
    <phoneticPr fontId="37" type="noConversion"/>
  </si>
  <si>
    <r>
      <rPr>
        <sz val="10"/>
        <color rgb="FF000000"/>
        <rFont val="宋体"/>
        <family val="3"/>
        <charset val="134"/>
      </rPr>
      <t>诉讼保全费</t>
    </r>
  </si>
  <si>
    <r>
      <rPr>
        <sz val="10"/>
        <color indexed="8"/>
        <rFont val="宋体"/>
        <family val="3"/>
        <charset val="134"/>
      </rPr>
      <t>最高</t>
    </r>
    <r>
      <rPr>
        <sz val="10"/>
        <color indexed="8"/>
        <rFont val="Arial"/>
        <family val="2"/>
      </rPr>
      <t>5000</t>
    </r>
    <r>
      <rPr>
        <sz val="10"/>
        <color indexed="8"/>
        <rFont val="宋体"/>
        <family val="3"/>
        <charset val="134"/>
      </rPr>
      <t>元</t>
    </r>
    <phoneticPr fontId="8" type="noConversion"/>
  </si>
  <si>
    <r>
      <rPr>
        <b/>
        <sz val="10"/>
        <rFont val="宋体"/>
        <family val="3"/>
        <charset val="134"/>
      </rPr>
      <t>纳税基数</t>
    </r>
    <phoneticPr fontId="37" type="noConversion"/>
  </si>
  <si>
    <r>
      <rPr>
        <sz val="10"/>
        <color rgb="FF000000"/>
        <rFont val="宋体"/>
        <family val="3"/>
        <charset val="134"/>
      </rPr>
      <t>评估费</t>
    </r>
  </si>
  <si>
    <r>
      <rPr>
        <b/>
        <sz val="10"/>
        <rFont val="宋体"/>
        <family val="3"/>
        <charset val="134"/>
      </rPr>
      <t>纳税额</t>
    </r>
    <phoneticPr fontId="33" type="noConversion"/>
  </si>
  <si>
    <r>
      <rPr>
        <sz val="10"/>
        <color rgb="FF000000"/>
        <rFont val="宋体"/>
        <family val="3"/>
        <charset val="134"/>
      </rPr>
      <t>拍卖费</t>
    </r>
  </si>
  <si>
    <r>
      <rPr>
        <sz val="10"/>
        <color rgb="FF000000"/>
        <rFont val="宋体"/>
        <family val="3"/>
        <charset val="134"/>
      </rPr>
      <t>小计</t>
    </r>
  </si>
  <si>
    <r>
      <rPr>
        <b/>
        <sz val="10"/>
        <rFont val="宋体"/>
        <family val="3"/>
        <charset val="134"/>
      </rPr>
      <t>土地增值税（转让取得）</t>
    </r>
    <phoneticPr fontId="37" type="noConversion"/>
  </si>
  <si>
    <r>
      <rPr>
        <b/>
        <sz val="10"/>
        <rFont val="宋体"/>
        <family val="3"/>
        <charset val="134"/>
      </rPr>
      <t>转让收入</t>
    </r>
    <phoneticPr fontId="37" type="noConversion"/>
  </si>
  <si>
    <r>
      <rPr>
        <b/>
        <sz val="10"/>
        <color indexed="8"/>
        <rFont val="宋体"/>
        <family val="3"/>
        <charset val="134"/>
      </rPr>
      <t>扣除项合计</t>
    </r>
    <phoneticPr fontId="37" type="noConversion"/>
  </si>
  <si>
    <r>
      <rPr>
        <sz val="10"/>
        <rFont val="宋体"/>
        <family val="3"/>
        <charset val="134"/>
      </rPr>
      <t>原购房价及相关税费</t>
    </r>
    <phoneticPr fontId="37" type="noConversion"/>
  </si>
  <si>
    <r>
      <rPr>
        <sz val="10"/>
        <rFont val="宋体"/>
        <family val="3"/>
        <charset val="134"/>
      </rPr>
      <t>原购房价</t>
    </r>
    <phoneticPr fontId="37" type="noConversion"/>
  </si>
  <si>
    <r>
      <rPr>
        <sz val="11"/>
        <color indexed="8"/>
        <rFont val="宋体"/>
        <family val="3"/>
        <charset val="134"/>
      </rPr>
      <t>原购房价依据</t>
    </r>
    <phoneticPr fontId="33" type="noConversion"/>
  </si>
  <si>
    <r>
      <rPr>
        <sz val="11"/>
        <color indexed="8"/>
        <rFont val="宋体"/>
        <family val="3"/>
        <charset val="134"/>
      </rPr>
      <t>已购年限</t>
    </r>
    <phoneticPr fontId="33" type="noConversion"/>
  </si>
  <si>
    <r>
      <rPr>
        <sz val="10"/>
        <rFont val="宋体"/>
        <family val="3"/>
        <charset val="134"/>
      </rPr>
      <t>加计扣减项</t>
    </r>
    <phoneticPr fontId="33" type="noConversion"/>
  </si>
  <si>
    <r>
      <rPr>
        <sz val="10"/>
        <color indexed="8"/>
        <rFont val="宋体"/>
        <family val="3"/>
        <charset val="134"/>
      </rPr>
      <t>有购房发票的可按发票所载金额并</t>
    </r>
    <r>
      <rPr>
        <b/>
        <sz val="10"/>
        <color indexed="8"/>
        <rFont val="宋体"/>
        <family val="3"/>
        <charset val="134"/>
      </rPr>
      <t>从购买年度起至转让年度止</t>
    </r>
    <r>
      <rPr>
        <sz val="10"/>
        <color indexed="8"/>
        <rFont val="宋体"/>
        <family val="3"/>
        <charset val="134"/>
      </rPr>
      <t>每年加计</t>
    </r>
    <r>
      <rPr>
        <sz val="10"/>
        <color indexed="8"/>
        <rFont val="Arial"/>
        <family val="2"/>
      </rPr>
      <t>5%</t>
    </r>
    <r>
      <rPr>
        <sz val="10"/>
        <color indexed="8"/>
        <rFont val="宋体"/>
        <family val="3"/>
        <charset val="134"/>
      </rPr>
      <t>计算</t>
    </r>
    <phoneticPr fontId="37" type="noConversion"/>
  </si>
  <si>
    <r>
      <rPr>
        <sz val="10"/>
        <rFont val="宋体"/>
        <family val="3"/>
        <charset val="134"/>
      </rPr>
      <t>相关税费</t>
    </r>
    <phoneticPr fontId="37" type="noConversion"/>
  </si>
  <si>
    <r>
      <rPr>
        <sz val="10"/>
        <color indexed="8"/>
        <rFont val="宋体"/>
        <family val="3"/>
        <charset val="134"/>
      </rPr>
      <t>含契税及印花税</t>
    </r>
    <phoneticPr fontId="37" type="noConversion"/>
  </si>
  <si>
    <r>
      <rPr>
        <sz val="10"/>
        <rFont val="宋体"/>
        <family val="3"/>
        <charset val="134"/>
      </rPr>
      <t>转让税金支出</t>
    </r>
    <phoneticPr fontId="37" type="noConversion"/>
  </si>
  <si>
    <r>
      <rPr>
        <sz val="10"/>
        <color indexed="8"/>
        <rFont val="宋体"/>
        <family val="3"/>
        <charset val="134"/>
      </rPr>
      <t>不含增值税，仅附加税</t>
    </r>
    <phoneticPr fontId="33" type="noConversion"/>
  </si>
  <si>
    <r>
      <rPr>
        <b/>
        <sz val="10"/>
        <rFont val="宋体"/>
        <family val="3"/>
        <charset val="134"/>
      </rPr>
      <t>增值额</t>
    </r>
    <phoneticPr fontId="37" type="noConversion"/>
  </si>
  <si>
    <r>
      <rPr>
        <b/>
        <sz val="10"/>
        <rFont val="宋体"/>
        <family val="3"/>
        <charset val="134"/>
      </rPr>
      <t>增值额与扣除项比率</t>
    </r>
    <phoneticPr fontId="37" type="noConversion"/>
  </si>
  <si>
    <r>
      <rPr>
        <b/>
        <sz val="10"/>
        <rFont val="宋体"/>
        <family val="3"/>
        <charset val="134"/>
      </rPr>
      <t>应纳增值税税额</t>
    </r>
    <phoneticPr fontId="37" type="noConversion"/>
  </si>
  <si>
    <r>
      <rPr>
        <b/>
        <sz val="10"/>
        <rFont val="宋体"/>
        <family val="3"/>
        <charset val="134"/>
      </rPr>
      <t>土地增值税（自行开发建设）</t>
    </r>
    <phoneticPr fontId="37" type="noConversion"/>
  </si>
  <si>
    <r>
      <rPr>
        <sz val="10"/>
        <rFont val="宋体"/>
        <family val="3"/>
        <charset val="134"/>
      </rPr>
      <t>土地取得成本</t>
    </r>
    <phoneticPr fontId="37" type="noConversion"/>
  </si>
  <si>
    <r>
      <rPr>
        <sz val="10"/>
        <rFont val="宋体"/>
        <family val="3"/>
        <charset val="134"/>
      </rPr>
      <t>土地取得费用</t>
    </r>
    <phoneticPr fontId="37" type="noConversion"/>
  </si>
  <si>
    <r>
      <rPr>
        <sz val="10"/>
        <color indexed="8"/>
        <rFont val="宋体"/>
        <family val="3"/>
        <charset val="134"/>
      </rPr>
      <t>依据出让合同</t>
    </r>
    <phoneticPr fontId="33" type="noConversion"/>
  </si>
  <si>
    <r>
      <rPr>
        <sz val="9"/>
        <color indexed="8"/>
        <rFont val="宋体"/>
        <family val="3"/>
        <charset val="134"/>
      </rPr>
      <t>出让价款内涵：</t>
    </r>
    <phoneticPr fontId="33" type="noConversion"/>
  </si>
  <si>
    <r>
      <rPr>
        <sz val="10"/>
        <color indexed="8"/>
        <rFont val="宋体"/>
        <family val="3"/>
        <charset val="134"/>
      </rPr>
      <t>契税及印花税</t>
    </r>
    <phoneticPr fontId="33" type="noConversion"/>
  </si>
  <si>
    <r>
      <rPr>
        <sz val="10"/>
        <rFont val="宋体"/>
        <family val="3"/>
        <charset val="134"/>
      </rPr>
      <t>土地开发费</t>
    </r>
    <phoneticPr fontId="37" type="noConversion"/>
  </si>
  <si>
    <r>
      <rPr>
        <sz val="10"/>
        <color indexed="8"/>
        <rFont val="宋体"/>
        <family val="3"/>
        <charset val="134"/>
      </rPr>
      <t>（</t>
    </r>
    <r>
      <rPr>
        <sz val="10"/>
        <color indexed="8"/>
        <rFont val="Arial"/>
        <family val="2"/>
      </rPr>
      <t>3</t>
    </r>
    <r>
      <rPr>
        <sz val="10"/>
        <color indexed="8"/>
        <rFont val="宋体"/>
        <family val="3"/>
        <charset val="134"/>
      </rPr>
      <t>）</t>
    </r>
    <phoneticPr fontId="37" type="noConversion"/>
  </si>
  <si>
    <r>
      <rPr>
        <sz val="10"/>
        <rFont val="宋体"/>
        <family val="3"/>
        <charset val="134"/>
      </rPr>
      <t>建造成本</t>
    </r>
    <phoneticPr fontId="37" type="noConversion"/>
  </si>
  <si>
    <r>
      <rPr>
        <sz val="10"/>
        <color indexed="8"/>
        <rFont val="宋体"/>
        <family val="3"/>
        <charset val="134"/>
      </rPr>
      <t>包括前期工程费、建筑安装工程费、基础设施费和公共配套费等</t>
    </r>
    <phoneticPr fontId="33" type="noConversion"/>
  </si>
  <si>
    <r>
      <rPr>
        <sz val="10"/>
        <color indexed="8"/>
        <rFont val="宋体"/>
        <family val="3"/>
        <charset val="134"/>
      </rPr>
      <t>（</t>
    </r>
    <r>
      <rPr>
        <sz val="10"/>
        <color indexed="8"/>
        <rFont val="Arial"/>
        <family val="2"/>
      </rPr>
      <t>4</t>
    </r>
    <r>
      <rPr>
        <sz val="10"/>
        <color indexed="8"/>
        <rFont val="宋体"/>
        <family val="3"/>
        <charset val="134"/>
      </rPr>
      <t>）</t>
    </r>
    <phoneticPr fontId="37" type="noConversion"/>
  </si>
  <si>
    <r>
      <rPr>
        <sz val="10"/>
        <rFont val="宋体"/>
        <family val="3"/>
        <charset val="134"/>
      </rPr>
      <t>开发费用扣除</t>
    </r>
    <phoneticPr fontId="37" type="noConversion"/>
  </si>
  <si>
    <r>
      <rPr>
        <sz val="10"/>
        <color indexed="8"/>
        <rFont val="宋体"/>
        <family val="3"/>
        <charset val="134"/>
      </rPr>
      <t>凡不能按转让房地产项目计算分摊利息支出或不能提供金融机构证明的，按土地及建筑总投的</t>
    </r>
    <r>
      <rPr>
        <sz val="10"/>
        <color indexed="8"/>
        <rFont val="Arial"/>
        <family val="2"/>
      </rPr>
      <t>10%</t>
    </r>
    <r>
      <rPr>
        <sz val="10"/>
        <color indexed="8"/>
        <rFont val="宋体"/>
        <family val="3"/>
        <charset val="134"/>
      </rPr>
      <t>以内；含销售、管理、财务费用</t>
    </r>
    <phoneticPr fontId="33" type="noConversion"/>
  </si>
  <si>
    <r>
      <rPr>
        <sz val="10"/>
        <color indexed="8"/>
        <rFont val="宋体"/>
        <family val="3"/>
        <charset val="134"/>
      </rPr>
      <t>（</t>
    </r>
    <r>
      <rPr>
        <sz val="10"/>
        <color indexed="8"/>
        <rFont val="Arial"/>
        <family val="2"/>
      </rPr>
      <t>5</t>
    </r>
    <r>
      <rPr>
        <sz val="10"/>
        <color indexed="8"/>
        <rFont val="宋体"/>
        <family val="3"/>
        <charset val="134"/>
      </rPr>
      <t>）</t>
    </r>
    <phoneticPr fontId="37" type="noConversion"/>
  </si>
  <si>
    <r>
      <rPr>
        <sz val="10"/>
        <color indexed="8"/>
        <rFont val="宋体"/>
        <family val="3"/>
        <charset val="134"/>
      </rPr>
      <t>（</t>
    </r>
    <r>
      <rPr>
        <sz val="10"/>
        <color indexed="8"/>
        <rFont val="Arial"/>
        <family val="2"/>
      </rPr>
      <t>6</t>
    </r>
    <r>
      <rPr>
        <sz val="10"/>
        <color indexed="8"/>
        <rFont val="宋体"/>
        <family val="3"/>
        <charset val="134"/>
      </rPr>
      <t>）</t>
    </r>
    <phoneticPr fontId="37" type="noConversion"/>
  </si>
  <si>
    <r>
      <rPr>
        <sz val="10"/>
        <rFont val="宋体"/>
        <family val="3"/>
        <charset val="134"/>
      </rPr>
      <t>加计扣除金额</t>
    </r>
    <phoneticPr fontId="37" type="noConversion"/>
  </si>
  <si>
    <r>
      <rPr>
        <sz val="10"/>
        <color rgb="FFFF0000"/>
        <rFont val="宋体"/>
        <family val="3"/>
        <charset val="134"/>
      </rPr>
      <t>对专门从事房地产开发的企业可以按（</t>
    </r>
    <r>
      <rPr>
        <sz val="10"/>
        <color rgb="FFFF0000"/>
        <rFont val="Arial"/>
        <family val="2"/>
      </rPr>
      <t>1</t>
    </r>
    <r>
      <rPr>
        <sz val="10"/>
        <color rgb="FFFF0000"/>
        <rFont val="宋体"/>
        <family val="3"/>
        <charset val="134"/>
      </rPr>
      <t>）</t>
    </r>
    <r>
      <rPr>
        <sz val="10"/>
        <color rgb="FFFF0000"/>
        <rFont val="Arial"/>
        <family val="2"/>
      </rPr>
      <t>—</t>
    </r>
    <r>
      <rPr>
        <sz val="10"/>
        <color rgb="FFFF0000"/>
        <rFont val="宋体"/>
        <family val="3"/>
        <charset val="134"/>
      </rPr>
      <t>（</t>
    </r>
    <r>
      <rPr>
        <sz val="10"/>
        <color rgb="FFFF0000"/>
        <rFont val="Arial"/>
        <family val="2"/>
      </rPr>
      <t>3</t>
    </r>
    <r>
      <rPr>
        <sz val="10"/>
        <color rgb="FFFF0000"/>
        <rFont val="宋体"/>
        <family val="3"/>
        <charset val="134"/>
      </rPr>
      <t>）合计值的</t>
    </r>
    <r>
      <rPr>
        <sz val="10"/>
        <color rgb="FFFF0000"/>
        <rFont val="Arial"/>
        <family val="2"/>
      </rPr>
      <t>20</t>
    </r>
    <r>
      <rPr>
        <sz val="10"/>
        <color rgb="FFFF0000"/>
        <rFont val="宋体"/>
        <family val="3"/>
        <charset val="134"/>
      </rPr>
      <t>％计算扣除；如为土地，则仅将土地开发费（</t>
    </r>
    <r>
      <rPr>
        <sz val="10"/>
        <color rgb="FFFF0000"/>
        <rFont val="Arial"/>
        <family val="2"/>
      </rPr>
      <t>2</t>
    </r>
    <r>
      <rPr>
        <sz val="10"/>
        <color rgb="FFFF0000"/>
        <rFont val="宋体"/>
        <family val="3"/>
        <charset val="134"/>
      </rPr>
      <t>）加计</t>
    </r>
    <r>
      <rPr>
        <sz val="10"/>
        <color rgb="FFFF0000"/>
        <rFont val="Arial"/>
        <family val="2"/>
      </rPr>
      <t>20%</t>
    </r>
    <r>
      <rPr>
        <sz val="10"/>
        <color rgb="FFFF0000"/>
        <rFont val="宋体"/>
        <family val="3"/>
        <charset val="134"/>
      </rPr>
      <t>扣减，请自行调整公式</t>
    </r>
    <phoneticPr fontId="33" type="noConversion"/>
  </si>
  <si>
    <r>
      <rPr>
        <b/>
        <sz val="14"/>
        <color rgb="FFFF0000"/>
        <rFont val="宋体"/>
        <family val="3"/>
        <charset val="134"/>
      </rPr>
      <t>估价结果</t>
    </r>
    <phoneticPr fontId="8" type="noConversion"/>
  </si>
  <si>
    <r>
      <rPr>
        <b/>
        <sz val="11"/>
        <color indexed="8"/>
        <rFont val="宋体"/>
        <family val="3"/>
        <charset val="134"/>
      </rPr>
      <t>结果表</t>
    </r>
    <r>
      <rPr>
        <b/>
        <sz val="11"/>
        <color indexed="8"/>
        <rFont val="Arial"/>
        <family val="2"/>
      </rPr>
      <t>-1</t>
    </r>
    <phoneticPr fontId="8" type="noConversion"/>
  </si>
  <si>
    <r>
      <rPr>
        <b/>
        <sz val="11"/>
        <color indexed="8"/>
        <rFont val="宋体"/>
        <family val="3"/>
        <charset val="134"/>
      </rPr>
      <t>结果表</t>
    </r>
    <r>
      <rPr>
        <b/>
        <sz val="11"/>
        <color indexed="8"/>
        <rFont val="Arial"/>
        <family val="2"/>
      </rPr>
      <t>-2</t>
    </r>
    <r>
      <rPr>
        <b/>
        <i/>
        <sz val="11"/>
        <color theme="3" tint="0.39997558519241921"/>
        <rFont val="宋体"/>
        <family val="3"/>
        <charset val="134"/>
      </rPr>
      <t>抵押专用</t>
    </r>
    <phoneticPr fontId="8" type="noConversion"/>
  </si>
  <si>
    <r>
      <t xml:space="preserve">                </t>
    </r>
    <r>
      <rPr>
        <sz val="12"/>
        <color rgb="FF000000"/>
        <rFont val="宋体"/>
        <family val="3"/>
        <charset val="134"/>
      </rPr>
      <t>估价方法相关结果</t>
    </r>
  </si>
  <si>
    <r>
      <t>1.</t>
    </r>
    <r>
      <rPr>
        <b/>
        <sz val="11"/>
        <color indexed="8"/>
        <rFont val="宋体"/>
        <family val="3"/>
        <charset val="134"/>
      </rPr>
      <t>房地产价值</t>
    </r>
    <phoneticPr fontId="8" type="noConversion"/>
  </si>
  <si>
    <r>
      <rPr>
        <sz val="12"/>
        <color theme="1"/>
        <rFont val="宋体"/>
        <family val="3"/>
        <charset val="134"/>
      </rPr>
      <t>总价</t>
    </r>
  </si>
  <si>
    <r>
      <rPr>
        <sz val="12"/>
        <color theme="1"/>
        <rFont val="宋体"/>
        <family val="3"/>
        <charset val="134"/>
      </rPr>
      <t>测算结果</t>
    </r>
  </si>
  <si>
    <r>
      <rPr>
        <sz val="12"/>
        <color theme="1"/>
        <rFont val="宋体"/>
        <family val="3"/>
        <charset val="134"/>
      </rPr>
      <t>单价</t>
    </r>
  </si>
  <si>
    <r>
      <t>2.</t>
    </r>
    <r>
      <rPr>
        <b/>
        <sz val="11"/>
        <color indexed="8"/>
        <rFont val="宋体"/>
        <family val="3"/>
        <charset val="134"/>
      </rPr>
      <t>估价师知悉的法定优先受偿款</t>
    </r>
  </si>
  <si>
    <r>
      <rPr>
        <sz val="12"/>
        <color rgb="FF000000"/>
        <rFont val="宋体"/>
        <family val="3"/>
        <charset val="134"/>
      </rPr>
      <t>总额</t>
    </r>
  </si>
  <si>
    <r>
      <rPr>
        <sz val="12"/>
        <color theme="1"/>
        <rFont val="宋体"/>
        <family val="3"/>
        <charset val="134"/>
      </rPr>
      <t>评估价值</t>
    </r>
  </si>
  <si>
    <r>
      <rPr>
        <sz val="11"/>
        <color indexed="8"/>
        <rFont val="宋体"/>
        <family val="3"/>
        <charset val="134"/>
      </rPr>
      <t>（</t>
    </r>
    <r>
      <rPr>
        <sz val="11"/>
        <color indexed="8"/>
        <rFont val="Arial"/>
        <family val="2"/>
      </rPr>
      <t>1</t>
    </r>
    <r>
      <rPr>
        <sz val="11"/>
        <color indexed="8"/>
        <rFont val="宋体"/>
        <family val="3"/>
        <charset val="134"/>
      </rPr>
      <t>）已抵押担保的债权数额</t>
    </r>
    <phoneticPr fontId="8" type="noConversion"/>
  </si>
  <si>
    <r>
      <rPr>
        <sz val="11"/>
        <color indexed="8"/>
        <rFont val="宋体"/>
        <family val="3"/>
        <charset val="134"/>
      </rPr>
      <t>（</t>
    </r>
    <r>
      <rPr>
        <sz val="11"/>
        <color indexed="8"/>
        <rFont val="Arial"/>
        <family val="2"/>
      </rPr>
      <t>2</t>
    </r>
    <r>
      <rPr>
        <sz val="11"/>
        <color indexed="8"/>
        <rFont val="宋体"/>
        <family val="3"/>
        <charset val="134"/>
      </rPr>
      <t>）拖欠的建设工程价款</t>
    </r>
    <phoneticPr fontId="8" type="noConversion"/>
  </si>
  <si>
    <r>
      <rPr>
        <sz val="10"/>
        <color indexed="8"/>
        <rFont val="宋体"/>
        <family val="3"/>
        <charset val="134"/>
      </rPr>
      <t>单位：万元、元</t>
    </r>
    <r>
      <rPr>
        <sz val="10"/>
        <color indexed="8"/>
        <rFont val="Arial"/>
        <family val="2"/>
      </rPr>
      <t>/</t>
    </r>
    <r>
      <rPr>
        <sz val="10"/>
        <color indexed="8"/>
        <rFont val="宋体"/>
        <family val="3"/>
        <charset val="134"/>
      </rPr>
      <t>平方米（币种：人民币）</t>
    </r>
    <phoneticPr fontId="8" type="noConversion"/>
  </si>
  <si>
    <r>
      <rPr>
        <sz val="11"/>
        <color indexed="8"/>
        <rFont val="宋体"/>
        <family val="3"/>
        <charset val="134"/>
      </rPr>
      <t>（</t>
    </r>
    <r>
      <rPr>
        <sz val="11"/>
        <color indexed="8"/>
        <rFont val="Arial"/>
        <family val="2"/>
      </rPr>
      <t>3</t>
    </r>
    <r>
      <rPr>
        <sz val="11"/>
        <color indexed="8"/>
        <rFont val="宋体"/>
        <family val="3"/>
        <charset val="134"/>
      </rPr>
      <t>）其他法定优先受偿款</t>
    </r>
    <phoneticPr fontId="8" type="noConversion"/>
  </si>
  <si>
    <r>
      <rPr>
        <b/>
        <sz val="11"/>
        <color indexed="8"/>
        <rFont val="宋体"/>
        <family val="3"/>
        <charset val="134"/>
      </rPr>
      <t>结果表</t>
    </r>
    <r>
      <rPr>
        <b/>
        <sz val="11"/>
        <color indexed="8"/>
        <rFont val="Arial"/>
        <family val="2"/>
      </rPr>
      <t>-3</t>
    </r>
    <phoneticPr fontId="3" type="noConversion"/>
  </si>
  <si>
    <r>
      <rPr>
        <sz val="11"/>
        <color indexed="8"/>
        <rFont val="宋体"/>
        <family val="3"/>
        <charset val="134"/>
      </rPr>
      <t>抵押物名称</t>
    </r>
  </si>
  <si>
    <r>
      <t>(</t>
    </r>
    <r>
      <rPr>
        <sz val="11"/>
        <color indexed="8"/>
        <rFont val="宋体"/>
        <family val="3"/>
        <charset val="134"/>
      </rPr>
      <t>规划</t>
    </r>
    <r>
      <rPr>
        <sz val="11"/>
        <color indexed="8"/>
        <rFont val="Arial"/>
        <family val="2"/>
      </rPr>
      <t>)</t>
    </r>
    <r>
      <rPr>
        <sz val="11"/>
        <color indexed="8"/>
        <rFont val="宋体"/>
        <family val="3"/>
        <charset val="134"/>
      </rPr>
      <t>建筑面积</t>
    </r>
    <phoneticPr fontId="8" type="noConversion"/>
  </si>
  <si>
    <r>
      <t>(</t>
    </r>
    <r>
      <rPr>
        <sz val="11"/>
        <color indexed="8"/>
        <rFont val="宋体"/>
        <family val="3"/>
        <charset val="134"/>
      </rPr>
      <t>分摊</t>
    </r>
    <r>
      <rPr>
        <sz val="11"/>
        <color indexed="8"/>
        <rFont val="Arial"/>
        <family val="2"/>
      </rPr>
      <t>)</t>
    </r>
    <r>
      <rPr>
        <sz val="11"/>
        <color indexed="8"/>
        <rFont val="宋体"/>
        <family val="3"/>
        <charset val="134"/>
      </rPr>
      <t>土地面积</t>
    </r>
    <phoneticPr fontId="8" type="noConversion"/>
  </si>
  <si>
    <r>
      <rPr>
        <sz val="11"/>
        <color indexed="8"/>
        <rFont val="宋体"/>
        <family val="3"/>
        <charset val="134"/>
      </rPr>
      <t>出让国有建设用地使用权价值</t>
    </r>
  </si>
  <si>
    <r>
      <rPr>
        <sz val="11"/>
        <color indexed="8"/>
        <rFont val="宋体"/>
        <family val="3"/>
        <charset val="134"/>
      </rPr>
      <t>在建建筑物价值</t>
    </r>
  </si>
  <si>
    <r>
      <rPr>
        <sz val="11"/>
        <color indexed="8"/>
        <rFont val="宋体"/>
        <family val="3"/>
        <charset val="134"/>
      </rPr>
      <t>房地产价值</t>
    </r>
  </si>
  <si>
    <r>
      <rPr>
        <sz val="11"/>
        <color indexed="8"/>
        <rFont val="宋体"/>
        <family val="3"/>
        <charset val="134"/>
      </rPr>
      <t>总</t>
    </r>
    <r>
      <rPr>
        <sz val="11"/>
        <color indexed="8"/>
        <rFont val="Arial"/>
        <family val="2"/>
      </rPr>
      <t xml:space="preserve"> </t>
    </r>
    <r>
      <rPr>
        <sz val="11"/>
        <color indexed="8"/>
        <rFont val="宋体"/>
        <family val="3"/>
        <charset val="134"/>
      </rPr>
      <t>价</t>
    </r>
  </si>
  <si>
    <r>
      <rPr>
        <sz val="11"/>
        <color indexed="8"/>
        <rFont val="宋体"/>
        <family val="3"/>
        <charset val="134"/>
      </rPr>
      <t>楼面单价</t>
    </r>
    <phoneticPr fontId="8" type="noConversion"/>
  </si>
  <si>
    <r>
      <rPr>
        <sz val="11"/>
        <color indexed="8"/>
        <rFont val="宋体"/>
        <family val="3"/>
        <charset val="134"/>
      </rPr>
      <t>楼面单价</t>
    </r>
  </si>
  <si>
    <r>
      <rPr>
        <sz val="11"/>
        <color indexed="8"/>
        <rFont val="宋体"/>
        <family val="3"/>
        <charset val="134"/>
      </rPr>
      <t>大写金额</t>
    </r>
  </si>
  <si>
    <r>
      <rPr>
        <sz val="10"/>
        <color indexed="8"/>
        <rFont val="宋体"/>
        <family val="3"/>
        <charset val="134"/>
      </rPr>
      <t>单位：平方米、万元、元</t>
    </r>
    <r>
      <rPr>
        <sz val="10"/>
        <color indexed="8"/>
        <rFont val="Arial"/>
        <family val="2"/>
      </rPr>
      <t>/</t>
    </r>
    <r>
      <rPr>
        <sz val="10"/>
        <color indexed="8"/>
        <rFont val="宋体"/>
        <family val="3"/>
        <charset val="134"/>
      </rPr>
      <t>平方米（币种：人民币）</t>
    </r>
    <phoneticPr fontId="42" type="noConversion"/>
  </si>
  <si>
    <r>
      <rPr>
        <b/>
        <sz val="12"/>
        <color rgb="FFFF0000"/>
        <rFont val="宋体"/>
        <family val="3"/>
        <charset val="134"/>
      </rPr>
      <t>测算中的特殊事项处理</t>
    </r>
    <phoneticPr fontId="8" type="noConversion"/>
  </si>
  <si>
    <r>
      <rPr>
        <b/>
        <sz val="16"/>
        <color indexed="8"/>
        <rFont val="宋体"/>
        <family val="3"/>
        <charset val="134"/>
      </rPr>
      <t>无</t>
    </r>
  </si>
  <si>
    <r>
      <rPr>
        <b/>
        <sz val="10"/>
        <color indexed="8"/>
        <rFont val="宋体"/>
        <family val="3"/>
        <charset val="134"/>
      </rPr>
      <t>测算人员：</t>
    </r>
    <r>
      <rPr>
        <b/>
        <sz val="10"/>
        <color indexed="8"/>
        <rFont val="Arial"/>
        <family val="2"/>
      </rPr>
      <t xml:space="preserve">      </t>
    </r>
    <phoneticPr fontId="3" type="noConversion"/>
  </si>
  <si>
    <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</si>
  <si>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初审意见：</t>
    </r>
    <r>
      <rPr>
        <b/>
        <sz val="10"/>
        <color indexed="8"/>
        <rFont val="Arial"/>
        <family val="2"/>
      </rPr>
      <t xml:space="preserve">      </t>
    </r>
    <phoneticPr fontId="3" type="noConversion"/>
  </si>
  <si>
    <r>
      <rPr>
        <sz val="10"/>
        <color indexed="8"/>
        <rFont val="宋体"/>
        <family val="3"/>
        <charset val="134"/>
      </rPr>
      <t>签字：</t>
    </r>
    <r>
      <rPr>
        <sz val="10"/>
        <color indexed="8"/>
        <rFont val="Arial"/>
        <family val="2"/>
      </rPr>
      <t xml:space="preserve">                    </t>
    </r>
    <r>
      <rPr>
        <sz val="10"/>
        <color indexed="8"/>
        <rFont val="宋体"/>
        <family val="3"/>
        <charset val="134"/>
      </rPr>
      <t>日期：</t>
    </r>
    <r>
      <rPr>
        <sz val="10"/>
        <color indexed="8"/>
        <rFont val="Arial"/>
        <family val="2"/>
      </rPr>
      <t xml:space="preserve">  </t>
    </r>
    <r>
      <rPr>
        <sz val="10"/>
        <color indexed="8"/>
        <rFont val="宋体"/>
        <family val="3"/>
        <charset val="134"/>
      </rPr>
      <t>年</t>
    </r>
    <r>
      <rPr>
        <sz val="10"/>
        <color indexed="8"/>
        <rFont val="Arial"/>
        <family val="2"/>
      </rPr>
      <t xml:space="preserve">  </t>
    </r>
    <r>
      <rPr>
        <sz val="10"/>
        <color indexed="8"/>
        <rFont val="宋体"/>
        <family val="3"/>
        <charset val="134"/>
      </rPr>
      <t>月</t>
    </r>
    <r>
      <rPr>
        <sz val="10"/>
        <color indexed="8"/>
        <rFont val="Arial"/>
        <family val="2"/>
      </rPr>
      <t xml:space="preserve">  </t>
    </r>
    <r>
      <rPr>
        <sz val="10"/>
        <color indexed="8"/>
        <rFont val="宋体"/>
        <family val="3"/>
        <charset val="134"/>
      </rPr>
      <t>日</t>
    </r>
    <phoneticPr fontId="8" type="noConversion"/>
  </si>
  <si>
    <r>
      <rPr>
        <b/>
        <sz val="10"/>
        <color indexed="8"/>
        <rFont val="宋体"/>
        <family val="3"/>
        <charset val="134"/>
      </rPr>
      <t>终审意见：</t>
    </r>
    <r>
      <rPr>
        <b/>
        <sz val="10"/>
        <color indexed="8"/>
        <rFont val="Arial"/>
        <family val="2"/>
      </rPr>
      <t xml:space="preserve">      </t>
    </r>
    <phoneticPr fontId="3" type="noConversion"/>
  </si>
  <si>
    <r>
      <rPr>
        <b/>
        <sz val="16"/>
        <color indexed="10"/>
        <rFont val="宋体"/>
        <family val="3"/>
        <charset val="134"/>
      </rPr>
      <t>成本法</t>
    </r>
    <phoneticPr fontId="16" type="noConversion"/>
  </si>
  <si>
    <r>
      <rPr>
        <b/>
        <sz val="12"/>
        <rFont val="宋体"/>
        <family val="3"/>
        <charset val="134"/>
      </rPr>
      <t>总价</t>
    </r>
    <phoneticPr fontId="18" type="noConversion"/>
  </si>
  <si>
    <r>
      <rPr>
        <b/>
        <sz val="12"/>
        <rFont val="宋体"/>
        <family val="3"/>
        <charset val="134"/>
      </rPr>
      <t>万元</t>
    </r>
    <phoneticPr fontId="18" type="noConversion"/>
  </si>
  <si>
    <r>
      <rPr>
        <b/>
        <sz val="12"/>
        <rFont val="宋体"/>
        <family val="3"/>
        <charset val="134"/>
      </rPr>
      <t>楼面单价</t>
    </r>
    <phoneticPr fontId="18" type="noConversion"/>
  </si>
  <si>
    <r>
      <rPr>
        <b/>
        <sz val="12"/>
        <rFont val="宋体"/>
        <family val="3"/>
        <charset val="134"/>
      </rPr>
      <t>元</t>
    </r>
    <r>
      <rPr>
        <b/>
        <sz val="12"/>
        <rFont val="Arial"/>
        <family val="2"/>
      </rPr>
      <t>/</t>
    </r>
    <r>
      <rPr>
        <b/>
        <sz val="12"/>
        <rFont val="宋体"/>
        <family val="3"/>
        <charset val="134"/>
      </rPr>
      <t>平方米</t>
    </r>
    <phoneticPr fontId="18" type="noConversion"/>
  </si>
  <si>
    <r>
      <t>1.</t>
    </r>
    <r>
      <rPr>
        <b/>
        <sz val="12"/>
        <rFont val="宋体"/>
        <family val="3"/>
        <charset val="134"/>
      </rPr>
      <t>土地价值</t>
    </r>
    <phoneticPr fontId="16" type="noConversion"/>
  </si>
  <si>
    <r>
      <rPr>
        <b/>
        <sz val="10"/>
        <rFont val="宋体"/>
        <family val="3"/>
        <charset val="134"/>
      </rPr>
      <t>（</t>
    </r>
    <r>
      <rPr>
        <b/>
        <sz val="10"/>
        <rFont val="Arial"/>
        <family val="2"/>
      </rPr>
      <t>1</t>
    </r>
    <r>
      <rPr>
        <b/>
        <sz val="10"/>
        <rFont val="宋体"/>
        <family val="3"/>
        <charset val="134"/>
      </rPr>
      <t>）</t>
    </r>
    <phoneticPr fontId="18" type="noConversion"/>
  </si>
  <si>
    <r>
      <rPr>
        <b/>
        <sz val="10"/>
        <rFont val="宋体"/>
        <family val="3"/>
        <charset val="134"/>
      </rPr>
      <t>土地取得成本</t>
    </r>
    <phoneticPr fontId="16" type="noConversion"/>
  </si>
  <si>
    <r>
      <rPr>
        <b/>
        <sz val="10"/>
        <rFont val="宋体"/>
        <family val="3"/>
        <charset val="134"/>
      </rPr>
      <t>面积</t>
    </r>
    <phoneticPr fontId="16" type="noConversion"/>
  </si>
  <si>
    <r>
      <rPr>
        <b/>
        <sz val="10"/>
        <rFont val="宋体"/>
        <family val="3"/>
        <charset val="134"/>
      </rPr>
      <t>单价</t>
    </r>
    <phoneticPr fontId="16" type="noConversion"/>
  </si>
  <si>
    <r>
      <rPr>
        <b/>
        <sz val="10"/>
        <rFont val="宋体"/>
        <family val="3"/>
        <charset val="134"/>
      </rPr>
      <t>系数</t>
    </r>
    <phoneticPr fontId="16" type="noConversion"/>
  </si>
  <si>
    <r>
      <t>1</t>
    </r>
    <r>
      <rPr>
        <sz val="10"/>
        <rFont val="宋体"/>
        <family val="3"/>
        <charset val="134"/>
      </rPr>
      <t>）</t>
    </r>
    <phoneticPr fontId="16" type="noConversion"/>
  </si>
  <si>
    <r>
      <rPr>
        <sz val="10"/>
        <rFont val="宋体"/>
        <family val="3"/>
        <charset val="134"/>
      </rPr>
      <t>土地购买价格</t>
    </r>
    <phoneticPr fontId="18" type="noConversion"/>
  </si>
  <si>
    <r>
      <t>2</t>
    </r>
    <r>
      <rPr>
        <sz val="10"/>
        <rFont val="宋体"/>
        <family val="3"/>
        <charset val="134"/>
      </rPr>
      <t>）</t>
    </r>
    <phoneticPr fontId="16" type="noConversion"/>
  </si>
  <si>
    <r>
      <rPr>
        <sz val="10"/>
        <rFont val="宋体"/>
        <family val="3"/>
        <charset val="134"/>
      </rPr>
      <t>土地取得税费</t>
    </r>
  </si>
  <si>
    <r>
      <t>3</t>
    </r>
    <r>
      <rPr>
        <sz val="10"/>
        <rFont val="宋体"/>
        <family val="3"/>
        <charset val="134"/>
      </rPr>
      <t>）</t>
    </r>
    <phoneticPr fontId="16" type="noConversion"/>
  </si>
  <si>
    <r>
      <rPr>
        <sz val="10"/>
        <rFont val="宋体"/>
        <family val="3"/>
        <charset val="134"/>
      </rPr>
      <t>城市基础设施建设费（行政收费）</t>
    </r>
    <phoneticPr fontId="16" type="noConversion"/>
  </si>
  <si>
    <r>
      <rPr>
        <i/>
        <sz val="10"/>
        <rFont val="宋体"/>
        <family val="3"/>
        <charset val="134"/>
      </rPr>
      <t>住宅</t>
    </r>
    <phoneticPr fontId="16" type="noConversion"/>
  </si>
  <si>
    <r>
      <rPr>
        <b/>
        <sz val="10"/>
        <color rgb="FFFF0000"/>
        <rFont val="宋体"/>
        <family val="3"/>
        <charset val="134"/>
      </rPr>
      <t>万元</t>
    </r>
    <phoneticPr fontId="133" type="noConversion"/>
  </si>
  <si>
    <r>
      <rPr>
        <i/>
        <sz val="10"/>
        <rFont val="宋体"/>
        <family val="3"/>
        <charset val="134"/>
      </rPr>
      <t>非住宅</t>
    </r>
    <phoneticPr fontId="16" type="noConversion"/>
  </si>
  <si>
    <r>
      <rPr>
        <sz val="10"/>
        <rFont val="宋体"/>
        <family val="3"/>
        <charset val="134"/>
      </rPr>
      <t>土地使用权出让金</t>
    </r>
    <phoneticPr fontId="16"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</si>
  <si>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</si>
  <si>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</si>
  <si>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城市基础设施建设费（行政收费）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</si>
  <si>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</si>
  <si>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</si>
  <si>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</si>
  <si>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</si>
  <si>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</si>
  <si>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</si>
  <si>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</si>
  <si>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</si>
  <si>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</si>
  <si>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</si>
  <si>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</si>
  <si>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</si>
  <si>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</si>
  <si>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</si>
  <si>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</si>
  <si>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</si>
  <si>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</si>
  <si>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t>1</t>
    </r>
    <r>
      <rPr>
        <sz val="10"/>
        <rFont val="宋体"/>
        <family val="3"/>
        <charset val="134"/>
      </rPr>
      <t>）</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</si>
  <si>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</si>
  <si>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</si>
  <si>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t>2</t>
    </r>
    <r>
      <rPr>
        <sz val="10"/>
        <rFont val="宋体"/>
        <family val="3"/>
        <charset val="134"/>
      </rPr>
      <t>）</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</si>
  <si>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</si>
  <si>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</si>
  <si>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t>3</t>
    </r>
    <r>
      <rPr>
        <sz val="10"/>
        <rFont val="宋体"/>
        <family val="3"/>
        <charset val="134"/>
      </rPr>
      <t>）</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</si>
  <si>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</si>
  <si>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</si>
  <si>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rPr>
        <sz val="10"/>
        <rFont val="宋体"/>
        <family val="3"/>
        <charset val="134"/>
      </rPr>
      <t>（</t>
    </r>
    <r>
      <rPr>
        <sz val="10"/>
        <rFont val="Arial"/>
        <family val="2"/>
      </rPr>
      <t>4</t>
    </r>
    <r>
      <rPr>
        <sz val="10"/>
        <rFont val="宋体"/>
        <family val="3"/>
        <charset val="134"/>
      </rPr>
      <t>）项产生的利息</t>
    </r>
    <phoneticPr fontId="16" type="noConversion"/>
  </si>
  <si>
    <r>
      <rPr>
        <b/>
        <sz val="10"/>
        <rFont val="宋体"/>
        <family val="3"/>
        <charset val="134"/>
      </rPr>
      <t>（</t>
    </r>
    <r>
      <rPr>
        <b/>
        <sz val="10"/>
        <rFont val="Arial"/>
        <family val="2"/>
      </rPr>
      <t>6</t>
    </r>
    <r>
      <rPr>
        <b/>
        <sz val="10"/>
        <rFont val="宋体"/>
        <family val="3"/>
        <charset val="134"/>
      </rPr>
      <t>）</t>
    </r>
    <phoneticPr fontId="18" type="noConversion"/>
  </si>
  <si>
    <r>
      <rPr>
        <b/>
        <sz val="10"/>
        <rFont val="宋体"/>
        <family val="3"/>
        <charset val="134"/>
      </rPr>
      <t>利润</t>
    </r>
    <phoneticPr fontId="16" type="noConversion"/>
  </si>
  <si>
    <r>
      <t>V</t>
    </r>
    <r>
      <rPr>
        <b/>
        <vertAlign val="subscript"/>
        <sz val="10"/>
        <rFont val="宋体"/>
        <family val="3"/>
        <charset val="134"/>
      </rPr>
      <t>土</t>
    </r>
    <phoneticPr fontId="16"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</si>
  <si>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4</t>
    </r>
    <r>
      <rPr>
        <b/>
        <sz val="10"/>
        <rFont val="宋体"/>
        <family val="3"/>
        <charset val="134"/>
      </rPr>
      <t>）项之和</t>
    </r>
    <r>
      <rPr>
        <b/>
        <sz val="10"/>
        <rFont val="Arial"/>
        <family val="2"/>
      </rPr>
      <t>*</t>
    </r>
    <r>
      <rPr>
        <b/>
        <sz val="10"/>
        <rFont val="宋体"/>
        <family val="3"/>
        <charset val="134"/>
      </rPr>
      <t>利润率</t>
    </r>
    <r>
      <rPr>
        <b/>
        <sz val="10"/>
        <rFont val="Arial"/>
        <family val="2"/>
      </rPr>
      <t>*</t>
    </r>
    <r>
      <rPr>
        <b/>
        <sz val="10"/>
        <rFont val="宋体"/>
        <family val="3"/>
        <charset val="134"/>
      </rPr>
      <t>已建工期</t>
    </r>
    <r>
      <rPr>
        <b/>
        <sz val="10"/>
        <rFont val="Arial"/>
        <family val="2"/>
      </rPr>
      <t>/</t>
    </r>
    <r>
      <rPr>
        <b/>
        <sz val="10"/>
        <rFont val="宋体"/>
        <family val="3"/>
        <charset val="134"/>
      </rPr>
      <t>建设期</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</si>
  <si>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t>
    </r>
    <r>
      <rPr>
        <sz val="10"/>
        <rFont val="宋体"/>
        <family val="3"/>
        <charset val="134"/>
      </rPr>
      <t>（</t>
    </r>
    <r>
      <rPr>
        <sz val="10"/>
        <rFont val="Arial"/>
        <family val="2"/>
      </rPr>
      <t>3</t>
    </r>
    <r>
      <rPr>
        <sz val="10"/>
        <rFont val="宋体"/>
        <family val="3"/>
        <charset val="134"/>
      </rPr>
      <t>）项产生的利润</t>
    </r>
    <phoneticPr fontId="16" type="noConversion"/>
  </si>
  <si>
    <r>
      <rPr>
        <sz val="10"/>
        <rFont val="宋体"/>
        <family val="3"/>
        <charset val="134"/>
      </rPr>
      <t>（</t>
    </r>
    <r>
      <rPr>
        <sz val="10"/>
        <rFont val="Arial"/>
        <family val="2"/>
      </rPr>
      <t>4</t>
    </r>
    <r>
      <rPr>
        <sz val="10"/>
        <rFont val="宋体"/>
        <family val="3"/>
        <charset val="134"/>
      </rPr>
      <t>）项产生的利润</t>
    </r>
    <phoneticPr fontId="16" type="noConversion"/>
  </si>
  <si>
    <r>
      <rPr>
        <b/>
        <sz val="10"/>
        <rFont val="宋体"/>
        <family val="3"/>
        <charset val="134"/>
      </rPr>
      <t>（</t>
    </r>
    <r>
      <rPr>
        <b/>
        <sz val="10"/>
        <rFont val="Arial"/>
        <family val="2"/>
      </rPr>
      <t>7</t>
    </r>
    <r>
      <rPr>
        <b/>
        <sz val="10"/>
        <rFont val="宋体"/>
        <family val="3"/>
        <charset val="134"/>
      </rPr>
      <t>）</t>
    </r>
    <phoneticPr fontId="18" type="noConversion"/>
  </si>
  <si>
    <r>
      <rPr>
        <b/>
        <sz val="10"/>
        <rFont val="宋体"/>
        <family val="3"/>
        <charset val="134"/>
      </rPr>
      <t>销售税费</t>
    </r>
  </si>
  <si>
    <r>
      <rPr>
        <b/>
        <sz val="10"/>
        <rFont val="宋体"/>
        <family val="3"/>
        <charset val="134"/>
      </rPr>
      <t>以房地产价值</t>
    </r>
    <r>
      <rPr>
        <b/>
        <sz val="10"/>
        <rFont val="Arial"/>
        <family val="2"/>
      </rPr>
      <t>/(1+5%)</t>
    </r>
    <r>
      <rPr>
        <b/>
        <sz val="10"/>
        <rFont val="宋体"/>
        <family val="3"/>
        <charset val="134"/>
      </rPr>
      <t>为基数</t>
    </r>
    <phoneticPr fontId="16" type="noConversion"/>
  </si>
  <si>
    <r>
      <rPr>
        <b/>
        <sz val="10"/>
        <rFont val="宋体"/>
        <family val="3"/>
        <charset val="134"/>
      </rPr>
      <t>土地价值</t>
    </r>
    <r>
      <rPr>
        <b/>
        <sz val="10"/>
        <rFont val="Arial"/>
        <family val="2"/>
      </rPr>
      <t>(V</t>
    </r>
    <r>
      <rPr>
        <b/>
        <vertAlign val="subscript"/>
        <sz val="10"/>
        <rFont val="宋体"/>
        <family val="3"/>
        <charset val="134"/>
      </rPr>
      <t>土</t>
    </r>
    <r>
      <rPr>
        <b/>
        <sz val="10"/>
        <rFont val="Arial"/>
        <family val="2"/>
      </rPr>
      <t>)</t>
    </r>
    <phoneticPr fontId="16" type="noConversion"/>
  </si>
  <si>
    <r>
      <rPr>
        <b/>
        <sz val="10"/>
        <rFont val="宋体"/>
        <family val="3"/>
        <charset val="134"/>
      </rPr>
      <t>前述</t>
    </r>
    <r>
      <rPr>
        <b/>
        <sz val="10"/>
        <rFont val="Arial"/>
        <family val="2"/>
      </rPr>
      <t>7</t>
    </r>
    <r>
      <rPr>
        <b/>
        <sz val="10"/>
        <rFont val="宋体"/>
        <family val="3"/>
        <charset val="134"/>
      </rPr>
      <t>项相加</t>
    </r>
    <phoneticPr fontId="16" type="noConversion"/>
  </si>
  <si>
    <r>
      <t>2.</t>
    </r>
    <r>
      <rPr>
        <b/>
        <sz val="12"/>
        <rFont val="宋体"/>
        <family val="3"/>
        <charset val="134"/>
      </rPr>
      <t>建筑物</t>
    </r>
    <r>
      <rPr>
        <b/>
        <sz val="12"/>
        <rFont val="Arial"/>
        <family val="2"/>
      </rPr>
      <t>/</t>
    </r>
    <r>
      <rPr>
        <b/>
        <sz val="12"/>
        <rFont val="宋体"/>
        <family val="3"/>
        <charset val="134"/>
      </rPr>
      <t>在建工程价值</t>
    </r>
    <phoneticPr fontId="16" type="noConversion"/>
  </si>
  <si>
    <r>
      <rPr>
        <b/>
        <sz val="10"/>
        <rFont val="宋体"/>
        <family val="3"/>
        <charset val="134"/>
      </rPr>
      <t>建筑物建造</t>
    </r>
    <r>
      <rPr>
        <b/>
        <sz val="10"/>
        <rFont val="Arial"/>
        <family val="2"/>
      </rPr>
      <t>/</t>
    </r>
    <r>
      <rPr>
        <b/>
        <sz val="10"/>
        <rFont val="宋体"/>
        <family val="3"/>
        <charset val="134"/>
      </rPr>
      <t>已建成本</t>
    </r>
    <phoneticPr fontId="16" type="noConversion"/>
  </si>
  <si>
    <r>
      <rPr>
        <sz val="10"/>
        <rFont val="宋体"/>
        <family val="3"/>
        <charset val="134"/>
      </rPr>
      <t>建安费用</t>
    </r>
  </si>
  <si>
    <r>
      <rPr>
        <sz val="10"/>
        <rFont val="宋体"/>
        <family val="3"/>
        <charset val="134"/>
      </rPr>
      <t>现房</t>
    </r>
    <r>
      <rPr>
        <sz val="10"/>
        <rFont val="Arial"/>
        <family val="2"/>
      </rPr>
      <t>100%</t>
    </r>
    <r>
      <rPr>
        <sz val="10"/>
        <rFont val="宋体"/>
        <family val="3"/>
        <charset val="134"/>
      </rPr>
      <t>；在建为综合进度</t>
    </r>
    <phoneticPr fontId="16" type="noConversion"/>
  </si>
  <si>
    <r>
      <rPr>
        <sz val="10"/>
        <rFont val="宋体"/>
        <family val="3"/>
        <charset val="134"/>
      </rPr>
      <t>勘察设计和前期工程费</t>
    </r>
  </si>
  <si>
    <r>
      <rPr>
        <sz val="10"/>
        <rFont val="宋体"/>
        <family val="3"/>
        <charset val="134"/>
      </rPr>
      <t>以建安费用为基数计取</t>
    </r>
    <phoneticPr fontId="16" type="noConversion"/>
  </si>
  <si>
    <r>
      <rPr>
        <sz val="10"/>
        <rFont val="宋体"/>
        <family val="3"/>
        <charset val="134"/>
      </rPr>
      <t>公共配套设施费用</t>
    </r>
  </si>
  <si>
    <r>
      <rPr>
        <sz val="10"/>
        <rFont val="宋体"/>
        <family val="3"/>
        <charset val="134"/>
      </rPr>
      <t>以住宅用房建安费用为基数计取或直接等于公共配套建安费</t>
    </r>
  </si>
  <si>
    <r>
      <rPr>
        <sz val="10"/>
        <rFont val="宋体"/>
        <family val="3"/>
        <charset val="134"/>
      </rPr>
      <t>红线内市政费用</t>
    </r>
    <phoneticPr fontId="16" type="noConversion"/>
  </si>
  <si>
    <r>
      <rPr>
        <sz val="10"/>
        <rFont val="宋体"/>
        <family val="3"/>
        <charset val="134"/>
      </rPr>
      <t>按工程进度计取或按实际情况计取</t>
    </r>
    <phoneticPr fontId="16" type="noConversion"/>
  </si>
  <si>
    <r>
      <rPr>
        <sz val="10"/>
        <rFont val="宋体"/>
        <family val="3"/>
        <charset val="134"/>
      </rPr>
      <t>相关税费</t>
    </r>
  </si>
  <si>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</si>
  <si>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</si>
  <si>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t>
    </r>
    <r>
      <rPr>
        <b/>
        <sz val="10"/>
        <rFont val="Arial"/>
        <family val="2"/>
      </rPr>
      <t>1</t>
    </r>
    <r>
      <rPr>
        <b/>
        <sz val="10"/>
        <rFont val="宋体"/>
        <family val="3"/>
        <charset val="134"/>
      </rPr>
      <t>）为基数</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</si>
  <si>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</si>
  <si>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</si>
  <si>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建</t>
    </r>
    <phoneticPr fontId="16" type="noConversion"/>
  </si>
  <si>
    <r>
      <rPr>
        <b/>
        <sz val="10"/>
        <rFont val="宋体"/>
        <family val="3"/>
        <charset val="134"/>
      </rPr>
      <t>以</t>
    </r>
    <r>
      <rPr>
        <b/>
        <sz val="10"/>
        <rFont val="Arial"/>
        <family val="2"/>
      </rPr>
      <t>V</t>
    </r>
    <r>
      <rPr>
        <b/>
        <sz val="10"/>
        <rFont val="宋体"/>
        <family val="3"/>
        <charset val="134"/>
      </rPr>
      <t>建为基数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</si>
  <si>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</si>
  <si>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</si>
  <si>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</si>
  <si>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已建工期均匀投入</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</si>
  <si>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</si>
  <si>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</si>
  <si>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</si>
  <si>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t>
    </r>
    <r>
      <rPr>
        <b/>
        <sz val="10"/>
        <rFont val="Arial"/>
        <family val="2"/>
      </rPr>
      <t>1</t>
    </r>
    <r>
      <rPr>
        <b/>
        <sz val="10"/>
        <rFont val="宋体"/>
        <family val="3"/>
        <charset val="134"/>
      </rPr>
      <t>）</t>
    </r>
    <r>
      <rPr>
        <b/>
        <sz val="10"/>
        <rFont val="Arial"/>
        <family val="2"/>
      </rPr>
      <t>-</t>
    </r>
    <r>
      <rPr>
        <b/>
        <sz val="10"/>
        <rFont val="宋体"/>
        <family val="3"/>
        <charset val="134"/>
      </rPr>
      <t>（</t>
    </r>
    <r>
      <rPr>
        <b/>
        <sz val="10"/>
        <rFont val="Arial"/>
        <family val="2"/>
      </rPr>
      <t>3</t>
    </r>
    <r>
      <rPr>
        <b/>
        <sz val="10"/>
        <rFont val="宋体"/>
        <family val="3"/>
        <charset val="134"/>
      </rPr>
      <t>）项乘利润率</t>
    </r>
    <phoneticPr fontId="16" type="noConversion"/>
  </si>
  <si>
    <r>
      <rPr>
        <sz val="10"/>
        <rFont val="宋体"/>
        <family val="3"/>
        <charset val="134"/>
      </rPr>
      <t>（</t>
    </r>
    <r>
      <rPr>
        <sz val="10"/>
        <rFont val="Arial"/>
        <family val="2"/>
      </rPr>
      <t>1</t>
    </r>
    <r>
      <rPr>
        <sz val="10"/>
        <rFont val="宋体"/>
        <family val="3"/>
        <charset val="134"/>
      </rPr>
      <t>）、（</t>
    </r>
    <r>
      <rPr>
        <sz val="10"/>
        <rFont val="Arial"/>
        <family val="2"/>
      </rPr>
      <t>2</t>
    </r>
    <r>
      <rPr>
        <sz val="10"/>
        <rFont val="宋体"/>
        <family val="3"/>
        <charset val="134"/>
      </rPr>
      <t>）项产生的利润</t>
    </r>
    <phoneticPr fontId="16" type="noConversion"/>
  </si>
  <si>
    <r>
      <rPr>
        <sz val="10"/>
        <rFont val="宋体"/>
        <family val="3"/>
        <charset val="134"/>
      </rPr>
      <t>（</t>
    </r>
    <r>
      <rPr>
        <sz val="10"/>
        <rFont val="Arial"/>
        <family val="2"/>
      </rPr>
      <t>3</t>
    </r>
    <r>
      <rPr>
        <sz val="10"/>
        <rFont val="宋体"/>
        <family val="3"/>
        <charset val="134"/>
      </rPr>
      <t>）项产生的利润</t>
    </r>
    <phoneticPr fontId="16" type="noConversion"/>
  </si>
  <si>
    <r>
      <rPr>
        <b/>
        <sz val="10"/>
        <rFont val="宋体"/>
        <family val="3"/>
        <charset val="134"/>
      </rPr>
      <t>销售税费</t>
    </r>
    <phoneticPr fontId="16" type="noConversion"/>
  </si>
  <si>
    <r>
      <rPr>
        <b/>
        <sz val="10"/>
        <rFont val="宋体"/>
        <family val="3"/>
        <charset val="134"/>
      </rPr>
      <t>以成本价值</t>
    </r>
    <r>
      <rPr>
        <b/>
        <sz val="10"/>
        <rFont val="Arial"/>
        <family val="2"/>
      </rPr>
      <t>/(1+5%)</t>
    </r>
    <r>
      <rPr>
        <b/>
        <sz val="10"/>
        <rFont val="宋体"/>
        <family val="3"/>
        <charset val="134"/>
      </rPr>
      <t>为基数</t>
    </r>
    <phoneticPr fontId="16" type="noConversion"/>
  </si>
  <si>
    <r>
      <rPr>
        <b/>
        <sz val="10"/>
        <rFont val="宋体"/>
        <family val="3"/>
        <charset val="134"/>
      </rPr>
      <t>建筑物</t>
    </r>
    <r>
      <rPr>
        <b/>
        <sz val="10"/>
        <rFont val="Arial"/>
        <family val="2"/>
      </rPr>
      <t>/</t>
    </r>
    <r>
      <rPr>
        <b/>
        <sz val="10"/>
        <rFont val="宋体"/>
        <family val="3"/>
        <charset val="134"/>
      </rPr>
      <t>在建工程重置价值（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</si>
  <si>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前述</t>
    </r>
    <r>
      <rPr>
        <b/>
        <sz val="10"/>
        <rFont val="Arial"/>
        <family val="2"/>
      </rPr>
      <t>6</t>
    </r>
    <r>
      <rPr>
        <b/>
        <sz val="10"/>
        <rFont val="宋体"/>
        <family val="3"/>
        <charset val="134"/>
      </rPr>
      <t>项相加</t>
    </r>
    <phoneticPr fontId="16" type="noConversion"/>
  </si>
  <si>
    <r>
      <rPr>
        <b/>
        <sz val="10"/>
        <rFont val="宋体"/>
        <family val="3"/>
        <charset val="134"/>
      </rPr>
      <t>（</t>
    </r>
    <r>
      <rPr>
        <b/>
        <sz val="10"/>
        <rFont val="Arial"/>
        <family val="2"/>
      </rPr>
      <t>8</t>
    </r>
    <r>
      <rPr>
        <b/>
        <sz val="10"/>
        <rFont val="宋体"/>
        <family val="3"/>
        <charset val="134"/>
      </rPr>
      <t>）</t>
    </r>
    <phoneticPr fontId="18" type="noConversion"/>
  </si>
  <si>
    <r>
      <rPr>
        <b/>
        <sz val="10"/>
        <rFont val="宋体"/>
        <family val="3"/>
        <charset val="134"/>
      </rPr>
      <t>成新率</t>
    </r>
    <phoneticPr fontId="16" type="noConversion"/>
  </si>
  <si>
    <r>
      <rPr>
        <b/>
        <sz val="10"/>
        <rFont val="宋体"/>
        <family val="3"/>
        <charset val="134"/>
      </rPr>
      <t>现房为成新率，在建依实际情况（停工）记取</t>
    </r>
    <phoneticPr fontId="18" type="noConversion"/>
  </si>
  <si>
    <r>
      <rPr>
        <b/>
        <sz val="10"/>
        <rFont val="宋体"/>
        <family val="3"/>
        <charset val="134"/>
      </rPr>
      <t>（</t>
    </r>
    <r>
      <rPr>
        <b/>
        <sz val="10"/>
        <rFont val="Arial"/>
        <family val="2"/>
      </rPr>
      <t>9</t>
    </r>
    <r>
      <rPr>
        <b/>
        <sz val="10"/>
        <rFont val="宋体"/>
        <family val="3"/>
        <charset val="134"/>
      </rPr>
      <t>）</t>
    </r>
    <phoneticPr fontId="18" type="noConversion"/>
  </si>
  <si>
    <r>
      <rPr>
        <b/>
        <sz val="10"/>
        <rFont val="宋体"/>
        <family val="3"/>
        <charset val="134"/>
      </rPr>
      <t>建筑物</t>
    </r>
    <r>
      <rPr>
        <b/>
        <sz val="10"/>
        <rFont val="Arial"/>
        <family val="2"/>
      </rPr>
      <t>/</t>
    </r>
    <r>
      <rPr>
        <b/>
        <sz val="10"/>
        <rFont val="宋体"/>
        <family val="3"/>
        <charset val="134"/>
      </rPr>
      <t>在建工程价值（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</si>
  <si>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0"/>
        <rFont val="宋体"/>
        <family val="3"/>
        <charset val="134"/>
      </rPr>
      <t>重置价值</t>
    </r>
    <r>
      <rPr>
        <b/>
        <sz val="10"/>
        <rFont val="Arial"/>
        <family val="2"/>
      </rPr>
      <t>×</t>
    </r>
    <r>
      <rPr>
        <b/>
        <sz val="10"/>
        <rFont val="宋体"/>
        <family val="3"/>
        <charset val="134"/>
      </rPr>
      <t>成新率</t>
    </r>
    <phoneticPr fontId="16" type="noConversion"/>
  </si>
  <si>
    <r>
      <t>3.</t>
    </r>
    <r>
      <rPr>
        <b/>
        <sz val="12"/>
        <rFont val="宋体"/>
        <family val="3"/>
        <charset val="134"/>
      </rPr>
      <t>成本价值</t>
    </r>
    <phoneticPr fontId="16" type="noConversion"/>
  </si>
  <si>
    <r>
      <rPr>
        <b/>
        <sz val="10"/>
        <color indexed="10"/>
        <rFont val="宋体"/>
        <family val="3"/>
        <charset val="134"/>
      </rPr>
      <t>成本比率</t>
    </r>
    <phoneticPr fontId="3" type="noConversion"/>
  </si>
  <si>
    <r>
      <rPr>
        <b/>
        <sz val="12"/>
        <color rgb="FFFF0000"/>
        <rFont val="宋体"/>
        <family val="3"/>
        <charset val="134"/>
      </rPr>
      <t>仅限现房使用</t>
    </r>
    <phoneticPr fontId="133" type="noConversion"/>
  </si>
  <si>
    <r>
      <rPr>
        <sz val="10"/>
        <rFont val="宋体"/>
        <family val="3"/>
        <charset val="134"/>
      </rPr>
      <t>相关税费</t>
    </r>
    <phoneticPr fontId="16" type="noConversion"/>
  </si>
  <si>
    <r>
      <rPr>
        <sz val="10"/>
        <rFont val="宋体"/>
        <family val="3"/>
        <charset val="134"/>
      </rPr>
      <t>征地补偿安置费及其相关税费</t>
    </r>
    <phoneticPr fontId="16" type="noConversion"/>
  </si>
  <si>
    <r>
      <rPr>
        <sz val="10"/>
        <rFont val="宋体"/>
        <family val="3"/>
        <charset val="134"/>
      </rPr>
      <t>以建筑面积为计算基数，按各区发文标准</t>
    </r>
    <phoneticPr fontId="16" type="noConversion"/>
  </si>
  <si>
    <r>
      <rPr>
        <sz val="10"/>
        <rFont val="宋体"/>
        <family val="3"/>
        <charset val="134"/>
      </rPr>
      <t>出让金</t>
    </r>
    <phoneticPr fontId="16" type="noConversion"/>
  </si>
  <si>
    <r>
      <rPr>
        <sz val="10"/>
        <rFont val="宋体"/>
        <family val="3"/>
        <charset val="134"/>
      </rPr>
      <t>采用比较法求取</t>
    </r>
    <phoneticPr fontId="16" type="noConversion"/>
  </si>
  <si>
    <r>
      <rPr>
        <sz val="10"/>
        <rFont val="宋体"/>
        <family val="3"/>
        <charset val="134"/>
      </rPr>
      <t>开发补偿费用</t>
    </r>
    <phoneticPr fontId="16" type="noConversion"/>
  </si>
  <si>
    <r>
      <rPr>
        <sz val="10"/>
        <rFont val="宋体"/>
        <family val="3"/>
        <charset val="134"/>
      </rPr>
      <t>契税及印花税</t>
    </r>
    <phoneticPr fontId="16" type="noConversion"/>
  </si>
  <si>
    <r>
      <rPr>
        <sz val="10"/>
        <rFont val="宋体"/>
        <family val="3"/>
        <charset val="134"/>
      </rPr>
      <t>以上述三项为基数计算</t>
    </r>
    <phoneticPr fontId="16" type="noConversion"/>
  </si>
  <si>
    <r>
      <rPr>
        <b/>
        <sz val="10"/>
        <rFont val="宋体"/>
        <family val="3"/>
        <charset val="134"/>
      </rPr>
      <t>（</t>
    </r>
    <r>
      <rPr>
        <b/>
        <sz val="10"/>
        <rFont val="Arial"/>
        <family val="2"/>
      </rPr>
      <t>2</t>
    </r>
    <r>
      <rPr>
        <b/>
        <sz val="10"/>
        <rFont val="宋体"/>
        <family val="3"/>
        <charset val="134"/>
      </rPr>
      <t>）</t>
    </r>
    <phoneticPr fontId="18" type="noConversion"/>
  </si>
  <si>
    <r>
      <rPr>
        <b/>
        <sz val="10"/>
        <rFont val="宋体"/>
        <family val="3"/>
        <charset val="134"/>
      </rPr>
      <t>土地开发费用</t>
    </r>
    <r>
      <rPr>
        <b/>
        <sz val="10"/>
        <rFont val="Arial"/>
        <family val="2"/>
      </rPr>
      <t>-</t>
    </r>
    <r>
      <rPr>
        <b/>
        <sz val="10"/>
        <rFont val="宋体"/>
        <family val="3"/>
        <charset val="134"/>
      </rPr>
      <t>红线外（现状）</t>
    </r>
    <phoneticPr fontId="16" type="noConversion"/>
  </si>
  <si>
    <r>
      <rPr>
        <b/>
        <sz val="10"/>
        <rFont val="宋体"/>
        <family val="3"/>
        <charset val="134"/>
      </rPr>
      <t>（</t>
    </r>
    <r>
      <rPr>
        <b/>
        <sz val="10"/>
        <rFont val="Arial"/>
        <family val="2"/>
      </rPr>
      <t>3</t>
    </r>
    <r>
      <rPr>
        <b/>
        <sz val="10"/>
        <rFont val="宋体"/>
        <family val="3"/>
        <charset val="134"/>
      </rPr>
      <t>）</t>
    </r>
    <phoneticPr fontId="18" type="noConversion"/>
  </si>
  <si>
    <r>
      <rPr>
        <b/>
        <sz val="10"/>
        <rFont val="宋体"/>
        <family val="3"/>
        <charset val="134"/>
      </rPr>
      <t>管理费用</t>
    </r>
    <phoneticPr fontId="16" type="noConversion"/>
  </si>
  <si>
    <r>
      <rPr>
        <b/>
        <sz val="10"/>
        <rFont val="宋体"/>
        <family val="3"/>
        <charset val="134"/>
      </rPr>
      <t>以前述</t>
    </r>
    <r>
      <rPr>
        <b/>
        <sz val="10"/>
        <rFont val="Arial"/>
        <family val="2"/>
      </rPr>
      <t>2</t>
    </r>
    <r>
      <rPr>
        <b/>
        <sz val="10"/>
        <rFont val="宋体"/>
        <family val="3"/>
        <charset val="134"/>
      </rPr>
      <t>项为基数</t>
    </r>
    <phoneticPr fontId="16" type="noConversion"/>
  </si>
  <si>
    <r>
      <rPr>
        <b/>
        <sz val="10"/>
        <rFont val="宋体"/>
        <family val="3"/>
        <charset val="134"/>
      </rPr>
      <t>（</t>
    </r>
    <r>
      <rPr>
        <b/>
        <sz val="10"/>
        <rFont val="Arial"/>
        <family val="2"/>
      </rPr>
      <t>4</t>
    </r>
    <r>
      <rPr>
        <b/>
        <sz val="10"/>
        <rFont val="宋体"/>
        <family val="3"/>
        <charset val="134"/>
      </rPr>
      <t>）</t>
    </r>
    <phoneticPr fontId="18" type="noConversion"/>
  </si>
  <si>
    <r>
      <rPr>
        <b/>
        <sz val="10"/>
        <rFont val="宋体"/>
        <family val="3"/>
        <charset val="134"/>
      </rPr>
      <t>销售费用</t>
    </r>
    <phoneticPr fontId="16" type="noConversion"/>
  </si>
  <si>
    <r>
      <t>V</t>
    </r>
    <r>
      <rPr>
        <b/>
        <vertAlign val="subscript"/>
        <sz val="10"/>
        <rFont val="宋体"/>
        <family val="3"/>
        <charset val="134"/>
      </rPr>
      <t>土</t>
    </r>
    <phoneticPr fontId="16" type="noConversion"/>
  </si>
  <si>
    <r>
      <rPr>
        <b/>
        <sz val="10"/>
        <rFont val="宋体"/>
        <family val="3"/>
        <charset val="134"/>
      </rPr>
      <t>以土地价值为基数</t>
    </r>
    <phoneticPr fontId="16" type="noConversion"/>
  </si>
  <si>
    <r>
      <rPr>
        <b/>
        <sz val="10"/>
        <rFont val="宋体"/>
        <family val="3"/>
        <charset val="134"/>
      </rPr>
      <t>（</t>
    </r>
    <r>
      <rPr>
        <b/>
        <sz val="10"/>
        <rFont val="Arial"/>
        <family val="2"/>
      </rPr>
      <t>5</t>
    </r>
    <r>
      <rPr>
        <b/>
        <sz val="10"/>
        <rFont val="宋体"/>
        <family val="3"/>
        <charset val="134"/>
      </rPr>
      <t>）</t>
    </r>
    <phoneticPr fontId="18" type="noConversion"/>
  </si>
  <si>
    <r>
      <rPr>
        <b/>
        <sz val="10"/>
        <rFont val="宋体"/>
        <family val="3"/>
        <charset val="134"/>
      </rPr>
      <t>贷款利息</t>
    </r>
    <phoneticPr fontId="16" type="noConversion"/>
  </si>
  <si>
    <r>
      <rPr>
        <sz val="10"/>
        <rFont val="宋体"/>
        <family val="3"/>
        <charset val="134"/>
      </rPr>
      <t>（</t>
    </r>
    <r>
      <rPr>
        <sz val="10"/>
        <rFont val="Arial"/>
        <family val="2"/>
      </rPr>
      <t>1</t>
    </r>
    <r>
      <rPr>
        <sz val="10"/>
        <rFont val="宋体"/>
        <family val="3"/>
        <charset val="134"/>
      </rPr>
      <t>）项产生的利息</t>
    </r>
    <phoneticPr fontId="16" type="noConversion"/>
  </si>
  <si>
    <r>
      <rPr>
        <sz val="10"/>
        <rFont val="宋体"/>
        <family val="3"/>
        <charset val="134"/>
      </rPr>
      <t>计项目已运行全期</t>
    </r>
    <phoneticPr fontId="16" type="noConversion"/>
  </si>
  <si>
    <r>
      <rPr>
        <sz val="10"/>
        <rFont val="宋体"/>
        <family val="3"/>
        <charset val="134"/>
      </rPr>
      <t>（</t>
    </r>
    <r>
      <rPr>
        <sz val="10"/>
        <rFont val="Arial"/>
        <family val="2"/>
      </rPr>
      <t>2</t>
    </r>
    <r>
      <rPr>
        <sz val="10"/>
        <rFont val="宋体"/>
        <family val="3"/>
        <charset val="134"/>
      </rPr>
      <t>）项产生的利息</t>
    </r>
    <phoneticPr fontId="16" type="noConversion"/>
  </si>
  <si>
    <r>
      <rPr>
        <sz val="10"/>
        <rFont val="宋体"/>
        <family val="3"/>
        <charset val="134"/>
      </rPr>
      <t>土地开发期均匀投入、已建工期计全期</t>
    </r>
    <phoneticPr fontId="16" type="noConversion"/>
  </si>
  <si>
    <r>
      <rPr>
        <sz val="10"/>
        <rFont val="宋体"/>
        <family val="3"/>
        <charset val="134"/>
      </rPr>
      <t>（</t>
    </r>
    <r>
      <rPr>
        <sz val="10"/>
        <rFont val="Arial"/>
        <family val="2"/>
      </rPr>
      <t>3</t>
    </r>
    <r>
      <rPr>
        <sz val="10"/>
        <rFont val="宋体"/>
        <family val="3"/>
        <charset val="134"/>
      </rPr>
      <t>）项产生的利息</t>
    </r>
    <phoneticPr fontId="16" type="noConversion"/>
  </si>
  <si>
    <r>
      <rPr>
        <sz val="10"/>
        <rFont val="宋体"/>
        <family val="3"/>
        <charset val="134"/>
      </rPr>
      <t>管理费用及销售费用于项目已运行期内均匀投入</t>
    </r>
    <phoneticPr fontId="16" type="noConversion"/>
  </si>
  <si>
    <r>
      <t>2.</t>
    </r>
    <r>
      <rPr>
        <b/>
        <sz val="12"/>
        <rFont val="宋体"/>
        <family val="3"/>
        <charset val="134"/>
      </rPr>
      <t>建筑物价值</t>
    </r>
    <phoneticPr fontId="16" type="noConversion"/>
  </si>
  <si>
    <r>
      <rPr>
        <b/>
        <sz val="10"/>
        <rFont val="宋体"/>
        <family val="3"/>
        <charset val="134"/>
      </rPr>
      <t>建筑物建造成本</t>
    </r>
    <phoneticPr fontId="16" type="noConversion"/>
  </si>
  <si>
    <r>
      <rPr>
        <sz val="10"/>
        <rFont val="宋体"/>
        <family val="3"/>
        <charset val="134"/>
      </rPr>
      <t>建设期期均匀投入</t>
    </r>
    <phoneticPr fontId="16" type="noConversion"/>
  </si>
  <si>
    <r>
      <rPr>
        <b/>
        <sz val="10"/>
        <rFont val="宋体"/>
        <family val="3"/>
        <charset val="134"/>
      </rPr>
      <t>建筑物重置价值（</t>
    </r>
    <r>
      <rPr>
        <b/>
        <sz val="10"/>
        <rFont val="Arial"/>
        <family val="2"/>
      </rPr>
      <t>V</t>
    </r>
    <r>
      <rPr>
        <b/>
        <vertAlign val="subscript"/>
        <sz val="10"/>
        <rFont val="宋体"/>
        <family val="3"/>
        <charset val="134"/>
      </rPr>
      <t>建</t>
    </r>
    <r>
      <rPr>
        <b/>
        <vertAlign val="subscript"/>
        <sz val="10"/>
        <rFont val="Arial"/>
        <family val="2"/>
      </rPr>
      <t>1</t>
    </r>
    <r>
      <rPr>
        <b/>
        <sz val="10"/>
        <rFont val="宋体"/>
        <family val="3"/>
        <charset val="134"/>
      </rPr>
      <t>）</t>
    </r>
    <phoneticPr fontId="16" type="noConversion"/>
  </si>
  <si>
    <r>
      <rPr>
        <b/>
        <sz val="10"/>
        <rFont val="宋体"/>
        <family val="3"/>
        <charset val="134"/>
      </rPr>
      <t>建筑物价值（</t>
    </r>
    <r>
      <rPr>
        <b/>
        <sz val="10"/>
        <rFont val="Arial"/>
        <family val="2"/>
      </rPr>
      <t>V</t>
    </r>
    <r>
      <rPr>
        <b/>
        <vertAlign val="subscript"/>
        <sz val="10"/>
        <rFont val="宋体"/>
        <family val="3"/>
        <charset val="134"/>
      </rPr>
      <t>建</t>
    </r>
    <r>
      <rPr>
        <b/>
        <vertAlign val="subscript"/>
        <sz val="10"/>
        <rFont val="Arial"/>
        <family val="2"/>
      </rPr>
      <t>2</t>
    </r>
    <r>
      <rPr>
        <b/>
        <sz val="10"/>
        <rFont val="宋体"/>
        <family val="3"/>
        <charset val="134"/>
      </rPr>
      <t>）</t>
    </r>
    <phoneticPr fontId="16" type="noConversion"/>
  </si>
  <si>
    <r>
      <rPr>
        <b/>
        <sz val="16"/>
        <color indexed="10"/>
        <rFont val="宋体"/>
        <family val="3"/>
        <charset val="134"/>
      </rPr>
      <t>假设开发法</t>
    </r>
    <phoneticPr fontId="16" type="noConversion"/>
  </si>
  <si>
    <r>
      <rPr>
        <b/>
        <sz val="12"/>
        <color indexed="8"/>
        <rFont val="宋体"/>
        <family val="3"/>
        <charset val="134"/>
      </rPr>
      <t>万元</t>
    </r>
    <phoneticPr fontId="18" type="noConversion"/>
  </si>
  <si>
    <r>
      <rPr>
        <b/>
        <sz val="12"/>
        <color indexed="8"/>
        <rFont val="宋体"/>
        <family val="3"/>
        <charset val="134"/>
      </rPr>
      <t>元</t>
    </r>
    <r>
      <rPr>
        <b/>
        <sz val="12"/>
        <color indexed="8"/>
        <rFont val="Arial"/>
        <family val="2"/>
      </rPr>
      <t>/</t>
    </r>
    <r>
      <rPr>
        <b/>
        <sz val="12"/>
        <color indexed="8"/>
        <rFont val="宋体"/>
        <family val="3"/>
        <charset val="134"/>
      </rPr>
      <t>平方米</t>
    </r>
    <phoneticPr fontId="18" type="noConversion"/>
  </si>
  <si>
    <r>
      <t>1.</t>
    </r>
    <r>
      <rPr>
        <b/>
        <sz val="12"/>
        <color indexed="8"/>
        <rFont val="宋体"/>
        <family val="3"/>
        <charset val="134"/>
      </rPr>
      <t>开发完成后房地产价值</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</si>
  <si>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</si>
  <si>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</si>
  <si>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sz val="10"/>
        <color indexed="8"/>
        <rFont val="宋体"/>
        <family val="3"/>
        <charset val="134"/>
      </rPr>
      <t>楼面单价</t>
    </r>
    <phoneticPr fontId="16" type="noConversion"/>
  </si>
  <si>
    <r>
      <rPr>
        <sz val="10"/>
        <color indexed="8"/>
        <rFont val="宋体"/>
        <family val="3"/>
        <charset val="134"/>
      </rPr>
      <t>（</t>
    </r>
    <r>
      <rPr>
        <sz val="10"/>
        <color indexed="8"/>
        <rFont val="Arial"/>
        <family val="2"/>
      </rPr>
      <t>2</t>
    </r>
    <r>
      <rPr>
        <sz val="10"/>
        <color indexed="8"/>
        <rFont val="宋体"/>
        <family val="3"/>
        <charset val="134"/>
      </rPr>
      <t>）</t>
    </r>
    <phoneticPr fontId="18" type="noConversion"/>
  </si>
  <si>
    <r>
      <rPr>
        <sz val="10"/>
        <color indexed="8"/>
        <rFont val="宋体"/>
        <family val="3"/>
        <charset val="134"/>
      </rPr>
      <t>建筑面积</t>
    </r>
    <phoneticPr fontId="16" type="noConversion"/>
  </si>
  <si>
    <r>
      <rPr>
        <sz val="10"/>
        <color indexed="8"/>
        <rFont val="宋体"/>
        <family val="3"/>
        <charset val="134"/>
      </rPr>
      <t>（</t>
    </r>
    <r>
      <rPr>
        <sz val="10"/>
        <color indexed="8"/>
        <rFont val="Arial"/>
        <family val="2"/>
      </rPr>
      <t>3</t>
    </r>
    <r>
      <rPr>
        <sz val="10"/>
        <color indexed="8"/>
        <rFont val="宋体"/>
        <family val="3"/>
        <charset val="134"/>
      </rPr>
      <t>）</t>
    </r>
    <phoneticPr fontId="18" type="noConversion"/>
  </si>
  <si>
    <r>
      <rPr>
        <sz val="10"/>
        <color indexed="8"/>
        <rFont val="宋体"/>
        <family val="3"/>
        <charset val="134"/>
      </rPr>
      <t>总额</t>
    </r>
    <phoneticPr fontId="16" type="noConversion"/>
  </si>
  <si>
    <r>
      <t>2.</t>
    </r>
    <r>
      <rPr>
        <b/>
        <sz val="12"/>
        <color indexed="8"/>
        <rFont val="宋体"/>
        <family val="3"/>
        <charset val="134"/>
      </rPr>
      <t>扣减项</t>
    </r>
    <phoneticPr fontId="16" type="noConversion"/>
  </si>
  <si>
    <r>
      <rPr>
        <b/>
        <sz val="11"/>
        <color indexed="8"/>
        <rFont val="宋体"/>
        <family val="3"/>
        <charset val="134"/>
      </rPr>
      <t>序号</t>
    </r>
    <phoneticPr fontId="16" type="noConversion"/>
  </si>
  <si>
    <r>
      <rPr>
        <b/>
        <sz val="11"/>
        <color indexed="8"/>
        <rFont val="宋体"/>
        <family val="3"/>
        <charset val="134"/>
      </rPr>
      <t>项目名称</t>
    </r>
    <phoneticPr fontId="16" type="noConversion"/>
  </si>
  <si>
    <r>
      <rPr>
        <b/>
        <sz val="11"/>
        <color indexed="8"/>
        <rFont val="宋体"/>
        <family val="3"/>
        <charset val="134"/>
      </rPr>
      <t>总额</t>
    </r>
    <phoneticPr fontId="16" type="noConversion"/>
  </si>
  <si>
    <r>
      <rPr>
        <b/>
        <sz val="11"/>
        <color indexed="8"/>
        <rFont val="宋体"/>
        <family val="3"/>
        <charset val="134"/>
      </rPr>
      <t>面积</t>
    </r>
    <phoneticPr fontId="16" type="noConversion"/>
  </si>
  <si>
    <r>
      <rPr>
        <b/>
        <sz val="11"/>
        <color indexed="8"/>
        <rFont val="宋体"/>
        <family val="3"/>
        <charset val="134"/>
      </rPr>
      <t>单价</t>
    </r>
    <phoneticPr fontId="16" type="noConversion"/>
  </si>
  <si>
    <r>
      <rPr>
        <b/>
        <sz val="11"/>
        <color indexed="8"/>
        <rFont val="宋体"/>
        <family val="3"/>
        <charset val="134"/>
      </rPr>
      <t>相关系数</t>
    </r>
    <phoneticPr fontId="16" type="noConversion"/>
  </si>
  <si>
    <r>
      <rPr>
        <sz val="10"/>
        <color indexed="8"/>
        <rFont val="宋体"/>
        <family val="3"/>
        <charset val="134"/>
      </rPr>
      <t>续建建安</t>
    </r>
    <phoneticPr fontId="16" type="noConversion"/>
  </si>
  <si>
    <r>
      <rPr>
        <sz val="10"/>
        <color indexed="8"/>
        <rFont val="宋体"/>
        <family val="3"/>
        <charset val="134"/>
      </rPr>
      <t>勘察设计和前期工程费</t>
    </r>
    <phoneticPr fontId="16" type="noConversion"/>
  </si>
  <si>
    <r>
      <rPr>
        <b/>
        <sz val="11"/>
        <color indexed="8"/>
        <rFont val="宋体"/>
        <family val="3"/>
        <charset val="134"/>
      </rPr>
      <t>以建安费用为基数计取</t>
    </r>
    <phoneticPr fontId="16" type="noConversion"/>
  </si>
  <si>
    <r>
      <rPr>
        <sz val="10"/>
        <color indexed="8"/>
        <rFont val="宋体"/>
        <family val="3"/>
        <charset val="134"/>
      </rPr>
      <t>公共配套设施费用</t>
    </r>
    <phoneticPr fontId="16" type="noConversion"/>
  </si>
  <si>
    <r>
      <rPr>
        <b/>
        <sz val="11"/>
        <color indexed="8"/>
        <rFont val="宋体"/>
        <family val="3"/>
        <charset val="134"/>
      </rPr>
      <t>以住宅用房建安费用为基数计取</t>
    </r>
    <phoneticPr fontId="16" type="noConversion"/>
  </si>
  <si>
    <r>
      <rPr>
        <sz val="10"/>
        <color indexed="8"/>
        <rFont val="宋体"/>
        <family val="3"/>
        <charset val="134"/>
      </rPr>
      <t>红线内市政费用</t>
    </r>
    <phoneticPr fontId="16" type="noConversion"/>
  </si>
  <si>
    <r>
      <rPr>
        <b/>
        <sz val="11"/>
        <color indexed="8"/>
        <rFont val="宋体"/>
        <family val="3"/>
        <charset val="134"/>
      </rPr>
      <t>按工程进度计取或按实际情况计取</t>
    </r>
    <phoneticPr fontId="16" type="noConversion"/>
  </si>
  <si>
    <r>
      <rPr>
        <sz val="10"/>
        <color indexed="8"/>
        <rFont val="宋体"/>
        <family val="3"/>
        <charset val="134"/>
      </rPr>
      <t>相关税费</t>
    </r>
    <phoneticPr fontId="16" type="noConversion"/>
  </si>
  <si>
    <r>
      <rPr>
        <sz val="10"/>
        <color indexed="8"/>
        <rFont val="宋体"/>
        <family val="3"/>
        <charset val="134"/>
      </rPr>
      <t>以建安费用为基数计取</t>
    </r>
    <phoneticPr fontId="16" type="noConversion"/>
  </si>
  <si>
    <r>
      <rPr>
        <sz val="10"/>
        <color indexed="8"/>
        <rFont val="宋体"/>
        <family val="3"/>
        <charset val="134"/>
      </rPr>
      <t>续建成本</t>
    </r>
    <phoneticPr fontId="18" type="noConversion"/>
  </si>
  <si>
    <r>
      <rPr>
        <sz val="10"/>
        <color indexed="8"/>
        <rFont val="宋体"/>
        <family val="3"/>
        <charset val="134"/>
      </rPr>
      <t>红线外市政费用（待完成）</t>
    </r>
    <phoneticPr fontId="16" type="noConversion"/>
  </si>
  <si>
    <r>
      <rPr>
        <sz val="10"/>
        <color indexed="8"/>
        <rFont val="宋体"/>
        <family val="3"/>
        <charset val="134"/>
      </rPr>
      <t>按实际情况计取</t>
    </r>
    <phoneticPr fontId="16" type="noConversion"/>
  </si>
  <si>
    <r>
      <rPr>
        <sz val="10"/>
        <color indexed="8"/>
        <rFont val="宋体"/>
        <family val="3"/>
        <charset val="134"/>
      </rPr>
      <t>城市基础设施建设费（行政收费）</t>
    </r>
    <phoneticPr fontId="16" type="noConversion"/>
  </si>
  <si>
    <r>
      <rPr>
        <b/>
        <sz val="10"/>
        <color indexed="8"/>
        <rFont val="宋体"/>
        <family val="3"/>
        <charset val="134"/>
      </rPr>
      <t>万元</t>
    </r>
    <phoneticPr fontId="18" type="noConversion"/>
  </si>
  <si>
    <r>
      <rPr>
        <sz val="10"/>
        <color indexed="8"/>
        <rFont val="宋体"/>
        <family val="3"/>
        <charset val="134"/>
      </rPr>
      <t>住宅</t>
    </r>
    <phoneticPr fontId="16" type="noConversion"/>
  </si>
  <si>
    <r>
      <rPr>
        <sz val="10"/>
        <color indexed="8"/>
        <rFont val="宋体"/>
        <family val="3"/>
        <charset val="134"/>
      </rPr>
      <t>非住宅</t>
    </r>
    <phoneticPr fontId="16" type="noConversion"/>
  </si>
  <si>
    <r>
      <rPr>
        <b/>
        <sz val="11"/>
        <color indexed="8"/>
        <rFont val="宋体"/>
        <family val="3"/>
        <charset val="134"/>
      </rPr>
      <t>后续开发成本</t>
    </r>
    <phoneticPr fontId="16" type="noConversion"/>
  </si>
  <si>
    <r>
      <rPr>
        <sz val="10"/>
        <color indexed="8"/>
        <rFont val="宋体"/>
        <family val="3"/>
        <charset val="134"/>
      </rPr>
      <t>前述</t>
    </r>
    <r>
      <rPr>
        <sz val="10"/>
        <color indexed="8"/>
        <rFont val="Arial"/>
        <family val="2"/>
      </rPr>
      <t>7</t>
    </r>
    <r>
      <rPr>
        <sz val="10"/>
        <color indexed="8"/>
        <rFont val="宋体"/>
        <family val="3"/>
        <charset val="134"/>
      </rPr>
      <t>项之和</t>
    </r>
    <phoneticPr fontId="18" type="noConversion"/>
  </si>
  <si>
    <r>
      <rPr>
        <b/>
        <sz val="11"/>
        <color indexed="8"/>
        <rFont val="宋体"/>
        <family val="3"/>
        <charset val="134"/>
      </rPr>
      <t>管理费用</t>
    </r>
    <phoneticPr fontId="16" type="noConversion"/>
  </si>
  <si>
    <r>
      <rPr>
        <b/>
        <sz val="11"/>
        <color indexed="8"/>
        <rFont val="宋体"/>
        <family val="3"/>
        <charset val="134"/>
      </rPr>
      <t>以续建成本为基数计算</t>
    </r>
    <phoneticPr fontId="16" type="noConversion"/>
  </si>
  <si>
    <r>
      <rPr>
        <b/>
        <sz val="11"/>
        <color indexed="8"/>
        <rFont val="宋体"/>
        <family val="3"/>
        <charset val="134"/>
      </rPr>
      <t>销售费用</t>
    </r>
    <phoneticPr fontId="16" type="noConversion"/>
  </si>
  <si>
    <r>
      <rPr>
        <b/>
        <sz val="11"/>
        <color indexed="8"/>
        <rFont val="宋体"/>
        <family val="3"/>
        <charset val="134"/>
      </rPr>
      <t>以</t>
    </r>
    <r>
      <rPr>
        <b/>
        <sz val="11"/>
        <color indexed="8"/>
        <rFont val="Arial"/>
        <family val="2"/>
      </rPr>
      <t>“1”</t>
    </r>
    <r>
      <rPr>
        <b/>
        <sz val="11"/>
        <color indexed="8"/>
        <rFont val="宋体"/>
        <family val="3"/>
        <charset val="134"/>
      </rPr>
      <t>为基数按一定比例及续建进度计取</t>
    </r>
    <phoneticPr fontId="16" type="noConversion"/>
  </si>
  <si>
    <r>
      <rPr>
        <sz val="10"/>
        <color indexed="8"/>
        <rFont val="宋体"/>
        <family val="3"/>
        <charset val="134"/>
      </rPr>
      <t>（</t>
    </r>
    <r>
      <rPr>
        <sz val="10"/>
        <color indexed="8"/>
        <rFont val="Arial"/>
        <family val="2"/>
      </rPr>
      <t>4</t>
    </r>
    <r>
      <rPr>
        <sz val="10"/>
        <color indexed="8"/>
        <rFont val="宋体"/>
        <family val="3"/>
        <charset val="134"/>
      </rPr>
      <t>）</t>
    </r>
    <phoneticPr fontId="18" type="noConversion"/>
  </si>
  <si>
    <r>
      <rPr>
        <b/>
        <sz val="11"/>
        <color indexed="8"/>
        <rFont val="宋体"/>
        <family val="3"/>
        <charset val="134"/>
      </rPr>
      <t>取得税费</t>
    </r>
    <phoneticPr fontId="16" type="noConversion"/>
  </si>
  <si>
    <r>
      <rPr>
        <sz val="11"/>
        <color indexed="8"/>
        <rFont val="宋体"/>
        <family val="3"/>
        <charset val="134"/>
      </rPr>
      <t>以开发价值</t>
    </r>
    <r>
      <rPr>
        <sz val="11"/>
        <color indexed="8"/>
        <rFont val="Arial"/>
        <family val="2"/>
      </rPr>
      <t>/(1+5%)</t>
    </r>
    <r>
      <rPr>
        <sz val="11"/>
        <color indexed="8"/>
        <rFont val="宋体"/>
        <family val="3"/>
        <charset val="134"/>
      </rPr>
      <t>为基数</t>
    </r>
    <phoneticPr fontId="16" type="noConversion"/>
  </si>
  <si>
    <r>
      <rPr>
        <sz val="10"/>
        <color indexed="8"/>
        <rFont val="宋体"/>
        <family val="3"/>
        <charset val="134"/>
      </rPr>
      <t>（</t>
    </r>
    <r>
      <rPr>
        <sz val="10"/>
        <color indexed="8"/>
        <rFont val="Arial"/>
        <family val="2"/>
      </rPr>
      <t>5</t>
    </r>
    <r>
      <rPr>
        <sz val="10"/>
        <color indexed="8"/>
        <rFont val="宋体"/>
        <family val="3"/>
        <charset val="134"/>
      </rPr>
      <t>）</t>
    </r>
    <phoneticPr fontId="18" type="noConversion"/>
  </si>
  <si>
    <r>
      <rPr>
        <b/>
        <sz val="11"/>
        <color indexed="8"/>
        <rFont val="宋体"/>
        <family val="3"/>
        <charset val="134"/>
      </rPr>
      <t>利息</t>
    </r>
    <phoneticPr fontId="16" type="noConversion"/>
  </si>
  <si>
    <r>
      <rPr>
        <sz val="10"/>
        <color indexed="8"/>
        <rFont val="宋体"/>
        <family val="3"/>
        <charset val="134"/>
      </rPr>
      <t>估价对象及取得税费产生的利息</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</si>
  <si>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）产生的利息</t>
    </r>
    <phoneticPr fontId="16" type="noConversion"/>
  </si>
  <si>
    <r>
      <rPr>
        <sz val="10"/>
        <color indexed="8"/>
        <rFont val="宋体"/>
        <family val="3"/>
        <charset val="134"/>
      </rPr>
      <t>（</t>
    </r>
    <r>
      <rPr>
        <sz val="10"/>
        <color indexed="8"/>
        <rFont val="Arial"/>
        <family val="2"/>
      </rPr>
      <t>6</t>
    </r>
    <r>
      <rPr>
        <sz val="10"/>
        <color indexed="8"/>
        <rFont val="宋体"/>
        <family val="3"/>
        <charset val="134"/>
      </rPr>
      <t>）</t>
    </r>
    <phoneticPr fontId="18" type="noConversion"/>
  </si>
  <si>
    <r>
      <rPr>
        <b/>
        <sz val="11"/>
        <color indexed="8"/>
        <rFont val="宋体"/>
        <family val="3"/>
        <charset val="134"/>
      </rPr>
      <t>投资利润</t>
    </r>
    <phoneticPr fontId="16" type="noConversion"/>
  </si>
  <si>
    <r>
      <rPr>
        <sz val="10"/>
        <color indexed="8"/>
        <rFont val="宋体"/>
        <family val="3"/>
        <charset val="134"/>
      </rPr>
      <t>估价对象及取得税费应计的利润</t>
    </r>
    <phoneticPr fontId="16" type="noConversion"/>
  </si>
  <si>
    <r>
      <rPr>
        <sz val="10"/>
        <color indexed="8"/>
        <rFont val="宋体"/>
        <family val="3"/>
        <charset val="134"/>
      </rPr>
      <t>（</t>
    </r>
    <r>
      <rPr>
        <sz val="10"/>
        <color indexed="8"/>
        <rFont val="Arial"/>
        <family val="2"/>
      </rPr>
      <t>V+V*</t>
    </r>
    <r>
      <rPr>
        <sz val="10"/>
        <color indexed="8"/>
        <rFont val="宋体"/>
        <family val="3"/>
        <charset val="134"/>
      </rPr>
      <t>取得税费）</t>
    </r>
    <r>
      <rPr>
        <sz val="10"/>
        <color indexed="8"/>
        <rFont val="Arial"/>
        <family val="2"/>
      </rPr>
      <t>*</t>
    </r>
    <r>
      <rPr>
        <sz val="10"/>
        <color indexed="8"/>
        <rFont val="宋体"/>
        <family val="3"/>
        <charset val="134"/>
      </rPr>
      <t>利润率</t>
    </r>
    <r>
      <rPr>
        <sz val="10"/>
        <color indexed="8"/>
        <rFont val="Arial"/>
        <family val="2"/>
      </rPr>
      <t>*</t>
    </r>
    <r>
      <rPr>
        <sz val="10"/>
        <color indexed="8"/>
        <rFont val="宋体"/>
        <family val="3"/>
        <charset val="134"/>
      </rPr>
      <t>续建工期</t>
    </r>
    <r>
      <rPr>
        <sz val="10"/>
        <color indexed="8"/>
        <rFont val="Arial"/>
        <family val="2"/>
      </rPr>
      <t>/</t>
    </r>
    <r>
      <rPr>
        <sz val="10"/>
        <color indexed="8"/>
        <rFont val="宋体"/>
        <family val="3"/>
        <charset val="134"/>
      </rPr>
      <t>建设期</t>
    </r>
    <phoneticPr fontId="16" type="noConversion"/>
  </si>
  <si>
    <r>
      <rPr>
        <sz val="10"/>
        <color indexed="8"/>
        <rFont val="宋体"/>
        <family val="3"/>
        <charset val="134"/>
      </rPr>
      <t>（</t>
    </r>
    <r>
      <rPr>
        <sz val="10"/>
        <color indexed="8"/>
        <rFont val="Arial"/>
        <family val="2"/>
      </rPr>
      <t>1</t>
    </r>
    <r>
      <rPr>
        <sz val="10"/>
        <color indexed="8"/>
        <rFont val="宋体"/>
        <family val="3"/>
        <charset val="134"/>
      </rPr>
      <t>）</t>
    </r>
    <r>
      <rPr>
        <sz val="10"/>
        <color indexed="8"/>
        <rFont val="Arial"/>
        <family val="2"/>
      </rPr>
      <t>-</t>
    </r>
    <r>
      <rPr>
        <sz val="10"/>
        <color indexed="8"/>
        <rFont val="宋体"/>
        <family val="3"/>
        <charset val="134"/>
      </rPr>
      <t>（</t>
    </r>
    <r>
      <rPr>
        <sz val="10"/>
        <color indexed="8"/>
        <rFont val="Arial"/>
        <family val="2"/>
      </rPr>
      <t>3</t>
    </r>
    <r>
      <rPr>
        <sz val="10"/>
        <color indexed="8"/>
        <rFont val="宋体"/>
        <family val="3"/>
        <charset val="134"/>
      </rPr>
      <t>）应计的利润</t>
    </r>
    <phoneticPr fontId="16" type="noConversion"/>
  </si>
  <si>
    <r>
      <rPr>
        <sz val="10"/>
        <color indexed="8"/>
        <rFont val="宋体"/>
        <family val="3"/>
        <charset val="134"/>
      </rPr>
      <t>（</t>
    </r>
    <r>
      <rPr>
        <sz val="10"/>
        <color indexed="8"/>
        <rFont val="Arial"/>
        <family val="2"/>
      </rPr>
      <t>7</t>
    </r>
    <r>
      <rPr>
        <sz val="10"/>
        <color indexed="8"/>
        <rFont val="宋体"/>
        <family val="3"/>
        <charset val="134"/>
      </rPr>
      <t>）</t>
    </r>
    <phoneticPr fontId="18" type="noConversion"/>
  </si>
  <si>
    <r>
      <rPr>
        <b/>
        <sz val="11"/>
        <color indexed="8"/>
        <rFont val="宋体"/>
        <family val="3"/>
        <charset val="134"/>
      </rPr>
      <t>销售税费</t>
    </r>
    <phoneticPr fontId="16" type="noConversion"/>
  </si>
  <si>
    <r>
      <rPr>
        <b/>
        <sz val="11"/>
        <color indexed="8"/>
        <rFont val="宋体"/>
        <family val="3"/>
        <charset val="134"/>
      </rPr>
      <t>以</t>
    </r>
    <r>
      <rPr>
        <b/>
        <sz val="11"/>
        <color indexed="8"/>
        <rFont val="Arial"/>
        <family val="2"/>
      </rPr>
      <t>“</t>
    </r>
    <r>
      <rPr>
        <b/>
        <sz val="11"/>
        <color indexed="8"/>
        <rFont val="宋体"/>
        <family val="3"/>
        <charset val="134"/>
      </rPr>
      <t>开发完成后价值</t>
    </r>
    <r>
      <rPr>
        <b/>
        <sz val="11"/>
        <color indexed="8"/>
        <rFont val="Arial"/>
        <family val="2"/>
      </rPr>
      <t>/</t>
    </r>
    <r>
      <rPr>
        <b/>
        <sz val="11"/>
        <color indexed="8"/>
        <rFont val="宋体"/>
        <family val="3"/>
        <charset val="134"/>
      </rPr>
      <t>（</t>
    </r>
    <r>
      <rPr>
        <b/>
        <sz val="11"/>
        <color indexed="8"/>
        <rFont val="Arial"/>
        <family val="2"/>
      </rPr>
      <t>1+5%</t>
    </r>
    <r>
      <rPr>
        <b/>
        <sz val="11"/>
        <color indexed="8"/>
        <rFont val="宋体"/>
        <family val="3"/>
        <charset val="134"/>
      </rPr>
      <t>）</t>
    </r>
    <r>
      <rPr>
        <b/>
        <sz val="11"/>
        <color indexed="8"/>
        <rFont val="Arial"/>
        <family val="2"/>
      </rPr>
      <t>”</t>
    </r>
    <r>
      <rPr>
        <b/>
        <sz val="11"/>
        <color indexed="8"/>
        <rFont val="宋体"/>
        <family val="3"/>
        <charset val="134"/>
      </rPr>
      <t>为基数计取</t>
    </r>
    <phoneticPr fontId="16" type="noConversion"/>
  </si>
  <si>
    <r>
      <t>3.</t>
    </r>
    <r>
      <rPr>
        <b/>
        <sz val="11"/>
        <color indexed="8"/>
        <rFont val="宋体"/>
        <family val="3"/>
        <charset val="134"/>
      </rPr>
      <t>开发价值（</t>
    </r>
    <r>
      <rPr>
        <b/>
        <sz val="11"/>
        <color indexed="8"/>
        <rFont val="Arial"/>
        <family val="2"/>
      </rPr>
      <t>V</t>
    </r>
    <r>
      <rPr>
        <b/>
        <sz val="11"/>
        <color indexed="8"/>
        <rFont val="宋体"/>
        <family val="3"/>
        <charset val="134"/>
      </rPr>
      <t>）</t>
    </r>
    <phoneticPr fontId="18" type="noConversion"/>
  </si>
  <si>
    <r>
      <rPr>
        <b/>
        <sz val="12"/>
        <color indexed="8"/>
        <rFont val="宋体"/>
        <family val="3"/>
        <charset val="134"/>
      </rPr>
      <t>估价对象价值</t>
    </r>
    <r>
      <rPr>
        <b/>
        <sz val="12"/>
        <color indexed="8"/>
        <rFont val="Arial"/>
        <family val="2"/>
      </rPr>
      <t>=1-2</t>
    </r>
    <phoneticPr fontId="16" type="noConversion"/>
  </si>
  <si>
    <r>
      <rPr>
        <sz val="11"/>
        <color theme="1"/>
        <rFont val="宋体"/>
        <family val="3"/>
        <charset val="134"/>
      </rPr>
      <t>万元</t>
    </r>
  </si>
  <si>
    <r>
      <rPr>
        <b/>
        <sz val="11"/>
        <color theme="1"/>
        <rFont val="宋体"/>
        <family val="3"/>
        <charset val="134"/>
      </rPr>
      <t>汇总建筑面积</t>
    </r>
    <phoneticPr fontId="133" type="noConversion"/>
  </si>
  <si>
    <r>
      <rPr>
        <b/>
        <sz val="11"/>
        <color theme="1"/>
        <rFont val="宋体"/>
        <family val="3"/>
        <charset val="134"/>
      </rPr>
      <t>本次评估所采用的收益法</t>
    </r>
    <phoneticPr fontId="133" type="noConversion"/>
  </si>
  <si>
    <r>
      <rPr>
        <b/>
        <sz val="11"/>
        <color theme="1"/>
        <rFont val="宋体"/>
        <family val="3"/>
        <charset val="134"/>
      </rPr>
      <t>估价结果</t>
    </r>
    <phoneticPr fontId="133" type="noConversion"/>
  </si>
  <si>
    <r>
      <rPr>
        <b/>
        <sz val="11"/>
        <color theme="1"/>
        <rFont val="宋体"/>
        <family val="3"/>
        <charset val="134"/>
      </rPr>
      <t>建筑面积</t>
    </r>
    <phoneticPr fontId="133" type="noConversion"/>
  </si>
  <si>
    <r>
      <rPr>
        <sz val="11"/>
        <color theme="1"/>
        <rFont val="宋体"/>
        <family val="3"/>
        <charset val="134"/>
      </rPr>
      <t>是否参与计算</t>
    </r>
    <phoneticPr fontId="133" type="noConversion"/>
  </si>
  <si>
    <r>
      <rPr>
        <sz val="11"/>
        <color theme="1"/>
        <rFont val="宋体"/>
        <family val="3"/>
        <charset val="134"/>
      </rPr>
      <t>是</t>
    </r>
  </si>
  <si>
    <r>
      <rPr>
        <b/>
        <sz val="16"/>
        <color rgb="FFFF0000"/>
        <rFont val="宋体"/>
        <family val="3"/>
        <charset val="134"/>
      </rPr>
      <t>收益法（汇总）</t>
    </r>
    <phoneticPr fontId="3" type="noConversion"/>
  </si>
  <si>
    <r>
      <rPr>
        <sz val="11"/>
        <color theme="1"/>
        <rFont val="宋体"/>
        <family val="3"/>
        <charset val="134"/>
      </rPr>
      <t>元</t>
    </r>
    <r>
      <rPr>
        <sz val="11"/>
        <color theme="1"/>
        <rFont val="Arial"/>
        <family val="2"/>
      </rPr>
      <t>/</t>
    </r>
    <r>
      <rPr>
        <sz val="11"/>
        <color theme="1"/>
        <rFont val="宋体"/>
        <family val="3"/>
        <charset val="134"/>
      </rPr>
      <t>平方米</t>
    </r>
  </si>
  <si>
    <r>
      <rPr>
        <b/>
        <sz val="16"/>
        <color rgb="FFFF0000"/>
        <rFont val="宋体"/>
        <family val="3"/>
        <charset val="134"/>
      </rPr>
      <t>比较法</t>
    </r>
    <phoneticPr fontId="3" type="noConversion"/>
  </si>
  <si>
    <r>
      <rPr>
        <b/>
        <sz val="16"/>
        <rFont val="宋体"/>
        <family val="3"/>
        <charset val="134"/>
      </rPr>
      <t>住宅</t>
    </r>
    <phoneticPr fontId="3" type="noConversion"/>
  </si>
  <si>
    <r>
      <rPr>
        <b/>
        <sz val="16"/>
        <rFont val="宋体"/>
        <family val="3"/>
        <charset val="134"/>
      </rPr>
      <t>─</t>
    </r>
    <phoneticPr fontId="24"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</si>
  <si>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</si>
  <si>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万元</t>
    </r>
    <phoneticPr fontId="18"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</si>
  <si>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</si>
  <si>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</si>
  <si>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</si>
  <si>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</si>
  <si>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</si>
  <si>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</si>
  <si>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</si>
  <si>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</si>
  <si>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theme="9" tint="-0.249977111117893"/>
        <rFont val="宋体"/>
        <family val="3"/>
        <charset val="134"/>
      </rPr>
      <t>估价对象名称</t>
    </r>
    <phoneticPr fontId="3" type="noConversion"/>
  </si>
  <si>
    <r>
      <rPr>
        <sz val="11"/>
        <color theme="9" tint="-0.249977111117893"/>
        <rFont val="宋体"/>
        <family val="3"/>
        <charset val="134"/>
      </rPr>
      <t>案例</t>
    </r>
    <r>
      <rPr>
        <sz val="11"/>
        <color theme="9" tint="-0.249977111117893"/>
        <rFont val="Arial"/>
        <family val="2"/>
      </rPr>
      <t>A</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</si>
  <si>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B</t>
    </r>
    <r>
      <rPr>
        <sz val="11"/>
        <color theme="9" tint="-0.249977111117893"/>
        <rFont val="宋体"/>
        <family val="3"/>
        <charset val="134"/>
      </rPr>
      <t>名称</t>
    </r>
    <phoneticPr fontId="3" type="noConversion"/>
  </si>
  <si>
    <r>
      <rPr>
        <sz val="11"/>
        <color theme="9" tint="-0.249977111117893"/>
        <rFont val="宋体"/>
        <family val="3"/>
        <charset val="134"/>
      </rPr>
      <t>案例</t>
    </r>
    <r>
      <rPr>
        <sz val="11"/>
        <color theme="9" tint="-0.249977111117893"/>
        <rFont val="Arial"/>
        <family val="2"/>
      </rPr>
      <t>C</t>
    </r>
    <r>
      <rPr>
        <sz val="11"/>
        <color theme="9" tint="-0.249977111117893"/>
        <rFont val="宋体"/>
        <family val="3"/>
        <charset val="134"/>
      </rPr>
      <t>名称</t>
    </r>
    <phoneticPr fontId="3" type="noConversion"/>
  </si>
  <si>
    <r>
      <rPr>
        <sz val="11"/>
        <color theme="9" tint="-0.249977111117893"/>
        <rFont val="宋体"/>
        <family val="3"/>
        <charset val="134"/>
      </rPr>
      <t>项目位置</t>
    </r>
    <phoneticPr fontId="3" type="noConversion"/>
  </si>
  <si>
    <r>
      <rPr>
        <sz val="11"/>
        <color indexed="8"/>
        <rFont val="宋体"/>
        <family val="3"/>
        <charset val="134"/>
      </rPr>
      <t>系数</t>
    </r>
    <r>
      <rPr>
        <sz val="11"/>
        <color indexed="8"/>
        <rFont val="Arial"/>
        <family val="2"/>
      </rPr>
      <t>%</t>
    </r>
    <phoneticPr fontId="3" type="noConversion"/>
  </si>
  <si>
    <r>
      <rPr>
        <b/>
        <sz val="11"/>
        <color indexed="8"/>
        <rFont val="宋体"/>
        <family val="3"/>
        <charset val="134"/>
      </rPr>
      <t>交易时间</t>
    </r>
    <phoneticPr fontId="3" type="noConversion"/>
  </si>
  <si>
    <r>
      <rPr>
        <sz val="11"/>
        <color indexed="8"/>
        <rFont val="宋体"/>
        <family val="3"/>
        <charset val="134"/>
      </rPr>
      <t>交易时间</t>
    </r>
    <phoneticPr fontId="3" type="noConversion"/>
  </si>
  <si>
    <r>
      <rPr>
        <b/>
        <sz val="11"/>
        <color indexed="8"/>
        <rFont val="宋体"/>
        <family val="3"/>
        <charset val="134"/>
      </rPr>
      <t>交易情况</t>
    </r>
    <phoneticPr fontId="3" type="noConversion"/>
  </si>
  <si>
    <r>
      <rPr>
        <sz val="11"/>
        <color indexed="8"/>
        <rFont val="宋体"/>
        <family val="3"/>
        <charset val="134"/>
      </rPr>
      <t>正常</t>
    </r>
  </si>
  <si>
    <r>
      <rPr>
        <sz val="11"/>
        <color indexed="8"/>
        <rFont val="宋体"/>
        <family val="3"/>
        <charset val="134"/>
      </rPr>
      <t>交易情况</t>
    </r>
    <phoneticPr fontId="3" type="noConversion"/>
  </si>
  <si>
    <r>
      <rPr>
        <b/>
        <sz val="11"/>
        <color indexed="8"/>
        <rFont val="宋体"/>
        <family val="3"/>
        <charset val="134"/>
      </rPr>
      <t>权益状况</t>
    </r>
    <phoneticPr fontId="3" type="noConversion"/>
  </si>
  <si>
    <r>
      <rPr>
        <sz val="11"/>
        <color indexed="8"/>
        <rFont val="宋体"/>
        <family val="3"/>
        <charset val="134"/>
      </rPr>
      <t>用途</t>
    </r>
    <phoneticPr fontId="3" type="noConversion"/>
  </si>
  <si>
    <r>
      <rPr>
        <sz val="11"/>
        <rFont val="宋体"/>
        <family val="3"/>
        <charset val="134"/>
      </rPr>
      <t>权益状况</t>
    </r>
    <phoneticPr fontId="3" type="noConversion"/>
  </si>
  <si>
    <r>
      <rPr>
        <sz val="11"/>
        <color indexed="8"/>
        <rFont val="宋体"/>
        <family val="3"/>
        <charset val="134"/>
      </rPr>
      <t>权益状况</t>
    </r>
    <phoneticPr fontId="3" type="noConversion"/>
  </si>
  <si>
    <r>
      <rPr>
        <sz val="11"/>
        <color indexed="8"/>
        <rFont val="宋体"/>
        <family val="3"/>
        <charset val="134"/>
      </rPr>
      <t>土地使用年限（年）</t>
    </r>
    <phoneticPr fontId="3" type="noConversion"/>
  </si>
  <si>
    <r>
      <rPr>
        <sz val="11"/>
        <color indexed="8"/>
        <rFont val="宋体"/>
        <family val="3"/>
        <charset val="134"/>
      </rPr>
      <t>容积率</t>
    </r>
    <phoneticPr fontId="3" type="noConversion"/>
  </si>
  <si>
    <r>
      <rPr>
        <b/>
        <sz val="11"/>
        <rFont val="宋体"/>
        <family val="3"/>
        <charset val="134"/>
      </rPr>
      <t>区位状况</t>
    </r>
    <phoneticPr fontId="3" type="noConversion"/>
  </si>
  <si>
    <r>
      <rPr>
        <sz val="11"/>
        <rFont val="宋体"/>
        <family val="3"/>
        <charset val="134"/>
      </rPr>
      <t>区位状况</t>
    </r>
    <phoneticPr fontId="3" type="noConversion"/>
  </si>
  <si>
    <r>
      <rPr>
        <sz val="11"/>
        <color indexed="8"/>
        <rFont val="宋体"/>
        <family val="3"/>
        <charset val="134"/>
      </rPr>
      <t>楼层</t>
    </r>
    <r>
      <rPr>
        <sz val="11"/>
        <color indexed="8"/>
        <rFont val="Arial"/>
        <family val="2"/>
      </rPr>
      <t>-1</t>
    </r>
    <phoneticPr fontId="24" type="noConversion"/>
  </si>
  <si>
    <r>
      <rPr>
        <sz val="11"/>
        <color indexed="8"/>
        <rFont val="宋体"/>
        <family val="3"/>
        <charset val="134"/>
      </rPr>
      <t>朝向</t>
    </r>
  </si>
  <si>
    <r>
      <rPr>
        <b/>
        <sz val="11"/>
        <rFont val="宋体"/>
        <family val="3"/>
        <charset val="134"/>
      </rPr>
      <t>实物状况</t>
    </r>
    <phoneticPr fontId="3" type="noConversion"/>
  </si>
  <si>
    <r>
      <rPr>
        <sz val="11"/>
        <color indexed="8"/>
        <rFont val="宋体"/>
        <family val="3"/>
        <charset val="134"/>
      </rPr>
      <t>建筑类型</t>
    </r>
  </si>
  <si>
    <r>
      <rPr>
        <sz val="11"/>
        <rFont val="宋体"/>
        <family val="3"/>
        <charset val="134"/>
      </rPr>
      <t>实物状况</t>
    </r>
    <phoneticPr fontId="3" type="noConversion"/>
  </si>
  <si>
    <r>
      <rPr>
        <sz val="11"/>
        <color indexed="8"/>
        <rFont val="宋体"/>
        <family val="3"/>
        <charset val="134"/>
      </rPr>
      <t>项目建筑规模</t>
    </r>
  </si>
  <si>
    <r>
      <rPr>
        <sz val="11"/>
        <color indexed="8"/>
        <rFont val="宋体"/>
        <family val="3"/>
        <charset val="134"/>
      </rPr>
      <t>建筑结构</t>
    </r>
  </si>
  <si>
    <r>
      <rPr>
        <sz val="11"/>
        <color indexed="8"/>
        <rFont val="宋体"/>
        <family val="3"/>
        <charset val="134"/>
      </rPr>
      <t>建筑品质</t>
    </r>
  </si>
  <si>
    <r>
      <rPr>
        <sz val="11"/>
        <color indexed="8"/>
        <rFont val="宋体"/>
        <family val="3"/>
        <charset val="134"/>
      </rPr>
      <t>公共部分装修</t>
    </r>
  </si>
  <si>
    <r>
      <rPr>
        <sz val="11"/>
        <color indexed="8"/>
        <rFont val="宋体"/>
        <family val="3"/>
        <charset val="134"/>
      </rPr>
      <t>成新度</t>
    </r>
  </si>
  <si>
    <r>
      <rPr>
        <sz val="11"/>
        <color indexed="8"/>
        <rFont val="宋体"/>
        <family val="3"/>
        <charset val="134"/>
      </rPr>
      <t>物业管理</t>
    </r>
  </si>
  <si>
    <r>
      <rPr>
        <sz val="11"/>
        <color indexed="8"/>
        <rFont val="宋体"/>
        <family val="3"/>
        <charset val="134"/>
      </rPr>
      <t>市政基础设施</t>
    </r>
    <phoneticPr fontId="24" type="noConversion"/>
  </si>
  <si>
    <r>
      <rPr>
        <sz val="11"/>
        <color indexed="8"/>
        <rFont val="宋体"/>
        <family val="3"/>
        <charset val="134"/>
      </rPr>
      <t>房型</t>
    </r>
  </si>
  <si>
    <r>
      <rPr>
        <sz val="11"/>
        <color indexed="8"/>
        <rFont val="宋体"/>
        <family val="3"/>
        <charset val="134"/>
      </rPr>
      <t>单套</t>
    </r>
    <r>
      <rPr>
        <sz val="11"/>
        <color indexed="8"/>
        <rFont val="Arial"/>
        <family val="2"/>
      </rPr>
      <t>/</t>
    </r>
    <r>
      <rPr>
        <sz val="11"/>
        <color indexed="8"/>
        <rFont val="宋体"/>
        <family val="3"/>
        <charset val="134"/>
      </rPr>
      <t>主力户型建筑面积</t>
    </r>
    <phoneticPr fontId="3" type="noConversion"/>
  </si>
  <si>
    <r>
      <rPr>
        <sz val="11"/>
        <color indexed="8"/>
        <rFont val="宋体"/>
        <family val="3"/>
        <charset val="134"/>
      </rPr>
      <t>内部装修</t>
    </r>
  </si>
  <si>
    <r>
      <rPr>
        <sz val="11"/>
        <color indexed="8"/>
        <rFont val="宋体"/>
        <family val="3"/>
        <charset val="134"/>
      </rPr>
      <t>内部装修维护情况</t>
    </r>
  </si>
  <si>
    <r>
      <rPr>
        <b/>
        <sz val="11"/>
        <rFont val="宋体"/>
        <family val="3"/>
        <charset val="134"/>
      </rPr>
      <t>成交单价（元</t>
    </r>
    <r>
      <rPr>
        <b/>
        <sz val="11"/>
        <rFont val="Arial"/>
        <family val="2"/>
      </rPr>
      <t>/</t>
    </r>
    <r>
      <rPr>
        <b/>
        <sz val="11"/>
        <rFont val="宋体"/>
        <family val="3"/>
        <charset val="134"/>
      </rPr>
      <t>平方米）</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</si>
  <si>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</si>
  <si>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</si>
  <si>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</si>
  <si>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</si>
  <si>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</si>
  <si>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</si>
  <si>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</si>
  <si>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b/>
        <sz val="11"/>
        <color indexed="8"/>
        <rFont val="宋体"/>
        <family val="3"/>
        <charset val="134"/>
      </rPr>
      <t>官方公布的价格指数</t>
    </r>
    <r>
      <rPr>
        <b/>
        <sz val="11"/>
        <color indexed="8"/>
        <rFont val="Arial"/>
        <family val="2"/>
      </rPr>
      <t>/</t>
    </r>
    <r>
      <rPr>
        <b/>
        <sz val="11"/>
        <color indexed="8"/>
        <rFont val="宋体"/>
        <family val="3"/>
        <charset val="134"/>
      </rPr>
      <t>增幅</t>
    </r>
    <phoneticPr fontId="24" type="noConversion"/>
  </si>
  <si>
    <r>
      <rPr>
        <b/>
        <sz val="11"/>
        <color indexed="8"/>
        <rFont val="宋体"/>
        <family val="3"/>
        <charset val="134"/>
      </rPr>
      <t>交易情况</t>
    </r>
    <phoneticPr fontId="3" type="noConversion"/>
  </si>
  <si>
    <r>
      <rPr>
        <sz val="11"/>
        <color indexed="8"/>
        <rFont val="宋体"/>
        <family val="3"/>
        <charset val="134"/>
      </rPr>
      <t>正常</t>
    </r>
    <phoneticPr fontId="24" type="noConversion"/>
  </si>
  <si>
    <r>
      <rPr>
        <b/>
        <sz val="11"/>
        <rFont val="宋体"/>
        <family val="3"/>
        <charset val="134"/>
      </rPr>
      <t>权益状况</t>
    </r>
    <phoneticPr fontId="3" type="noConversion"/>
  </si>
  <si>
    <r>
      <rPr>
        <sz val="11"/>
        <color indexed="8"/>
        <rFont val="宋体"/>
        <family val="3"/>
        <charset val="134"/>
      </rPr>
      <t>居住社区成熟度</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</si>
  <si>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</si>
  <si>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</si>
  <si>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</si>
  <si>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</si>
  <si>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</si>
  <si>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sz val="11"/>
        <color indexed="8"/>
        <rFont val="宋体"/>
        <family val="3"/>
        <charset val="134"/>
      </rPr>
      <t>交通便捷度</t>
    </r>
    <phoneticPr fontId="3" type="noConversion"/>
  </si>
  <si>
    <r>
      <rPr>
        <sz val="11"/>
        <color indexed="8"/>
        <rFont val="宋体"/>
        <family val="3"/>
        <charset val="134"/>
      </rPr>
      <t>公共配套设施</t>
    </r>
    <phoneticPr fontId="3" type="noConversion"/>
  </si>
  <si>
    <r>
      <rPr>
        <sz val="11"/>
        <rFont val="宋体"/>
        <family val="3"/>
        <charset val="134"/>
      </rPr>
      <t>七通</t>
    </r>
    <phoneticPr fontId="24" type="noConversion"/>
  </si>
  <si>
    <r>
      <rPr>
        <sz val="11"/>
        <rFont val="宋体"/>
        <family val="3"/>
        <charset val="134"/>
      </rPr>
      <t>六通</t>
    </r>
    <phoneticPr fontId="24" type="noConversion"/>
  </si>
  <si>
    <r>
      <rPr>
        <sz val="11"/>
        <rFont val="宋体"/>
        <family val="3"/>
        <charset val="134"/>
      </rPr>
      <t>五通</t>
    </r>
    <phoneticPr fontId="24" type="noConversion"/>
  </si>
  <si>
    <r>
      <rPr>
        <sz val="11"/>
        <rFont val="宋体"/>
        <family val="3"/>
        <charset val="134"/>
      </rPr>
      <t>四通</t>
    </r>
    <phoneticPr fontId="24" type="noConversion"/>
  </si>
  <si>
    <r>
      <rPr>
        <sz val="11"/>
        <rFont val="宋体"/>
        <family val="3"/>
        <charset val="134"/>
      </rPr>
      <t>三通</t>
    </r>
    <phoneticPr fontId="24" type="noConversion"/>
  </si>
  <si>
    <r>
      <rPr>
        <sz val="11"/>
        <color indexed="8"/>
        <rFont val="宋体"/>
        <family val="3"/>
        <charset val="134"/>
      </rPr>
      <t>自然及人文环境</t>
    </r>
    <phoneticPr fontId="3" type="noConversion"/>
  </si>
  <si>
    <r>
      <rPr>
        <sz val="11"/>
        <color indexed="8"/>
        <rFont val="宋体"/>
        <family val="3"/>
        <charset val="134"/>
      </rPr>
      <t>楼层</t>
    </r>
    <r>
      <rPr>
        <sz val="11"/>
        <color indexed="8"/>
        <rFont val="Arial"/>
        <family val="2"/>
      </rPr>
      <t>-1</t>
    </r>
    <phoneticPr fontId="3" type="noConversion"/>
  </si>
  <si>
    <r>
      <rPr>
        <sz val="11"/>
        <color indexed="8"/>
        <rFont val="宋体"/>
        <family val="3"/>
        <charset val="134"/>
      </rPr>
      <t>朝向</t>
    </r>
    <phoneticPr fontId="3" type="noConversion"/>
  </si>
  <si>
    <r>
      <rPr>
        <sz val="11"/>
        <color indexed="8"/>
        <rFont val="宋体"/>
        <family val="3"/>
        <charset val="134"/>
      </rPr>
      <t>建筑类型</t>
    </r>
    <phoneticPr fontId="3" type="noConversion"/>
  </si>
  <si>
    <r>
      <rPr>
        <sz val="11"/>
        <color indexed="8"/>
        <rFont val="宋体"/>
        <family val="3"/>
        <charset val="134"/>
      </rPr>
      <t>项目建筑规模</t>
    </r>
    <phoneticPr fontId="3" type="noConversion"/>
  </si>
  <si>
    <r>
      <rPr>
        <sz val="11"/>
        <color indexed="8"/>
        <rFont val="宋体"/>
        <family val="3"/>
        <charset val="134"/>
      </rPr>
      <t>建筑结构</t>
    </r>
    <phoneticPr fontId="3" type="noConversion"/>
  </si>
  <si>
    <r>
      <rPr>
        <sz val="11"/>
        <color indexed="8"/>
        <rFont val="宋体"/>
        <family val="3"/>
        <charset val="134"/>
      </rPr>
      <t>建筑品质</t>
    </r>
    <phoneticPr fontId="3" type="noConversion"/>
  </si>
  <si>
    <r>
      <rPr>
        <sz val="11"/>
        <color indexed="8"/>
        <rFont val="宋体"/>
        <family val="3"/>
        <charset val="134"/>
      </rPr>
      <t>公共部分装修</t>
    </r>
    <phoneticPr fontId="3" type="noConversion"/>
  </si>
  <si>
    <r>
      <rPr>
        <sz val="11"/>
        <color indexed="8"/>
        <rFont val="宋体"/>
        <family val="3"/>
        <charset val="134"/>
      </rPr>
      <t>物业管理</t>
    </r>
    <phoneticPr fontId="3" type="noConversion"/>
  </si>
  <si>
    <r>
      <rPr>
        <sz val="11"/>
        <color indexed="8"/>
        <rFont val="宋体"/>
        <family val="3"/>
        <charset val="134"/>
      </rPr>
      <t>市政基础设施</t>
    </r>
    <phoneticPr fontId="3" type="noConversion"/>
  </si>
  <si>
    <r>
      <rPr>
        <sz val="11"/>
        <color indexed="8"/>
        <rFont val="宋体"/>
        <family val="3"/>
        <charset val="134"/>
      </rPr>
      <t>房型</t>
    </r>
    <phoneticPr fontId="3" type="noConversion"/>
  </si>
  <si>
    <r>
      <rPr>
        <sz val="11"/>
        <color indexed="8"/>
        <rFont val="宋体"/>
        <family val="3"/>
        <charset val="134"/>
      </rPr>
      <t>内部装修</t>
    </r>
    <phoneticPr fontId="3" type="noConversion"/>
  </si>
  <si>
    <r>
      <rPr>
        <sz val="11"/>
        <color indexed="8"/>
        <rFont val="宋体"/>
        <family val="3"/>
        <charset val="134"/>
      </rPr>
      <t>内部装修维护情况</t>
    </r>
    <phoneticPr fontId="3" type="noConversion"/>
  </si>
  <si>
    <r>
      <rPr>
        <sz val="11"/>
        <color rgb="FFFF0000"/>
        <rFont val="宋体"/>
        <family val="3"/>
        <charset val="134"/>
      </rPr>
      <t>楼层修正</t>
    </r>
    <r>
      <rPr>
        <sz val="11"/>
        <color rgb="FFFF0000"/>
        <rFont val="Arial"/>
        <family val="2"/>
      </rPr>
      <t>-2</t>
    </r>
    <r>
      <rPr>
        <sz val="11"/>
        <color rgb="FFFF0000"/>
        <rFont val="宋体"/>
        <family val="3"/>
        <charset val="134"/>
      </rPr>
      <t>：多层及高层同时修正时的处理，以普通无电梯多层为基准</t>
    </r>
    <phoneticPr fontId="3" type="noConversion"/>
  </si>
  <si>
    <r>
      <rPr>
        <sz val="11"/>
        <color theme="1"/>
        <rFont val="宋体"/>
        <family val="3"/>
        <charset val="134"/>
      </rPr>
      <t>多层</t>
    </r>
    <phoneticPr fontId="3" type="noConversion"/>
  </si>
  <si>
    <r>
      <rPr>
        <sz val="11"/>
        <color theme="1"/>
        <rFont val="宋体"/>
        <family val="3"/>
        <charset val="134"/>
      </rPr>
      <t>高层</t>
    </r>
    <phoneticPr fontId="3" type="noConversion"/>
  </si>
  <si>
    <r>
      <rPr>
        <sz val="11"/>
        <color theme="1"/>
        <rFont val="宋体"/>
        <family val="3"/>
        <charset val="134"/>
      </rPr>
      <t>无电梯</t>
    </r>
    <phoneticPr fontId="3" type="noConversion"/>
  </si>
  <si>
    <r>
      <rPr>
        <sz val="11"/>
        <color theme="1"/>
        <rFont val="宋体"/>
        <family val="3"/>
        <charset val="134"/>
      </rPr>
      <t>增值项</t>
    </r>
    <phoneticPr fontId="3" type="noConversion"/>
  </si>
  <si>
    <r>
      <rPr>
        <sz val="11"/>
        <color theme="1"/>
        <rFont val="宋体"/>
        <family val="3"/>
        <charset val="134"/>
      </rPr>
      <t>系数</t>
    </r>
    <phoneticPr fontId="3" type="noConversion"/>
  </si>
  <si>
    <r>
      <rPr>
        <sz val="11"/>
        <color theme="1"/>
        <rFont val="宋体"/>
        <family val="3"/>
        <charset val="134"/>
      </rPr>
      <t>有电梯</t>
    </r>
    <phoneticPr fontId="3" type="noConversion"/>
  </si>
  <si>
    <r>
      <rPr>
        <sz val="11"/>
        <color theme="1"/>
        <rFont val="宋体"/>
        <family val="3"/>
        <charset val="134"/>
      </rPr>
      <t>楼层数</t>
    </r>
    <r>
      <rPr>
        <sz val="11"/>
        <color theme="1"/>
        <rFont val="Arial"/>
        <family val="2"/>
      </rPr>
      <t>/</t>
    </r>
    <r>
      <rPr>
        <sz val="11"/>
        <color theme="1"/>
        <rFont val="宋体"/>
        <family val="3"/>
        <charset val="134"/>
      </rPr>
      <t>位置</t>
    </r>
    <phoneticPr fontId="3" type="noConversion"/>
  </si>
  <si>
    <r>
      <rPr>
        <sz val="11"/>
        <color theme="1"/>
        <rFont val="宋体"/>
        <family val="3"/>
        <charset val="134"/>
      </rPr>
      <t>层差</t>
    </r>
    <r>
      <rPr>
        <sz val="11"/>
        <color theme="1"/>
        <rFont val="Arial"/>
        <family val="2"/>
      </rPr>
      <t>/</t>
    </r>
    <r>
      <rPr>
        <sz val="11"/>
        <color theme="1"/>
        <rFont val="宋体"/>
        <family val="3"/>
        <charset val="134"/>
      </rPr>
      <t>系数</t>
    </r>
    <phoneticPr fontId="3" type="noConversion"/>
  </si>
  <si>
    <r>
      <rPr>
        <sz val="11"/>
        <color theme="1"/>
        <rFont val="宋体"/>
        <family val="3"/>
        <charset val="134"/>
      </rPr>
      <t>露台</t>
    </r>
    <phoneticPr fontId="3" type="noConversion"/>
  </si>
  <si>
    <r>
      <rPr>
        <sz val="11"/>
        <color theme="1"/>
        <rFont val="宋体"/>
        <family val="3"/>
        <charset val="134"/>
      </rPr>
      <t>总层数</t>
    </r>
    <phoneticPr fontId="3" type="noConversion"/>
  </si>
  <si>
    <r>
      <rPr>
        <sz val="11"/>
        <color theme="1"/>
        <rFont val="宋体"/>
        <family val="3"/>
        <charset val="134"/>
      </rPr>
      <t>中间层</t>
    </r>
    <phoneticPr fontId="3" type="noConversion"/>
  </si>
  <si>
    <r>
      <rPr>
        <sz val="11"/>
        <color theme="1"/>
        <rFont val="宋体"/>
        <family val="3"/>
        <charset val="134"/>
      </rPr>
      <t>首层</t>
    </r>
    <phoneticPr fontId="3" type="noConversion"/>
  </si>
  <si>
    <r>
      <rPr>
        <sz val="11"/>
        <color theme="1"/>
        <rFont val="宋体"/>
        <family val="3"/>
        <charset val="134"/>
      </rPr>
      <t>顶层</t>
    </r>
    <phoneticPr fontId="3" type="noConversion"/>
  </si>
  <si>
    <r>
      <rPr>
        <sz val="11"/>
        <color theme="1"/>
        <rFont val="宋体"/>
        <family val="3"/>
        <charset val="134"/>
      </rPr>
      <t>所在楼层</t>
    </r>
    <phoneticPr fontId="3" type="noConversion"/>
  </si>
  <si>
    <r>
      <rPr>
        <sz val="11"/>
        <color theme="1"/>
        <rFont val="宋体"/>
        <family val="3"/>
        <charset val="134"/>
      </rPr>
      <t>花园</t>
    </r>
    <phoneticPr fontId="3" type="noConversion"/>
  </si>
  <si>
    <r>
      <rPr>
        <sz val="11"/>
        <color theme="1"/>
        <rFont val="宋体"/>
        <family val="3"/>
        <charset val="134"/>
      </rPr>
      <t>最高最低差</t>
    </r>
    <phoneticPr fontId="3" type="noConversion"/>
  </si>
  <si>
    <r>
      <rPr>
        <sz val="12"/>
        <rFont val="宋体"/>
        <family val="3"/>
        <charset val="134"/>
      </rPr>
      <t>注意于无电梯多层的价值匹配</t>
    </r>
    <phoneticPr fontId="3" type="noConversion"/>
  </si>
  <si>
    <r>
      <rPr>
        <sz val="11"/>
        <color rgb="FFFF0000"/>
        <rFont val="宋体"/>
        <family val="3"/>
        <charset val="134"/>
      </rPr>
      <t>修正体系描述方式：</t>
    </r>
    <phoneticPr fontId="3" type="noConversion"/>
  </si>
  <si>
    <r>
      <rPr>
        <sz val="11"/>
        <color rgb="FFFF0000"/>
        <rFont val="宋体"/>
        <family val="3"/>
        <charset val="134"/>
      </rPr>
      <t>估价对象及比较案例的建筑类型不同，分别为多层及高层。本次评估楼层修正中，多层建筑的各层修正系数如下表，高层建筑的各楼层修正系数以多层建筑的最高最低层差系数为基准进行平均分配。</t>
    </r>
    <phoneticPr fontId="3" type="noConversion"/>
  </si>
  <si>
    <r>
      <rPr>
        <b/>
        <sz val="16"/>
        <rFont val="宋体"/>
        <family val="3"/>
        <charset val="134"/>
      </rPr>
      <t>商业</t>
    </r>
    <phoneticPr fontId="3" type="noConversion"/>
  </si>
  <si>
    <r>
      <rPr>
        <b/>
        <sz val="16"/>
        <color indexed="10"/>
        <rFont val="宋体"/>
        <family val="3"/>
        <charset val="134"/>
      </rPr>
      <t>录入顺序：主表的空白区域</t>
    </r>
    <r>
      <rPr>
        <b/>
        <sz val="16"/>
        <color indexed="10"/>
        <rFont val="Arial"/>
        <family val="2"/>
      </rPr>
      <t>-</t>
    </r>
    <r>
      <rPr>
        <b/>
        <sz val="16"/>
        <color indexed="10"/>
        <rFont val="宋体"/>
        <family val="3"/>
        <charset val="134"/>
      </rPr>
      <t>因素表空白区域</t>
    </r>
    <r>
      <rPr>
        <b/>
        <sz val="16"/>
        <color indexed="10"/>
        <rFont val="Arial"/>
        <family val="2"/>
      </rPr>
      <t>-</t>
    </r>
    <r>
      <rPr>
        <b/>
        <sz val="16"/>
        <color indexed="10"/>
        <rFont val="宋体"/>
        <family val="3"/>
        <charset val="134"/>
      </rPr>
      <t>主表黄色选项区域</t>
    </r>
    <r>
      <rPr>
        <b/>
        <sz val="16"/>
        <color indexed="10"/>
        <rFont val="Arial"/>
        <family val="2"/>
      </rPr>
      <t>-</t>
    </r>
    <r>
      <rPr>
        <b/>
        <sz val="16"/>
        <color indexed="10"/>
        <rFont val="宋体"/>
        <family val="3"/>
        <charset val="134"/>
      </rPr>
      <t>调节修正幅度</t>
    </r>
    <r>
      <rPr>
        <b/>
        <sz val="16"/>
        <color indexed="10"/>
        <rFont val="Arial"/>
        <family val="2"/>
      </rPr>
      <t>-</t>
    </r>
    <r>
      <rPr>
        <b/>
        <sz val="16"/>
        <color indexed="10"/>
        <rFont val="宋体"/>
        <family val="3"/>
        <charset val="134"/>
      </rPr>
      <t>完成</t>
    </r>
    <phoneticPr fontId="24" type="noConversion"/>
  </si>
  <si>
    <r>
      <rPr>
        <b/>
        <sz val="12"/>
        <rFont val="宋体"/>
        <family val="3"/>
        <charset val="134"/>
      </rPr>
      <t>建筑面积</t>
    </r>
    <phoneticPr fontId="24" type="noConversion"/>
  </si>
  <si>
    <r>
      <rPr>
        <b/>
        <sz val="11"/>
        <rFont val="宋体"/>
        <family val="3"/>
        <charset val="134"/>
      </rPr>
      <t>比较因素</t>
    </r>
    <phoneticPr fontId="3" type="noConversion"/>
  </si>
  <si>
    <r>
      <rPr>
        <sz val="11"/>
        <rFont val="宋体"/>
        <family val="3"/>
        <charset val="134"/>
      </rPr>
      <t>估价对象</t>
    </r>
    <phoneticPr fontId="3" type="noConversion"/>
  </si>
  <si>
    <r>
      <rPr>
        <sz val="11"/>
        <rFont val="宋体"/>
        <family val="3"/>
        <charset val="134"/>
      </rPr>
      <t>案例</t>
    </r>
    <r>
      <rPr>
        <sz val="11"/>
        <rFont val="Arial"/>
        <family val="2"/>
      </rPr>
      <t>A</t>
    </r>
    <phoneticPr fontId="3" type="noConversion"/>
  </si>
  <si>
    <r>
      <rPr>
        <sz val="11"/>
        <rFont val="宋体"/>
        <family val="3"/>
        <charset val="134"/>
      </rPr>
      <t>案例</t>
    </r>
    <r>
      <rPr>
        <sz val="11"/>
        <rFont val="Arial"/>
        <family val="2"/>
      </rPr>
      <t>B</t>
    </r>
    <phoneticPr fontId="3" type="noConversion"/>
  </si>
  <si>
    <r>
      <rPr>
        <sz val="11"/>
        <rFont val="宋体"/>
        <family val="3"/>
        <charset val="134"/>
      </rPr>
      <t>案例</t>
    </r>
    <r>
      <rPr>
        <sz val="11"/>
        <rFont val="Arial"/>
        <family val="2"/>
      </rPr>
      <t>C</t>
    </r>
    <phoneticPr fontId="3" type="noConversion"/>
  </si>
  <si>
    <r>
      <rPr>
        <sz val="11"/>
        <color indexed="8"/>
        <rFont val="宋体"/>
        <family val="3"/>
        <charset val="134"/>
      </rPr>
      <t>修正幅度</t>
    </r>
    <phoneticPr fontId="3" type="noConversion"/>
  </si>
  <si>
    <r>
      <rPr>
        <sz val="11"/>
        <rFont val="宋体"/>
        <family val="3"/>
        <charset val="134"/>
      </rPr>
      <t>比较因素</t>
    </r>
    <phoneticPr fontId="3" type="noConversion"/>
  </si>
  <si>
    <r>
      <rPr>
        <sz val="11"/>
        <color indexed="8"/>
        <rFont val="宋体"/>
        <family val="3"/>
        <charset val="134"/>
      </rPr>
      <t>正常</t>
    </r>
    <phoneticPr fontId="24" type="noConversion"/>
  </si>
  <si>
    <r>
      <rPr>
        <sz val="11"/>
        <color indexed="8"/>
        <rFont val="宋体"/>
        <family val="3"/>
        <charset val="134"/>
      </rPr>
      <t>商业繁华度</t>
    </r>
    <phoneticPr fontId="30" type="noConversion"/>
  </si>
  <si>
    <r>
      <rPr>
        <sz val="11"/>
        <color indexed="8"/>
        <rFont val="宋体"/>
        <family val="3"/>
        <charset val="134"/>
      </rPr>
      <t>公共配套设施</t>
    </r>
    <phoneticPr fontId="30" type="noConversion"/>
  </si>
  <si>
    <r>
      <rPr>
        <sz val="11"/>
        <color indexed="8"/>
        <rFont val="宋体"/>
        <family val="3"/>
        <charset val="134"/>
      </rPr>
      <t>基础设施水平</t>
    </r>
    <phoneticPr fontId="30" type="noConversion"/>
  </si>
  <si>
    <r>
      <rPr>
        <sz val="11"/>
        <color indexed="8"/>
        <rFont val="宋体"/>
        <family val="3"/>
        <charset val="134"/>
      </rPr>
      <t>临街状况</t>
    </r>
    <phoneticPr fontId="30" type="noConversion"/>
  </si>
  <si>
    <r>
      <rPr>
        <sz val="11"/>
        <color indexed="8"/>
        <rFont val="宋体"/>
        <family val="3"/>
        <charset val="134"/>
      </rPr>
      <t>平面位置</t>
    </r>
    <r>
      <rPr>
        <sz val="11"/>
        <color indexed="8"/>
        <rFont val="Arial"/>
        <family val="2"/>
      </rPr>
      <t>/</t>
    </r>
    <r>
      <rPr>
        <sz val="11"/>
        <color indexed="8"/>
        <rFont val="宋体"/>
        <family val="3"/>
        <charset val="134"/>
      </rPr>
      <t>可视性</t>
    </r>
    <phoneticPr fontId="30" type="noConversion"/>
  </si>
  <si>
    <r>
      <rPr>
        <sz val="11"/>
        <color indexed="8"/>
        <rFont val="宋体"/>
        <family val="3"/>
        <charset val="134"/>
      </rPr>
      <t>人流量</t>
    </r>
    <phoneticPr fontId="30" type="noConversion"/>
  </si>
  <si>
    <r>
      <rPr>
        <sz val="11"/>
        <color indexed="8"/>
        <rFont val="宋体"/>
        <family val="3"/>
        <charset val="134"/>
      </rPr>
      <t>楼层</t>
    </r>
    <phoneticPr fontId="30" type="noConversion"/>
  </si>
  <si>
    <r>
      <rPr>
        <sz val="11"/>
        <color indexed="8"/>
        <rFont val="宋体"/>
        <family val="3"/>
        <charset val="134"/>
      </rPr>
      <t>商业类型</t>
    </r>
    <phoneticPr fontId="30" type="noConversion"/>
  </si>
  <si>
    <r>
      <rPr>
        <sz val="11"/>
        <color indexed="8"/>
        <rFont val="宋体"/>
        <family val="3"/>
        <charset val="134"/>
      </rPr>
      <t>公共部分装修</t>
    </r>
    <phoneticPr fontId="30" type="noConversion"/>
  </si>
  <si>
    <r>
      <rPr>
        <sz val="11"/>
        <color indexed="8"/>
        <rFont val="宋体"/>
        <family val="3"/>
        <charset val="134"/>
      </rPr>
      <t>成新度</t>
    </r>
    <phoneticPr fontId="30" type="noConversion"/>
  </si>
  <si>
    <r>
      <rPr>
        <sz val="11"/>
        <color indexed="8"/>
        <rFont val="宋体"/>
        <family val="3"/>
        <charset val="134"/>
      </rPr>
      <t>市政基础设施</t>
    </r>
    <phoneticPr fontId="30" type="noConversion"/>
  </si>
  <si>
    <r>
      <rPr>
        <sz val="11"/>
        <color indexed="8"/>
        <rFont val="宋体"/>
        <family val="3"/>
        <charset val="134"/>
      </rPr>
      <t>业态</t>
    </r>
    <phoneticPr fontId="30" type="noConversion"/>
  </si>
  <si>
    <r>
      <rPr>
        <sz val="11"/>
        <color indexed="8"/>
        <rFont val="宋体"/>
        <family val="3"/>
        <charset val="134"/>
      </rPr>
      <t>层高</t>
    </r>
    <phoneticPr fontId="30" type="noConversion"/>
  </si>
  <si>
    <r>
      <rPr>
        <sz val="11"/>
        <color indexed="8"/>
        <rFont val="宋体"/>
        <family val="3"/>
        <charset val="134"/>
      </rPr>
      <t>单套建筑面积</t>
    </r>
    <phoneticPr fontId="30" type="noConversion"/>
  </si>
  <si>
    <r>
      <rPr>
        <sz val="11"/>
        <rFont val="宋体"/>
        <family val="3"/>
        <charset val="134"/>
      </rPr>
      <t>进深比</t>
    </r>
    <phoneticPr fontId="3" type="noConversion"/>
  </si>
  <si>
    <r>
      <rPr>
        <sz val="11"/>
        <color indexed="8"/>
        <rFont val="宋体"/>
        <family val="3"/>
        <charset val="134"/>
      </rPr>
      <t>内部装修</t>
    </r>
    <phoneticPr fontId="30"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</si>
  <si>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</si>
  <si>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</si>
  <si>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</si>
  <si>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</si>
  <si>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</si>
  <si>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</si>
  <si>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sz val="11"/>
        <rFont val="宋体"/>
        <family val="3"/>
        <charset val="134"/>
      </rPr>
      <t>七通</t>
    </r>
    <phoneticPr fontId="30" type="noConversion"/>
  </si>
  <si>
    <r>
      <rPr>
        <sz val="11"/>
        <rFont val="宋体"/>
        <family val="3"/>
        <charset val="134"/>
      </rPr>
      <t>六通</t>
    </r>
    <phoneticPr fontId="30" type="noConversion"/>
  </si>
  <si>
    <r>
      <rPr>
        <sz val="11"/>
        <rFont val="宋体"/>
        <family val="3"/>
        <charset val="134"/>
      </rPr>
      <t>五通</t>
    </r>
    <phoneticPr fontId="30" type="noConversion"/>
  </si>
  <si>
    <r>
      <rPr>
        <sz val="11"/>
        <rFont val="宋体"/>
        <family val="3"/>
        <charset val="134"/>
      </rPr>
      <t>四通</t>
    </r>
    <phoneticPr fontId="30" type="noConversion"/>
  </si>
  <si>
    <r>
      <rPr>
        <sz val="11"/>
        <rFont val="宋体"/>
        <family val="3"/>
        <charset val="134"/>
      </rPr>
      <t>三通</t>
    </r>
    <phoneticPr fontId="30" type="noConversion"/>
  </si>
  <si>
    <r>
      <rPr>
        <sz val="11"/>
        <color indexed="8"/>
        <rFont val="宋体"/>
        <family val="3"/>
        <charset val="134"/>
      </rPr>
      <t>临街状况</t>
    </r>
    <phoneticPr fontId="3" type="noConversion"/>
  </si>
  <si>
    <r>
      <rPr>
        <sz val="11"/>
        <color indexed="8"/>
        <rFont val="宋体"/>
        <family val="3"/>
        <charset val="134"/>
      </rPr>
      <t>商业类型</t>
    </r>
    <phoneticPr fontId="3" type="noConversion"/>
  </si>
  <si>
    <r>
      <rPr>
        <sz val="11"/>
        <color indexed="8"/>
        <rFont val="宋体"/>
        <family val="3"/>
        <charset val="134"/>
      </rPr>
      <t>业态</t>
    </r>
    <phoneticPr fontId="3" type="noConversion"/>
  </si>
  <si>
    <r>
      <rPr>
        <sz val="11"/>
        <color indexed="8"/>
        <rFont val="宋体"/>
        <family val="3"/>
        <charset val="134"/>
      </rPr>
      <t>层高</t>
    </r>
    <phoneticPr fontId="3" type="noConversion"/>
  </si>
  <si>
    <r>
      <rPr>
        <sz val="11"/>
        <color indexed="8"/>
        <rFont val="宋体"/>
        <family val="3"/>
        <charset val="134"/>
      </rPr>
      <t>单套建筑面积</t>
    </r>
    <phoneticPr fontId="3" type="noConversion"/>
  </si>
  <si>
    <r>
      <rPr>
        <sz val="11"/>
        <color indexed="8"/>
        <rFont val="宋体"/>
        <family val="3"/>
        <charset val="134"/>
      </rPr>
      <t>进深比</t>
    </r>
    <phoneticPr fontId="3" type="noConversion"/>
  </si>
  <si>
    <r>
      <rPr>
        <b/>
        <sz val="16"/>
        <rFont val="宋体"/>
        <family val="3"/>
        <charset val="134"/>
      </rPr>
      <t>办公</t>
    </r>
    <phoneticPr fontId="30" type="noConversion"/>
  </si>
  <si>
    <r>
      <rPr>
        <sz val="11"/>
        <color indexed="8"/>
        <rFont val="宋体"/>
        <family val="3"/>
        <charset val="134"/>
      </rPr>
      <t>办公集聚程度</t>
    </r>
    <phoneticPr fontId="30" type="noConversion"/>
  </si>
  <si>
    <r>
      <rPr>
        <sz val="11"/>
        <color indexed="8"/>
        <rFont val="宋体"/>
        <family val="3"/>
        <charset val="134"/>
      </rPr>
      <t>公共配套设施</t>
    </r>
    <phoneticPr fontId="31" type="noConversion"/>
  </si>
  <si>
    <r>
      <rPr>
        <sz val="11"/>
        <color indexed="8"/>
        <rFont val="宋体"/>
        <family val="3"/>
        <charset val="134"/>
      </rPr>
      <t>基础设施水平</t>
    </r>
    <phoneticPr fontId="31" type="noConversion"/>
  </si>
  <si>
    <r>
      <rPr>
        <sz val="11"/>
        <color indexed="8"/>
        <rFont val="宋体"/>
        <family val="3"/>
        <charset val="134"/>
      </rPr>
      <t>环境质量</t>
    </r>
    <phoneticPr fontId="31" type="noConversion"/>
  </si>
  <si>
    <r>
      <rPr>
        <sz val="11"/>
        <color indexed="8"/>
        <rFont val="宋体"/>
        <family val="3"/>
        <charset val="134"/>
      </rPr>
      <t>毗邻道路的类型与等级</t>
    </r>
    <phoneticPr fontId="30" type="noConversion"/>
  </si>
  <si>
    <r>
      <rPr>
        <sz val="11"/>
        <color indexed="8"/>
        <rFont val="宋体"/>
        <family val="3"/>
        <charset val="134"/>
      </rPr>
      <t>朝向</t>
    </r>
    <phoneticPr fontId="30" type="noConversion"/>
  </si>
  <si>
    <r>
      <rPr>
        <sz val="11"/>
        <color indexed="8"/>
        <rFont val="宋体"/>
        <family val="3"/>
        <charset val="134"/>
      </rPr>
      <t>建筑类型</t>
    </r>
    <phoneticPr fontId="30" type="noConversion"/>
  </si>
  <si>
    <r>
      <rPr>
        <sz val="11"/>
        <color indexed="8"/>
        <rFont val="宋体"/>
        <family val="3"/>
        <charset val="134"/>
      </rPr>
      <t>写字楼等级</t>
    </r>
    <phoneticPr fontId="30" type="noConversion"/>
  </si>
  <si>
    <r>
      <rPr>
        <sz val="11"/>
        <color indexed="8"/>
        <rFont val="宋体"/>
        <family val="3"/>
        <charset val="134"/>
      </rPr>
      <t>物业管理</t>
    </r>
    <phoneticPr fontId="30" type="noConversion"/>
  </si>
  <si>
    <r>
      <rPr>
        <sz val="11"/>
        <rFont val="宋体"/>
        <family val="3"/>
        <charset val="134"/>
      </rPr>
      <t>单套建筑面积</t>
    </r>
    <phoneticPr fontId="3" type="noConversion"/>
  </si>
  <si>
    <r>
      <rPr>
        <sz val="11"/>
        <color indexed="8"/>
        <rFont val="宋体"/>
        <family val="3"/>
        <charset val="134"/>
      </rPr>
      <t>办公集聚程度</t>
    </r>
    <phoneticPr fontId="3" type="noConversion"/>
  </si>
  <si>
    <r>
      <rPr>
        <sz val="11"/>
        <color indexed="8"/>
        <rFont val="宋体"/>
        <family val="3"/>
        <charset val="134"/>
      </rPr>
      <t>环境质量</t>
    </r>
    <phoneticPr fontId="3" type="noConversion"/>
  </si>
  <si>
    <r>
      <rPr>
        <sz val="11"/>
        <color indexed="8"/>
        <rFont val="宋体"/>
        <family val="3"/>
        <charset val="134"/>
      </rPr>
      <t>毗邻道路的类型与等级</t>
    </r>
    <phoneticPr fontId="3" type="noConversion"/>
  </si>
  <si>
    <r>
      <rPr>
        <sz val="11"/>
        <color indexed="8"/>
        <rFont val="宋体"/>
        <family val="3"/>
        <charset val="134"/>
      </rPr>
      <t>写字楼等级</t>
    </r>
    <phoneticPr fontId="3" type="noConversion"/>
  </si>
  <si>
    <r>
      <rPr>
        <sz val="11"/>
        <rFont val="宋体"/>
        <family val="3"/>
        <charset val="134"/>
      </rPr>
      <t>层高</t>
    </r>
    <phoneticPr fontId="3" type="noConversion"/>
  </si>
  <si>
    <r>
      <rPr>
        <b/>
        <sz val="16"/>
        <rFont val="宋体"/>
        <family val="3"/>
        <charset val="134"/>
      </rPr>
      <t>工业</t>
    </r>
    <phoneticPr fontId="3" type="noConversion"/>
  </si>
  <si>
    <r>
      <rPr>
        <sz val="11"/>
        <color indexed="8"/>
        <rFont val="宋体"/>
        <family val="3"/>
        <charset val="134"/>
      </rPr>
      <t>产业集聚程度</t>
    </r>
    <phoneticPr fontId="30" type="noConversion"/>
  </si>
  <si>
    <r>
      <rPr>
        <sz val="11"/>
        <color indexed="8"/>
        <rFont val="宋体"/>
        <family val="3"/>
        <charset val="134"/>
      </rPr>
      <t>内部装修状况</t>
    </r>
    <phoneticPr fontId="30" type="noConversion"/>
  </si>
  <si>
    <r>
      <rPr>
        <sz val="11"/>
        <color indexed="8"/>
        <rFont val="宋体"/>
        <family val="3"/>
        <charset val="134"/>
      </rPr>
      <t>产业集聚程度</t>
    </r>
    <phoneticPr fontId="3" type="noConversion"/>
  </si>
  <si>
    <r>
      <rPr>
        <sz val="11"/>
        <rFont val="宋体"/>
        <family val="3"/>
        <charset val="134"/>
      </rPr>
      <t>内部装修维护状况</t>
    </r>
    <phoneticPr fontId="3" type="noConversion"/>
  </si>
  <si>
    <r>
      <rPr>
        <b/>
        <sz val="16"/>
        <color indexed="10"/>
        <rFont val="宋体"/>
        <family val="3"/>
        <charset val="134"/>
      </rPr>
      <t>比较法</t>
    </r>
    <phoneticPr fontId="3" type="noConversion"/>
  </si>
  <si>
    <r>
      <rPr>
        <b/>
        <sz val="12"/>
        <rFont val="宋体"/>
        <family val="3"/>
        <charset val="134"/>
      </rPr>
      <t>车位数</t>
    </r>
    <phoneticPr fontId="24" type="noConversion"/>
  </si>
  <si>
    <r>
      <rPr>
        <sz val="11"/>
        <color indexed="8"/>
        <rFont val="宋体"/>
        <family val="3"/>
        <charset val="134"/>
      </rPr>
      <t>交通便捷度</t>
    </r>
    <phoneticPr fontId="30" type="noConversion"/>
  </si>
  <si>
    <r>
      <rPr>
        <sz val="11"/>
        <color indexed="8"/>
        <rFont val="宋体"/>
        <family val="3"/>
        <charset val="134"/>
      </rPr>
      <t>自然及人文环境</t>
    </r>
    <phoneticPr fontId="31" type="noConversion"/>
  </si>
  <si>
    <r>
      <rPr>
        <sz val="11"/>
        <color indexed="8"/>
        <rFont val="宋体"/>
        <family val="3"/>
        <charset val="134"/>
      </rPr>
      <t>楼层</t>
    </r>
    <phoneticPr fontId="31" type="noConversion"/>
  </si>
  <si>
    <r>
      <rPr>
        <sz val="11"/>
        <color indexed="8"/>
        <rFont val="宋体"/>
        <family val="3"/>
        <charset val="134"/>
      </rPr>
      <t>配套类型</t>
    </r>
    <phoneticPr fontId="30" type="noConversion"/>
  </si>
  <si>
    <r>
      <rPr>
        <sz val="11"/>
        <color indexed="8"/>
        <rFont val="宋体"/>
        <family val="3"/>
        <charset val="134"/>
      </rPr>
      <t>项目停车位配比</t>
    </r>
    <phoneticPr fontId="31" type="noConversion"/>
  </si>
  <si>
    <r>
      <rPr>
        <sz val="11"/>
        <color indexed="8"/>
        <rFont val="宋体"/>
        <family val="3"/>
        <charset val="134"/>
      </rPr>
      <t>公共部分装修</t>
    </r>
    <phoneticPr fontId="31" type="noConversion"/>
  </si>
  <si>
    <r>
      <rPr>
        <sz val="11"/>
        <color indexed="8"/>
        <rFont val="宋体"/>
        <family val="3"/>
        <charset val="134"/>
      </rPr>
      <t>成新率</t>
    </r>
    <phoneticPr fontId="30" type="noConversion"/>
  </si>
  <si>
    <r>
      <rPr>
        <sz val="11"/>
        <color indexed="8"/>
        <rFont val="宋体"/>
        <family val="3"/>
        <charset val="134"/>
      </rPr>
      <t>物业等级</t>
    </r>
    <phoneticPr fontId="30" type="noConversion"/>
  </si>
  <si>
    <r>
      <rPr>
        <sz val="11"/>
        <color indexed="8"/>
        <rFont val="宋体"/>
        <family val="3"/>
        <charset val="134"/>
      </rPr>
      <t>停车位面积</t>
    </r>
    <phoneticPr fontId="30" type="noConversion"/>
  </si>
  <si>
    <r>
      <rPr>
        <sz val="11"/>
        <color indexed="8"/>
        <rFont val="宋体"/>
        <family val="3"/>
        <charset val="134"/>
      </rPr>
      <t>车位类型</t>
    </r>
    <phoneticPr fontId="30" type="noConversion"/>
  </si>
  <si>
    <r>
      <rPr>
        <sz val="11"/>
        <color indexed="8"/>
        <rFont val="宋体"/>
        <family val="3"/>
        <charset val="134"/>
      </rPr>
      <t>是否直接入户</t>
    </r>
    <phoneticPr fontId="30" type="noConversion"/>
  </si>
  <si>
    <r>
      <rPr>
        <b/>
        <sz val="11"/>
        <rFont val="宋体"/>
        <family val="3"/>
        <charset val="134"/>
      </rPr>
      <t>成交单价</t>
    </r>
    <phoneticPr fontId="3" type="noConversion"/>
  </si>
  <si>
    <r>
      <rPr>
        <b/>
        <sz val="11"/>
        <rFont val="宋体"/>
        <family val="3"/>
        <charset val="134"/>
      </rPr>
      <t>比较价值（元</t>
    </r>
    <r>
      <rPr>
        <b/>
        <sz val="11"/>
        <rFont val="Arial"/>
        <family val="2"/>
      </rPr>
      <t>/</t>
    </r>
    <r>
      <rPr>
        <b/>
        <sz val="11"/>
        <rFont val="宋体"/>
        <family val="3"/>
        <charset val="134"/>
      </rPr>
      <t>平方米）</t>
    </r>
    <phoneticPr fontId="3" type="noConversion"/>
  </si>
  <si>
    <r>
      <rPr>
        <b/>
        <sz val="11"/>
        <rFont val="宋体"/>
        <family val="3"/>
        <charset val="134"/>
      </rPr>
      <t>估价对象</t>
    </r>
    <r>
      <rPr>
        <b/>
        <sz val="11"/>
        <color theme="9" tint="-0.249977111117893"/>
        <rFont val="Arial"/>
        <family val="2"/>
      </rPr>
      <t>XX</t>
    </r>
    <r>
      <rPr>
        <b/>
        <sz val="11"/>
        <color theme="9" tint="-0.249977111117893"/>
        <rFont val="宋体"/>
        <family val="3"/>
        <charset val="134"/>
      </rPr>
      <t>用房</t>
    </r>
    <r>
      <rPr>
        <b/>
        <sz val="11"/>
        <color indexed="10"/>
        <rFont val="宋体"/>
        <family val="3"/>
        <charset val="134"/>
      </rPr>
      <t>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</si>
  <si>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b/>
        <sz val="11"/>
        <rFont val="宋体"/>
        <family val="3"/>
        <charset val="134"/>
      </rPr>
      <t>总修正幅度不超过</t>
    </r>
    <r>
      <rPr>
        <b/>
        <sz val="11"/>
        <color indexed="10"/>
        <rFont val="Arial"/>
        <family val="2"/>
      </rPr>
      <t>30%</t>
    </r>
    <phoneticPr fontId="3" type="noConversion"/>
  </si>
  <si>
    <r>
      <rPr>
        <b/>
        <sz val="11"/>
        <rFont val="宋体"/>
        <family val="3"/>
        <charset val="134"/>
      </rPr>
      <t>各修正结果之间不超过</t>
    </r>
    <r>
      <rPr>
        <b/>
        <sz val="11"/>
        <color indexed="10"/>
        <rFont val="Arial"/>
        <family val="2"/>
      </rPr>
      <t>20%</t>
    </r>
    <phoneticPr fontId="3" type="noConversion"/>
  </si>
  <si>
    <r>
      <rPr>
        <b/>
        <sz val="11"/>
        <rFont val="宋体"/>
        <family val="3"/>
        <charset val="134"/>
      </rPr>
      <t>各案例间不超过</t>
    </r>
    <r>
      <rPr>
        <b/>
        <sz val="11"/>
        <color indexed="10"/>
        <rFont val="Arial"/>
        <family val="2"/>
      </rPr>
      <t>30%</t>
    </r>
    <phoneticPr fontId="3" type="noConversion"/>
  </si>
  <si>
    <r>
      <rPr>
        <b/>
        <sz val="16"/>
        <color indexed="8"/>
        <rFont val="宋体"/>
        <family val="3"/>
        <charset val="134"/>
      </rPr>
      <t>各因素等级说明（</t>
    </r>
    <r>
      <rPr>
        <b/>
        <sz val="16"/>
        <color indexed="10"/>
        <rFont val="宋体"/>
        <family val="3"/>
        <charset val="134"/>
      </rPr>
      <t>手工录入的系数取值除建筑面积外，均应自高至低排序</t>
    </r>
    <r>
      <rPr>
        <b/>
        <sz val="16"/>
        <color indexed="8"/>
        <rFont val="宋体"/>
        <family val="3"/>
        <charset val="134"/>
      </rPr>
      <t>）</t>
    </r>
    <phoneticPr fontId="3" type="noConversion"/>
  </si>
  <si>
    <r>
      <rPr>
        <b/>
        <sz val="11"/>
        <color indexed="8"/>
        <rFont val="宋体"/>
        <family val="3"/>
        <charset val="134"/>
      </rPr>
      <t>交易时间</t>
    </r>
    <phoneticPr fontId="3" type="noConversion"/>
  </si>
  <si>
    <r>
      <rPr>
        <sz val="11"/>
        <color indexed="8"/>
        <rFont val="宋体"/>
        <family val="3"/>
        <charset val="134"/>
      </rPr>
      <t>楼层</t>
    </r>
    <phoneticPr fontId="3" type="noConversion"/>
  </si>
  <si>
    <r>
      <rPr>
        <sz val="11"/>
        <color indexed="8"/>
        <rFont val="宋体"/>
        <family val="3"/>
        <charset val="134"/>
      </rPr>
      <t>配套类型（地上主用途）</t>
    </r>
    <phoneticPr fontId="3" type="noConversion"/>
  </si>
  <si>
    <r>
      <rPr>
        <sz val="11"/>
        <color indexed="8"/>
        <rFont val="宋体"/>
        <family val="3"/>
        <charset val="134"/>
      </rPr>
      <t>项目停车位配比</t>
    </r>
    <phoneticPr fontId="3" type="noConversion"/>
  </si>
  <si>
    <r>
      <rPr>
        <sz val="11"/>
        <color indexed="8"/>
        <rFont val="宋体"/>
        <family val="3"/>
        <charset val="134"/>
      </rPr>
      <t>成新率</t>
    </r>
    <phoneticPr fontId="3" type="noConversion"/>
  </si>
  <si>
    <r>
      <rPr>
        <sz val="11"/>
        <color indexed="8"/>
        <rFont val="宋体"/>
        <family val="3"/>
        <charset val="134"/>
      </rPr>
      <t>物业等级</t>
    </r>
    <phoneticPr fontId="31" type="noConversion"/>
  </si>
  <si>
    <r>
      <rPr>
        <sz val="11"/>
        <color indexed="8"/>
        <rFont val="宋体"/>
        <family val="3"/>
        <charset val="134"/>
      </rPr>
      <t>停车位面积</t>
    </r>
    <phoneticPr fontId="3" type="noConversion"/>
  </si>
  <si>
    <r>
      <rPr>
        <sz val="11"/>
        <color indexed="8"/>
        <rFont val="宋体"/>
        <family val="3"/>
        <charset val="134"/>
      </rPr>
      <t>车位类型</t>
    </r>
    <phoneticPr fontId="3" type="noConversion"/>
  </si>
  <si>
    <r>
      <rPr>
        <sz val="11"/>
        <color indexed="8"/>
        <rFont val="宋体"/>
        <family val="3"/>
        <charset val="134"/>
      </rPr>
      <t>是否直接入户</t>
    </r>
    <phoneticPr fontId="3" type="noConversion"/>
  </si>
  <si>
    <r>
      <rPr>
        <sz val="11"/>
        <color indexed="8"/>
        <rFont val="宋体"/>
        <family val="3"/>
        <charset val="134"/>
      </rPr>
      <t>有无电梯</t>
    </r>
    <phoneticPr fontId="30" type="noConversion"/>
  </si>
  <si>
    <r>
      <rPr>
        <sz val="11"/>
        <color indexed="8"/>
        <rFont val="宋体"/>
        <family val="3"/>
        <charset val="134"/>
      </rPr>
      <t>建筑面积</t>
    </r>
    <phoneticPr fontId="30" type="noConversion"/>
  </si>
  <si>
    <r>
      <rPr>
        <sz val="11"/>
        <color indexed="8"/>
        <rFont val="宋体"/>
        <family val="3"/>
        <charset val="134"/>
      </rPr>
      <t>是否封闭</t>
    </r>
    <phoneticPr fontId="30" type="noConversion"/>
  </si>
  <si>
    <r>
      <rPr>
        <sz val="11"/>
        <color indexed="8"/>
        <rFont val="宋体"/>
        <family val="3"/>
        <charset val="134"/>
      </rPr>
      <t>公用设施及基础设施水平</t>
    </r>
    <phoneticPr fontId="3" type="noConversion"/>
  </si>
  <si>
    <r>
      <rPr>
        <sz val="11"/>
        <color indexed="8"/>
        <rFont val="宋体"/>
        <family val="3"/>
        <charset val="134"/>
      </rPr>
      <t>有无电梯</t>
    </r>
    <phoneticPr fontId="3" type="noConversion"/>
  </si>
  <si>
    <r>
      <rPr>
        <sz val="11"/>
        <color indexed="8"/>
        <rFont val="宋体"/>
        <family val="3"/>
        <charset val="134"/>
      </rPr>
      <t>建筑面积</t>
    </r>
    <phoneticPr fontId="31" type="noConversion"/>
  </si>
  <si>
    <r>
      <rPr>
        <sz val="11"/>
        <color indexed="8"/>
        <rFont val="宋体"/>
        <family val="3"/>
        <charset val="134"/>
      </rPr>
      <t>是否封闭</t>
    </r>
    <phoneticPr fontId="3" type="noConversion"/>
  </si>
  <si>
    <r>
      <rPr>
        <b/>
        <sz val="16"/>
        <color indexed="10"/>
        <rFont val="宋体"/>
        <family val="3"/>
        <charset val="134"/>
      </rPr>
      <t>套用比较法</t>
    </r>
    <phoneticPr fontId="3" type="noConversion"/>
  </si>
  <si>
    <r>
      <rPr>
        <b/>
        <sz val="16"/>
        <rFont val="宋体"/>
        <family val="3"/>
        <charset val="134"/>
      </rPr>
      <t>住宅、综合</t>
    </r>
    <phoneticPr fontId="30" type="noConversion"/>
  </si>
  <si>
    <r>
      <rPr>
        <b/>
        <sz val="12"/>
        <rFont val="宋体"/>
        <family val="3"/>
        <charset val="134"/>
      </rPr>
      <t>建筑面积</t>
    </r>
    <phoneticPr fontId="18" type="noConversion"/>
  </si>
  <si>
    <r>
      <rPr>
        <sz val="11"/>
        <color indexed="8"/>
        <rFont val="宋体"/>
        <family val="3"/>
        <charset val="134"/>
      </rPr>
      <t>配建</t>
    </r>
    <phoneticPr fontId="30" type="noConversion"/>
  </si>
  <si>
    <r>
      <rPr>
        <sz val="11"/>
        <color indexed="8"/>
        <rFont val="宋体"/>
        <family val="3"/>
        <charset val="134"/>
      </rPr>
      <t>区域土地利用方向</t>
    </r>
    <phoneticPr fontId="30" type="noConversion"/>
  </si>
  <si>
    <r>
      <rPr>
        <sz val="11"/>
        <color indexed="8"/>
        <rFont val="宋体"/>
        <family val="3"/>
        <charset val="134"/>
      </rPr>
      <t>自然及人文环境状况</t>
    </r>
    <phoneticPr fontId="30" type="noConversion"/>
  </si>
  <si>
    <r>
      <rPr>
        <sz val="11"/>
        <color indexed="8"/>
        <rFont val="宋体"/>
        <family val="3"/>
        <charset val="134"/>
      </rPr>
      <t>土地级别</t>
    </r>
    <phoneticPr fontId="30" type="noConversion"/>
  </si>
  <si>
    <r>
      <rPr>
        <sz val="11"/>
        <color indexed="8"/>
        <rFont val="宋体"/>
        <family val="3"/>
        <charset val="134"/>
      </rPr>
      <t>宗地面积</t>
    </r>
    <phoneticPr fontId="30" type="noConversion"/>
  </si>
  <si>
    <r>
      <rPr>
        <sz val="11"/>
        <color indexed="8"/>
        <rFont val="宋体"/>
        <family val="3"/>
        <charset val="134"/>
      </rPr>
      <t>宗地形状</t>
    </r>
    <phoneticPr fontId="30" type="noConversion"/>
  </si>
  <si>
    <r>
      <rPr>
        <sz val="11"/>
        <color indexed="8"/>
        <rFont val="宋体"/>
        <family val="3"/>
        <charset val="134"/>
      </rPr>
      <t>临街宽度及深度</t>
    </r>
    <phoneticPr fontId="30" type="noConversion"/>
  </si>
  <si>
    <r>
      <rPr>
        <sz val="11"/>
        <color indexed="8"/>
        <rFont val="宋体"/>
        <family val="3"/>
        <charset val="134"/>
      </rPr>
      <t>宗地开发程度</t>
    </r>
    <phoneticPr fontId="30" type="noConversion"/>
  </si>
  <si>
    <r>
      <rPr>
        <sz val="11"/>
        <color indexed="8"/>
        <rFont val="宋体"/>
        <family val="3"/>
        <charset val="134"/>
      </rPr>
      <t>工程地质条件</t>
    </r>
    <phoneticPr fontId="30" type="noConversion"/>
  </si>
  <si>
    <r>
      <rPr>
        <b/>
        <sz val="11"/>
        <rFont val="宋体"/>
        <family val="3"/>
        <charset val="134"/>
      </rPr>
      <t>楼面地价</t>
    </r>
  </si>
  <si>
    <r>
      <rPr>
        <b/>
        <sz val="11"/>
        <rFont val="宋体"/>
        <family val="3"/>
        <charset val="134"/>
      </rPr>
      <t>估价对象</t>
    </r>
    <r>
      <rPr>
        <b/>
        <sz val="11"/>
        <color indexed="10"/>
        <rFont val="Arial"/>
        <family val="2"/>
      </rPr>
      <t>XX</t>
    </r>
    <r>
      <rPr>
        <b/>
        <sz val="11"/>
        <color indexed="10"/>
        <rFont val="宋体"/>
        <family val="3"/>
        <charset val="134"/>
      </rPr>
      <t>用房的</t>
    </r>
    <r>
      <rPr>
        <b/>
        <sz val="11"/>
        <rFont val="宋体"/>
        <family val="3"/>
        <charset val="134"/>
      </rPr>
      <t>比较价值（楼面单价，元</t>
    </r>
    <r>
      <rPr>
        <b/>
        <sz val="11"/>
        <rFont val="Arial"/>
        <family val="2"/>
      </rPr>
      <t>/</t>
    </r>
    <r>
      <rPr>
        <b/>
        <sz val="11"/>
        <rFont val="宋体"/>
        <family val="3"/>
        <charset val="134"/>
      </rPr>
      <t>平方米）</t>
    </r>
    <phoneticPr fontId="3" type="noConversion"/>
  </si>
  <si>
    <r>
      <rPr>
        <sz val="11"/>
        <rFont val="宋体"/>
        <family val="3"/>
        <charset val="134"/>
      </rPr>
      <t>用途</t>
    </r>
    <r>
      <rPr>
        <sz val="11"/>
        <rFont val="Arial"/>
        <family val="2"/>
      </rPr>
      <t>/</t>
    </r>
    <r>
      <rPr>
        <sz val="11"/>
        <rFont val="宋体"/>
        <family val="3"/>
        <charset val="134"/>
      </rPr>
      <t>位置</t>
    </r>
    <phoneticPr fontId="30" type="noConversion"/>
  </si>
  <si>
    <r>
      <rPr>
        <sz val="11"/>
        <rFont val="宋体"/>
        <family val="3"/>
        <charset val="134"/>
      </rPr>
      <t>修正单价</t>
    </r>
    <phoneticPr fontId="30" type="noConversion"/>
  </si>
  <si>
    <r>
      <rPr>
        <sz val="11"/>
        <rFont val="宋体"/>
        <family val="3"/>
        <charset val="134"/>
      </rPr>
      <t>北京市系数</t>
    </r>
  </si>
  <si>
    <r>
      <rPr>
        <sz val="11"/>
        <rFont val="宋体"/>
        <family val="3"/>
        <charset val="134"/>
      </rPr>
      <t>政府土地出让收益比例</t>
    </r>
    <phoneticPr fontId="3" type="noConversion"/>
  </si>
  <si>
    <r>
      <rPr>
        <sz val="11"/>
        <rFont val="宋体"/>
        <family val="3"/>
        <charset val="134"/>
      </rPr>
      <t>建筑面积</t>
    </r>
    <phoneticPr fontId="30" type="noConversion"/>
  </si>
  <si>
    <r>
      <rPr>
        <sz val="11"/>
        <rFont val="宋体"/>
        <family val="3"/>
        <charset val="134"/>
      </rPr>
      <t>总价</t>
    </r>
    <phoneticPr fontId="30" type="noConversion"/>
  </si>
  <si>
    <r>
      <rPr>
        <sz val="11"/>
        <rFont val="宋体"/>
        <family val="3"/>
        <charset val="134"/>
      </rPr>
      <t>对应的地上用途及土地级别（北京市）</t>
    </r>
    <phoneticPr fontId="30" type="noConversion"/>
  </si>
  <si>
    <r>
      <rPr>
        <sz val="11"/>
        <color theme="1"/>
        <rFont val="宋体"/>
        <family val="3"/>
        <charset val="134"/>
      </rPr>
      <t>北京市</t>
    </r>
    <phoneticPr fontId="30" type="noConversion"/>
  </si>
  <si>
    <r>
      <rPr>
        <sz val="11"/>
        <color rgb="FFFF0000"/>
        <rFont val="宋体"/>
        <family val="3"/>
        <charset val="134"/>
      </rPr>
      <t>外省市地下修正系数请自行录入</t>
    </r>
    <phoneticPr fontId="30" type="noConversion"/>
  </si>
  <si>
    <r>
      <rPr>
        <sz val="10"/>
        <rFont val="宋体"/>
        <family val="3"/>
        <charset val="134"/>
      </rPr>
      <t>地上</t>
    </r>
    <phoneticPr fontId="18" type="noConversion"/>
  </si>
  <si>
    <r>
      <rPr>
        <sz val="10"/>
        <rFont val="宋体"/>
        <family val="3"/>
        <charset val="134"/>
      </rPr>
      <t>地下商业（</t>
    </r>
    <r>
      <rPr>
        <sz val="10"/>
        <rFont val="Arial"/>
        <family val="2"/>
      </rPr>
      <t>-1</t>
    </r>
    <r>
      <rPr>
        <sz val="10"/>
        <rFont val="宋体"/>
        <family val="3"/>
        <charset val="134"/>
      </rPr>
      <t>）</t>
    </r>
    <phoneticPr fontId="16" type="noConversion"/>
  </si>
  <si>
    <r>
      <rPr>
        <sz val="10"/>
        <color theme="1"/>
        <rFont val="宋体"/>
        <family val="3"/>
        <charset val="134"/>
      </rPr>
      <t>对应商业级别</t>
    </r>
    <phoneticPr fontId="30" type="noConversion"/>
  </si>
  <si>
    <r>
      <rPr>
        <sz val="10"/>
        <rFont val="宋体"/>
        <family val="3"/>
        <charset val="134"/>
      </rPr>
      <t>地下商业（</t>
    </r>
    <r>
      <rPr>
        <sz val="10"/>
        <rFont val="Arial"/>
        <family val="2"/>
      </rPr>
      <t>-2</t>
    </r>
    <r>
      <rPr>
        <sz val="10"/>
        <rFont val="宋体"/>
        <family val="3"/>
        <charset val="134"/>
      </rPr>
      <t>）</t>
    </r>
    <phoneticPr fontId="16" type="noConversion"/>
  </si>
  <si>
    <r>
      <rPr>
        <sz val="10"/>
        <rFont val="宋体"/>
        <family val="3"/>
        <charset val="134"/>
      </rPr>
      <t>地下商业（</t>
    </r>
    <r>
      <rPr>
        <sz val="10"/>
        <rFont val="Arial"/>
        <family val="2"/>
      </rPr>
      <t>-3</t>
    </r>
    <r>
      <rPr>
        <sz val="10"/>
        <rFont val="宋体"/>
        <family val="3"/>
        <charset val="134"/>
      </rPr>
      <t>）</t>
    </r>
    <phoneticPr fontId="16" type="noConversion"/>
  </si>
  <si>
    <r>
      <rPr>
        <sz val="10"/>
        <rFont val="宋体"/>
        <family val="3"/>
        <charset val="134"/>
      </rPr>
      <t>地下办公（含物业）</t>
    </r>
    <phoneticPr fontId="16" type="noConversion"/>
  </si>
  <si>
    <r>
      <rPr>
        <sz val="10"/>
        <color theme="1"/>
        <rFont val="宋体"/>
        <family val="3"/>
        <charset val="134"/>
      </rPr>
      <t>对应办公级别</t>
    </r>
    <phoneticPr fontId="30" type="noConversion"/>
  </si>
  <si>
    <r>
      <rPr>
        <sz val="10"/>
        <rFont val="宋体"/>
        <family val="3"/>
        <charset val="134"/>
      </rPr>
      <t>地下仓储</t>
    </r>
    <phoneticPr fontId="16" type="noConversion"/>
  </si>
  <si>
    <r>
      <rPr>
        <sz val="10"/>
        <color indexed="53"/>
        <rFont val="宋体"/>
        <family val="3"/>
        <charset val="134"/>
      </rPr>
      <t>办公</t>
    </r>
  </si>
  <si>
    <r>
      <rPr>
        <sz val="10"/>
        <rFont val="宋体"/>
        <family val="3"/>
        <charset val="134"/>
      </rPr>
      <t>地下车库</t>
    </r>
    <phoneticPr fontId="16" type="noConversion"/>
  </si>
  <si>
    <r>
      <rPr>
        <sz val="10"/>
        <color indexed="53"/>
        <rFont val="宋体"/>
        <family val="3"/>
        <charset val="134"/>
      </rPr>
      <t>住宅</t>
    </r>
  </si>
  <si>
    <r>
      <rPr>
        <sz val="10"/>
        <rFont val="宋体"/>
        <family val="3"/>
        <charset val="134"/>
      </rPr>
      <t>地下车库</t>
    </r>
    <r>
      <rPr>
        <sz val="10"/>
        <rFont val="Arial"/>
        <family val="2"/>
      </rPr>
      <t>-</t>
    </r>
    <r>
      <rPr>
        <sz val="10"/>
        <rFont val="宋体"/>
        <family val="3"/>
        <charset val="134"/>
      </rPr>
      <t>商业</t>
    </r>
    <phoneticPr fontId="16" type="noConversion"/>
  </si>
  <si>
    <r>
      <rPr>
        <sz val="10"/>
        <rFont val="宋体"/>
        <family val="3"/>
        <charset val="134"/>
      </rPr>
      <t>地下车库</t>
    </r>
    <r>
      <rPr>
        <sz val="10"/>
        <rFont val="Arial"/>
        <family val="2"/>
      </rPr>
      <t>-</t>
    </r>
    <r>
      <rPr>
        <sz val="10"/>
        <rFont val="宋体"/>
        <family val="3"/>
        <charset val="134"/>
      </rPr>
      <t>办公</t>
    </r>
    <phoneticPr fontId="16" type="noConversion"/>
  </si>
  <si>
    <r>
      <rPr>
        <b/>
        <sz val="10"/>
        <rFont val="宋体"/>
        <family val="3"/>
        <charset val="134"/>
      </rPr>
      <t>土地购买价格</t>
    </r>
    <phoneticPr fontId="16" type="noConversion"/>
  </si>
  <si>
    <r>
      <rPr>
        <b/>
        <sz val="11"/>
        <color indexed="8"/>
        <rFont val="宋体"/>
        <family val="3"/>
        <charset val="134"/>
      </rPr>
      <t>交易时间（按季度调整）</t>
    </r>
    <phoneticPr fontId="3" type="noConversion"/>
  </si>
  <si>
    <r>
      <rPr>
        <b/>
        <sz val="11"/>
        <color indexed="8"/>
        <rFont val="宋体"/>
        <family val="3"/>
        <charset val="134"/>
      </rPr>
      <t>住宅</t>
    </r>
  </si>
  <si>
    <r>
      <rPr>
        <sz val="11"/>
        <color indexed="8"/>
        <rFont val="宋体"/>
        <family val="3"/>
        <charset val="134"/>
      </rPr>
      <t>商业繁华度</t>
    </r>
    <phoneticPr fontId="3" type="noConversion"/>
  </si>
  <si>
    <r>
      <rPr>
        <sz val="11"/>
        <color indexed="8"/>
        <rFont val="宋体"/>
        <family val="3"/>
        <charset val="134"/>
      </rPr>
      <t>区域土地利用方向</t>
    </r>
    <phoneticPr fontId="3" type="noConversion"/>
  </si>
  <si>
    <r>
      <rPr>
        <sz val="11"/>
        <color indexed="8"/>
        <rFont val="宋体"/>
        <family val="3"/>
        <charset val="134"/>
      </rPr>
      <t>自然及人文环境状况</t>
    </r>
    <phoneticPr fontId="3" type="noConversion"/>
  </si>
  <si>
    <r>
      <rPr>
        <sz val="11"/>
        <rFont val="宋体"/>
        <family val="3"/>
        <charset val="134"/>
      </rPr>
      <t>多面临街</t>
    </r>
    <phoneticPr fontId="30" type="noConversion"/>
  </si>
  <si>
    <r>
      <rPr>
        <sz val="11"/>
        <rFont val="宋体"/>
        <family val="3"/>
        <charset val="134"/>
      </rPr>
      <t>双面临街</t>
    </r>
    <phoneticPr fontId="30" type="noConversion"/>
  </si>
  <si>
    <r>
      <rPr>
        <sz val="11"/>
        <rFont val="宋体"/>
        <family val="3"/>
        <charset val="134"/>
      </rPr>
      <t>单面临街</t>
    </r>
    <phoneticPr fontId="30" type="noConversion"/>
  </si>
  <si>
    <r>
      <rPr>
        <sz val="11"/>
        <rFont val="宋体"/>
        <family val="3"/>
        <charset val="134"/>
      </rPr>
      <t>不临街</t>
    </r>
    <phoneticPr fontId="30" type="noConversion"/>
  </si>
  <si>
    <r>
      <rPr>
        <sz val="11"/>
        <color indexed="8"/>
        <rFont val="宋体"/>
        <family val="3"/>
        <charset val="134"/>
      </rPr>
      <t>宗地面积</t>
    </r>
    <phoneticPr fontId="3" type="noConversion"/>
  </si>
  <si>
    <r>
      <rPr>
        <sz val="11"/>
        <color indexed="8"/>
        <rFont val="宋体"/>
        <family val="3"/>
        <charset val="134"/>
      </rPr>
      <t>宗地形状</t>
    </r>
    <phoneticPr fontId="3" type="noConversion"/>
  </si>
  <si>
    <r>
      <rPr>
        <sz val="11"/>
        <color indexed="8"/>
        <rFont val="宋体"/>
        <family val="3"/>
        <charset val="134"/>
      </rPr>
      <t>临街宽度及深度</t>
    </r>
    <phoneticPr fontId="3" type="noConversion"/>
  </si>
  <si>
    <r>
      <rPr>
        <sz val="11"/>
        <color indexed="8"/>
        <rFont val="宋体"/>
        <family val="3"/>
        <charset val="134"/>
      </rPr>
      <t>宗地开发程度</t>
    </r>
    <phoneticPr fontId="3" type="noConversion"/>
  </si>
  <si>
    <r>
      <rPr>
        <sz val="11"/>
        <color indexed="8"/>
        <rFont val="宋体"/>
        <family val="3"/>
        <charset val="134"/>
      </rPr>
      <t>工程地质条件</t>
    </r>
    <phoneticPr fontId="3" type="noConversion"/>
  </si>
  <si>
    <r>
      <rPr>
        <b/>
        <sz val="16"/>
        <rFont val="宋体"/>
        <family val="3"/>
        <charset val="134"/>
      </rPr>
      <t>工业</t>
    </r>
    <phoneticPr fontId="30" type="noConversion"/>
  </si>
  <si>
    <r>
      <rPr>
        <sz val="11"/>
        <rFont val="宋体"/>
        <family val="3"/>
        <charset val="134"/>
      </rPr>
      <t>项目位置</t>
    </r>
    <phoneticPr fontId="3" type="noConversion"/>
  </si>
  <si>
    <r>
      <rPr>
        <sz val="11"/>
        <color indexed="8"/>
        <rFont val="宋体"/>
        <family val="3"/>
        <charset val="134"/>
      </rPr>
      <t>产业集聚程度</t>
    </r>
    <phoneticPr fontId="32" type="noConversion"/>
  </si>
  <si>
    <r>
      <rPr>
        <sz val="11"/>
        <color indexed="8"/>
        <rFont val="宋体"/>
        <family val="3"/>
        <charset val="134"/>
      </rPr>
      <t>环境状况</t>
    </r>
    <phoneticPr fontId="30" type="noConversion"/>
  </si>
  <si>
    <r>
      <rPr>
        <sz val="11"/>
        <rFont val="宋体"/>
        <family val="3"/>
        <charset val="134"/>
      </rPr>
      <t>北京市</t>
    </r>
    <phoneticPr fontId="30" type="noConversion"/>
  </si>
  <si>
    <r>
      <rPr>
        <b/>
        <sz val="11"/>
        <color indexed="8"/>
        <rFont val="宋体"/>
        <family val="3"/>
        <charset val="134"/>
      </rPr>
      <t>工业</t>
    </r>
    <phoneticPr fontId="32" type="noConversion"/>
  </si>
  <si>
    <r>
      <rPr>
        <sz val="11"/>
        <color indexed="8"/>
        <rFont val="宋体"/>
        <family val="3"/>
        <charset val="134"/>
      </rPr>
      <t>基础设施水平</t>
    </r>
    <phoneticPr fontId="32" type="noConversion"/>
  </si>
  <si>
    <r>
      <rPr>
        <b/>
        <sz val="16"/>
        <color indexed="10"/>
        <rFont val="宋体"/>
        <family val="3"/>
        <charset val="134"/>
      </rPr>
      <t>基准地价系数修正法</t>
    </r>
    <phoneticPr fontId="3" type="noConversion"/>
  </si>
  <si>
    <r>
      <rPr>
        <b/>
        <sz val="12"/>
        <rFont val="宋体"/>
        <family val="3"/>
        <charset val="134"/>
      </rPr>
      <t>建筑面积</t>
    </r>
    <phoneticPr fontId="76" type="noConversion"/>
  </si>
  <si>
    <r>
      <rPr>
        <sz val="11"/>
        <color theme="1"/>
        <rFont val="宋体"/>
        <family val="3"/>
        <charset val="134"/>
      </rPr>
      <t>一级</t>
    </r>
  </si>
  <si>
    <r>
      <rPr>
        <sz val="12"/>
        <rFont val="宋体"/>
        <family val="3"/>
        <charset val="134"/>
      </rPr>
      <t>商业多楼层</t>
    </r>
    <phoneticPr fontId="3" type="noConversion"/>
  </si>
  <si>
    <r>
      <rPr>
        <sz val="12"/>
        <rFont val="宋体"/>
        <family val="3"/>
        <charset val="134"/>
      </rPr>
      <t>楼层修正系数</t>
    </r>
    <phoneticPr fontId="3" type="noConversion"/>
  </si>
  <si>
    <r>
      <rPr>
        <sz val="12"/>
        <rFont val="宋体"/>
        <family val="3"/>
        <charset val="134"/>
      </rPr>
      <t>楼面熟地单价</t>
    </r>
    <phoneticPr fontId="3" type="noConversion"/>
  </si>
  <si>
    <r>
      <rPr>
        <sz val="12"/>
        <rFont val="宋体"/>
        <family val="3"/>
        <charset val="134"/>
      </rPr>
      <t>层面积</t>
    </r>
    <phoneticPr fontId="3" type="noConversion"/>
  </si>
  <si>
    <r>
      <rPr>
        <sz val="12"/>
        <rFont val="宋体"/>
        <family val="3"/>
        <charset val="134"/>
      </rPr>
      <t>总额</t>
    </r>
    <phoneticPr fontId="3" type="noConversion"/>
  </si>
  <si>
    <r>
      <rPr>
        <b/>
        <sz val="12"/>
        <rFont val="宋体"/>
        <family val="3"/>
        <charset val="134"/>
      </rPr>
      <t>总价</t>
    </r>
    <phoneticPr fontId="3" type="noConversion"/>
  </si>
  <si>
    <r>
      <rPr>
        <b/>
        <sz val="12"/>
        <rFont val="宋体"/>
        <family val="3"/>
        <charset val="134"/>
      </rPr>
      <t>万元</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</si>
  <si>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</si>
  <si>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</si>
  <si>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区片编号</t>
    </r>
    <phoneticPr fontId="3" type="noConversion"/>
  </si>
  <si>
    <r>
      <rPr>
        <sz val="11"/>
        <color theme="1"/>
        <rFont val="宋体"/>
        <family val="3"/>
        <charset val="134"/>
      </rPr>
      <t>二级</t>
    </r>
  </si>
  <si>
    <r>
      <rPr>
        <b/>
        <sz val="12"/>
        <rFont val="宋体"/>
        <family val="3"/>
        <charset val="134"/>
      </rPr>
      <t>楼面单价</t>
    </r>
    <phoneticPr fontId="3" type="noConversion"/>
  </si>
  <si>
    <r>
      <rPr>
        <b/>
        <sz val="12"/>
        <rFont val="宋体"/>
        <family val="3"/>
        <charset val="134"/>
      </rPr>
      <t>元</t>
    </r>
    <r>
      <rPr>
        <b/>
        <sz val="12"/>
        <rFont val="Arial"/>
        <family val="2"/>
      </rPr>
      <t>/</t>
    </r>
    <r>
      <rPr>
        <b/>
        <sz val="12"/>
        <rFont val="宋体"/>
        <family val="3"/>
        <charset val="134"/>
      </rPr>
      <t>平方米</t>
    </r>
    <phoneticPr fontId="3" type="noConversion"/>
  </si>
  <si>
    <r>
      <rPr>
        <sz val="10"/>
        <rFont val="宋体"/>
        <family val="3"/>
        <charset val="134"/>
      </rPr>
      <t>用途类别</t>
    </r>
    <phoneticPr fontId="3" type="noConversion"/>
  </si>
  <si>
    <r>
      <rPr>
        <sz val="10"/>
        <rFont val="宋体"/>
        <family val="3"/>
        <charset val="134"/>
      </rPr>
      <t>楼层</t>
    </r>
    <phoneticPr fontId="3" type="noConversion"/>
  </si>
  <si>
    <r>
      <rPr>
        <sz val="10"/>
        <rFont val="宋体"/>
        <family val="3"/>
        <charset val="134"/>
      </rPr>
      <t>（地上）</t>
    </r>
    <phoneticPr fontId="3" type="noConversion"/>
  </si>
  <si>
    <r>
      <rPr>
        <sz val="11"/>
        <color theme="1"/>
        <rFont val="宋体"/>
        <family val="3"/>
        <charset val="134"/>
      </rPr>
      <t>三级</t>
    </r>
  </si>
  <si>
    <r>
      <rPr>
        <sz val="11"/>
        <color theme="1"/>
        <rFont val="宋体"/>
        <family val="3"/>
        <charset val="134"/>
      </rPr>
      <t>四级</t>
    </r>
  </si>
  <si>
    <r>
      <rPr>
        <b/>
        <sz val="11"/>
        <rFont val="宋体"/>
        <family val="3"/>
        <charset val="134"/>
      </rPr>
      <t>适用的楼面熟地价</t>
    </r>
    <phoneticPr fontId="3" type="noConversion"/>
  </si>
  <si>
    <r>
      <rPr>
        <sz val="11"/>
        <color theme="1"/>
        <rFont val="宋体"/>
        <family val="3"/>
        <charset val="134"/>
      </rPr>
      <t>五级</t>
    </r>
  </si>
  <si>
    <r>
      <rPr>
        <b/>
        <sz val="10"/>
        <rFont val="宋体"/>
        <family val="3"/>
        <charset val="134"/>
      </rPr>
      <t>（</t>
    </r>
    <r>
      <rPr>
        <b/>
        <sz val="10"/>
        <rFont val="Arial"/>
        <family val="2"/>
      </rPr>
      <t>1</t>
    </r>
    <r>
      <rPr>
        <b/>
        <sz val="10"/>
        <rFont val="宋体"/>
        <family val="3"/>
        <charset val="134"/>
      </rPr>
      <t>）</t>
    </r>
    <phoneticPr fontId="76" type="noConversion"/>
  </si>
  <si>
    <r>
      <rPr>
        <b/>
        <sz val="10"/>
        <rFont val="宋体"/>
        <family val="3"/>
        <charset val="134"/>
      </rPr>
      <t>适用的楼面熟地价</t>
    </r>
    <phoneticPr fontId="3" type="noConversion"/>
  </si>
  <si>
    <r>
      <rPr>
        <sz val="11"/>
        <color theme="1"/>
        <rFont val="宋体"/>
        <family val="3"/>
        <charset val="134"/>
      </rPr>
      <t>六级</t>
    </r>
  </si>
  <si>
    <r>
      <rPr>
        <b/>
        <sz val="10"/>
        <rFont val="宋体"/>
        <family val="3"/>
        <charset val="134"/>
      </rPr>
      <t>商业路线价修正（商业用途）</t>
    </r>
    <phoneticPr fontId="3" type="noConversion"/>
  </si>
  <si>
    <r>
      <rPr>
        <sz val="10"/>
        <rFont val="宋体"/>
        <family val="3"/>
        <charset val="134"/>
      </rPr>
      <t>宗地深度（米）</t>
    </r>
    <phoneticPr fontId="3" type="noConversion"/>
  </si>
  <si>
    <r>
      <rPr>
        <sz val="11"/>
        <color theme="1"/>
        <rFont val="宋体"/>
        <family val="3"/>
        <charset val="134"/>
      </rPr>
      <t>七级</t>
    </r>
  </si>
  <si>
    <r>
      <rPr>
        <sz val="10"/>
        <rFont val="宋体"/>
        <family val="3"/>
        <charset val="134"/>
      </rPr>
      <t>估价对象级别</t>
    </r>
    <phoneticPr fontId="3" type="noConversion"/>
  </si>
  <si>
    <r>
      <rPr>
        <sz val="10"/>
        <rFont val="宋体"/>
        <family val="3"/>
        <charset val="134"/>
      </rPr>
      <t>容积率</t>
    </r>
    <phoneticPr fontId="3" type="noConversion"/>
  </si>
  <si>
    <r>
      <rPr>
        <sz val="10"/>
        <rFont val="宋体"/>
        <family val="3"/>
        <charset val="134"/>
      </rPr>
      <t>所在商业街</t>
    </r>
    <phoneticPr fontId="3" type="noConversion"/>
  </si>
  <si>
    <r>
      <rPr>
        <sz val="10"/>
        <rFont val="宋体"/>
        <family val="3"/>
        <charset val="134"/>
      </rPr>
      <t>临商业街红线</t>
    </r>
    <r>
      <rPr>
        <sz val="10"/>
        <rFont val="Arial"/>
        <family val="2"/>
      </rPr>
      <t>1/4</t>
    </r>
    <r>
      <rPr>
        <sz val="10"/>
        <rFont val="宋体"/>
        <family val="3"/>
        <charset val="134"/>
      </rPr>
      <t>标准深度占地面积／宗地总面积</t>
    </r>
    <phoneticPr fontId="3" type="noConversion"/>
  </si>
  <si>
    <r>
      <rPr>
        <sz val="11"/>
        <color theme="1"/>
        <rFont val="宋体"/>
        <family val="3"/>
        <charset val="134"/>
      </rPr>
      <t>八级</t>
    </r>
  </si>
  <si>
    <r>
      <rPr>
        <sz val="10"/>
        <rFont val="宋体"/>
        <family val="3"/>
        <charset val="134"/>
      </rPr>
      <t>容积率</t>
    </r>
    <r>
      <rPr>
        <sz val="10"/>
        <rFont val="Arial"/>
        <family val="2"/>
      </rPr>
      <t xml:space="preserve">             </t>
    </r>
    <r>
      <rPr>
        <sz val="10"/>
        <rFont val="宋体"/>
        <family val="3"/>
        <charset val="134"/>
      </rPr>
      <t>级别</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</si>
  <si>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</si>
  <si>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</si>
  <si>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</si>
  <si>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</si>
  <si>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</si>
  <si>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</si>
  <si>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</si>
  <si>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</si>
  <si>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</si>
  <si>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</si>
  <si>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</si>
  <si>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</si>
  <si>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rFont val="宋体"/>
        <family val="3"/>
        <charset val="134"/>
      </rPr>
      <t>加价幅度</t>
    </r>
    <phoneticPr fontId="3" type="noConversion"/>
  </si>
  <si>
    <r>
      <rPr>
        <sz val="10"/>
        <rFont val="宋体"/>
        <family val="3"/>
        <charset val="134"/>
      </rPr>
      <t>临商业街红线</t>
    </r>
    <r>
      <rPr>
        <sz val="10"/>
        <rFont val="Arial"/>
        <family val="2"/>
      </rPr>
      <t>1/4</t>
    </r>
    <r>
      <rPr>
        <sz val="10"/>
        <rFont val="宋体"/>
        <family val="3"/>
        <charset val="134"/>
      </rPr>
      <t>至</t>
    </r>
    <r>
      <rPr>
        <sz val="10"/>
        <rFont val="Arial"/>
        <family val="2"/>
      </rPr>
      <t>2/4</t>
    </r>
    <r>
      <rPr>
        <sz val="10"/>
        <rFont val="宋体"/>
        <family val="3"/>
        <charset val="134"/>
      </rPr>
      <t>标准深度占地面积／宗地总面积</t>
    </r>
    <phoneticPr fontId="3" type="noConversion"/>
  </si>
  <si>
    <r>
      <rPr>
        <sz val="11"/>
        <color theme="1"/>
        <rFont val="宋体"/>
        <family val="3"/>
        <charset val="134"/>
      </rPr>
      <t>九级</t>
    </r>
  </si>
  <si>
    <r>
      <rPr>
        <sz val="10"/>
        <rFont val="宋体"/>
        <family val="3"/>
        <charset val="134"/>
      </rPr>
      <t>标准深度（米）</t>
    </r>
    <phoneticPr fontId="3" type="noConversion"/>
  </si>
  <si>
    <r>
      <rPr>
        <sz val="10"/>
        <rFont val="宋体"/>
        <family val="3"/>
        <charset val="134"/>
      </rPr>
      <t>临商业街红线</t>
    </r>
    <r>
      <rPr>
        <sz val="10"/>
        <rFont val="Arial"/>
        <family val="2"/>
      </rPr>
      <t>2/4</t>
    </r>
    <r>
      <rPr>
        <sz val="10"/>
        <rFont val="宋体"/>
        <family val="3"/>
        <charset val="134"/>
      </rPr>
      <t>至</t>
    </r>
    <r>
      <rPr>
        <sz val="10"/>
        <rFont val="Arial"/>
        <family val="2"/>
      </rPr>
      <t>3/4</t>
    </r>
    <r>
      <rPr>
        <sz val="10"/>
        <rFont val="宋体"/>
        <family val="3"/>
        <charset val="134"/>
      </rPr>
      <t>标准深度占地面积／宗地总面积</t>
    </r>
    <phoneticPr fontId="3" type="noConversion"/>
  </si>
  <si>
    <r>
      <rPr>
        <sz val="11"/>
        <color theme="1"/>
        <rFont val="宋体"/>
        <family val="3"/>
        <charset val="134"/>
      </rPr>
      <t>十级</t>
    </r>
  </si>
  <si>
    <r>
      <t>1/4</t>
    </r>
    <r>
      <rPr>
        <sz val="10"/>
        <rFont val="宋体"/>
        <family val="3"/>
        <charset val="134"/>
      </rPr>
      <t>标准深度</t>
    </r>
    <phoneticPr fontId="3" type="noConversion"/>
  </si>
  <si>
    <r>
      <rPr>
        <sz val="10"/>
        <rFont val="宋体"/>
        <family val="3"/>
        <charset val="134"/>
      </rPr>
      <t>临商业街红线</t>
    </r>
    <r>
      <rPr>
        <sz val="10"/>
        <rFont val="Arial"/>
        <family val="2"/>
      </rPr>
      <t>3/4</t>
    </r>
    <r>
      <rPr>
        <sz val="10"/>
        <rFont val="宋体"/>
        <family val="3"/>
        <charset val="134"/>
      </rPr>
      <t>至</t>
    </r>
    <r>
      <rPr>
        <sz val="10"/>
        <rFont val="Arial"/>
        <family val="2"/>
      </rPr>
      <t>4/4</t>
    </r>
    <r>
      <rPr>
        <sz val="10"/>
        <rFont val="宋体"/>
        <family val="3"/>
        <charset val="134"/>
      </rPr>
      <t>标准深度占地面积／宗地总面积</t>
    </r>
    <phoneticPr fontId="3" type="noConversion"/>
  </si>
  <si>
    <r>
      <rPr>
        <sz val="11"/>
        <color theme="1"/>
        <rFont val="宋体"/>
        <family val="3"/>
        <charset val="134"/>
      </rPr>
      <t>十一级</t>
    </r>
  </si>
  <si>
    <r>
      <rPr>
        <b/>
        <sz val="10"/>
        <rFont val="宋体"/>
        <family val="3"/>
        <charset val="134"/>
      </rPr>
      <t>特殊情况修正（居住用途）</t>
    </r>
    <phoneticPr fontId="3" type="noConversion"/>
  </si>
  <si>
    <r>
      <rPr>
        <sz val="10"/>
        <rFont val="宋体"/>
        <family val="3"/>
        <charset val="134"/>
      </rPr>
      <t>需根据项目情况调整公式修正项</t>
    </r>
    <phoneticPr fontId="3" type="noConversion"/>
  </si>
  <si>
    <r>
      <rPr>
        <sz val="11"/>
        <color theme="1"/>
        <rFont val="宋体"/>
        <family val="3"/>
        <charset val="134"/>
      </rPr>
      <t>十二级</t>
    </r>
  </si>
  <si>
    <r>
      <rPr>
        <sz val="10"/>
        <color indexed="8"/>
        <rFont val="宋体"/>
        <family val="3"/>
        <charset val="134"/>
      </rPr>
      <t>特殊情况</t>
    </r>
    <phoneticPr fontId="3" type="noConversion"/>
  </si>
  <si>
    <r>
      <rPr>
        <sz val="10"/>
        <color indexed="8"/>
        <rFont val="宋体"/>
        <family val="3"/>
        <charset val="134"/>
      </rPr>
      <t>公园</t>
    </r>
    <phoneticPr fontId="3" type="noConversion"/>
  </si>
  <si>
    <r>
      <rPr>
        <sz val="10"/>
        <color indexed="8"/>
        <rFont val="宋体"/>
        <family val="3"/>
        <charset val="134"/>
      </rPr>
      <t>水系</t>
    </r>
    <phoneticPr fontId="3" type="noConversion"/>
  </si>
  <si>
    <r>
      <rPr>
        <sz val="10"/>
        <color indexed="8"/>
        <rFont val="宋体"/>
        <family val="3"/>
        <charset val="134"/>
      </rPr>
      <t>轨道交通站点周边</t>
    </r>
    <phoneticPr fontId="3" type="noConversion"/>
  </si>
  <si>
    <r>
      <rPr>
        <sz val="10"/>
        <color indexed="8"/>
        <rFont val="宋体"/>
        <family val="3"/>
        <charset val="134"/>
      </rPr>
      <t>修正系数</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</si>
  <si>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</si>
  <si>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</si>
  <si>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</si>
  <si>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</si>
  <si>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r>
      <rPr>
        <b/>
        <sz val="10"/>
        <rFont val="宋体"/>
        <family val="3"/>
        <charset val="134"/>
      </rPr>
      <t>开发程度差异修正</t>
    </r>
    <phoneticPr fontId="3" type="noConversion"/>
  </si>
  <si>
    <r>
      <rPr>
        <sz val="10"/>
        <rFont val="宋体"/>
        <family val="3"/>
        <charset val="134"/>
      </rPr>
      <t>估价对象开发程度</t>
    </r>
    <phoneticPr fontId="3" type="noConversion"/>
  </si>
  <si>
    <r>
      <rPr>
        <sz val="10"/>
        <rFont val="宋体"/>
        <family val="3"/>
        <charset val="134"/>
      </rPr>
      <t>上浮比率</t>
    </r>
    <phoneticPr fontId="3" type="noConversion"/>
  </si>
  <si>
    <r>
      <rPr>
        <sz val="10"/>
        <rFont val="宋体"/>
        <family val="3"/>
        <charset val="134"/>
      </rPr>
      <t>级别平均容积率</t>
    </r>
    <phoneticPr fontId="3" type="noConversion"/>
  </si>
  <si>
    <r>
      <rPr>
        <sz val="10"/>
        <rFont val="宋体"/>
        <family val="3"/>
        <charset val="134"/>
      </rPr>
      <t>级别开发程度</t>
    </r>
    <phoneticPr fontId="3" type="noConversion"/>
  </si>
  <si>
    <r>
      <rPr>
        <sz val="10"/>
        <rFont val="宋体"/>
        <family val="3"/>
        <charset val="134"/>
      </rPr>
      <t>土地还原率</t>
    </r>
    <phoneticPr fontId="3" type="noConversion"/>
  </si>
  <si>
    <r>
      <rPr>
        <b/>
        <sz val="11"/>
        <rFont val="宋体"/>
        <family val="3"/>
        <charset val="134"/>
      </rPr>
      <t>用途修正系数</t>
    </r>
    <phoneticPr fontId="3" type="noConversion"/>
  </si>
  <si>
    <r>
      <rPr>
        <b/>
        <sz val="11"/>
        <rFont val="宋体"/>
        <family val="3"/>
        <charset val="134"/>
      </rPr>
      <t>期日修正指数</t>
    </r>
    <phoneticPr fontId="3" type="noConversion"/>
  </si>
  <si>
    <r>
      <rPr>
        <sz val="11"/>
        <rFont val="宋体"/>
        <family val="3"/>
        <charset val="134"/>
      </rPr>
      <t>基准期日</t>
    </r>
    <phoneticPr fontId="3" type="noConversion"/>
  </si>
  <si>
    <r>
      <rPr>
        <sz val="11"/>
        <rFont val="宋体"/>
        <family val="3"/>
        <charset val="134"/>
      </rPr>
      <t>估价期日</t>
    </r>
    <phoneticPr fontId="3" type="noConversion"/>
  </si>
  <si>
    <r>
      <rPr>
        <sz val="11"/>
        <rFont val="宋体"/>
        <family val="3"/>
        <charset val="134"/>
      </rPr>
      <t>基准日地价指数</t>
    </r>
    <phoneticPr fontId="76" type="noConversion"/>
  </si>
  <si>
    <r>
      <rPr>
        <sz val="10"/>
        <rFont val="宋体"/>
        <family val="3"/>
        <charset val="134"/>
      </rPr>
      <t>相差季度数</t>
    </r>
    <phoneticPr fontId="76" type="noConversion"/>
  </si>
  <si>
    <r>
      <rPr>
        <b/>
        <sz val="11"/>
        <rFont val="宋体"/>
        <family val="3"/>
        <charset val="134"/>
      </rPr>
      <t>年期修正系数</t>
    </r>
    <phoneticPr fontId="3" type="noConversion"/>
  </si>
  <si>
    <r>
      <rPr>
        <sz val="10"/>
        <rFont val="宋体"/>
        <family val="3"/>
        <charset val="134"/>
      </rPr>
      <t>现行一年期贷款利率</t>
    </r>
    <phoneticPr fontId="3" type="noConversion"/>
  </si>
  <si>
    <r>
      <rPr>
        <sz val="10"/>
        <rFont val="宋体"/>
        <family val="3"/>
        <charset val="134"/>
      </rPr>
      <t>剩余使用年限</t>
    </r>
    <phoneticPr fontId="3" type="noConversion"/>
  </si>
  <si>
    <r>
      <rPr>
        <sz val="11"/>
        <rFont val="宋体"/>
        <family val="3"/>
        <charset val="134"/>
      </rPr>
      <t>所在季度地价指数</t>
    </r>
    <phoneticPr fontId="76" type="noConversion"/>
  </si>
  <si>
    <r>
      <rPr>
        <sz val="11"/>
        <rFont val="宋体"/>
        <family val="3"/>
        <charset val="134"/>
      </rPr>
      <t>季度增幅</t>
    </r>
    <phoneticPr fontId="3" type="noConversion"/>
  </si>
  <si>
    <r>
      <rPr>
        <sz val="11"/>
        <rFont val="宋体"/>
        <family val="3"/>
        <charset val="134"/>
      </rPr>
      <t>自定义涨幅</t>
    </r>
    <phoneticPr fontId="3" type="noConversion"/>
  </si>
  <si>
    <r>
      <rPr>
        <sz val="11"/>
        <rFont val="宋体"/>
        <family val="3"/>
        <charset val="134"/>
      </rPr>
      <t>平均季度增幅（公示）</t>
    </r>
    <phoneticPr fontId="3" type="noConversion"/>
  </si>
  <si>
    <r>
      <rPr>
        <sz val="11"/>
        <rFont val="宋体"/>
        <family val="3"/>
        <charset val="134"/>
      </rPr>
      <t>商业</t>
    </r>
    <phoneticPr fontId="3" type="noConversion"/>
  </si>
  <si>
    <r>
      <rPr>
        <sz val="11"/>
        <rFont val="宋体"/>
        <family val="3"/>
        <charset val="134"/>
      </rPr>
      <t>（</t>
    </r>
    <r>
      <rPr>
        <sz val="11"/>
        <rFont val="Arial"/>
        <family val="2"/>
      </rPr>
      <t>1</t>
    </r>
    <r>
      <rPr>
        <sz val="11"/>
        <rFont val="宋体"/>
        <family val="3"/>
        <charset val="134"/>
      </rPr>
      <t>）</t>
    </r>
    <phoneticPr fontId="76" type="noConversion"/>
  </si>
  <si>
    <r>
      <rPr>
        <sz val="11"/>
        <rFont val="宋体"/>
        <family val="3"/>
        <charset val="134"/>
      </rPr>
      <t>容积率修正系数</t>
    </r>
    <phoneticPr fontId="3" type="noConversion"/>
  </si>
  <si>
    <r>
      <rPr>
        <sz val="11"/>
        <rFont val="宋体"/>
        <family val="3"/>
        <charset val="134"/>
      </rPr>
      <t>办公</t>
    </r>
    <phoneticPr fontId="3" type="noConversion"/>
  </si>
  <si>
    <r>
      <rPr>
        <sz val="11"/>
        <rFont val="宋体"/>
        <family val="3"/>
        <charset val="134"/>
      </rPr>
      <t>（</t>
    </r>
    <r>
      <rPr>
        <sz val="11"/>
        <rFont val="Arial"/>
        <family val="2"/>
      </rPr>
      <t>2</t>
    </r>
    <r>
      <rPr>
        <sz val="11"/>
        <rFont val="宋体"/>
        <family val="3"/>
        <charset val="134"/>
      </rPr>
      <t>）</t>
    </r>
    <phoneticPr fontId="76" type="noConversion"/>
  </si>
  <si>
    <r>
      <rPr>
        <sz val="11"/>
        <rFont val="宋体"/>
        <family val="3"/>
        <charset val="134"/>
      </rPr>
      <t>楼层修正系数（商业）</t>
    </r>
    <phoneticPr fontId="3" type="noConversion"/>
  </si>
  <si>
    <r>
      <rPr>
        <sz val="11"/>
        <rFont val="宋体"/>
        <family val="3"/>
        <charset val="134"/>
      </rPr>
      <t>住宅</t>
    </r>
  </si>
  <si>
    <r>
      <rPr>
        <b/>
        <sz val="11"/>
        <rFont val="宋体"/>
        <family val="3"/>
        <charset val="134"/>
      </rPr>
      <t>因素修正系数</t>
    </r>
    <phoneticPr fontId="3" type="noConversion"/>
  </si>
  <si>
    <r>
      <rPr>
        <sz val="11"/>
        <rFont val="宋体"/>
        <family val="3"/>
        <charset val="134"/>
      </rPr>
      <t>工业</t>
    </r>
  </si>
  <si>
    <r>
      <rPr>
        <b/>
        <sz val="11"/>
        <rFont val="宋体"/>
        <family val="3"/>
        <charset val="134"/>
      </rPr>
      <t>估算结果</t>
    </r>
    <phoneticPr fontId="3" type="noConversion"/>
  </si>
  <si>
    <r>
      <rPr>
        <sz val="11"/>
        <rFont val="宋体"/>
        <family val="3"/>
        <charset val="134"/>
      </rPr>
      <t>综合</t>
    </r>
    <phoneticPr fontId="3" type="noConversion"/>
  </si>
  <si>
    <r>
      <rPr>
        <sz val="11"/>
        <rFont val="宋体"/>
        <family val="3"/>
        <charset val="134"/>
      </rPr>
      <t>熟地价</t>
    </r>
    <phoneticPr fontId="76" type="noConversion"/>
  </si>
  <si>
    <r>
      <rPr>
        <sz val="11"/>
        <rFont val="宋体"/>
        <family val="3"/>
        <charset val="134"/>
      </rPr>
      <t>政府土地出让收益</t>
    </r>
    <phoneticPr fontId="76" type="noConversion"/>
  </si>
  <si>
    <r>
      <rPr>
        <b/>
        <sz val="10"/>
        <rFont val="宋体"/>
        <family val="3"/>
        <charset val="134"/>
      </rPr>
      <t>地上部分</t>
    </r>
    <phoneticPr fontId="3" type="noConversion"/>
  </si>
  <si>
    <r>
      <rPr>
        <b/>
        <sz val="11"/>
        <rFont val="宋体"/>
        <family val="3"/>
        <charset val="134"/>
      </rPr>
      <t>单价</t>
    </r>
    <phoneticPr fontId="3" type="noConversion"/>
  </si>
  <si>
    <r>
      <rPr>
        <b/>
        <sz val="11"/>
        <rFont val="宋体"/>
        <family val="3"/>
        <charset val="134"/>
      </rPr>
      <t>建筑面积</t>
    </r>
    <phoneticPr fontId="3" type="noConversion"/>
  </si>
  <si>
    <r>
      <rPr>
        <b/>
        <sz val="11"/>
        <rFont val="宋体"/>
        <family val="3"/>
        <charset val="134"/>
      </rPr>
      <t>总额</t>
    </r>
    <phoneticPr fontId="3" type="noConversion"/>
  </si>
  <si>
    <r>
      <rPr>
        <sz val="10"/>
        <rFont val="宋体"/>
        <family val="3"/>
        <charset val="134"/>
      </rPr>
      <t>地上部分</t>
    </r>
    <r>
      <rPr>
        <sz val="10"/>
        <rFont val="Arial"/>
        <family val="2"/>
      </rPr>
      <t>——</t>
    </r>
    <r>
      <rPr>
        <sz val="10"/>
        <rFont val="宋体"/>
        <family val="3"/>
        <charset val="134"/>
      </rPr>
      <t>楼面熟地价</t>
    </r>
    <phoneticPr fontId="3" type="noConversion"/>
  </si>
  <si>
    <r>
      <rPr>
        <sz val="10"/>
        <rFont val="宋体"/>
        <family val="3"/>
        <charset val="134"/>
      </rPr>
      <t>地上部分</t>
    </r>
    <r>
      <rPr>
        <sz val="10"/>
        <rFont val="Arial"/>
        <family val="2"/>
      </rPr>
      <t>——</t>
    </r>
    <r>
      <rPr>
        <sz val="10"/>
        <rFont val="宋体"/>
        <family val="3"/>
        <charset val="134"/>
      </rPr>
      <t>政府土地出让收益</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</si>
  <si>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3" type="noConversion"/>
  </si>
  <si>
    <r>
      <rPr>
        <b/>
        <sz val="10"/>
        <rFont val="宋体"/>
        <family val="3"/>
        <charset val="134"/>
      </rPr>
      <t>地下部分</t>
    </r>
    <phoneticPr fontId="3" type="noConversion"/>
  </si>
  <si>
    <r>
      <rPr>
        <sz val="10"/>
        <rFont val="宋体"/>
        <family val="3"/>
        <charset val="134"/>
      </rPr>
      <t>政府土地出让收益</t>
    </r>
    <r>
      <rPr>
        <sz val="10"/>
        <rFont val="Arial"/>
        <family val="2"/>
      </rPr>
      <t>=</t>
    </r>
    <r>
      <rPr>
        <sz val="10"/>
        <rFont val="宋体"/>
        <family val="3"/>
        <charset val="134"/>
      </rPr>
      <t>楼面熟地价</t>
    </r>
    <r>
      <rPr>
        <sz val="10"/>
        <rFont val="Arial"/>
        <family val="2"/>
      </rPr>
      <t>×</t>
    </r>
    <r>
      <rPr>
        <sz val="10"/>
        <rFont val="宋体"/>
        <family val="3"/>
        <charset val="134"/>
      </rPr>
      <t>政府土地出让收益比例</t>
    </r>
    <phoneticPr fontId="76" type="noConversion"/>
  </si>
  <si>
    <r>
      <rPr>
        <sz val="10"/>
        <rFont val="宋体"/>
        <family val="3"/>
        <charset val="134"/>
      </rPr>
      <t>相应用途地下空间修正系数</t>
    </r>
  </si>
  <si>
    <r>
      <rPr>
        <sz val="10"/>
        <color theme="1"/>
        <rFont val="宋体"/>
        <family val="3"/>
        <charset val="134"/>
      </rPr>
      <t>地下第</t>
    </r>
    <r>
      <rPr>
        <sz val="10"/>
        <color theme="1"/>
        <rFont val="Arial"/>
        <family val="2"/>
      </rPr>
      <t>1</t>
    </r>
    <r>
      <rPr>
        <sz val="10"/>
        <color theme="1"/>
        <rFont val="宋体"/>
        <family val="3"/>
        <charset val="134"/>
      </rPr>
      <t>层商业</t>
    </r>
    <phoneticPr fontId="3" type="noConversion"/>
  </si>
  <si>
    <r>
      <rPr>
        <sz val="10"/>
        <color theme="1"/>
        <rFont val="宋体"/>
        <family val="3"/>
        <charset val="134"/>
      </rPr>
      <t>地下第</t>
    </r>
    <r>
      <rPr>
        <sz val="10"/>
        <color theme="1"/>
        <rFont val="Arial"/>
        <family val="2"/>
      </rPr>
      <t>2</t>
    </r>
    <r>
      <rPr>
        <sz val="10"/>
        <color theme="1"/>
        <rFont val="宋体"/>
        <family val="3"/>
        <charset val="134"/>
      </rPr>
      <t>层商业</t>
    </r>
    <phoneticPr fontId="3" type="noConversion"/>
  </si>
  <si>
    <r>
      <rPr>
        <sz val="10"/>
        <color theme="1"/>
        <rFont val="宋体"/>
        <family val="3"/>
        <charset val="134"/>
      </rPr>
      <t>地下办公</t>
    </r>
    <phoneticPr fontId="3" type="noConversion"/>
  </si>
  <si>
    <r>
      <rPr>
        <sz val="10"/>
        <rFont val="宋体"/>
        <family val="3"/>
        <charset val="134"/>
      </rPr>
      <t>政府土地出让收益比例</t>
    </r>
    <phoneticPr fontId="76" type="noConversion"/>
  </si>
  <si>
    <r>
      <rPr>
        <sz val="10"/>
        <color theme="1"/>
        <rFont val="宋体"/>
        <family val="3"/>
        <charset val="134"/>
      </rPr>
      <t>地下仓储</t>
    </r>
    <phoneticPr fontId="3" type="noConversion"/>
  </si>
  <si>
    <r>
      <rPr>
        <sz val="10"/>
        <color theme="1"/>
        <rFont val="宋体"/>
        <family val="3"/>
        <charset val="134"/>
      </rPr>
      <t>地下车库</t>
    </r>
    <phoneticPr fontId="3" type="noConversion"/>
  </si>
  <si>
    <r>
      <rPr>
        <b/>
        <sz val="11"/>
        <color rgb="FFFF0000"/>
        <rFont val="宋体"/>
        <family val="3"/>
        <charset val="134"/>
      </rPr>
      <t>结果不可超过《北京市区片基准地价因素总修正幅度表》所列修正幅度；依据估价对象用途调整链接</t>
    </r>
    <phoneticPr fontId="3" type="noConversion"/>
  </si>
  <si>
    <r>
      <rPr>
        <b/>
        <sz val="11"/>
        <color rgb="FFFF0000"/>
        <rFont val="宋体"/>
        <family val="3"/>
        <charset val="134"/>
      </rPr>
      <t>商业</t>
    </r>
    <phoneticPr fontId="3" type="noConversion"/>
  </si>
  <si>
    <r>
      <rPr>
        <sz val="10"/>
        <color theme="1"/>
        <rFont val="宋体"/>
        <family val="3"/>
        <charset val="134"/>
      </rPr>
      <t>影响因素</t>
    </r>
    <phoneticPr fontId="3" type="noConversion"/>
  </si>
  <si>
    <r>
      <rPr>
        <sz val="10"/>
        <color theme="1"/>
        <rFont val="宋体"/>
        <family val="3"/>
        <charset val="134"/>
      </rPr>
      <t>情况说明</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</si>
  <si>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</si>
  <si>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</si>
  <si>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</si>
  <si>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总幅度控制</t>
    </r>
    <r>
      <rPr>
        <sz val="10"/>
        <color rgb="FFFF0000"/>
        <rFont val="Arial"/>
        <family val="2"/>
      </rPr>
      <t>(±)</t>
    </r>
    <phoneticPr fontId="76" type="noConversion"/>
  </si>
  <si>
    <r>
      <rPr>
        <sz val="10"/>
        <color rgb="FFFF0000"/>
        <rFont val="宋体"/>
        <family val="3"/>
        <charset val="134"/>
      </rPr>
      <t>各因素幅度控制</t>
    </r>
    <r>
      <rPr>
        <sz val="10"/>
        <color rgb="FFFF0000"/>
        <rFont val="Arial"/>
        <family val="2"/>
      </rPr>
      <t>(±)</t>
    </r>
    <phoneticPr fontId="76" type="noConversion"/>
  </si>
  <si>
    <r>
      <rPr>
        <sz val="10"/>
        <color indexed="8"/>
        <rFont val="宋体"/>
        <family val="3"/>
        <charset val="134"/>
      </rPr>
      <t>权重</t>
    </r>
    <phoneticPr fontId="3" type="noConversion"/>
  </si>
  <si>
    <r>
      <t xml:space="preserve"> </t>
    </r>
    <r>
      <rPr>
        <sz val="10"/>
        <color theme="1"/>
        <rFont val="宋体"/>
        <family val="3"/>
        <charset val="134"/>
      </rPr>
      <t>商业繁华程度</t>
    </r>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</si>
  <si>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</si>
  <si>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</si>
  <si>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76"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</si>
  <si>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</si>
  <si>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</si>
  <si>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9" tint="-0.249977111117893"/>
        <rFont val="宋体"/>
        <family val="3"/>
        <charset val="134"/>
      </rPr>
      <t>宗地形状？，但对宗地利用影响？</t>
    </r>
    <phoneticPr fontId="76"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</si>
  <si>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</si>
  <si>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</si>
  <si>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</si>
  <si>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b/>
        <sz val="11"/>
        <color rgb="FFFF0000"/>
        <rFont val="宋体"/>
        <family val="3"/>
        <charset val="134"/>
      </rPr>
      <t>办公</t>
    </r>
    <phoneticPr fontId="3" type="noConversion"/>
  </si>
  <si>
    <r>
      <rPr>
        <sz val="10"/>
        <color rgb="FFFF0000"/>
        <rFont val="宋体"/>
        <family val="3"/>
        <charset val="134"/>
      </rPr>
      <t>幅度控制</t>
    </r>
    <r>
      <rPr>
        <sz val="10"/>
        <color rgb="FFFF0000"/>
        <rFont val="Arial"/>
        <family val="2"/>
      </rPr>
      <t>(±)</t>
    </r>
    <phoneticPr fontId="76" type="noConversion"/>
  </si>
  <si>
    <r>
      <rPr>
        <sz val="10"/>
        <color theme="1"/>
        <rFont val="宋体"/>
        <family val="3"/>
        <charset val="134"/>
      </rPr>
      <t>办公集聚程度</t>
    </r>
    <phoneticPr fontId="3" type="noConversion"/>
  </si>
  <si>
    <r>
      <rPr>
        <b/>
        <sz val="11"/>
        <color rgb="FFFF0000"/>
        <rFont val="宋体"/>
        <family val="3"/>
        <charset val="134"/>
      </rPr>
      <t>住宅</t>
    </r>
    <phoneticPr fontId="3" type="noConversion"/>
  </si>
  <si>
    <r>
      <rPr>
        <sz val="10"/>
        <color theme="1"/>
        <rFont val="宋体"/>
        <family val="3"/>
        <charset val="134"/>
      </rPr>
      <t>居住社区成熟度</t>
    </r>
    <phoneticPr fontId="3" type="noConversion"/>
  </si>
  <si>
    <r>
      <rPr>
        <sz val="10"/>
        <color theme="1"/>
        <rFont val="宋体"/>
        <family val="3"/>
        <charset val="134"/>
      </rPr>
      <t>临路状况</t>
    </r>
    <phoneticPr fontId="3" type="noConversion"/>
  </si>
  <si>
    <r>
      <rPr>
        <sz val="10"/>
        <color theme="1"/>
        <rFont val="宋体"/>
        <family val="3"/>
        <charset val="134"/>
      </rPr>
      <t>与区域中心的接近程度</t>
    </r>
    <phoneticPr fontId="3" type="noConversion"/>
  </si>
  <si>
    <r>
      <rPr>
        <b/>
        <sz val="11"/>
        <color rgb="FFFF0000"/>
        <rFont val="宋体"/>
        <family val="3"/>
        <charset val="134"/>
      </rPr>
      <t>工业</t>
    </r>
    <phoneticPr fontId="3" type="noConversion"/>
  </si>
  <si>
    <r>
      <rPr>
        <sz val="10"/>
        <color theme="1"/>
        <rFont val="宋体"/>
        <family val="3"/>
        <charset val="134"/>
      </rPr>
      <t>产业集聚程度</t>
    </r>
    <phoneticPr fontId="3" type="noConversion"/>
  </si>
  <si>
    <r>
      <rPr>
        <sz val="10"/>
        <color theme="9" tint="-0.249977111117893"/>
        <rFont val="宋体"/>
        <family val="3"/>
        <charset val="134"/>
      </rPr>
      <t>宗地形状不规则，但对宗地利用影响较小</t>
    </r>
  </si>
  <si>
    <r>
      <rPr>
        <sz val="10"/>
        <color theme="1"/>
        <rFont val="宋体"/>
        <family val="3"/>
        <charset val="134"/>
      </rPr>
      <t>环境状况</t>
    </r>
    <phoneticPr fontId="3" type="noConversion"/>
  </si>
  <si>
    <r>
      <rPr>
        <b/>
        <sz val="12"/>
        <color theme="1"/>
        <rFont val="宋体"/>
        <family val="3"/>
        <charset val="134"/>
      </rPr>
      <t>总价</t>
    </r>
  </si>
  <si>
    <r>
      <rPr>
        <b/>
        <sz val="12"/>
        <color theme="1"/>
        <rFont val="宋体"/>
        <family val="3"/>
        <charset val="134"/>
      </rPr>
      <t>万元</t>
    </r>
  </si>
  <si>
    <r>
      <rPr>
        <b/>
        <sz val="12"/>
        <color theme="1"/>
        <rFont val="宋体"/>
        <family val="3"/>
        <charset val="134"/>
      </rPr>
      <t>汇总建筑面积</t>
    </r>
  </si>
  <si>
    <r>
      <rPr>
        <b/>
        <sz val="12"/>
        <color theme="1"/>
        <rFont val="宋体"/>
        <family val="3"/>
        <charset val="134"/>
      </rPr>
      <t>楼面单价</t>
    </r>
  </si>
  <si>
    <r>
      <rPr>
        <b/>
        <sz val="12"/>
        <color theme="1"/>
        <rFont val="宋体"/>
        <family val="3"/>
        <charset val="134"/>
      </rPr>
      <t>本次评估所采用的基准地价系数修正法</t>
    </r>
    <phoneticPr fontId="133" type="noConversion"/>
  </si>
  <si>
    <r>
      <rPr>
        <b/>
        <sz val="12"/>
        <color theme="1"/>
        <rFont val="宋体"/>
        <family val="3"/>
        <charset val="134"/>
      </rPr>
      <t>估价结果</t>
    </r>
  </si>
  <si>
    <r>
      <rPr>
        <b/>
        <sz val="12"/>
        <color theme="1"/>
        <rFont val="宋体"/>
        <family val="3"/>
        <charset val="134"/>
      </rPr>
      <t>建筑面积</t>
    </r>
  </si>
  <si>
    <r>
      <rPr>
        <b/>
        <sz val="12"/>
        <color theme="1"/>
        <rFont val="宋体"/>
        <family val="3"/>
        <charset val="134"/>
      </rPr>
      <t>基准地价修正</t>
    </r>
  </si>
  <si>
    <r>
      <rPr>
        <b/>
        <sz val="16"/>
        <color rgb="FFFF0000"/>
        <rFont val="宋体"/>
        <family val="3"/>
        <charset val="134"/>
      </rPr>
      <t>基准地价（汇总）</t>
    </r>
    <phoneticPr fontId="3" type="noConversion"/>
  </si>
  <si>
    <r>
      <rPr>
        <b/>
        <sz val="12"/>
        <color theme="1"/>
        <rFont val="宋体"/>
        <family val="3"/>
        <charset val="134"/>
      </rPr>
      <t>元</t>
    </r>
    <r>
      <rPr>
        <b/>
        <sz val="12"/>
        <color theme="1"/>
        <rFont val="Arial"/>
        <family val="2"/>
      </rPr>
      <t>/</t>
    </r>
    <r>
      <rPr>
        <b/>
        <sz val="12"/>
        <color theme="1"/>
        <rFont val="宋体"/>
        <family val="3"/>
        <charset val="134"/>
      </rPr>
      <t>平方米</t>
    </r>
  </si>
  <si>
    <r>
      <rPr>
        <sz val="10"/>
        <color indexed="8"/>
        <rFont val="宋体"/>
        <family val="3"/>
        <charset val="134"/>
      </rPr>
      <t>修正项</t>
    </r>
    <phoneticPr fontId="3" type="noConversion"/>
  </si>
  <si>
    <r>
      <rPr>
        <sz val="10"/>
        <color indexed="8"/>
        <rFont val="宋体"/>
        <family val="3"/>
        <charset val="134"/>
      </rPr>
      <t>说明</t>
    </r>
    <phoneticPr fontId="3" type="noConversion"/>
  </si>
  <si>
    <r>
      <rPr>
        <sz val="10"/>
        <color indexed="8"/>
        <rFont val="宋体"/>
        <family val="3"/>
        <charset val="134"/>
      </rPr>
      <t>修正系数</t>
    </r>
    <phoneticPr fontId="3" type="noConversion"/>
  </si>
  <si>
    <r>
      <rPr>
        <sz val="10"/>
        <color indexed="8"/>
        <rFont val="宋体"/>
        <family val="3"/>
        <charset val="134"/>
      </rPr>
      <t>建筑面积</t>
    </r>
    <phoneticPr fontId="3" type="noConversion"/>
  </si>
  <si>
    <r>
      <rPr>
        <sz val="10"/>
        <color theme="9" tint="-0.249977111117893"/>
        <rFont val="宋体"/>
        <family val="3"/>
        <charset val="134"/>
      </rPr>
      <t>修正项</t>
    </r>
    <r>
      <rPr>
        <sz val="10"/>
        <color theme="9" tint="-0.249977111117893"/>
        <rFont val="Arial"/>
        <family val="2"/>
      </rPr>
      <t>2</t>
    </r>
    <phoneticPr fontId="3" type="noConversion"/>
  </si>
  <si>
    <r>
      <rPr>
        <sz val="10"/>
        <color theme="9" tint="-0.249977111117893"/>
        <rFont val="宋体"/>
        <family val="3"/>
        <charset val="134"/>
      </rPr>
      <t>修正项</t>
    </r>
    <r>
      <rPr>
        <sz val="10"/>
        <color theme="9" tint="-0.249977111117893"/>
        <rFont val="Arial"/>
        <family val="2"/>
      </rPr>
      <t>3</t>
    </r>
    <phoneticPr fontId="3" type="noConversion"/>
  </si>
  <si>
    <r>
      <rPr>
        <sz val="10"/>
        <color theme="9" tint="-0.249977111117893"/>
        <rFont val="宋体"/>
        <family val="3"/>
        <charset val="134"/>
      </rPr>
      <t>修正项</t>
    </r>
    <r>
      <rPr>
        <sz val="10"/>
        <color theme="9" tint="-0.249977111117893"/>
        <rFont val="Arial"/>
        <family val="2"/>
      </rPr>
      <t>4</t>
    </r>
    <phoneticPr fontId="3" type="noConversion"/>
  </si>
  <si>
    <r>
      <rPr>
        <sz val="10"/>
        <color theme="9" tint="-0.249977111117893"/>
        <rFont val="宋体"/>
        <family val="3"/>
        <charset val="134"/>
      </rPr>
      <t>修正项</t>
    </r>
    <r>
      <rPr>
        <sz val="10"/>
        <color theme="9" tint="-0.249977111117893"/>
        <rFont val="Arial"/>
        <family val="2"/>
      </rPr>
      <t>5</t>
    </r>
    <phoneticPr fontId="3" type="noConversion"/>
  </si>
  <si>
    <r>
      <rPr>
        <sz val="10"/>
        <color theme="9" tint="-0.249977111117893"/>
        <rFont val="宋体"/>
        <family val="3"/>
        <charset val="134"/>
      </rPr>
      <t>修正项</t>
    </r>
    <r>
      <rPr>
        <sz val="10"/>
        <color theme="9" tint="-0.249977111117893"/>
        <rFont val="Arial"/>
        <family val="2"/>
      </rPr>
      <t>6</t>
    </r>
    <phoneticPr fontId="3" type="noConversion"/>
  </si>
  <si>
    <r>
      <rPr>
        <sz val="10"/>
        <color theme="9" tint="-0.249977111117893"/>
        <rFont val="宋体"/>
        <family val="3"/>
        <charset val="134"/>
      </rPr>
      <t>修正项</t>
    </r>
    <r>
      <rPr>
        <sz val="10"/>
        <color theme="9" tint="-0.249977111117893"/>
        <rFont val="Arial"/>
        <family val="2"/>
      </rPr>
      <t>7</t>
    </r>
    <phoneticPr fontId="3" type="noConversion"/>
  </si>
  <si>
    <r>
      <rPr>
        <b/>
        <sz val="10"/>
        <color indexed="8"/>
        <rFont val="宋体"/>
        <family val="3"/>
        <charset val="134"/>
      </rPr>
      <t>修正系数</t>
    </r>
    <phoneticPr fontId="3" type="noConversion"/>
  </si>
  <si>
    <r>
      <rPr>
        <sz val="10"/>
        <color indexed="8"/>
        <rFont val="宋体"/>
        <family val="3"/>
        <charset val="134"/>
      </rPr>
      <t>楼层</t>
    </r>
    <phoneticPr fontId="3" type="noConversion"/>
  </si>
  <si>
    <r>
      <rPr>
        <b/>
        <sz val="10"/>
        <color indexed="8"/>
        <rFont val="宋体"/>
        <family val="3"/>
        <charset val="134"/>
      </rPr>
      <t>承租人权益</t>
    </r>
    <phoneticPr fontId="24" type="noConversion"/>
  </si>
  <si>
    <r>
      <rPr>
        <b/>
        <sz val="12"/>
        <color indexed="8"/>
        <rFont val="宋体"/>
        <family val="3"/>
        <charset val="134"/>
      </rPr>
      <t>总价</t>
    </r>
    <phoneticPr fontId="24" type="noConversion"/>
  </si>
  <si>
    <r>
      <rPr>
        <sz val="10"/>
        <color indexed="8"/>
        <rFont val="宋体"/>
        <family val="3"/>
        <charset val="134"/>
      </rPr>
      <t>万元</t>
    </r>
    <phoneticPr fontId="24" type="noConversion"/>
  </si>
  <si>
    <r>
      <rPr>
        <b/>
        <sz val="12"/>
        <color indexed="8"/>
        <rFont val="宋体"/>
        <family val="3"/>
        <charset val="134"/>
      </rPr>
      <t>楼面单价</t>
    </r>
    <phoneticPr fontId="24" type="noConversion"/>
  </si>
  <si>
    <r>
      <rPr>
        <b/>
        <sz val="10"/>
        <color indexed="8"/>
        <rFont val="宋体"/>
        <family val="3"/>
        <charset val="134"/>
      </rPr>
      <t>合计</t>
    </r>
    <phoneticPr fontId="24" type="noConversion"/>
  </si>
  <si>
    <r>
      <rPr>
        <sz val="10"/>
        <color indexed="8"/>
        <rFont val="宋体"/>
        <family val="3"/>
        <charset val="134"/>
      </rPr>
      <t>位置</t>
    </r>
    <r>
      <rPr>
        <sz val="10"/>
        <color indexed="8"/>
        <rFont val="Arial"/>
        <family val="2"/>
      </rPr>
      <t>/</t>
    </r>
    <r>
      <rPr>
        <sz val="10"/>
        <color indexed="8"/>
        <rFont val="宋体"/>
        <family val="3"/>
        <charset val="134"/>
      </rPr>
      <t>类型</t>
    </r>
    <phoneticPr fontId="24" type="noConversion"/>
  </si>
  <si>
    <r>
      <rPr>
        <sz val="10"/>
        <color indexed="8"/>
        <rFont val="宋体"/>
        <family val="3"/>
        <charset val="134"/>
      </rPr>
      <t>建筑面积</t>
    </r>
    <phoneticPr fontId="24" type="noConversion"/>
  </si>
  <si>
    <r>
      <rPr>
        <sz val="10"/>
        <color indexed="8"/>
        <rFont val="宋体"/>
        <family val="3"/>
        <charset val="134"/>
      </rPr>
      <t>修正系数</t>
    </r>
    <phoneticPr fontId="24" type="noConversion"/>
  </si>
  <si>
    <r>
      <rPr>
        <sz val="10"/>
        <color indexed="8"/>
        <rFont val="宋体"/>
        <family val="3"/>
        <charset val="134"/>
      </rPr>
      <t>修正单价</t>
    </r>
    <phoneticPr fontId="24" type="noConversion"/>
  </si>
  <si>
    <r>
      <rPr>
        <sz val="10"/>
        <color indexed="8"/>
        <rFont val="宋体"/>
        <family val="3"/>
        <charset val="134"/>
      </rPr>
      <t>总价</t>
    </r>
    <phoneticPr fontId="24" type="noConversion"/>
  </si>
  <si>
    <r>
      <rPr>
        <b/>
        <sz val="10"/>
        <color indexed="10"/>
        <rFont val="宋体"/>
        <family val="3"/>
        <charset val="134"/>
      </rPr>
      <t>基准户型</t>
    </r>
    <phoneticPr fontId="24" type="noConversion"/>
  </si>
  <si>
    <r>
      <rPr>
        <sz val="10"/>
        <color indexed="8"/>
        <rFont val="宋体"/>
        <family val="3"/>
        <charset val="134"/>
      </rPr>
      <t>租金</t>
    </r>
    <r>
      <rPr>
        <sz val="10"/>
        <color indexed="8"/>
        <rFont val="Arial"/>
        <family val="2"/>
      </rPr>
      <t>×</t>
    </r>
    <r>
      <rPr>
        <sz val="10"/>
        <color indexed="8"/>
        <rFont val="宋体"/>
        <family val="3"/>
        <charset val="134"/>
      </rPr>
      <t>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</si>
  <si>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租金×天数×建筑面积×（1-空置率）</t>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</si>
  <si>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</si>
  <si>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t>
    </r>
    <r>
      <rPr>
        <sz val="10"/>
        <color indexed="8"/>
        <rFont val="Arial"/>
        <family val="2"/>
      </rPr>
      <t>×</t>
    </r>
    <r>
      <rPr>
        <sz val="10"/>
        <color indexed="8"/>
        <rFont val="宋体"/>
        <family val="3"/>
        <charset val="134"/>
      </rPr>
      <t>天数</t>
    </r>
    <r>
      <rPr>
        <sz val="10"/>
        <color indexed="8"/>
        <rFont val="Arial"/>
        <family val="2"/>
      </rPr>
      <t>×</t>
    </r>
    <r>
      <rPr>
        <sz val="10"/>
        <color indexed="8"/>
        <rFont val="宋体"/>
        <family val="3"/>
        <charset val="134"/>
      </rPr>
      <t>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</si>
  <si>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r>
      <rPr>
        <sz val="10"/>
        <color indexed="8"/>
        <rFont val="宋体"/>
        <family val="3"/>
        <charset val="134"/>
      </rPr>
      <t>租金×天数×建筑面积</t>
    </r>
    <r>
      <rPr>
        <sz val="10"/>
        <color indexed="8"/>
        <rFont val="Arial"/>
        <family val="2"/>
      </rPr>
      <t>×</t>
    </r>
    <r>
      <rPr>
        <sz val="10"/>
        <color indexed="8"/>
        <rFont val="宋体"/>
        <family val="3"/>
        <charset val="134"/>
      </rPr>
      <t>（</t>
    </r>
    <r>
      <rPr>
        <sz val="10"/>
        <color indexed="8"/>
        <rFont val="Arial"/>
        <family val="2"/>
      </rPr>
      <t>1-</t>
    </r>
    <r>
      <rPr>
        <sz val="10"/>
        <color indexed="8"/>
        <rFont val="宋体"/>
        <family val="3"/>
        <charset val="134"/>
      </rPr>
      <t>空置率）</t>
    </r>
    <phoneticPr fontId="3" type="noConversion"/>
  </si>
  <si>
    <t>2017-4</t>
    <phoneticPr fontId="3" type="noConversion"/>
  </si>
  <si>
    <t>2017-3</t>
    <phoneticPr fontId="3" type="noConversion"/>
  </si>
  <si>
    <t>2018-1</t>
    <phoneticPr fontId="3" type="noConversion"/>
  </si>
  <si>
    <t>本行不参与计算</t>
    <phoneticPr fontId="133" type="noConversion"/>
  </si>
  <si>
    <r>
      <rPr>
        <sz val="10"/>
        <color rgb="FFFF0000"/>
        <rFont val="宋体"/>
        <family val="3"/>
        <charset val="134"/>
      </rPr>
      <t>当前季度，自</t>
    </r>
    <r>
      <rPr>
        <sz val="10"/>
        <color rgb="FFFF0000"/>
        <rFont val="Arial"/>
        <family val="2"/>
      </rPr>
      <t>2018</t>
    </r>
    <r>
      <rPr>
        <sz val="10"/>
        <color rgb="FFFF0000"/>
        <rFont val="宋体"/>
        <family val="3"/>
        <charset val="134"/>
      </rPr>
      <t>年</t>
    </r>
    <r>
      <rPr>
        <sz val="10"/>
        <color rgb="FFFF0000"/>
        <rFont val="Arial"/>
        <family val="2"/>
      </rPr>
      <t>1</t>
    </r>
    <r>
      <rPr>
        <sz val="10"/>
        <color rgb="FFFF0000"/>
        <rFont val="宋体"/>
        <family val="3"/>
        <charset val="134"/>
      </rPr>
      <t>季度起不计预测值</t>
    </r>
    <phoneticPr fontId="13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</si>
  <si>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</si>
  <si>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</si>
  <si>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押金×一年期存款利率</t>
    <phoneticPr fontId="3" type="noConversion"/>
  </si>
  <si>
    <r>
      <rPr>
        <sz val="10"/>
        <color indexed="8"/>
        <rFont val="宋体"/>
        <family val="3"/>
        <charset val="134"/>
      </rPr>
      <t>押金</t>
    </r>
    <r>
      <rPr>
        <sz val="10"/>
        <color indexed="8"/>
        <rFont val="Arial"/>
        <family val="2"/>
      </rPr>
      <t>*</t>
    </r>
    <r>
      <rPr>
        <sz val="10"/>
        <color indexed="8"/>
        <rFont val="宋体"/>
        <family val="3"/>
        <charset val="134"/>
      </rPr>
      <t>一年期存款利率</t>
    </r>
    <phoneticPr fontId="3" type="noConversion"/>
  </si>
  <si>
    <t>2018-2</t>
    <phoneticPr fontId="3" type="noConversion"/>
  </si>
  <si>
    <t>2018-3</t>
    <phoneticPr fontId="3" type="noConversion"/>
  </si>
  <si>
    <t>地下车库及仓储年期修正</t>
    <phoneticPr fontId="3" type="noConversion"/>
  </si>
  <si>
    <t>2019-1</t>
    <phoneticPr fontId="3" type="noConversion"/>
  </si>
  <si>
    <t>2019-2</t>
    <phoneticPr fontId="3" type="noConversion"/>
  </si>
  <si>
    <t>2018-4</t>
    <phoneticPr fontId="3" type="noConversion"/>
  </si>
  <si>
    <t>2019-3</t>
    <phoneticPr fontId="3" type="noConversion"/>
  </si>
  <si>
    <t>2019-4</t>
    <phoneticPr fontId="3" type="noConversion"/>
  </si>
  <si>
    <t>2020-1</t>
    <phoneticPr fontId="3" type="noConversion"/>
  </si>
  <si>
    <t>土地征用及拆迁补偿费</t>
    <phoneticPr fontId="8" type="noConversion"/>
  </si>
  <si>
    <t>2020-2</t>
    <phoneticPr fontId="3" type="noConversion"/>
  </si>
  <si>
    <t>★此处仍为计算过程，权重结果非最终结果，总价和单价分别为各自权重值，无直接关联★</t>
    <phoneticPr fontId="3" type="noConversion"/>
  </si>
  <si>
    <t>★合计部分请自行录入公式，很重要，与C32结果相关★</t>
    <phoneticPr fontId="3" type="noConversion"/>
  </si>
  <si>
    <t>★此线以下显示的为最终结果★</t>
    <phoneticPr fontId="3" type="noConversion"/>
  </si>
  <si>
    <t>北京普宅标准：</t>
    <phoneticPr fontId="3" type="noConversion"/>
  </si>
  <si>
    <r>
      <t>1.</t>
    </r>
    <r>
      <rPr>
        <sz val="10"/>
        <color indexed="8"/>
        <rFont val="宋体"/>
        <family val="3"/>
        <charset val="134"/>
      </rPr>
      <t>小区容积率</t>
    </r>
    <r>
      <rPr>
        <sz val="10"/>
        <color indexed="8"/>
        <rFont val="Arial"/>
        <family val="2"/>
      </rPr>
      <t>1.0</t>
    </r>
    <r>
      <rPr>
        <sz val="10"/>
        <color indexed="8"/>
        <rFont val="宋体"/>
        <family val="3"/>
        <charset val="134"/>
      </rPr>
      <t>（含）以上</t>
    </r>
    <phoneticPr fontId="3" type="noConversion"/>
  </si>
  <si>
    <r>
      <t>2.</t>
    </r>
    <r>
      <rPr>
        <sz val="10"/>
        <color indexed="8"/>
        <rFont val="宋体"/>
        <family val="3"/>
        <charset val="134"/>
      </rPr>
      <t>单套建筑面积</t>
    </r>
    <r>
      <rPr>
        <sz val="10"/>
        <color indexed="8"/>
        <rFont val="Arial"/>
        <family val="2"/>
      </rPr>
      <t>140M</t>
    </r>
    <r>
      <rPr>
        <vertAlign val="superscript"/>
        <sz val="10"/>
        <color indexed="8"/>
        <rFont val="Arial"/>
        <family val="2"/>
      </rPr>
      <t>2</t>
    </r>
    <r>
      <rPr>
        <sz val="10"/>
        <color indexed="8"/>
        <rFont val="Arial"/>
        <family val="2"/>
      </rPr>
      <t>(</t>
    </r>
    <r>
      <rPr>
        <sz val="10"/>
        <color indexed="8"/>
        <rFont val="宋体"/>
        <family val="3"/>
        <charset val="134"/>
      </rPr>
      <t>含</t>
    </r>
    <r>
      <rPr>
        <sz val="10"/>
        <color indexed="8"/>
        <rFont val="Arial"/>
        <family val="2"/>
      </rPr>
      <t>)</t>
    </r>
    <r>
      <rPr>
        <sz val="10"/>
        <color indexed="8"/>
        <rFont val="宋体"/>
        <family val="3"/>
        <charset val="134"/>
      </rPr>
      <t>以下</t>
    </r>
    <phoneticPr fontId="3" type="noConversion"/>
  </si>
  <si>
    <t>北京标准</t>
    <phoneticPr fontId="3" type="noConversion"/>
  </si>
  <si>
    <t>简单平均</t>
  </si>
  <si>
    <t>今日</t>
    <phoneticPr fontId="3" type="noConversion"/>
  </si>
  <si>
    <t>资质过期显示为红色</t>
    <phoneticPr fontId="3" type="noConversion"/>
  </si>
  <si>
    <t>注册房地产估价师</t>
    <phoneticPr fontId="3" type="noConversion"/>
  </si>
  <si>
    <t>注册证号</t>
    <phoneticPr fontId="3" type="noConversion"/>
  </si>
  <si>
    <t>资质有效期</t>
    <phoneticPr fontId="3" type="noConversion"/>
  </si>
  <si>
    <t>房地产估价师及注册号</t>
    <phoneticPr fontId="3" type="noConversion"/>
  </si>
  <si>
    <t>土地估价师</t>
    <phoneticPr fontId="3" type="noConversion"/>
  </si>
  <si>
    <t>证号</t>
    <phoneticPr fontId="3" type="noConversion"/>
  </si>
  <si>
    <t>土地估价师及注册号</t>
    <phoneticPr fontId="3" type="noConversion"/>
  </si>
  <si>
    <t>梁津</t>
    <phoneticPr fontId="3" type="noConversion"/>
  </si>
  <si>
    <t>叶凌</t>
    <phoneticPr fontId="3" type="noConversion"/>
  </si>
  <si>
    <t>王鹏</t>
    <phoneticPr fontId="3" type="noConversion"/>
  </si>
  <si>
    <t>欧红伟</t>
    <phoneticPr fontId="3" type="noConversion"/>
  </si>
  <si>
    <t>吴薇</t>
    <phoneticPr fontId="3" type="noConversion"/>
  </si>
  <si>
    <t>陈颖</t>
    <phoneticPr fontId="3" type="noConversion"/>
  </si>
  <si>
    <t>崔锴</t>
    <phoneticPr fontId="3" type="noConversion"/>
  </si>
  <si>
    <t>郑燚</t>
    <phoneticPr fontId="3" type="noConversion"/>
  </si>
  <si>
    <t>苏海</t>
    <phoneticPr fontId="3" type="noConversion"/>
  </si>
  <si>
    <t>刘敬东</t>
    <phoneticPr fontId="3" type="noConversion"/>
  </si>
  <si>
    <t>刘俊财</t>
    <phoneticPr fontId="3" type="noConversion"/>
  </si>
  <si>
    <t>赵雯</t>
    <phoneticPr fontId="3" type="noConversion"/>
  </si>
  <si>
    <t>估价机构</t>
    <phoneticPr fontId="3" type="noConversion"/>
  </si>
  <si>
    <t>房地产</t>
    <phoneticPr fontId="3" type="noConversion"/>
  </si>
  <si>
    <t>土地</t>
    <phoneticPr fontId="3" type="noConversion"/>
  </si>
  <si>
    <t>证书名称</t>
    <phoneticPr fontId="3" type="noConversion"/>
  </si>
  <si>
    <t>号码</t>
    <phoneticPr fontId="3" type="noConversion"/>
  </si>
  <si>
    <t>备案等级：一级</t>
    <phoneticPr fontId="3" type="noConversion"/>
  </si>
  <si>
    <t>建房估备字[2013第]081号</t>
    <phoneticPr fontId="3" type="noConversion"/>
  </si>
  <si>
    <t>资信等级：A级</t>
    <phoneticPr fontId="3" type="noConversion"/>
  </si>
  <si>
    <r>
      <rPr>
        <sz val="10"/>
        <color indexed="8"/>
        <rFont val="宋体"/>
        <family val="3"/>
        <charset val="134"/>
      </rPr>
      <t>估价项目名称</t>
    </r>
    <phoneticPr fontId="3" type="noConversion"/>
  </si>
  <si>
    <r>
      <rPr>
        <sz val="10"/>
        <color indexed="8"/>
        <rFont val="宋体"/>
        <family val="3"/>
        <charset val="134"/>
      </rPr>
      <t>报告编号</t>
    </r>
    <phoneticPr fontId="6" type="noConversion"/>
  </si>
  <si>
    <r>
      <rPr>
        <sz val="10"/>
        <color indexed="8"/>
        <rFont val="宋体"/>
        <family val="3"/>
        <charset val="134"/>
      </rPr>
      <t>现场勘查日</t>
    </r>
    <phoneticPr fontId="83" type="noConversion"/>
  </si>
  <si>
    <r>
      <rPr>
        <sz val="10"/>
        <color indexed="8"/>
        <rFont val="宋体"/>
        <family val="3"/>
        <charset val="134"/>
      </rPr>
      <t>价值时点</t>
    </r>
    <phoneticPr fontId="83" type="noConversion"/>
  </si>
  <si>
    <r>
      <rPr>
        <sz val="10"/>
        <color indexed="8"/>
        <rFont val="宋体"/>
        <family val="3"/>
        <charset val="134"/>
      </rPr>
      <t>签字估价师</t>
    </r>
    <phoneticPr fontId="83" type="noConversion"/>
  </si>
  <si>
    <r>
      <rPr>
        <sz val="10"/>
        <color indexed="8"/>
        <rFont val="宋体"/>
        <family val="3"/>
        <charset val="134"/>
      </rPr>
      <t>估价委托人</t>
    </r>
    <r>
      <rPr>
        <sz val="10"/>
        <color indexed="8"/>
        <rFont val="Arial"/>
        <family val="2"/>
      </rPr>
      <t xml:space="preserve">  </t>
    </r>
    <phoneticPr fontId="81" type="noConversion"/>
  </si>
  <si>
    <r>
      <rPr>
        <sz val="10"/>
        <color indexed="8"/>
        <rFont val="宋体"/>
        <family val="3"/>
        <charset val="134"/>
      </rPr>
      <t>金融机构</t>
    </r>
    <r>
      <rPr>
        <sz val="10"/>
        <color indexed="8"/>
        <rFont val="Arial"/>
        <family val="2"/>
      </rPr>
      <t>(</t>
    </r>
    <r>
      <rPr>
        <sz val="10"/>
        <color indexed="8"/>
        <rFont val="宋体"/>
        <family val="3"/>
        <charset val="134"/>
      </rPr>
      <t>贷款方</t>
    </r>
    <r>
      <rPr>
        <sz val="10"/>
        <color indexed="8"/>
        <rFont val="Arial"/>
        <family val="2"/>
      </rPr>
      <t>)</t>
    </r>
    <phoneticPr fontId="81" type="noConversion"/>
  </si>
  <si>
    <r>
      <rPr>
        <sz val="10"/>
        <color indexed="8"/>
        <rFont val="宋体"/>
        <family val="3"/>
        <charset val="134"/>
      </rPr>
      <t>借款方</t>
    </r>
    <phoneticPr fontId="6" type="noConversion"/>
  </si>
  <si>
    <r>
      <rPr>
        <sz val="10"/>
        <color indexed="8"/>
        <rFont val="宋体"/>
        <family val="3"/>
        <charset val="134"/>
      </rPr>
      <t>估价目的</t>
    </r>
    <phoneticPr fontId="81" type="noConversion"/>
  </si>
  <si>
    <r>
      <rPr>
        <sz val="10"/>
        <color indexed="8"/>
        <rFont val="宋体"/>
        <family val="3"/>
        <charset val="134"/>
      </rPr>
      <t>抵押结果包含：</t>
    </r>
    <phoneticPr fontId="83" type="noConversion"/>
  </si>
  <si>
    <r>
      <rPr>
        <sz val="10"/>
        <color indexed="8"/>
        <rFont val="宋体"/>
        <family val="3"/>
        <charset val="134"/>
      </rPr>
      <t>价值类型</t>
    </r>
    <phoneticPr fontId="81" type="noConversion"/>
  </si>
  <si>
    <r>
      <rPr>
        <sz val="10"/>
        <color indexed="8"/>
        <rFont val="宋体"/>
        <family val="3"/>
        <charset val="134"/>
      </rPr>
      <t>项目所在城市</t>
    </r>
    <phoneticPr fontId="6" type="noConversion"/>
  </si>
  <si>
    <r>
      <rPr>
        <sz val="10"/>
        <color indexed="8"/>
        <rFont val="宋体"/>
        <family val="3"/>
        <charset val="134"/>
      </rPr>
      <t>坐落</t>
    </r>
    <phoneticPr fontId="81" type="noConversion"/>
  </si>
  <si>
    <r>
      <rPr>
        <sz val="10"/>
        <color indexed="8"/>
        <rFont val="宋体"/>
        <family val="3"/>
        <charset val="134"/>
      </rPr>
      <t>不动产权利人</t>
    </r>
    <phoneticPr fontId="6" type="noConversion"/>
  </si>
  <si>
    <r>
      <rPr>
        <sz val="10"/>
        <color indexed="8"/>
        <rFont val="宋体"/>
        <family val="3"/>
        <charset val="134"/>
      </rPr>
      <t>土地性质</t>
    </r>
    <phoneticPr fontId="81" type="noConversion"/>
  </si>
  <si>
    <r>
      <rPr>
        <sz val="10"/>
        <color indexed="8"/>
        <rFont val="宋体"/>
        <family val="3"/>
        <charset val="134"/>
      </rPr>
      <t>用途</t>
    </r>
    <phoneticPr fontId="6" type="noConversion"/>
  </si>
  <si>
    <r>
      <rPr>
        <sz val="10"/>
        <color indexed="8"/>
        <rFont val="宋体"/>
        <family val="3"/>
        <charset val="134"/>
      </rPr>
      <t>住宅</t>
    </r>
    <phoneticPr fontId="6" type="noConversion"/>
  </si>
  <si>
    <r>
      <rPr>
        <sz val="10"/>
        <color indexed="8"/>
        <rFont val="宋体"/>
        <family val="3"/>
        <charset val="134"/>
      </rPr>
      <t>商业</t>
    </r>
    <phoneticPr fontId="6" type="noConversion"/>
  </si>
  <si>
    <r>
      <rPr>
        <sz val="10"/>
        <color indexed="8"/>
        <rFont val="宋体"/>
        <family val="3"/>
        <charset val="134"/>
      </rPr>
      <t>办公</t>
    </r>
    <phoneticPr fontId="6" type="noConversion"/>
  </si>
  <si>
    <r>
      <rPr>
        <sz val="10"/>
        <color indexed="8"/>
        <rFont val="宋体"/>
        <family val="3"/>
        <charset val="134"/>
      </rPr>
      <t>车库</t>
    </r>
    <phoneticPr fontId="6" type="noConversion"/>
  </si>
  <si>
    <r>
      <rPr>
        <sz val="10"/>
        <color indexed="8"/>
        <rFont val="宋体"/>
        <family val="3"/>
        <charset val="134"/>
      </rPr>
      <t>仓储</t>
    </r>
    <phoneticPr fontId="6" type="noConversion"/>
  </si>
  <si>
    <r>
      <rPr>
        <sz val="10"/>
        <color indexed="8"/>
        <rFont val="宋体"/>
        <family val="3"/>
        <charset val="134"/>
      </rPr>
      <t>工业</t>
    </r>
    <phoneticPr fontId="6" type="noConversion"/>
  </si>
  <si>
    <r>
      <rPr>
        <sz val="10"/>
        <color indexed="8"/>
        <rFont val="宋体"/>
        <family val="3"/>
        <charset val="134"/>
      </rPr>
      <t>终止日期</t>
    </r>
    <phoneticPr fontId="6" type="noConversion"/>
  </si>
  <si>
    <r>
      <rPr>
        <sz val="10"/>
        <color indexed="8"/>
        <rFont val="宋体"/>
        <family val="3"/>
        <charset val="134"/>
      </rPr>
      <t>出让年限</t>
    </r>
    <phoneticPr fontId="6" type="noConversion"/>
  </si>
  <si>
    <r>
      <rPr>
        <sz val="10"/>
        <color indexed="8"/>
        <rFont val="宋体"/>
        <family val="3"/>
        <charset val="134"/>
      </rPr>
      <t>剩余年限</t>
    </r>
    <phoneticPr fontId="6" type="noConversion"/>
  </si>
  <si>
    <r>
      <rPr>
        <sz val="10"/>
        <color indexed="8"/>
        <rFont val="宋体"/>
        <family val="3"/>
        <charset val="134"/>
      </rPr>
      <t>估价对象用途明细</t>
    </r>
    <phoneticPr fontId="81" type="noConversion"/>
  </si>
  <si>
    <r>
      <rPr>
        <sz val="10"/>
        <color indexed="8"/>
        <rFont val="宋体"/>
        <family val="3"/>
        <charset val="134"/>
      </rPr>
      <t>剩余土地年限</t>
    </r>
    <phoneticPr fontId="6" type="noConversion"/>
  </si>
  <si>
    <r>
      <rPr>
        <sz val="10"/>
        <color indexed="8"/>
        <rFont val="宋体"/>
        <family val="3"/>
        <charset val="134"/>
      </rPr>
      <t>面积指标</t>
    </r>
    <phoneticPr fontId="81" type="noConversion"/>
  </si>
  <si>
    <r>
      <rPr>
        <sz val="10"/>
        <color indexed="8"/>
        <rFont val="宋体"/>
        <family val="3"/>
        <charset val="134"/>
      </rPr>
      <t>建筑面积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</si>
  <si>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</si>
  <si>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《房屋所有权证》</t>
    </r>
    <r>
      <rPr>
        <sz val="10"/>
        <color theme="9" tint="-0.249977111117893"/>
        <rFont val="Arial"/>
        <family val="2"/>
      </rPr>
      <t>[]</t>
    </r>
    <r>
      <rPr>
        <sz val="10"/>
        <color theme="9" tint="-0.249977111117893"/>
        <rFont val="宋体"/>
        <family val="3"/>
        <charset val="134"/>
      </rPr>
      <t>、《测绘报告》</t>
    </r>
    <r>
      <rPr>
        <sz val="10"/>
        <color theme="9" tint="-0.249977111117893"/>
        <rFont val="Arial"/>
        <family val="2"/>
      </rPr>
      <t>[]</t>
    </r>
    <phoneticPr fontId="6" type="noConversion"/>
  </si>
  <si>
    <r>
      <rPr>
        <sz val="10"/>
        <color indexed="8"/>
        <rFont val="宋体"/>
        <family val="3"/>
        <charset val="134"/>
      </rPr>
      <t>土地面积</t>
    </r>
    <phoneticPr fontId="81" type="noConversion"/>
  </si>
  <si>
    <r>
      <rPr>
        <sz val="10"/>
        <color indexed="8"/>
        <rFont val="宋体"/>
        <family val="3"/>
        <charset val="134"/>
      </rPr>
      <t>面积依据</t>
    </r>
    <phoneticPr fontId="81" type="noConversion"/>
  </si>
  <si>
    <r>
      <rPr>
        <sz val="10"/>
        <color theme="9" tint="-0.249977111117893"/>
        <rFont val="宋体"/>
        <family val="3"/>
        <charset val="134"/>
      </rPr>
      <t>《国有土地使用证》</t>
    </r>
    <r>
      <rPr>
        <sz val="10"/>
        <color theme="9" tint="-0.249977111117893"/>
        <rFont val="Arial"/>
        <family val="2"/>
      </rPr>
      <t>[]</t>
    </r>
    <phoneticPr fontId="6" type="noConversion"/>
  </si>
  <si>
    <r>
      <rPr>
        <sz val="10"/>
        <color indexed="8"/>
        <rFont val="宋体"/>
        <family val="3"/>
        <charset val="134"/>
      </rPr>
      <t>是否抵押</t>
    </r>
    <phoneticPr fontId="83" type="noConversion"/>
  </si>
  <si>
    <r>
      <rPr>
        <sz val="10"/>
        <color indexed="8"/>
        <rFont val="宋体"/>
        <family val="3"/>
        <charset val="134"/>
      </rPr>
      <t>权属证件是否登记权利价值</t>
    </r>
    <phoneticPr fontId="83" type="noConversion"/>
  </si>
  <si>
    <r>
      <rPr>
        <sz val="10"/>
        <color indexed="8"/>
        <rFont val="宋体"/>
        <family val="3"/>
        <charset val="134"/>
      </rPr>
      <t>依据</t>
    </r>
    <phoneticPr fontId="83" type="noConversion"/>
  </si>
  <si>
    <r>
      <rPr>
        <sz val="10"/>
        <color indexed="8"/>
        <rFont val="宋体"/>
        <family val="3"/>
        <charset val="134"/>
      </rPr>
      <t>权属文件</t>
    </r>
    <phoneticPr fontId="83" type="noConversion"/>
  </si>
  <si>
    <r>
      <rPr>
        <sz val="10"/>
        <color indexed="8"/>
        <rFont val="宋体"/>
        <family val="3"/>
        <charset val="134"/>
      </rPr>
      <t>他项权证</t>
    </r>
    <phoneticPr fontId="83" type="noConversion"/>
  </si>
  <si>
    <r>
      <rPr>
        <sz val="10"/>
        <color indexed="8"/>
        <rFont val="宋体"/>
        <family val="3"/>
        <charset val="134"/>
      </rPr>
      <t>抵押情况描述</t>
    </r>
    <phoneticPr fontId="83" type="noConversion"/>
  </si>
  <si>
    <r>
      <rPr>
        <sz val="10"/>
        <color indexed="8"/>
        <rFont val="宋体"/>
        <family val="3"/>
        <charset val="134"/>
      </rPr>
      <t>抵押信息</t>
    </r>
    <phoneticPr fontId="83" type="noConversion"/>
  </si>
  <si>
    <r>
      <rPr>
        <sz val="10"/>
        <color indexed="8"/>
        <rFont val="宋体"/>
        <family val="3"/>
        <charset val="134"/>
      </rPr>
      <t>设定日期</t>
    </r>
    <phoneticPr fontId="83" type="noConversion"/>
  </si>
  <si>
    <r>
      <rPr>
        <sz val="10"/>
        <color indexed="8"/>
        <rFont val="宋体"/>
        <family val="3"/>
        <charset val="134"/>
      </rPr>
      <t>项目类型</t>
    </r>
    <phoneticPr fontId="6" type="noConversion"/>
  </si>
  <si>
    <r>
      <rPr>
        <sz val="10"/>
        <color indexed="8"/>
        <rFont val="宋体"/>
        <family val="3"/>
        <charset val="134"/>
      </rPr>
      <t>按主用途</t>
    </r>
    <phoneticPr fontId="6" type="noConversion"/>
  </si>
  <si>
    <r>
      <rPr>
        <sz val="10"/>
        <color indexed="8"/>
        <rFont val="宋体"/>
        <family val="3"/>
        <charset val="134"/>
      </rPr>
      <t>特殊细项</t>
    </r>
    <phoneticPr fontId="6" type="noConversion"/>
  </si>
  <si>
    <r>
      <rPr>
        <sz val="10"/>
        <color indexed="8"/>
        <rFont val="宋体"/>
        <family val="3"/>
        <charset val="134"/>
      </rPr>
      <t>是否配建</t>
    </r>
    <phoneticPr fontId="6" type="noConversion"/>
  </si>
  <si>
    <r>
      <rPr>
        <sz val="10"/>
        <color indexed="8"/>
        <rFont val="宋体"/>
        <family val="3"/>
        <charset val="134"/>
      </rPr>
      <t>配建类型</t>
    </r>
    <phoneticPr fontId="6" type="noConversion"/>
  </si>
  <si>
    <r>
      <rPr>
        <sz val="10"/>
        <color indexed="8"/>
        <rFont val="宋体"/>
        <family val="3"/>
        <charset val="134"/>
      </rPr>
      <t>项目现状</t>
    </r>
    <phoneticPr fontId="6" type="noConversion"/>
  </si>
  <si>
    <r>
      <rPr>
        <sz val="10"/>
        <color indexed="8"/>
        <rFont val="宋体"/>
        <family val="3"/>
        <charset val="134"/>
      </rPr>
      <t>红线外市政</t>
    </r>
    <phoneticPr fontId="6" type="noConversion"/>
  </si>
  <si>
    <r>
      <rPr>
        <sz val="10"/>
        <color indexed="8"/>
        <rFont val="宋体"/>
        <family val="3"/>
        <charset val="134"/>
      </rPr>
      <t>一通</t>
    </r>
    <phoneticPr fontId="88" type="noConversion"/>
  </si>
  <si>
    <r>
      <rPr>
        <sz val="10"/>
        <color indexed="8"/>
        <rFont val="宋体"/>
        <family val="3"/>
        <charset val="134"/>
      </rPr>
      <t>二通</t>
    </r>
    <phoneticPr fontId="88" type="noConversion"/>
  </si>
  <si>
    <r>
      <rPr>
        <sz val="10"/>
        <color indexed="8"/>
        <rFont val="宋体"/>
        <family val="3"/>
        <charset val="134"/>
      </rPr>
      <t>三通</t>
    </r>
    <phoneticPr fontId="88" type="noConversion"/>
  </si>
  <si>
    <r>
      <rPr>
        <sz val="10"/>
        <color indexed="8"/>
        <rFont val="宋体"/>
        <family val="3"/>
        <charset val="134"/>
      </rPr>
      <t>四通</t>
    </r>
    <phoneticPr fontId="88" type="noConversion"/>
  </si>
  <si>
    <r>
      <rPr>
        <sz val="10"/>
        <color indexed="8"/>
        <rFont val="宋体"/>
        <family val="3"/>
        <charset val="134"/>
      </rPr>
      <t>五通</t>
    </r>
    <phoneticPr fontId="88" type="noConversion"/>
  </si>
  <si>
    <r>
      <rPr>
        <sz val="10"/>
        <color indexed="8"/>
        <rFont val="宋体"/>
        <family val="3"/>
        <charset val="134"/>
      </rPr>
      <t>六通</t>
    </r>
    <phoneticPr fontId="88" type="noConversion"/>
  </si>
  <si>
    <r>
      <rPr>
        <sz val="10"/>
        <color indexed="8"/>
        <rFont val="宋体"/>
        <family val="3"/>
        <charset val="134"/>
      </rPr>
      <t>七通</t>
    </r>
    <phoneticPr fontId="88" type="noConversion"/>
  </si>
  <si>
    <r>
      <rPr>
        <sz val="10"/>
        <color indexed="8"/>
        <rFont val="宋体"/>
        <family val="3"/>
        <charset val="134"/>
      </rPr>
      <t>估价对象</t>
    </r>
    <phoneticPr fontId="88" type="noConversion"/>
  </si>
  <si>
    <r>
      <rPr>
        <sz val="10"/>
        <color indexed="8"/>
        <rFont val="宋体"/>
        <family val="3"/>
        <charset val="134"/>
      </rPr>
      <t>北京市</t>
    </r>
    <phoneticPr fontId="6" type="noConversion"/>
  </si>
  <si>
    <r>
      <rPr>
        <sz val="10"/>
        <color indexed="8"/>
        <rFont val="宋体"/>
        <family val="3"/>
        <charset val="134"/>
      </rPr>
      <t>土地级别</t>
    </r>
    <phoneticPr fontId="6" type="noConversion"/>
  </si>
  <si>
    <r>
      <rPr>
        <sz val="10"/>
        <color indexed="8"/>
        <rFont val="宋体"/>
        <family val="3"/>
        <charset val="134"/>
      </rPr>
      <t>区片编号</t>
    </r>
    <phoneticPr fontId="6" type="noConversion"/>
  </si>
  <si>
    <r>
      <rPr>
        <b/>
        <sz val="10"/>
        <color rgb="FFFF0000"/>
        <rFont val="宋体"/>
        <family val="3"/>
        <charset val="134"/>
      </rPr>
      <t>虚线以上为必填</t>
    </r>
    <phoneticPr fontId="6" type="noConversion"/>
  </si>
  <si>
    <r>
      <rPr>
        <b/>
        <sz val="10"/>
        <color indexed="8"/>
        <rFont val="宋体"/>
        <family val="3"/>
        <charset val="134"/>
      </rPr>
      <t>证件取得及他项权利状况</t>
    </r>
    <phoneticPr fontId="6" type="noConversion"/>
  </si>
  <si>
    <r>
      <rPr>
        <sz val="10"/>
        <color indexed="8"/>
        <rFont val="宋体"/>
        <family val="3"/>
        <charset val="134"/>
      </rPr>
      <t>地块编号</t>
    </r>
    <phoneticPr fontId="3" type="noConversion"/>
  </si>
  <si>
    <r>
      <rPr>
        <sz val="10"/>
        <color indexed="8"/>
        <rFont val="宋体"/>
        <family val="3"/>
        <charset val="134"/>
      </rPr>
      <t>建设内容</t>
    </r>
    <r>
      <rPr>
        <sz val="10"/>
        <color indexed="8"/>
        <rFont val="Arial"/>
        <family val="2"/>
      </rPr>
      <t>/</t>
    </r>
    <r>
      <rPr>
        <sz val="10"/>
        <color indexed="8"/>
        <rFont val="宋体"/>
        <family val="3"/>
        <charset val="134"/>
      </rPr>
      <t>楼号</t>
    </r>
    <phoneticPr fontId="3" type="noConversion"/>
  </si>
  <si>
    <r>
      <rPr>
        <sz val="10"/>
        <color indexed="8"/>
        <rFont val="宋体"/>
        <family val="3"/>
        <charset val="134"/>
      </rPr>
      <t>出让合同</t>
    </r>
    <phoneticPr fontId="3" type="noConversion"/>
  </si>
  <si>
    <r>
      <rPr>
        <sz val="10"/>
        <color indexed="8"/>
        <rFont val="宋体"/>
        <family val="3"/>
        <charset val="134"/>
      </rPr>
      <t>用地规划</t>
    </r>
    <phoneticPr fontId="3" type="noConversion"/>
  </si>
  <si>
    <r>
      <rPr>
        <sz val="10"/>
        <color indexed="8"/>
        <rFont val="宋体"/>
        <family val="3"/>
        <charset val="134"/>
      </rPr>
      <t>规划意见复函</t>
    </r>
    <phoneticPr fontId="3" type="noConversion"/>
  </si>
  <si>
    <r>
      <rPr>
        <sz val="10"/>
        <color indexed="8"/>
        <rFont val="宋体"/>
        <family val="3"/>
        <charset val="134"/>
      </rPr>
      <t>工程规划</t>
    </r>
    <phoneticPr fontId="3" type="noConversion"/>
  </si>
  <si>
    <r>
      <rPr>
        <sz val="10"/>
        <color indexed="8"/>
        <rFont val="宋体"/>
        <family val="3"/>
        <charset val="134"/>
      </rPr>
      <t>施工证</t>
    </r>
    <phoneticPr fontId="3" type="noConversion"/>
  </si>
  <si>
    <r>
      <rPr>
        <sz val="10"/>
        <color indexed="8"/>
        <rFont val="宋体"/>
        <family val="3"/>
        <charset val="134"/>
      </rPr>
      <t>预售证</t>
    </r>
    <phoneticPr fontId="3" type="noConversion"/>
  </si>
  <si>
    <r>
      <rPr>
        <sz val="10"/>
        <color indexed="8"/>
        <rFont val="宋体"/>
        <family val="3"/>
        <charset val="134"/>
      </rPr>
      <t>竣工备案</t>
    </r>
    <phoneticPr fontId="3" type="noConversion"/>
  </si>
  <si>
    <r>
      <rPr>
        <sz val="10"/>
        <color indexed="8"/>
        <rFont val="宋体"/>
        <family val="3"/>
        <charset val="134"/>
      </rPr>
      <t>测绘报告</t>
    </r>
    <phoneticPr fontId="3" type="noConversion"/>
  </si>
  <si>
    <r>
      <rPr>
        <sz val="10"/>
        <color indexed="8"/>
        <rFont val="宋体"/>
        <family val="3"/>
        <charset val="134"/>
      </rPr>
      <t>现状</t>
    </r>
    <phoneticPr fontId="6" type="noConversion"/>
  </si>
  <si>
    <r>
      <rPr>
        <sz val="10"/>
        <color indexed="8"/>
        <rFont val="宋体"/>
        <family val="3"/>
        <charset val="134"/>
      </rPr>
      <t>用地性质</t>
    </r>
    <r>
      <rPr>
        <sz val="10"/>
        <color indexed="8"/>
        <rFont val="Arial"/>
        <family val="2"/>
      </rPr>
      <t>/</t>
    </r>
    <r>
      <rPr>
        <sz val="10"/>
        <color indexed="8"/>
        <rFont val="宋体"/>
        <family val="3"/>
        <charset val="134"/>
      </rPr>
      <t>土地用途</t>
    </r>
    <phoneticPr fontId="6" type="noConversion"/>
  </si>
  <si>
    <r>
      <rPr>
        <sz val="10"/>
        <color indexed="8"/>
        <rFont val="宋体"/>
        <family val="3"/>
        <charset val="134"/>
      </rPr>
      <t>不动产权证书</t>
    </r>
    <phoneticPr fontId="6" type="noConversion"/>
  </si>
  <si>
    <r>
      <rPr>
        <sz val="10"/>
        <color indexed="8"/>
        <rFont val="宋体"/>
        <family val="3"/>
        <charset val="134"/>
      </rPr>
      <t>国土证</t>
    </r>
    <phoneticPr fontId="3" type="noConversion"/>
  </si>
  <si>
    <r>
      <rPr>
        <sz val="10"/>
        <color indexed="8"/>
        <rFont val="宋体"/>
        <family val="3"/>
        <charset val="134"/>
      </rPr>
      <t>房产证</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</si>
  <si>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抵押</t>
    </r>
    <phoneticPr fontId="3" type="noConversion"/>
  </si>
  <si>
    <r>
      <rPr>
        <sz val="10"/>
        <color indexed="8"/>
        <rFont val="宋体"/>
        <family val="3"/>
        <charset val="134"/>
      </rPr>
      <t>他项权利</t>
    </r>
    <r>
      <rPr>
        <sz val="10"/>
        <color indexed="8"/>
        <rFont val="Arial"/>
        <family val="2"/>
      </rPr>
      <t>——</t>
    </r>
    <r>
      <rPr>
        <sz val="10"/>
        <color indexed="8"/>
        <rFont val="宋体"/>
        <family val="3"/>
        <charset val="134"/>
      </rPr>
      <t>租赁</t>
    </r>
    <phoneticPr fontId="6" type="noConversion"/>
  </si>
  <si>
    <r>
      <rPr>
        <sz val="10"/>
        <color indexed="8"/>
        <rFont val="宋体"/>
        <family val="3"/>
        <charset val="134"/>
      </rPr>
      <t>他项权利</t>
    </r>
    <r>
      <rPr>
        <sz val="10"/>
        <color indexed="8"/>
        <rFont val="Arial"/>
        <family val="2"/>
      </rPr>
      <t>——</t>
    </r>
    <r>
      <rPr>
        <sz val="10"/>
        <color indexed="8"/>
        <rFont val="宋体"/>
        <family val="3"/>
        <charset val="134"/>
      </rPr>
      <t>其他</t>
    </r>
    <phoneticPr fontId="6" type="noConversion"/>
  </si>
  <si>
    <r>
      <rPr>
        <sz val="10"/>
        <color indexed="8"/>
        <rFont val="宋体"/>
        <family val="3"/>
        <charset val="134"/>
      </rPr>
      <t>居住社区成熟度</t>
    </r>
  </si>
  <si>
    <r>
      <rPr>
        <sz val="10"/>
        <color indexed="8"/>
        <rFont val="宋体"/>
        <family val="3"/>
        <charset val="134"/>
      </rPr>
      <t>产业集聚程度</t>
    </r>
  </si>
  <si>
    <r>
      <rPr>
        <sz val="10"/>
        <color indexed="8"/>
        <rFont val="宋体"/>
        <family val="3"/>
        <charset val="134"/>
      </rPr>
      <t>商业繁华度</t>
    </r>
    <phoneticPr fontId="28" type="noConversion"/>
  </si>
  <si>
    <r>
      <rPr>
        <sz val="10"/>
        <color indexed="8"/>
        <rFont val="宋体"/>
        <family val="3"/>
        <charset val="134"/>
      </rPr>
      <t>交通便捷度</t>
    </r>
    <phoneticPr fontId="28" type="noConversion"/>
  </si>
  <si>
    <r>
      <rPr>
        <sz val="10"/>
        <color theme="9" tint="-0.249977111117893"/>
        <rFont val="宋体"/>
        <family val="3"/>
        <charset val="134"/>
      </rPr>
      <t>估价对象周边道路状况、公共交通通达情况、停车便捷程度，综合评价交通便捷度较好</t>
    </r>
    <phoneticPr fontId="40" type="noConversion"/>
  </si>
  <si>
    <r>
      <rPr>
        <sz val="10"/>
        <color indexed="8"/>
        <rFont val="宋体"/>
        <family val="3"/>
        <charset val="134"/>
      </rPr>
      <t>办公集聚程度</t>
    </r>
    <phoneticPr fontId="28" type="noConversion"/>
  </si>
  <si>
    <r>
      <rPr>
        <sz val="10"/>
        <color indexed="8"/>
        <rFont val="宋体"/>
        <family val="3"/>
        <charset val="134"/>
      </rPr>
      <t>公共配套设施</t>
    </r>
    <phoneticPr fontId="24" type="noConversion"/>
  </si>
  <si>
    <r>
      <rPr>
        <sz val="10"/>
        <color theme="9" tint="-0.249977111117893"/>
        <rFont val="宋体"/>
        <family val="3"/>
        <charset val="134"/>
      </rPr>
      <t>估价对象所在区域公共配套设施齐备情况</t>
    </r>
    <phoneticPr fontId="40" type="noConversion"/>
  </si>
  <si>
    <r>
      <rPr>
        <sz val="10"/>
        <color indexed="8"/>
        <rFont val="宋体"/>
        <family val="3"/>
        <charset val="134"/>
      </rPr>
      <t>交通便捷度</t>
    </r>
  </si>
  <si>
    <r>
      <rPr>
        <sz val="10"/>
        <color indexed="8"/>
        <rFont val="宋体"/>
        <family val="3"/>
        <charset val="134"/>
      </rPr>
      <t>基础设施水平</t>
    </r>
    <phoneticPr fontId="24" type="noConversion"/>
  </si>
  <si>
    <r>
      <rPr>
        <sz val="10"/>
        <color theme="9" tint="-0.249977111117893"/>
        <rFont val="宋体"/>
        <family val="3"/>
        <charset val="134"/>
      </rPr>
      <t>估价对象所在区域基础设施水平</t>
    </r>
    <phoneticPr fontId="24" type="noConversion"/>
  </si>
  <si>
    <r>
      <rPr>
        <sz val="10"/>
        <color indexed="8"/>
        <rFont val="宋体"/>
        <family val="3"/>
        <charset val="134"/>
      </rPr>
      <t>环境状况</t>
    </r>
    <phoneticPr fontId="28" type="noConversion"/>
  </si>
  <si>
    <r>
      <rPr>
        <sz val="10"/>
        <color indexed="8"/>
        <rFont val="宋体"/>
        <family val="3"/>
        <charset val="134"/>
      </rPr>
      <t>自然及人文环境</t>
    </r>
  </si>
  <si>
    <r>
      <rPr>
        <sz val="10"/>
        <color theme="9" tint="-0.249977111117893"/>
        <rFont val="宋体"/>
        <family val="3"/>
        <charset val="134"/>
      </rPr>
      <t>区域自然环境：；人文环境；综合评价环境状况一般</t>
    </r>
    <phoneticPr fontId="40" type="noConversion"/>
  </si>
  <si>
    <r>
      <rPr>
        <sz val="10"/>
        <color indexed="8"/>
        <rFont val="宋体"/>
        <family val="3"/>
        <charset val="134"/>
      </rPr>
      <t>毗邻道路的类型与等级</t>
    </r>
    <phoneticPr fontId="28" type="noConversion"/>
  </si>
  <si>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</si>
  <si>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</si>
  <si>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8" type="noConversion"/>
  </si>
  <si>
    <r>
      <rPr>
        <b/>
        <sz val="10"/>
        <color indexed="8"/>
        <rFont val="宋体"/>
        <family val="3"/>
        <charset val="134"/>
      </rPr>
      <t>区位状况</t>
    </r>
    <phoneticPr fontId="24" type="noConversion"/>
  </si>
  <si>
    <r>
      <rPr>
        <sz val="10"/>
        <color indexed="8"/>
        <rFont val="宋体"/>
        <family val="3"/>
        <charset val="134"/>
      </rPr>
      <t>产业集聚程度</t>
    </r>
    <phoneticPr fontId="28" type="noConversion"/>
  </si>
  <si>
    <r>
      <rPr>
        <sz val="10"/>
        <color indexed="8"/>
        <rFont val="宋体"/>
        <family val="3"/>
        <charset val="134"/>
      </rPr>
      <t>区域土地利用方向</t>
    </r>
    <phoneticPr fontId="28" type="noConversion"/>
  </si>
  <si>
    <r>
      <rPr>
        <sz val="10"/>
        <color indexed="8"/>
        <rFont val="宋体"/>
        <family val="3"/>
        <charset val="134"/>
      </rPr>
      <t>区域土地利用方向</t>
    </r>
  </si>
  <si>
    <r>
      <rPr>
        <sz val="10"/>
        <color indexed="8"/>
        <rFont val="宋体"/>
        <family val="3"/>
        <charset val="134"/>
      </rPr>
      <t>自然及人文环境状况</t>
    </r>
  </si>
  <si>
    <r>
      <rPr>
        <sz val="10"/>
        <color indexed="8"/>
        <rFont val="宋体"/>
        <family val="3"/>
        <charset val="134"/>
      </rPr>
      <t>临街状况</t>
    </r>
  </si>
  <si>
    <r>
      <rPr>
        <sz val="10"/>
        <color indexed="8"/>
        <rFont val="宋体"/>
        <family val="3"/>
        <charset val="134"/>
      </rPr>
      <t>土地级别</t>
    </r>
    <phoneticPr fontId="28" type="noConversion"/>
  </si>
  <si>
    <r>
      <rPr>
        <sz val="10"/>
        <color indexed="8"/>
        <rFont val="宋体"/>
        <family val="3"/>
        <charset val="134"/>
      </rPr>
      <t>毗邻道路的类型与等级</t>
    </r>
  </si>
  <si>
    <r>
      <rPr>
        <b/>
        <sz val="10"/>
        <color indexed="8"/>
        <rFont val="宋体"/>
        <family val="3"/>
        <charset val="134"/>
      </rPr>
      <t>住宅、办公及商业</t>
    </r>
    <phoneticPr fontId="27" type="noConversion"/>
  </si>
  <si>
    <r>
      <rPr>
        <b/>
        <sz val="10"/>
        <color indexed="8"/>
        <rFont val="宋体"/>
        <family val="3"/>
        <charset val="134"/>
      </rPr>
      <t>工业</t>
    </r>
    <phoneticPr fontId="27" type="noConversion"/>
  </si>
  <si>
    <r>
      <rPr>
        <b/>
        <sz val="10"/>
        <color indexed="8"/>
        <rFont val="宋体"/>
        <family val="3"/>
        <charset val="134"/>
      </rPr>
      <t>区位状况</t>
    </r>
    <phoneticPr fontId="24" type="noConversion"/>
  </si>
  <si>
    <r>
      <rPr>
        <b/>
        <sz val="11"/>
        <color indexed="10"/>
        <rFont val="宋体"/>
        <family val="3"/>
        <charset val="134"/>
      </rPr>
      <t>房地产修正因素</t>
    </r>
    <phoneticPr fontId="3" type="noConversion"/>
  </si>
  <si>
    <r>
      <rPr>
        <b/>
        <sz val="11"/>
        <color indexed="10"/>
        <rFont val="宋体"/>
        <family val="3"/>
        <charset val="134"/>
      </rPr>
      <t>土地修正因素</t>
    </r>
    <phoneticPr fontId="3" type="noConversion"/>
  </si>
  <si>
    <t>★取得土地使用权所支付的金额，是指纳税人为取得土地使用权所支付的地价款和按国家统一规定交纳的有关费用★</t>
    <phoneticPr fontId="3" type="noConversion"/>
  </si>
  <si>
    <t>★土地征用及拆迁补偿费，包括土地征用费、耕地占用税、劳动力安置费及有关地上、地下附着物拆迁补偿的净支出、安置动迁用房支出等★</t>
    <phoneticPr fontId="3" type="noConversion"/>
  </si>
  <si>
    <r>
      <rPr>
        <sz val="11"/>
        <color rgb="FFFF0000"/>
        <rFont val="宋体"/>
        <family val="3"/>
        <charset val="134"/>
      </rPr>
      <t>★根据项目情况选择计算系数，待开发土地建议取值</t>
    </r>
    <r>
      <rPr>
        <sz val="11"/>
        <color rgb="FFFF0000"/>
        <rFont val="Arial"/>
        <family val="2"/>
      </rPr>
      <t>0</t>
    </r>
    <r>
      <rPr>
        <sz val="11"/>
        <color rgb="FFFF0000"/>
        <rFont val="宋体"/>
        <family val="3"/>
        <charset val="134"/>
      </rPr>
      <t>，在建及已建项目取</t>
    </r>
    <r>
      <rPr>
        <sz val="11"/>
        <color rgb="FFFF0000"/>
        <rFont val="Arial"/>
        <family val="2"/>
      </rPr>
      <t>10%</t>
    </r>
    <r>
      <rPr>
        <sz val="11"/>
        <color rgb="FFFF0000"/>
        <rFont val="宋体"/>
        <family val="3"/>
        <charset val="134"/>
      </rPr>
      <t>★</t>
    </r>
    <phoneticPr fontId="3"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</si>
  <si>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2</t>
    </r>
    <r>
      <rPr>
        <sz val="10"/>
        <color indexed="8"/>
        <rFont val="宋体"/>
        <family val="3"/>
        <charset val="134"/>
      </rPr>
      <t>以外的自建房</t>
    </r>
    <phoneticPr fontId="8" type="noConversion"/>
  </si>
  <si>
    <r>
      <rPr>
        <sz val="10"/>
        <color indexed="8"/>
        <rFont val="宋体"/>
        <family val="3"/>
        <charset val="134"/>
      </rPr>
      <t>除情况</t>
    </r>
    <r>
      <rPr>
        <sz val="10"/>
        <color indexed="8"/>
        <rFont val="Arial"/>
        <family val="2"/>
      </rPr>
      <t>1</t>
    </r>
    <r>
      <rPr>
        <sz val="10"/>
        <color indexed="8"/>
        <rFont val="宋体"/>
        <family val="3"/>
        <charset val="134"/>
      </rPr>
      <t>、</t>
    </r>
    <r>
      <rPr>
        <sz val="10"/>
        <color indexed="8"/>
        <rFont val="Arial"/>
        <family val="2"/>
      </rPr>
      <t>3</t>
    </r>
    <r>
      <rPr>
        <sz val="10"/>
        <color indexed="8"/>
        <rFont val="宋体"/>
        <family val="3"/>
        <charset val="134"/>
      </rPr>
      <t>以外的非自建房</t>
    </r>
    <phoneticPr fontId="8" type="noConversion"/>
  </si>
  <si>
    <t>典型户型修正</t>
    <phoneticPr fontId="16" type="noConversion"/>
  </si>
  <si>
    <r>
      <rPr>
        <sz val="11"/>
        <color rgb="FFFF0000"/>
        <rFont val="宋体"/>
        <family val="3"/>
        <charset val="134"/>
      </rPr>
      <t>凭票据或默认已缴纳</t>
    </r>
    <phoneticPr fontId="3" type="noConversion"/>
  </si>
  <si>
    <r>
      <rPr>
        <sz val="10"/>
        <color rgb="FFFF0000"/>
        <rFont val="宋体"/>
        <family val="3"/>
        <charset val="134"/>
      </rPr>
      <t>范围：</t>
    </r>
    <r>
      <rPr>
        <sz val="10"/>
        <color rgb="FFFF0000"/>
        <rFont val="Arial"/>
        <family val="2"/>
      </rPr>
      <t>3%-5%</t>
    </r>
    <phoneticPr fontId="3" type="noConversion"/>
  </si>
  <si>
    <r>
      <rPr>
        <sz val="10"/>
        <color rgb="FFFF0000"/>
        <rFont val="宋体"/>
        <family val="3"/>
        <charset val="134"/>
      </rPr>
      <t>范围：</t>
    </r>
    <r>
      <rPr>
        <sz val="10"/>
        <color rgb="FFFF0000"/>
        <rFont val="Arial"/>
        <family val="2"/>
      </rPr>
      <t>0-10%</t>
    </r>
    <phoneticPr fontId="3" type="noConversion"/>
  </si>
  <si>
    <r>
      <rPr>
        <sz val="10"/>
        <color rgb="FFFF0000"/>
        <rFont val="宋体"/>
        <family val="3"/>
        <charset val="134"/>
      </rPr>
      <t>变化</t>
    </r>
    <phoneticPr fontId="3" type="noConversion"/>
  </si>
  <si>
    <r>
      <rPr>
        <sz val="10"/>
        <color rgb="FFFF0000"/>
        <rFont val="宋体"/>
        <family val="3"/>
        <charset val="134"/>
      </rPr>
      <t>定值：</t>
    </r>
    <r>
      <rPr>
        <sz val="10"/>
        <color rgb="FFFF0000"/>
        <rFont val="Arial"/>
        <family val="2"/>
      </rPr>
      <t>1.5%</t>
    </r>
    <phoneticPr fontId="3" type="noConversion"/>
  </si>
  <si>
    <r>
      <rPr>
        <sz val="10"/>
        <color rgb="FFFF0000"/>
        <rFont val="宋体"/>
        <family val="3"/>
        <charset val="134"/>
      </rPr>
      <t>范围：</t>
    </r>
    <r>
      <rPr>
        <sz val="10"/>
        <color rgb="FFFF0000"/>
        <rFont val="Arial"/>
        <family val="2"/>
      </rPr>
      <t>1%-3%</t>
    </r>
    <phoneticPr fontId="3" type="noConversion"/>
  </si>
  <si>
    <r>
      <rPr>
        <sz val="11"/>
        <color rgb="FFFF0000"/>
        <rFont val="宋体"/>
        <family val="3"/>
        <charset val="134"/>
      </rPr>
      <t>北京：</t>
    </r>
    <r>
      <rPr>
        <sz val="11"/>
        <color rgb="FFFF0000"/>
        <rFont val="Arial"/>
        <family val="2"/>
      </rPr>
      <t>3%</t>
    </r>
    <phoneticPr fontId="3" type="noConversion"/>
  </si>
  <si>
    <r>
      <rPr>
        <sz val="11"/>
        <color rgb="FFFF0000"/>
        <rFont val="宋体"/>
        <family val="3"/>
        <charset val="134"/>
      </rPr>
      <t>北京：</t>
    </r>
    <r>
      <rPr>
        <sz val="11"/>
        <color rgb="FFFF0000"/>
        <rFont val="Arial"/>
        <family val="2"/>
      </rPr>
      <t>2%</t>
    </r>
    <phoneticPr fontId="3" type="noConversion"/>
  </si>
  <si>
    <r>
      <rPr>
        <sz val="11"/>
        <color rgb="FFFF0000"/>
        <rFont val="宋体"/>
        <family val="3"/>
        <charset val="134"/>
      </rPr>
      <t>北京：</t>
    </r>
    <r>
      <rPr>
        <sz val="11"/>
        <color rgb="FFFF0000"/>
        <rFont val="Arial"/>
        <family val="2"/>
      </rPr>
      <t>0.05%</t>
    </r>
    <phoneticPr fontId="3" type="noConversion"/>
  </si>
  <si>
    <r>
      <rPr>
        <sz val="11"/>
        <color rgb="FFFF0000"/>
        <rFont val="宋体"/>
        <family val="3"/>
        <charset val="134"/>
      </rPr>
      <t>包含未完成的红线外市政工程时间（如现状三通，开发完成后七通）</t>
    </r>
    <phoneticPr fontId="3" type="noConversion"/>
  </si>
  <si>
    <r>
      <rPr>
        <sz val="11"/>
        <color rgb="FFFF0000"/>
        <rFont val="宋体"/>
        <family val="3"/>
        <charset val="134"/>
      </rPr>
      <t>★非住宅项目及用公共配套计算实为</t>
    </r>
    <r>
      <rPr>
        <sz val="11"/>
        <color rgb="FFFF0000"/>
        <rFont val="Arial"/>
        <family val="2"/>
      </rPr>
      <t>0</t>
    </r>
    <r>
      <rPr>
        <sz val="11"/>
        <color rgb="FFFF0000"/>
        <rFont val="宋体"/>
        <family val="3"/>
        <charset val="134"/>
      </rPr>
      <t>★</t>
    </r>
    <phoneticPr fontId="3" type="noConversion"/>
  </si>
  <si>
    <t>★默认为已完成的土地开发期★</t>
    <phoneticPr fontId="3" type="noConversion"/>
  </si>
  <si>
    <r>
      <rPr>
        <sz val="11"/>
        <color indexed="10"/>
        <rFont val="宋体"/>
        <family val="3"/>
        <charset val="134"/>
      </rPr>
      <t>★</t>
    </r>
    <r>
      <rPr>
        <sz val="11"/>
        <color indexed="10"/>
        <rFont val="楷体_GB2312"/>
        <family val="3"/>
        <charset val="134"/>
      </rPr>
      <t>其他省市请录依据文件名称★：</t>
    </r>
    <phoneticPr fontId="3" type="noConversion"/>
  </si>
  <si>
    <t>★外省请录依据文件名称★：</t>
    <phoneticPr fontId="3" type="noConversion"/>
  </si>
  <si>
    <r>
      <rPr>
        <sz val="10"/>
        <color rgb="FFFF0000"/>
        <rFont val="宋体"/>
        <family val="3"/>
        <charset val="134"/>
      </rPr>
      <t>★看各地政策。市区</t>
    </r>
    <r>
      <rPr>
        <sz val="10"/>
        <color rgb="FFFF0000"/>
        <rFont val="Arial"/>
        <family val="2"/>
      </rPr>
      <t>7%</t>
    </r>
    <r>
      <rPr>
        <sz val="10"/>
        <color rgb="FFFF0000"/>
        <rFont val="宋体"/>
        <family val="3"/>
        <charset val="134"/>
      </rPr>
      <t>，县城和镇</t>
    </r>
    <r>
      <rPr>
        <sz val="10"/>
        <color rgb="FFFF0000"/>
        <rFont val="Arial"/>
        <family val="2"/>
      </rPr>
      <t>5%</t>
    </r>
    <r>
      <rPr>
        <sz val="10"/>
        <color rgb="FFFF0000"/>
        <rFont val="宋体"/>
        <family val="3"/>
        <charset val="134"/>
      </rPr>
      <t>，乡村</t>
    </r>
    <r>
      <rPr>
        <sz val="10"/>
        <color rgb="FFFF0000"/>
        <rFont val="Arial"/>
        <family val="2"/>
      </rPr>
      <t>1%</t>
    </r>
    <r>
      <rPr>
        <sz val="10"/>
        <color rgb="FFFF0000"/>
        <rFont val="宋体"/>
        <family val="3"/>
        <charset val="134"/>
      </rPr>
      <t>。大中型工矿企业所在地不在城市市区、县城、建制镇的，税率为</t>
    </r>
    <r>
      <rPr>
        <sz val="10"/>
        <color rgb="FFFF0000"/>
        <rFont val="Arial"/>
        <family val="2"/>
      </rPr>
      <t>1%</t>
    </r>
    <r>
      <rPr>
        <sz val="10"/>
        <color rgb="FFFF0000"/>
        <rFont val="宋体"/>
        <family val="3"/>
        <charset val="134"/>
      </rPr>
      <t>★</t>
    </r>
    <phoneticPr fontId="3" type="noConversion"/>
  </si>
  <si>
    <t>★请录依据文件名称★：</t>
    <phoneticPr fontId="3" type="noConversion"/>
  </si>
  <si>
    <r>
      <rPr>
        <b/>
        <sz val="10"/>
        <color rgb="FFFF0000"/>
        <rFont val="宋体"/>
        <family val="3"/>
        <charset val="134"/>
      </rPr>
      <t>★北京：个人房产计综合税率：个人住宅月租</t>
    </r>
    <r>
      <rPr>
        <b/>
        <sz val="10"/>
        <color rgb="FFFF0000"/>
        <rFont val="Arial"/>
        <family val="2"/>
      </rPr>
      <t>10</t>
    </r>
    <r>
      <rPr>
        <b/>
        <sz val="10"/>
        <color rgb="FFFF0000"/>
        <rFont val="宋体"/>
        <family val="3"/>
        <charset val="134"/>
      </rPr>
      <t>万以上为</t>
    </r>
    <r>
      <rPr>
        <b/>
        <sz val="10"/>
        <color rgb="FFFF0000"/>
        <rFont val="Arial"/>
        <family val="2"/>
      </rPr>
      <t>4%</t>
    </r>
    <r>
      <rPr>
        <b/>
        <sz val="10"/>
        <color rgb="FFFF0000"/>
        <rFont val="宋体"/>
        <family val="3"/>
        <charset val="134"/>
      </rPr>
      <t>，以内为</t>
    </r>
    <r>
      <rPr>
        <b/>
        <sz val="10"/>
        <color rgb="FFFF0000"/>
        <rFont val="Arial"/>
        <family val="2"/>
      </rPr>
      <t>2.5%</t>
    </r>
    <r>
      <rPr>
        <b/>
        <sz val="10"/>
        <color rgb="FFFF0000"/>
        <rFont val="宋体"/>
        <family val="3"/>
        <charset val="134"/>
      </rPr>
      <t>；个人其他月租</t>
    </r>
    <r>
      <rPr>
        <b/>
        <sz val="10"/>
        <color rgb="FFFF0000"/>
        <rFont val="Arial"/>
        <family val="2"/>
      </rPr>
      <t>10</t>
    </r>
    <r>
      <rPr>
        <b/>
        <sz val="10"/>
        <color rgb="FFFF0000"/>
        <rFont val="宋体"/>
        <family val="3"/>
        <charset val="134"/>
      </rPr>
      <t>万以上为</t>
    </r>
    <r>
      <rPr>
        <b/>
        <sz val="10"/>
        <color rgb="FFFF0000"/>
        <rFont val="Arial"/>
        <family val="2"/>
      </rPr>
      <t>12%</t>
    </r>
    <r>
      <rPr>
        <b/>
        <sz val="10"/>
        <color rgb="FFFF0000"/>
        <rFont val="宋体"/>
        <family val="3"/>
        <charset val="134"/>
      </rPr>
      <t>，以下为</t>
    </r>
    <r>
      <rPr>
        <b/>
        <sz val="10"/>
        <color rgb="FFFF0000"/>
        <rFont val="Arial"/>
        <family val="2"/>
      </rPr>
      <t>7%</t>
    </r>
    <r>
      <rPr>
        <b/>
        <sz val="10"/>
        <color rgb="FFFF0000"/>
        <rFont val="宋体"/>
        <family val="3"/>
        <charset val="134"/>
      </rPr>
      <t>★</t>
    </r>
    <phoneticPr fontId="3" type="noConversion"/>
  </si>
  <si>
    <t>2020-3</t>
    <phoneticPr fontId="3" type="noConversion"/>
  </si>
  <si>
    <t>2020-4</t>
    <phoneticPr fontId="3" type="noConversion"/>
  </si>
  <si>
    <t>LPR</t>
  </si>
  <si>
    <t>利息：取LPR</t>
  </si>
  <si>
    <t>2021-1</t>
    <phoneticPr fontId="3" type="noConversion"/>
  </si>
  <si>
    <t>2021-2</t>
    <phoneticPr fontId="3" type="noConversion"/>
  </si>
  <si>
    <t>2021-3</t>
    <phoneticPr fontId="3" type="noConversion"/>
  </si>
  <si>
    <r>
      <rPr>
        <b/>
        <sz val="10"/>
        <rFont val="宋体"/>
        <family val="3"/>
        <charset val="134"/>
      </rPr>
      <t>收益法（自营</t>
    </r>
    <r>
      <rPr>
        <b/>
        <sz val="10"/>
        <rFont val="Arial"/>
        <family val="2"/>
      </rPr>
      <t>-</t>
    </r>
    <r>
      <rPr>
        <b/>
        <sz val="10"/>
        <rFont val="宋体"/>
        <family val="3"/>
        <charset val="134"/>
      </rPr>
      <t>酒店）需企业提供近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</si>
  <si>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b/>
        <sz val="10"/>
        <rFont val="宋体"/>
        <family val="3"/>
        <charset val="134"/>
      </rPr>
      <t>总价</t>
    </r>
    <phoneticPr fontId="3" type="noConversion"/>
  </si>
  <si>
    <r>
      <rPr>
        <sz val="10"/>
        <rFont val="宋体"/>
        <family val="3"/>
        <charset val="134"/>
      </rPr>
      <t>万元</t>
    </r>
    <phoneticPr fontId="3" type="noConversion"/>
  </si>
  <si>
    <r>
      <rPr>
        <b/>
        <sz val="10"/>
        <rFont val="宋体"/>
        <family val="3"/>
        <charset val="134"/>
      </rPr>
      <t>面积指标</t>
    </r>
    <phoneticPr fontId="3" type="noConversion"/>
  </si>
  <si>
    <r>
      <rPr>
        <b/>
        <sz val="10"/>
        <rFont val="宋体"/>
        <family val="3"/>
        <charset val="134"/>
      </rPr>
      <t>分类</t>
    </r>
    <r>
      <rPr>
        <b/>
        <sz val="10"/>
        <rFont val="Arial"/>
        <family val="2"/>
      </rPr>
      <t>1</t>
    </r>
    <phoneticPr fontId="3" type="noConversion"/>
  </si>
  <si>
    <r>
      <rPr>
        <b/>
        <sz val="10"/>
        <rFont val="宋体"/>
        <family val="3"/>
        <charset val="134"/>
      </rPr>
      <t>分类</t>
    </r>
    <r>
      <rPr>
        <b/>
        <sz val="10"/>
        <rFont val="Arial"/>
        <family val="2"/>
      </rPr>
      <t>2</t>
    </r>
  </si>
  <si>
    <r>
      <rPr>
        <b/>
        <sz val="10"/>
        <rFont val="宋体"/>
        <family val="3"/>
        <charset val="134"/>
      </rPr>
      <t>分类</t>
    </r>
    <r>
      <rPr>
        <b/>
        <sz val="10"/>
        <rFont val="Arial"/>
        <family val="2"/>
      </rPr>
      <t>3</t>
    </r>
  </si>
  <si>
    <r>
      <rPr>
        <b/>
        <sz val="10"/>
        <rFont val="宋体"/>
        <family val="3"/>
        <charset val="134"/>
      </rPr>
      <t>分类</t>
    </r>
    <r>
      <rPr>
        <b/>
        <sz val="10"/>
        <rFont val="Arial"/>
        <family val="2"/>
      </rPr>
      <t>4</t>
    </r>
  </si>
  <si>
    <r>
      <rPr>
        <b/>
        <sz val="10"/>
        <rFont val="宋体"/>
        <family val="3"/>
        <charset val="134"/>
      </rPr>
      <t>分类</t>
    </r>
    <r>
      <rPr>
        <b/>
        <sz val="10"/>
        <rFont val="Arial"/>
        <family val="2"/>
      </rPr>
      <t>5</t>
    </r>
  </si>
  <si>
    <r>
      <rPr>
        <b/>
        <sz val="10"/>
        <rFont val="宋体"/>
        <family val="3"/>
        <charset val="134"/>
      </rPr>
      <t>出租部分</t>
    </r>
    <phoneticPr fontId="3" type="noConversion"/>
  </si>
  <si>
    <r>
      <rPr>
        <b/>
        <sz val="10"/>
        <rFont val="宋体"/>
        <family val="3"/>
        <charset val="134"/>
      </rPr>
      <t>合计</t>
    </r>
    <phoneticPr fontId="3" type="noConversion"/>
  </si>
  <si>
    <r>
      <rPr>
        <b/>
        <sz val="10"/>
        <rFont val="宋体"/>
        <family val="3"/>
        <charset val="134"/>
      </rPr>
      <t>楼面单价</t>
    </r>
    <phoneticPr fontId="3" type="noConversion"/>
  </si>
  <si>
    <r>
      <rPr>
        <sz val="10"/>
        <rFont val="宋体"/>
        <family val="3"/>
        <charset val="134"/>
      </rPr>
      <t>元</t>
    </r>
    <r>
      <rPr>
        <sz val="10"/>
        <rFont val="Arial"/>
        <family val="2"/>
      </rPr>
      <t>/</t>
    </r>
    <r>
      <rPr>
        <sz val="10"/>
        <rFont val="宋体"/>
        <family val="3"/>
        <charset val="134"/>
      </rPr>
      <t>平方米</t>
    </r>
    <phoneticPr fontId="3" type="noConversion"/>
  </si>
  <si>
    <r>
      <rPr>
        <b/>
        <sz val="10"/>
        <rFont val="宋体"/>
        <family val="3"/>
        <charset val="134"/>
      </rPr>
      <t>建筑面积</t>
    </r>
    <phoneticPr fontId="3" type="noConversion"/>
  </si>
  <si>
    <t>建筑面积</t>
    <phoneticPr fontId="3" type="noConversion"/>
  </si>
  <si>
    <r>
      <rPr>
        <b/>
        <sz val="10"/>
        <rFont val="宋体"/>
        <family val="3"/>
        <charset val="134"/>
      </rPr>
      <t>土地面积</t>
    </r>
    <phoneticPr fontId="3" type="noConversion"/>
  </si>
  <si>
    <t>土地面积</t>
    <phoneticPr fontId="3" type="noConversion"/>
  </si>
  <si>
    <r>
      <rPr>
        <b/>
        <sz val="10"/>
        <color indexed="8"/>
        <rFont val="宋体"/>
        <family val="3"/>
        <charset val="134"/>
      </rPr>
      <t>（一）年总收入</t>
    </r>
    <phoneticPr fontId="3" type="noConversion"/>
  </si>
  <si>
    <r>
      <rPr>
        <sz val="10"/>
        <rFont val="宋体"/>
        <family val="3"/>
        <charset val="134"/>
      </rPr>
      <t>折算至建筑平米收益</t>
    </r>
    <phoneticPr fontId="3" type="noConversion"/>
  </si>
  <si>
    <r>
      <rPr>
        <b/>
        <sz val="10"/>
        <color indexed="8"/>
        <rFont val="宋体"/>
        <family val="3"/>
        <charset val="134"/>
      </rPr>
      <t>（一）第一年年经营收入</t>
    </r>
    <phoneticPr fontId="3" type="noConversion"/>
  </si>
  <si>
    <r>
      <rPr>
        <b/>
        <sz val="10"/>
        <rFont val="宋体"/>
        <family val="3"/>
        <charset val="134"/>
      </rPr>
      <t>客房</t>
    </r>
    <phoneticPr fontId="3" type="noConversion"/>
  </si>
  <si>
    <r>
      <rPr>
        <sz val="10"/>
        <rFont val="宋体"/>
        <family val="3"/>
        <charset val="134"/>
      </rPr>
      <t>房型</t>
    </r>
    <phoneticPr fontId="3" type="noConversion"/>
  </si>
  <si>
    <r>
      <rPr>
        <sz val="10"/>
        <rFont val="宋体"/>
        <family val="3"/>
        <charset val="134"/>
      </rPr>
      <t>间数</t>
    </r>
    <phoneticPr fontId="3" type="noConversion"/>
  </si>
  <si>
    <r>
      <rPr>
        <sz val="10"/>
        <rFont val="宋体"/>
        <family val="3"/>
        <charset val="134"/>
      </rPr>
      <t>收费标准</t>
    </r>
    <phoneticPr fontId="3" type="noConversion"/>
  </si>
  <si>
    <r>
      <rPr>
        <sz val="10"/>
        <rFont val="宋体"/>
        <family val="3"/>
        <charset val="134"/>
      </rPr>
      <t>折扣率</t>
    </r>
    <phoneticPr fontId="3" type="noConversion"/>
  </si>
  <si>
    <r>
      <rPr>
        <sz val="10"/>
        <rFont val="宋体"/>
        <family val="3"/>
        <charset val="134"/>
      </rPr>
      <t>出租率</t>
    </r>
    <phoneticPr fontId="3" type="noConversion"/>
  </si>
  <si>
    <r>
      <rPr>
        <sz val="10"/>
        <rFont val="宋体"/>
        <family val="3"/>
        <charset val="134"/>
      </rPr>
      <t>天数</t>
    </r>
    <phoneticPr fontId="3" type="noConversion"/>
  </si>
  <si>
    <r>
      <rPr>
        <sz val="10"/>
        <rFont val="宋体"/>
        <family val="3"/>
        <charset val="134"/>
      </rPr>
      <t>年收入</t>
    </r>
    <phoneticPr fontId="3" type="noConversion"/>
  </si>
  <si>
    <r>
      <rPr>
        <sz val="10"/>
        <rFont val="宋体"/>
        <family val="3"/>
        <charset val="134"/>
      </rPr>
      <t>对比</t>
    </r>
    <phoneticPr fontId="3" type="noConversion"/>
  </si>
  <si>
    <r>
      <rPr>
        <b/>
        <sz val="10"/>
        <rFont val="宋体"/>
        <family val="3"/>
        <charset val="134"/>
      </rPr>
      <t>（二）年经营费用</t>
    </r>
    <phoneticPr fontId="3" type="noConversion"/>
  </si>
  <si>
    <r>
      <rPr>
        <sz val="10"/>
        <rFont val="宋体"/>
        <family val="3"/>
        <charset val="134"/>
      </rPr>
      <t>总统套房</t>
    </r>
    <phoneticPr fontId="3" type="noConversion"/>
  </si>
  <si>
    <r>
      <rPr>
        <sz val="10"/>
        <rFont val="宋体"/>
        <family val="3"/>
        <charset val="134"/>
      </rPr>
      <t>周边办公租金</t>
    </r>
    <phoneticPr fontId="3" type="noConversion"/>
  </si>
  <si>
    <r>
      <rPr>
        <b/>
        <sz val="10"/>
        <rFont val="宋体"/>
        <family val="3"/>
        <charset val="134"/>
      </rPr>
      <t>序号</t>
    </r>
    <phoneticPr fontId="3" type="noConversion"/>
  </si>
  <si>
    <r>
      <rPr>
        <b/>
        <sz val="10"/>
        <rFont val="宋体"/>
        <family val="3"/>
        <charset val="134"/>
      </rPr>
      <t>项目名称</t>
    </r>
    <phoneticPr fontId="3" type="noConversion"/>
  </si>
  <si>
    <r>
      <rPr>
        <b/>
        <sz val="10"/>
        <rFont val="宋体"/>
        <family val="3"/>
        <charset val="134"/>
      </rPr>
      <t>总额</t>
    </r>
    <phoneticPr fontId="3" type="noConversion"/>
  </si>
  <si>
    <r>
      <rPr>
        <b/>
        <sz val="10"/>
        <rFont val="宋体"/>
        <family val="3"/>
        <charset val="134"/>
      </rPr>
      <t>相关系数</t>
    </r>
    <phoneticPr fontId="3" type="noConversion"/>
  </si>
  <si>
    <r>
      <rPr>
        <b/>
        <sz val="10"/>
        <rFont val="宋体"/>
        <family val="3"/>
        <charset val="134"/>
      </rPr>
      <t>备注</t>
    </r>
    <phoneticPr fontId="3" type="noConversion"/>
  </si>
  <si>
    <r>
      <rPr>
        <sz val="10"/>
        <rFont val="宋体"/>
        <family val="3"/>
        <charset val="134"/>
      </rPr>
      <t>行政套房</t>
    </r>
    <phoneticPr fontId="3" type="noConversion"/>
  </si>
  <si>
    <r>
      <rPr>
        <sz val="10"/>
        <rFont val="宋体"/>
        <family val="3"/>
        <charset val="134"/>
      </rPr>
      <t>周边商业租金</t>
    </r>
    <phoneticPr fontId="3" type="noConversion"/>
  </si>
  <si>
    <r>
      <rPr>
        <b/>
        <sz val="10"/>
        <rFont val="宋体"/>
        <family val="3"/>
        <charset val="134"/>
      </rPr>
      <t>经营成本</t>
    </r>
    <phoneticPr fontId="3" type="noConversion"/>
  </si>
  <si>
    <r>
      <rPr>
        <b/>
        <sz val="10"/>
        <rFont val="宋体"/>
        <family val="3"/>
        <charset val="134"/>
      </rPr>
      <t>耗用物品以及原材料等，以年总收入为基数计算</t>
    </r>
    <phoneticPr fontId="3" type="noConversion"/>
  </si>
  <si>
    <r>
      <rPr>
        <sz val="10"/>
        <rFont val="宋体"/>
        <family val="3"/>
        <charset val="134"/>
      </rPr>
      <t>沙龙套房</t>
    </r>
    <phoneticPr fontId="3" type="noConversion"/>
  </si>
  <si>
    <r>
      <rPr>
        <b/>
        <sz val="10"/>
        <rFont val="宋体"/>
        <family val="3"/>
        <charset val="134"/>
      </rPr>
      <t>经营费用</t>
    </r>
    <phoneticPr fontId="3" type="noConversion"/>
  </si>
  <si>
    <r>
      <rPr>
        <b/>
        <sz val="10"/>
        <rFont val="宋体"/>
        <family val="3"/>
        <charset val="134"/>
      </rPr>
      <t>工资、水电费、保险费、宣传费、差旅费、装修折旧等，以年总收入为基数计算</t>
    </r>
    <phoneticPr fontId="3" type="noConversion"/>
  </si>
  <si>
    <r>
      <rPr>
        <sz val="10"/>
        <rFont val="宋体"/>
        <family val="3"/>
        <charset val="134"/>
      </rPr>
      <t>标准房</t>
    </r>
    <phoneticPr fontId="3" type="noConversion"/>
  </si>
  <si>
    <r>
      <rPr>
        <b/>
        <sz val="10"/>
        <rFont val="宋体"/>
        <family val="3"/>
        <charset val="134"/>
      </rPr>
      <t>税费</t>
    </r>
    <phoneticPr fontId="3" type="noConversion"/>
  </si>
  <si>
    <r>
      <rPr>
        <sz val="10"/>
        <rFont val="宋体"/>
        <family val="3"/>
        <charset val="134"/>
      </rPr>
      <t>单间公寓</t>
    </r>
    <phoneticPr fontId="3" type="noConversion"/>
  </si>
  <si>
    <r>
      <rPr>
        <sz val="10"/>
        <rFont val="宋体"/>
        <family val="3"/>
        <charset val="134"/>
      </rPr>
      <t>（</t>
    </r>
    <r>
      <rPr>
        <sz val="10"/>
        <rFont val="Arial"/>
        <family val="2"/>
      </rPr>
      <t>1</t>
    </r>
    <r>
      <rPr>
        <sz val="10"/>
        <rFont val="宋体"/>
        <family val="3"/>
        <charset val="134"/>
      </rPr>
      <t>）</t>
    </r>
    <phoneticPr fontId="3" type="noConversion"/>
  </si>
  <si>
    <r>
      <rPr>
        <sz val="10"/>
        <rFont val="宋体"/>
        <family val="3"/>
        <charset val="134"/>
      </rPr>
      <t>房产税</t>
    </r>
    <phoneticPr fontId="3" type="noConversion"/>
  </si>
  <si>
    <r>
      <rPr>
        <b/>
        <sz val="10"/>
        <rFont val="宋体"/>
        <family val="3"/>
        <charset val="134"/>
      </rPr>
      <t>房屋原值</t>
    </r>
    <r>
      <rPr>
        <b/>
        <sz val="10"/>
        <rFont val="Arial"/>
        <family val="2"/>
      </rPr>
      <t>×70</t>
    </r>
    <r>
      <rPr>
        <b/>
        <sz val="10"/>
        <rFont val="宋体"/>
        <family val="3"/>
        <charset val="134"/>
      </rPr>
      <t>％</t>
    </r>
    <r>
      <rPr>
        <b/>
        <sz val="10"/>
        <rFont val="Arial"/>
        <family val="2"/>
      </rPr>
      <t>×1.2</t>
    </r>
    <r>
      <rPr>
        <b/>
        <sz val="10"/>
        <rFont val="宋体"/>
        <family val="3"/>
        <charset val="134"/>
      </rPr>
      <t>％</t>
    </r>
    <phoneticPr fontId="3" type="noConversion"/>
  </si>
  <si>
    <r>
      <rPr>
        <sz val="10"/>
        <rFont val="宋体"/>
        <family val="3"/>
        <charset val="134"/>
      </rPr>
      <t>单房公寓</t>
    </r>
    <phoneticPr fontId="3" type="noConversion"/>
  </si>
  <si>
    <t>房屋原值（万元）</t>
    <phoneticPr fontId="3" type="noConversion"/>
  </si>
  <si>
    <r>
      <rPr>
        <sz val="10"/>
        <rFont val="宋体"/>
        <family val="3"/>
        <charset val="134"/>
      </rPr>
      <t>双房公寓</t>
    </r>
    <phoneticPr fontId="3" type="noConversion"/>
  </si>
  <si>
    <r>
      <rPr>
        <sz val="10"/>
        <rFont val="宋体"/>
        <family val="3"/>
        <charset val="134"/>
      </rPr>
      <t>（</t>
    </r>
    <r>
      <rPr>
        <sz val="10"/>
        <rFont val="Arial"/>
        <family val="2"/>
      </rPr>
      <t>2</t>
    </r>
    <r>
      <rPr>
        <sz val="10"/>
        <rFont val="宋体"/>
        <family val="3"/>
        <charset val="134"/>
      </rPr>
      <t>）</t>
    </r>
    <phoneticPr fontId="3" type="noConversion"/>
  </si>
  <si>
    <r>
      <rPr>
        <sz val="10"/>
        <rFont val="宋体"/>
        <family val="3"/>
        <charset val="134"/>
      </rPr>
      <t>城镇土地使用税</t>
    </r>
    <phoneticPr fontId="3" type="noConversion"/>
  </si>
  <si>
    <r>
      <rPr>
        <b/>
        <sz val="10"/>
        <rFont val="宋体"/>
        <family val="3"/>
        <charset val="134"/>
      </rPr>
      <t>土地面积</t>
    </r>
    <r>
      <rPr>
        <b/>
        <sz val="10"/>
        <rFont val="Arial"/>
        <family val="2"/>
      </rPr>
      <t>×</t>
    </r>
    <r>
      <rPr>
        <b/>
        <sz val="10"/>
        <rFont val="宋体"/>
        <family val="3"/>
        <charset val="134"/>
      </rPr>
      <t>标准</t>
    </r>
    <phoneticPr fontId="3" type="noConversion"/>
  </si>
  <si>
    <r>
      <rPr>
        <b/>
        <sz val="10"/>
        <rFont val="宋体"/>
        <family val="3"/>
        <charset val="134"/>
      </rPr>
      <t>小计</t>
    </r>
    <phoneticPr fontId="3" type="noConversion"/>
  </si>
  <si>
    <r>
      <rPr>
        <sz val="10"/>
        <rFont val="宋体"/>
        <family val="3"/>
        <charset val="134"/>
      </rPr>
      <t>（</t>
    </r>
    <r>
      <rPr>
        <sz val="10"/>
        <rFont val="Arial"/>
        <family val="2"/>
      </rPr>
      <t>3</t>
    </r>
    <r>
      <rPr>
        <sz val="10"/>
        <rFont val="宋体"/>
        <family val="3"/>
        <charset val="134"/>
      </rPr>
      <t>）</t>
    </r>
    <phoneticPr fontId="3" type="noConversion"/>
  </si>
  <si>
    <r>
      <rPr>
        <sz val="10"/>
        <rFont val="宋体"/>
        <family val="3"/>
        <charset val="134"/>
      </rPr>
      <t>营业及附加</t>
    </r>
    <phoneticPr fontId="3" type="noConversion"/>
  </si>
  <si>
    <r>
      <rPr>
        <b/>
        <sz val="10"/>
        <rFont val="宋体"/>
        <family val="3"/>
        <charset val="134"/>
      </rPr>
      <t>年总收入</t>
    </r>
    <r>
      <rPr>
        <b/>
        <sz val="10"/>
        <rFont val="Arial"/>
        <family val="2"/>
      </rPr>
      <t>×</t>
    </r>
    <r>
      <rPr>
        <b/>
        <sz val="10"/>
        <rFont val="宋体"/>
        <family val="3"/>
        <charset val="134"/>
      </rPr>
      <t>费率</t>
    </r>
    <phoneticPr fontId="3" type="noConversion"/>
  </si>
  <si>
    <r>
      <rPr>
        <b/>
        <sz val="10"/>
        <rFont val="宋体"/>
        <family val="3"/>
        <charset val="134"/>
      </rPr>
      <t>餐厅</t>
    </r>
    <phoneticPr fontId="3" type="noConversion"/>
  </si>
  <si>
    <r>
      <rPr>
        <sz val="10"/>
        <rFont val="宋体"/>
        <family val="3"/>
        <charset val="134"/>
      </rPr>
      <t>餐厅</t>
    </r>
    <phoneticPr fontId="3" type="noConversion"/>
  </si>
  <si>
    <r>
      <rPr>
        <sz val="10"/>
        <color indexed="8"/>
        <rFont val="宋体"/>
        <family val="3"/>
        <charset val="134"/>
      </rPr>
      <t>人均消费</t>
    </r>
    <phoneticPr fontId="3" type="noConversion"/>
  </si>
  <si>
    <r>
      <rPr>
        <sz val="10"/>
        <color indexed="8"/>
        <rFont val="宋体"/>
        <family val="3"/>
        <charset val="134"/>
      </rPr>
      <t>座位数</t>
    </r>
    <phoneticPr fontId="3" type="noConversion"/>
  </si>
  <si>
    <r>
      <rPr>
        <sz val="10"/>
        <rFont val="宋体"/>
        <family val="3"/>
        <charset val="134"/>
      </rPr>
      <t>上座率</t>
    </r>
    <phoneticPr fontId="3" type="noConversion"/>
  </si>
  <si>
    <t>——</t>
    <phoneticPr fontId="3" type="noConversion"/>
  </si>
  <si>
    <r>
      <rPr>
        <sz val="10"/>
        <rFont val="宋体"/>
        <family val="3"/>
        <charset val="134"/>
      </rPr>
      <t>（</t>
    </r>
    <r>
      <rPr>
        <sz val="10"/>
        <rFont val="Arial"/>
        <family val="2"/>
      </rPr>
      <t>4</t>
    </r>
    <r>
      <rPr>
        <sz val="10"/>
        <rFont val="宋体"/>
        <family val="3"/>
        <charset val="134"/>
      </rPr>
      <t>）</t>
    </r>
    <phoneticPr fontId="3" type="noConversion"/>
  </si>
  <si>
    <r>
      <rPr>
        <sz val="10"/>
        <rFont val="宋体"/>
        <family val="3"/>
        <charset val="134"/>
      </rPr>
      <t>其他税费</t>
    </r>
    <phoneticPr fontId="3" type="noConversion"/>
  </si>
  <si>
    <r>
      <rPr>
        <b/>
        <sz val="10"/>
        <rFont val="宋体"/>
        <family val="3"/>
        <charset val="134"/>
      </rPr>
      <t>按当地政策需要缴纳的税费、特殊行业需要缴纳的税费</t>
    </r>
    <phoneticPr fontId="3" type="noConversion"/>
  </si>
  <si>
    <r>
      <rPr>
        <sz val="10"/>
        <rFont val="宋体"/>
        <family val="3"/>
        <charset val="134"/>
      </rPr>
      <t>中餐厅</t>
    </r>
    <phoneticPr fontId="3" type="noConversion"/>
  </si>
  <si>
    <r>
      <rPr>
        <b/>
        <sz val="10"/>
        <rFont val="宋体"/>
        <family val="3"/>
        <charset val="134"/>
      </rPr>
      <t>管理以及财务费用</t>
    </r>
    <phoneticPr fontId="3" type="noConversion"/>
  </si>
  <si>
    <r>
      <rPr>
        <b/>
        <sz val="10"/>
        <rFont val="宋体"/>
        <family val="3"/>
        <charset val="134"/>
      </rPr>
      <t>公司经费、审计费、咨询费、修理费、银行手续费等，以年总收入为基数计算</t>
    </r>
    <phoneticPr fontId="3" type="noConversion"/>
  </si>
  <si>
    <r>
      <rPr>
        <sz val="10"/>
        <rFont val="宋体"/>
        <family val="3"/>
        <charset val="134"/>
      </rPr>
      <t>西餐厅</t>
    </r>
    <phoneticPr fontId="3" type="noConversion"/>
  </si>
  <si>
    <r>
      <rPr>
        <b/>
        <sz val="10"/>
        <rFont val="宋体"/>
        <family val="3"/>
        <charset val="134"/>
      </rPr>
      <t>（三）行业利润</t>
    </r>
    <phoneticPr fontId="3" type="noConversion"/>
  </si>
  <si>
    <r>
      <rPr>
        <b/>
        <sz val="10"/>
        <rFont val="宋体"/>
        <family val="3"/>
        <charset val="134"/>
      </rPr>
      <t>应归属于商服经营者的利润，以年总收入为基数计算</t>
    </r>
    <phoneticPr fontId="3" type="noConversion"/>
  </si>
  <si>
    <r>
      <rPr>
        <sz val="10"/>
        <rFont val="宋体"/>
        <family val="3"/>
        <charset val="134"/>
      </rPr>
      <t>其他</t>
    </r>
    <phoneticPr fontId="3" type="noConversion"/>
  </si>
  <si>
    <r>
      <rPr>
        <b/>
        <sz val="10"/>
        <rFont val="宋体"/>
        <family val="3"/>
        <charset val="134"/>
      </rPr>
      <t>（四）房地产价值</t>
    </r>
    <phoneticPr fontId="3" type="noConversion"/>
  </si>
  <si>
    <r>
      <rPr>
        <b/>
        <sz val="10"/>
        <rFont val="宋体"/>
        <family val="3"/>
        <charset val="134"/>
      </rPr>
      <t>会议中心</t>
    </r>
    <phoneticPr fontId="3" type="noConversion"/>
  </si>
  <si>
    <r>
      <rPr>
        <sz val="10"/>
        <rFont val="宋体"/>
        <family val="3"/>
        <charset val="134"/>
      </rPr>
      <t>会议室</t>
    </r>
    <phoneticPr fontId="3" type="noConversion"/>
  </si>
  <si>
    <r>
      <rPr>
        <sz val="10"/>
        <color indexed="8"/>
        <rFont val="宋体"/>
        <family val="3"/>
        <charset val="134"/>
      </rPr>
      <t>间数</t>
    </r>
    <phoneticPr fontId="3" type="noConversion"/>
  </si>
  <si>
    <r>
      <rPr>
        <sz val="10"/>
        <color indexed="8"/>
        <rFont val="宋体"/>
        <family val="3"/>
        <charset val="134"/>
      </rPr>
      <t>收费（元</t>
    </r>
    <r>
      <rPr>
        <sz val="10"/>
        <color indexed="8"/>
        <rFont val="Arial"/>
        <family val="2"/>
      </rPr>
      <t>/</t>
    </r>
    <r>
      <rPr>
        <sz val="10"/>
        <color indexed="8"/>
        <rFont val="宋体"/>
        <family val="3"/>
        <charset val="134"/>
      </rPr>
      <t>间</t>
    </r>
    <r>
      <rPr>
        <sz val="10"/>
        <color indexed="8"/>
        <rFont val="Arial"/>
        <family val="2"/>
      </rPr>
      <t>.</t>
    </r>
    <r>
      <rPr>
        <sz val="10"/>
        <color indexed="8"/>
        <rFont val="宋体"/>
        <family val="3"/>
        <charset val="134"/>
      </rPr>
      <t>天）</t>
    </r>
    <phoneticPr fontId="3" type="noConversion"/>
  </si>
  <si>
    <r>
      <rPr>
        <sz val="10"/>
        <rFont val="宋体"/>
        <family val="3"/>
        <charset val="134"/>
      </rPr>
      <t>平均使用率</t>
    </r>
    <phoneticPr fontId="3" type="noConversion"/>
  </si>
  <si>
    <r>
      <rPr>
        <sz val="10"/>
        <rFont val="宋体"/>
        <family val="3"/>
        <charset val="134"/>
      </rPr>
      <t>天数</t>
    </r>
    <phoneticPr fontId="3" type="noConversion"/>
  </si>
  <si>
    <t>——</t>
    <phoneticPr fontId="3" type="noConversion"/>
  </si>
  <si>
    <r>
      <rPr>
        <sz val="10"/>
        <rFont val="宋体"/>
        <family val="3"/>
        <charset val="134"/>
      </rPr>
      <t>年收入</t>
    </r>
    <phoneticPr fontId="3" type="noConversion"/>
  </si>
  <si>
    <r>
      <rPr>
        <b/>
        <sz val="10"/>
        <rFont val="宋体"/>
        <family val="3"/>
        <charset val="134"/>
      </rPr>
      <t>收益期</t>
    </r>
    <r>
      <rPr>
        <b/>
        <sz val="10"/>
        <rFont val="Arial"/>
        <family val="2"/>
      </rPr>
      <t>1</t>
    </r>
    <phoneticPr fontId="3" type="noConversion"/>
  </si>
  <si>
    <r>
      <rPr>
        <b/>
        <sz val="10"/>
        <rFont val="宋体"/>
        <family val="3"/>
        <charset val="134"/>
      </rPr>
      <t>收益期</t>
    </r>
    <r>
      <rPr>
        <b/>
        <sz val="10"/>
        <rFont val="Arial"/>
        <family val="2"/>
      </rPr>
      <t>2</t>
    </r>
    <phoneticPr fontId="3" type="noConversion"/>
  </si>
  <si>
    <r>
      <rPr>
        <b/>
        <sz val="10"/>
        <rFont val="宋体"/>
        <family val="3"/>
        <charset val="134"/>
      </rPr>
      <t>收益期</t>
    </r>
    <r>
      <rPr>
        <b/>
        <sz val="10"/>
        <rFont val="Arial"/>
        <family val="2"/>
      </rPr>
      <t>3</t>
    </r>
    <phoneticPr fontId="3" type="noConversion"/>
  </si>
  <si>
    <r>
      <rPr>
        <sz val="10"/>
        <rFont val="宋体"/>
        <family val="3"/>
        <charset val="134"/>
      </rPr>
      <t>大</t>
    </r>
    <phoneticPr fontId="3" type="noConversion"/>
  </si>
  <si>
    <r>
      <rPr>
        <b/>
        <sz val="10"/>
        <color indexed="53"/>
        <rFont val="宋体"/>
        <family val="3"/>
        <charset val="134"/>
      </rPr>
      <t>起步期</t>
    </r>
    <phoneticPr fontId="3" type="noConversion"/>
  </si>
  <si>
    <r>
      <rPr>
        <b/>
        <sz val="10"/>
        <color indexed="53"/>
        <rFont val="宋体"/>
        <family val="3"/>
        <charset val="134"/>
      </rPr>
      <t>发展期</t>
    </r>
    <phoneticPr fontId="3" type="noConversion"/>
  </si>
  <si>
    <r>
      <rPr>
        <b/>
        <sz val="10"/>
        <color indexed="53"/>
        <rFont val="宋体"/>
        <family val="3"/>
        <charset val="134"/>
      </rPr>
      <t>稳定期</t>
    </r>
    <phoneticPr fontId="3" type="noConversion"/>
  </si>
  <si>
    <r>
      <rPr>
        <sz val="10"/>
        <rFont val="宋体"/>
        <family val="3"/>
        <charset val="134"/>
      </rPr>
      <t>中</t>
    </r>
    <phoneticPr fontId="3" type="noConversion"/>
  </si>
  <si>
    <r>
      <rPr>
        <sz val="10"/>
        <rFont val="宋体"/>
        <family val="3"/>
        <charset val="134"/>
      </rPr>
      <t>年总收入</t>
    </r>
    <phoneticPr fontId="3" type="noConversion"/>
  </si>
  <si>
    <r>
      <rPr>
        <sz val="10"/>
        <rFont val="宋体"/>
        <family val="3"/>
        <charset val="134"/>
      </rPr>
      <t>小</t>
    </r>
    <phoneticPr fontId="3" type="noConversion"/>
  </si>
  <si>
    <r>
      <rPr>
        <sz val="10"/>
        <rFont val="宋体"/>
        <family val="3"/>
        <charset val="134"/>
      </rPr>
      <t>涨幅</t>
    </r>
    <phoneticPr fontId="3" type="noConversion"/>
  </si>
  <si>
    <r>
      <rPr>
        <b/>
        <sz val="10"/>
        <rFont val="宋体"/>
        <family val="3"/>
        <charset val="134"/>
      </rPr>
      <t>其他收入</t>
    </r>
    <phoneticPr fontId="3" type="noConversion"/>
  </si>
  <si>
    <r>
      <rPr>
        <sz val="10"/>
        <rFont val="宋体"/>
        <family val="3"/>
        <charset val="134"/>
      </rPr>
      <t>年经营费用</t>
    </r>
    <phoneticPr fontId="3" type="noConversion"/>
  </si>
  <si>
    <r>
      <rPr>
        <b/>
        <sz val="10"/>
        <color indexed="8"/>
        <rFont val="宋体"/>
        <family val="3"/>
        <charset val="134"/>
      </rPr>
      <t>出租部分</t>
    </r>
    <phoneticPr fontId="3" type="noConversion"/>
  </si>
  <si>
    <r>
      <rPr>
        <sz val="10"/>
        <color indexed="8"/>
        <rFont val="宋体"/>
        <family val="3"/>
        <charset val="134"/>
      </rPr>
      <t>建筑面积</t>
    </r>
    <phoneticPr fontId="3" type="noConversion"/>
  </si>
  <si>
    <r>
      <rPr>
        <sz val="10"/>
        <color indexed="8"/>
        <rFont val="宋体"/>
        <family val="3"/>
        <charset val="134"/>
      </rPr>
      <t>日租金</t>
    </r>
    <phoneticPr fontId="3" type="noConversion"/>
  </si>
  <si>
    <r>
      <rPr>
        <sz val="10"/>
        <color indexed="8"/>
        <rFont val="宋体"/>
        <family val="3"/>
        <charset val="134"/>
      </rPr>
      <t>天数</t>
    </r>
    <phoneticPr fontId="3" type="noConversion"/>
  </si>
  <si>
    <r>
      <rPr>
        <sz val="10"/>
        <color indexed="8"/>
        <rFont val="宋体"/>
        <family val="3"/>
        <charset val="134"/>
      </rPr>
      <t>空置率</t>
    </r>
    <phoneticPr fontId="3" type="noConversion"/>
  </si>
  <si>
    <r>
      <rPr>
        <sz val="10"/>
        <rFont val="宋体"/>
        <family val="3"/>
        <charset val="134"/>
      </rPr>
      <t>占比</t>
    </r>
    <phoneticPr fontId="3" type="noConversion"/>
  </si>
  <si>
    <t xml:space="preserve"> </t>
    <phoneticPr fontId="3" type="noConversion"/>
  </si>
  <si>
    <t>押金利息收入</t>
    <phoneticPr fontId="3" type="noConversion"/>
  </si>
  <si>
    <t>押金</t>
    <phoneticPr fontId="3" type="noConversion"/>
  </si>
  <si>
    <t>押金方式</t>
    <phoneticPr fontId="3" type="noConversion"/>
  </si>
  <si>
    <t>利息</t>
    <phoneticPr fontId="3" type="noConversion"/>
  </si>
  <si>
    <r>
      <rPr>
        <sz val="10"/>
        <rFont val="宋体"/>
        <family val="3"/>
        <charset val="134"/>
      </rPr>
      <t>行业利润</t>
    </r>
    <phoneticPr fontId="3" type="noConversion"/>
  </si>
  <si>
    <r>
      <rPr>
        <b/>
        <sz val="10"/>
        <rFont val="宋体"/>
        <family val="3"/>
        <charset val="134"/>
      </rPr>
      <t>收益法（自营</t>
    </r>
    <r>
      <rPr>
        <b/>
        <sz val="10"/>
        <rFont val="Arial"/>
        <family val="2"/>
      </rPr>
      <t>-</t>
    </r>
    <r>
      <rPr>
        <b/>
        <sz val="10"/>
        <rFont val="宋体"/>
        <family val="3"/>
        <charset val="134"/>
      </rPr>
      <t>其他类）需企业提供近</t>
    </r>
    <r>
      <rPr>
        <b/>
        <sz val="10"/>
        <rFont val="Arial"/>
        <family val="2"/>
      </rPr>
      <t>3</t>
    </r>
    <r>
      <rPr>
        <b/>
        <sz val="10"/>
        <rFont val="宋体"/>
        <family val="3"/>
        <charset val="134"/>
      </rPr>
      <t>年报表（不足</t>
    </r>
    <r>
      <rPr>
        <b/>
        <sz val="10"/>
        <rFont val="Arial"/>
        <family val="2"/>
      </rPr>
      <t>3</t>
    </r>
    <r>
      <rPr>
        <b/>
        <sz val="10"/>
        <rFont val="宋体"/>
        <family val="3"/>
        <charset val="134"/>
      </rPr>
      <t>年提供开业以来报表）</t>
    </r>
    <phoneticPr fontId="3" type="noConversion"/>
  </si>
  <si>
    <r>
      <rPr>
        <sz val="10"/>
        <rFont val="宋体"/>
        <family val="3"/>
        <charset val="134"/>
      </rPr>
      <t>年净收益</t>
    </r>
    <phoneticPr fontId="3" type="noConversion"/>
  </si>
  <si>
    <r>
      <rPr>
        <sz val="10"/>
        <rFont val="宋体"/>
        <family val="3"/>
        <charset val="134"/>
      </rPr>
      <t>报酬率</t>
    </r>
    <phoneticPr fontId="3" type="noConversion"/>
  </si>
  <si>
    <r>
      <rPr>
        <sz val="10"/>
        <rFont val="宋体"/>
        <family val="3"/>
        <charset val="134"/>
      </rPr>
      <t>年增长率</t>
    </r>
    <phoneticPr fontId="3" type="noConversion"/>
  </si>
  <si>
    <r>
      <rPr>
        <sz val="10"/>
        <rFont val="宋体"/>
        <family val="3"/>
        <charset val="134"/>
      </rPr>
      <t>收益年期</t>
    </r>
    <phoneticPr fontId="3" type="noConversion"/>
  </si>
  <si>
    <r>
      <rPr>
        <b/>
        <sz val="10"/>
        <rFont val="宋体"/>
        <family val="3"/>
        <charset val="134"/>
      </rPr>
      <t>主营业务收入</t>
    </r>
    <phoneticPr fontId="3" type="noConversion"/>
  </si>
  <si>
    <r>
      <rPr>
        <sz val="10"/>
        <rFont val="宋体"/>
        <family val="3"/>
        <charset val="134"/>
      </rPr>
      <t>折现值</t>
    </r>
    <phoneticPr fontId="3" type="noConversion"/>
  </si>
  <si>
    <r>
      <rPr>
        <sz val="10"/>
        <rFont val="宋体"/>
        <family val="3"/>
        <charset val="134"/>
      </rPr>
      <t>房地产总价</t>
    </r>
    <phoneticPr fontId="3" type="noConversion"/>
  </si>
  <si>
    <r>
      <rPr>
        <sz val="10"/>
        <rFont val="宋体"/>
        <family val="3"/>
        <charset val="134"/>
      </rPr>
      <t>楼面单价</t>
    </r>
    <phoneticPr fontId="3" type="noConversion"/>
  </si>
  <si>
    <t>收益法-酒店模型</t>
    <phoneticPr fontId="16" type="noConversion"/>
  </si>
  <si>
    <t>按明细</t>
  </si>
  <si>
    <r>
      <rPr>
        <b/>
        <sz val="16"/>
        <color indexed="10"/>
        <rFont val="宋体"/>
        <family val="3"/>
        <charset val="134"/>
      </rPr>
      <t>收益法</t>
    </r>
    <r>
      <rPr>
        <b/>
        <sz val="12"/>
        <rFont val="宋体"/>
        <family val="3"/>
        <charset val="134"/>
      </rPr>
      <t>（酒店模型）</t>
    </r>
    <phoneticPr fontId="3" type="noConversion"/>
  </si>
  <si>
    <t>2021-4</t>
    <phoneticPr fontId="3" type="noConversion"/>
  </si>
  <si>
    <t>宁小鳗</t>
    <phoneticPr fontId="82" type="noConversion"/>
  </si>
  <si>
    <t>2022A-022</t>
    <phoneticPr fontId="3" type="noConversion"/>
  </si>
  <si>
    <t>零售商业用地</t>
  </si>
  <si>
    <t>指以零售功能为主的商铺、商场、超市、市场和加油、加气、充换电站等的用地。</t>
  </si>
  <si>
    <t>批发市场用地</t>
  </si>
  <si>
    <t>指以批发功能为主的市场用地。</t>
  </si>
  <si>
    <t>餐饮用地</t>
  </si>
  <si>
    <t>指饭店、餐厅、酒吧等用地。</t>
  </si>
  <si>
    <t>旅馆用地</t>
  </si>
  <si>
    <t>指宾馆、旅馆、招待所、服务型公寓、度假村等用地。</t>
  </si>
  <si>
    <t>娱乐用地</t>
  </si>
  <si>
    <t>指剧院、音乐厅、电影院、歌舞厅、网吧、影视城、仿古城以及绿地率小于65% 的大型游乐等设施用地。</t>
  </si>
  <si>
    <t>其他商服用地</t>
  </si>
  <si>
    <t>指上述用地以外的其他商业、服务业用地。</t>
  </si>
  <si>
    <t>指商务服务用地,以及经营性的办公场所用地,包括写字楼、商业性办公场所、金融活动场所和企业厂区外独立的办公场所;信息网络服务、信息技术服务、电子商务服务、广告传媒等用地。</t>
  </si>
  <si>
    <t>机关团体用地</t>
  </si>
  <si>
    <t>指用于党政机关、社会团体、群众自治组织等的用地。</t>
  </si>
  <si>
    <t>新闻出版用地</t>
  </si>
  <si>
    <t>指用于广播电台、电视台、电影厂、报社、杂志社、通讯社、出版社等的用地。</t>
  </si>
  <si>
    <t>教育用地</t>
  </si>
  <si>
    <t>指用于各类教育用地,包括高等院校、中等专业学校、中学、小学、幼儿园及其附属设施用地,聋、哑、盲人学校及工读学校用地,以及为学校配建的独立地段的学生生活用地。</t>
  </si>
  <si>
    <t>科研用地</t>
  </si>
  <si>
    <t>指独立的科研、勘察、研发、设计、检验检测、技术推广、环境评估与监测、科普等科研事业单位及其附属设施用地(除 M4 工业研发用地)。</t>
  </si>
  <si>
    <t>医疗卫生用地</t>
  </si>
  <si>
    <t>指医疗、保健、卫生、防疫、康复和急救设施等用地,包括综合医院、专科医院、社区卫生服务中心等用地;卫生防疫站、专科防治所、检验中心和动物检疫站等用地;对环境有特殊要求的传染病、精神病等专科医院用地;急救中心、血库等用地。</t>
  </si>
  <si>
    <t>社会福利用地</t>
  </si>
  <si>
    <t>指为社会提供福利和慈善服务的设施及其附属设施用地,包括福利院、养老院、孤儿院等用地。</t>
  </si>
  <si>
    <t>文化设施用地</t>
  </si>
  <si>
    <t>指图书、展览等公共文化活动设施用地,包括公共图书馆、博物馆、档案馆、科技馆、纪念馆、美术馆和展览馆等设施用地;综合文化活动中心、文化馆、青少年宫、儿童活动中心、老年活动中心等设施用地。</t>
  </si>
  <si>
    <t>体育用地</t>
  </si>
  <si>
    <t>指体育场馆和体育训练基地等用地,包括室内外体育运动用地,如体育场馆、游泳场馆、各类球场及其附属的业余体校等用地,溜冰场、跳伞场、摩托车场、射击场,以及水上运动的陆域部分等用地,以及为体育运动专设的训练基地用地,不包括学校等机构专用的体育设施用地。</t>
  </si>
  <si>
    <t>公用设施用地</t>
  </si>
  <si>
    <t>指用于城乡基础设施的用地,包括供水、排 水、污水处理、供电、供热、供气、邮政、电信、消防、环卫、公用设施维修等用地。</t>
  </si>
  <si>
    <t>公园与绿地</t>
  </si>
  <si>
    <t>指城镇、村庄范围内的公园、动物园、植物园、街心花园、广场和用于休憩、美化环境及防护 的绿化用地。</t>
  </si>
  <si>
    <t>宗教用地</t>
  </si>
  <si>
    <t>指专门用于宗教活动的庙宇、寺院、道观、教堂等宗教自用地。</t>
  </si>
  <si>
    <t>殡葬用地</t>
  </si>
  <si>
    <t>指陵园、墓地、殡葬场所用地。</t>
  </si>
  <si>
    <t>风景名胜设施用地</t>
  </si>
  <si>
    <t>指风景名胜景点的管理机构,以及旅游服务设施的建筑用地。</t>
  </si>
  <si>
    <t>指城镇用于生活居住的各类房屋用地及其附属设施用地,不含配套的商业服务设施等用地。</t>
  </si>
  <si>
    <t>工业用地</t>
  </si>
  <si>
    <t>指工业生产、产品加工制造、机械和设备修理及直接为工业生产等服务的附属设施用地。</t>
  </si>
  <si>
    <t>采矿用地</t>
  </si>
  <si>
    <t>指采矿、采石、采砂(沙)场,砖瓦窑等地面生产用地,排土(石)及尾矿堆放地等用地。</t>
  </si>
  <si>
    <t>仓储用地</t>
  </si>
  <si>
    <t>指用于物资储备、中转的场所用地。</t>
  </si>
  <si>
    <t>工业研发用地(M4)指以技术研发、中试为主,兼具小规模的生产、技术服务、管理等功能的用地。</t>
  </si>
  <si>
    <t>铁路用地</t>
  </si>
  <si>
    <t>指用于铁道线路及场站的用地。</t>
  </si>
  <si>
    <t>轨道交通用地</t>
  </si>
  <si>
    <t>指用于轻轨、现代有轨电车、单轨等轨道交通用地,以及场站的用地。</t>
  </si>
  <si>
    <t>公路用地</t>
  </si>
  <si>
    <t>指用于国道、省道、县道和乡道的用地。</t>
  </si>
  <si>
    <t>城镇村道路用地</t>
  </si>
  <si>
    <t>指城镇、村庄范围内公用道路及行道树用地, 包括快速路、主干道、次干道、支路、专用人行道和非机动车道,及其交叉口等。</t>
  </si>
  <si>
    <t>机场用地</t>
  </si>
  <si>
    <t>指用于民用机场、军民合用机场的用地。</t>
  </si>
  <si>
    <t>管道运输用地</t>
  </si>
  <si>
    <t>指用于运输煤炭、矿石、石油、天然气等管道及其相应附属设施的地上部分用地。</t>
  </si>
  <si>
    <t>交通服务场站用地</t>
  </si>
  <si>
    <t>指城镇、村庄范围内交通服务设施用地,包括公共枢纽及其附属设施用地、公路长途客运站、公共交通场站、公共停车场、停车楼、教练场等用地。</t>
  </si>
  <si>
    <t>土地年期修正</t>
    <phoneticPr fontId="133" type="noConversion"/>
  </si>
  <si>
    <t>价值时点</t>
  </si>
  <si>
    <t>法定最高/出让年限</t>
  </si>
  <si>
    <t>终止日期</t>
  </si>
  <si>
    <t>剩余土地使用年限</t>
  </si>
  <si>
    <t>年期修正系数</t>
  </si>
  <si>
    <t>报酬率-土地</t>
  </si>
  <si>
    <t>不同年限间价值的换算</t>
  </si>
  <si>
    <t>年限</t>
  </si>
  <si>
    <t>N</t>
  </si>
  <si>
    <t>Y（N）</t>
  </si>
  <si>
    <t>K(N)</t>
  </si>
  <si>
    <t>n</t>
  </si>
  <si>
    <t>Y（n）</t>
  </si>
  <si>
    <t>K(n)</t>
  </si>
  <si>
    <t>已知V（N），求取V（n）</t>
  </si>
  <si>
    <t>V（N）</t>
  </si>
  <si>
    <t>V（n）</t>
  </si>
  <si>
    <t>已知V（n），求取V（N）</t>
  </si>
  <si>
    <t>房地产比较法中年期修正</t>
    <phoneticPr fontId="133" type="noConversion"/>
  </si>
  <si>
    <t>出让年限</t>
    <phoneticPr fontId="246" type="noConversion"/>
  </si>
  <si>
    <t>剩余土地使用年限</t>
    <phoneticPr fontId="246" type="noConversion"/>
  </si>
  <si>
    <t>报酬率</t>
    <phoneticPr fontId="246" type="noConversion"/>
  </si>
  <si>
    <t>年期修正系数</t>
    <phoneticPr fontId="246" type="noConversion"/>
  </si>
  <si>
    <t>地价贡献率（参考下表）</t>
    <phoneticPr fontId="246" type="noConversion"/>
  </si>
  <si>
    <t>房价修正系数</t>
    <phoneticPr fontId="246" type="noConversion"/>
  </si>
  <si>
    <t>估价对象</t>
    <phoneticPr fontId="246" type="noConversion"/>
  </si>
  <si>
    <t>案例A</t>
    <phoneticPr fontId="246" type="noConversion"/>
  </si>
  <si>
    <t>案例B</t>
    <phoneticPr fontId="246" type="noConversion"/>
  </si>
  <si>
    <t>案例C</t>
    <phoneticPr fontId="246" type="noConversion"/>
  </si>
  <si>
    <t>推导公式</t>
    <phoneticPr fontId="246" type="noConversion"/>
  </si>
  <si>
    <t>1.建+50年地价×20年年期修正系数＝20年房价</t>
    <phoneticPr fontId="246" type="noConversion"/>
  </si>
  <si>
    <t>2.建+50年地价＝50年房价</t>
    <phoneticPr fontId="246" type="noConversion"/>
  </si>
  <si>
    <t>1、2步得出</t>
    <phoneticPr fontId="246" type="noConversion"/>
  </si>
  <si>
    <t>3.50年房价－50年地价+50年地价×20年年期修正系数＝20年房价</t>
    <phoneticPr fontId="246" type="noConversion"/>
  </si>
  <si>
    <t>4.20年房价＝50年房价×20年房价修正系数</t>
    <phoneticPr fontId="246" type="noConversion"/>
  </si>
  <si>
    <t>4步代入3步</t>
    <phoneticPr fontId="246" type="noConversion"/>
  </si>
  <si>
    <t>5.50年房价－50年地价+50年地价×20年年期修正系数＝50年房价×20年房价修正系数</t>
    <phoneticPr fontId="246" type="noConversion"/>
  </si>
  <si>
    <t>6.20年房价修正系数＝1-50年地价×（1-20年年期修正系数）÷50年房价</t>
    <phoneticPr fontId="246" type="noConversion"/>
  </si>
  <si>
    <t>7.50年地价＝50年房价×地价贡献率</t>
    <phoneticPr fontId="246" type="noConversion"/>
  </si>
  <si>
    <t>7步代入6步</t>
    <phoneticPr fontId="246" type="noConversion"/>
  </si>
  <si>
    <t>8.20年房价修正系数＝1-50年房价×地价贡献率×（1-20年年期修正系数）÷50年房价＝1-地价贡献率×（1-20年年期修正系数）</t>
    <phoneticPr fontId="246" type="noConversion"/>
  </si>
  <si>
    <t>以北京为例验算</t>
    <phoneticPr fontId="133" type="noConversion"/>
  </si>
  <si>
    <t>用途</t>
    <phoneticPr fontId="133" type="noConversion"/>
  </si>
  <si>
    <t>综合地价贡献率</t>
    <phoneticPr fontId="133" type="noConversion"/>
  </si>
  <si>
    <t>收益法地价房价比</t>
    <phoneticPr fontId="133" type="noConversion"/>
  </si>
  <si>
    <t>地价售价比</t>
    <phoneticPr fontId="133" type="noConversion"/>
  </si>
  <si>
    <t>工业</t>
    <phoneticPr fontId="133" type="noConversion"/>
  </si>
  <si>
    <t>20%-30%</t>
    <phoneticPr fontId="133" type="noConversion"/>
  </si>
  <si>
    <t>20%-30%</t>
    <phoneticPr fontId="133" type="noConversion"/>
  </si>
  <si>
    <t>15%-40%</t>
    <phoneticPr fontId="133" type="noConversion"/>
  </si>
  <si>
    <t>8000地价，20000售价；地价950，售价6500</t>
    <phoneticPr fontId="133" type="noConversion"/>
  </si>
  <si>
    <t>住宅</t>
    <phoneticPr fontId="133" type="noConversion"/>
  </si>
  <si>
    <t>60%-70%</t>
    <phoneticPr fontId="133" type="noConversion"/>
  </si>
  <si>
    <t>65%-75%</t>
    <phoneticPr fontId="133" type="noConversion"/>
  </si>
  <si>
    <t>50%-65%</t>
    <phoneticPr fontId="133" type="noConversion"/>
  </si>
  <si>
    <t>当前北京市基本控制在50%-65%</t>
    <phoneticPr fontId="133" type="noConversion"/>
  </si>
  <si>
    <t>商业/办公</t>
    <phoneticPr fontId="133" type="noConversion"/>
  </si>
  <si>
    <t>50%-60%</t>
    <phoneticPr fontId="133" type="noConversion"/>
  </si>
  <si>
    <t>70%-80%</t>
    <phoneticPr fontId="133" type="noConversion"/>
  </si>
  <si>
    <t>15000地价，30000售价</t>
    <phoneticPr fontId="133" type="noConversion"/>
  </si>
  <si>
    <t>车库/仓储</t>
    <phoneticPr fontId="133" type="noConversion"/>
  </si>
  <si>
    <t>35%-45%</t>
    <phoneticPr fontId="133" type="noConversion"/>
  </si>
  <si>
    <t>四级或五级地，地价2500-3000熟地价，售价5500-8000</t>
    <phoneticPr fontId="133" type="noConversion"/>
  </si>
  <si>
    <t>试算</t>
    <phoneticPr fontId="133" type="noConversion"/>
  </si>
  <si>
    <t>可见随着土地使用年期的减少，影响幅度逐渐增大</t>
    <phoneticPr fontId="133" type="noConversion"/>
  </si>
  <si>
    <t>0~5（含）,5~10（含）</t>
    <phoneticPr fontId="133" type="noConversion"/>
  </si>
  <si>
    <t>区间</t>
    <phoneticPr fontId="133" type="noConversion"/>
  </si>
  <si>
    <t>修正幅度</t>
    <phoneticPr fontId="133" type="noConversion"/>
  </si>
  <si>
    <t>满年期50年，报酬率5%，贡献率60%</t>
    <phoneticPr fontId="133" type="noConversion"/>
  </si>
  <si>
    <t>10~15（含），15~20（含）</t>
    <phoneticPr fontId="133" type="noConversion"/>
  </si>
  <si>
    <t>20~25（含），25~30（含）</t>
    <phoneticPr fontId="133" type="noConversion"/>
  </si>
  <si>
    <t>30~35（含），35~40（含）</t>
    <phoneticPr fontId="133" type="noConversion"/>
  </si>
  <si>
    <t>40~45（含），45~50（含）</t>
    <phoneticPr fontId="133" type="noConversion"/>
  </si>
  <si>
    <t>满年期40年，报酬率5%，贡献率60%</t>
    <phoneticPr fontId="133" type="noConversion"/>
  </si>
  <si>
    <t>满年期70年，报酬率4%，贡献率70%</t>
    <phoneticPr fontId="133" type="noConversion"/>
  </si>
  <si>
    <t>公共服务</t>
    <phoneticPr fontId="6" type="noConversion"/>
  </si>
  <si>
    <t>公共服务</t>
    <phoneticPr fontId="16" type="noConversion"/>
  </si>
  <si>
    <t>公共服务</t>
    <phoneticPr fontId="16" type="noConversion"/>
  </si>
  <si>
    <t>公共服务</t>
    <phoneticPr fontId="6" type="noConversion"/>
  </si>
  <si>
    <t>基础设施建设费（土地开发费）    土地面积单价</t>
    <phoneticPr fontId="133" type="noConversion"/>
  </si>
  <si>
    <t>一至二级</t>
    <phoneticPr fontId="133" type="noConversion"/>
  </si>
  <si>
    <t>三至七级</t>
    <phoneticPr fontId="133" type="noConversion"/>
  </si>
  <si>
    <t>八至九级</t>
    <phoneticPr fontId="133" type="noConversion"/>
  </si>
  <si>
    <t>通路</t>
    <phoneticPr fontId="133" type="noConversion"/>
  </si>
  <si>
    <t>通电</t>
    <phoneticPr fontId="133" type="noConversion"/>
  </si>
  <si>
    <t>通讯</t>
    <phoneticPr fontId="133" type="noConversion"/>
  </si>
  <si>
    <t>通上水</t>
    <phoneticPr fontId="133" type="noConversion"/>
  </si>
  <si>
    <t>通下水</t>
    <phoneticPr fontId="133" type="noConversion"/>
  </si>
  <si>
    <t>通热</t>
    <phoneticPr fontId="133" type="noConversion"/>
  </si>
  <si>
    <t>通燃气</t>
    <phoneticPr fontId="133" type="noConversion"/>
  </si>
  <si>
    <t>平整</t>
    <phoneticPr fontId="133" type="noConversion"/>
  </si>
  <si>
    <t>合计</t>
    <phoneticPr fontId="133" type="noConversion"/>
  </si>
  <si>
    <t>红线外基础设施建设费（北京）</t>
    <phoneticPr fontId="133" type="noConversion"/>
  </si>
  <si>
    <t>土地级别</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</si>
  <si>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</si>
  <si>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</si>
  <si>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</si>
  <si>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</si>
  <si>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</si>
  <si>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</si>
  <si>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</si>
  <si>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</si>
  <si>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</si>
  <si>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</si>
  <si>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</si>
  <si>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</si>
  <si>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商业</t>
    <phoneticPr fontId="3" type="noConversion"/>
  </si>
  <si>
    <t>办公</t>
    <phoneticPr fontId="3" type="noConversion"/>
  </si>
  <si>
    <t>住宅</t>
    <phoneticPr fontId="3" type="noConversion"/>
  </si>
  <si>
    <t>工业</t>
    <phoneticPr fontId="3" type="noConversion"/>
  </si>
  <si>
    <t>M4科研用地</t>
    <phoneticPr fontId="3" type="noConversion"/>
  </si>
  <si>
    <t>公共服务</t>
    <phoneticPr fontId="3" type="noConversion"/>
  </si>
  <si>
    <t>通路</t>
    <phoneticPr fontId="3" type="noConversion"/>
  </si>
  <si>
    <t>通电</t>
    <phoneticPr fontId="3" type="noConversion"/>
  </si>
  <si>
    <t>通讯</t>
    <phoneticPr fontId="3" type="noConversion"/>
  </si>
  <si>
    <t>通上水</t>
    <phoneticPr fontId="3" type="noConversion"/>
  </si>
  <si>
    <t>通下水</t>
    <phoneticPr fontId="3" type="noConversion"/>
  </si>
  <si>
    <t>通热</t>
    <phoneticPr fontId="3" type="noConversion"/>
  </si>
  <si>
    <t>燃气</t>
    <phoneticPr fontId="3" type="noConversion"/>
  </si>
  <si>
    <t>平整</t>
    <phoneticPr fontId="3" type="noConversion"/>
  </si>
  <si>
    <t>——</t>
    <phoneticPr fontId="3" type="noConversion"/>
  </si>
  <si>
    <t>级别开发程度</t>
    <phoneticPr fontId="3" type="noConversion"/>
  </si>
  <si>
    <t>北京市基准地价用途修正系数表</t>
    <phoneticPr fontId="3" type="noConversion"/>
  </si>
  <si>
    <t>参照基准</t>
    <phoneticPr fontId="3" type="noConversion"/>
  </si>
  <si>
    <t>一级类</t>
    <phoneticPr fontId="3" type="noConversion"/>
  </si>
  <si>
    <t>二级分类</t>
    <phoneticPr fontId="3" type="noConversion"/>
  </si>
  <si>
    <t>用途修正系数</t>
    <phoneticPr fontId="3" type="noConversion"/>
  </si>
  <si>
    <t>商服</t>
    <phoneticPr fontId="3" type="noConversion"/>
  </si>
  <si>
    <t>办公</t>
    <phoneticPr fontId="3" type="noConversion"/>
  </si>
  <si>
    <t>商务金融用地</t>
    <phoneticPr fontId="3" type="noConversion"/>
  </si>
  <si>
    <t>公共服务</t>
    <phoneticPr fontId="3" type="noConversion"/>
  </si>
  <si>
    <t>特殊</t>
    <phoneticPr fontId="3" type="noConversion"/>
  </si>
  <si>
    <t>城镇住宅用地</t>
    <phoneticPr fontId="3" type="noConversion"/>
  </si>
  <si>
    <t>工矿仓储</t>
    <phoneticPr fontId="3" type="noConversion"/>
  </si>
  <si>
    <t>公共服务</t>
    <phoneticPr fontId="3" type="noConversion"/>
  </si>
  <si>
    <t>M4科研用地</t>
    <phoneticPr fontId="3" type="noConversion"/>
  </si>
  <si>
    <t>交通运输</t>
    <phoneticPr fontId="3" type="noConversion"/>
  </si>
  <si>
    <t>地下</t>
    <phoneticPr fontId="3" type="noConversion"/>
  </si>
  <si>
    <t>地下仓储</t>
    <phoneticPr fontId="3" type="noConversion"/>
  </si>
  <si>
    <t>地下</t>
    <phoneticPr fontId="3" type="noConversion"/>
  </si>
  <si>
    <t>车库</t>
    <phoneticPr fontId="3" type="noConversion"/>
  </si>
  <si>
    <t>—</t>
    <phoneticPr fontId="3" type="noConversion"/>
  </si>
  <si>
    <t>北京市商业路线价加价幅度表</t>
    <phoneticPr fontId="3" type="noConversion"/>
  </si>
  <si>
    <t>序号</t>
    <phoneticPr fontId="3" type="noConversion"/>
  </si>
  <si>
    <t>区县</t>
    <phoneticPr fontId="3" type="noConversion"/>
  </si>
  <si>
    <t>商业街名称</t>
    <phoneticPr fontId="3" type="noConversion"/>
  </si>
  <si>
    <t>起止点</t>
    <phoneticPr fontId="3" type="noConversion"/>
  </si>
  <si>
    <t>加价幅度</t>
    <phoneticPr fontId="3" type="noConversion"/>
  </si>
  <si>
    <t>标准深度（m）</t>
    <phoneticPr fontId="3" type="noConversion"/>
  </si>
  <si>
    <t>不临65条商业街</t>
    <phoneticPr fontId="3" type="noConversion"/>
  </si>
  <si>
    <t>东城区</t>
    <phoneticPr fontId="3" type="noConversion"/>
  </si>
  <si>
    <t>东长安街</t>
    <phoneticPr fontId="3" type="noConversion"/>
  </si>
  <si>
    <t>天安门——东单</t>
    <phoneticPr fontId="3" type="noConversion"/>
  </si>
  <si>
    <t>王府井商业街（王府井大街）</t>
    <phoneticPr fontId="3" type="noConversion"/>
  </si>
  <si>
    <t>东长安街——金鱼胡同</t>
    <phoneticPr fontId="3" type="noConversion"/>
  </si>
  <si>
    <t>前门商业街（前门大街）</t>
    <phoneticPr fontId="3" type="noConversion"/>
  </si>
  <si>
    <t>前门箭楼——珠市口</t>
    <phoneticPr fontId="3" type="noConversion"/>
  </si>
  <si>
    <t>建国门内大街</t>
    <phoneticPr fontId="3" type="noConversion"/>
  </si>
  <si>
    <t>建国门——东单</t>
    <phoneticPr fontId="3" type="noConversion"/>
  </si>
  <si>
    <t>王府井大街</t>
    <phoneticPr fontId="3" type="noConversion"/>
  </si>
  <si>
    <t>金鱼胡同——五四大街</t>
    <phoneticPr fontId="3" type="noConversion"/>
  </si>
  <si>
    <t>东单北大街</t>
    <phoneticPr fontId="3" type="noConversion"/>
  </si>
  <si>
    <t>金鱼胡同——东单路口</t>
    <phoneticPr fontId="3" type="noConversion"/>
  </si>
  <si>
    <t>南锣鼓巷</t>
    <phoneticPr fontId="3" type="noConversion"/>
  </si>
  <si>
    <t>地安门东大街——鼓楼东大街</t>
    <phoneticPr fontId="3" type="noConversion"/>
  </si>
  <si>
    <t>东四南大街</t>
    <phoneticPr fontId="3" type="noConversion"/>
  </si>
  <si>
    <t>东四路口——金鱼胡同</t>
    <phoneticPr fontId="3" type="noConversion"/>
  </si>
  <si>
    <t>簋街（东直门内大街）</t>
    <phoneticPr fontId="3" type="noConversion"/>
  </si>
  <si>
    <t>东直门桥——北新桥</t>
    <phoneticPr fontId="3" type="noConversion"/>
  </si>
  <si>
    <t>东四十条</t>
    <phoneticPr fontId="3" type="noConversion"/>
  </si>
  <si>
    <t>东四十条桥——东四北大街</t>
    <phoneticPr fontId="3" type="noConversion"/>
  </si>
  <si>
    <t>张自忠路</t>
    <phoneticPr fontId="3" type="noConversion"/>
  </si>
  <si>
    <t>东四北大街——交道口南大街</t>
    <phoneticPr fontId="3" type="noConversion"/>
  </si>
  <si>
    <t>地安门东大街</t>
    <phoneticPr fontId="3" type="noConversion"/>
  </si>
  <si>
    <t>交道口南大街——地安门外大街</t>
    <phoneticPr fontId="3" type="noConversion"/>
  </si>
  <si>
    <t>崇文门外大街</t>
    <phoneticPr fontId="3" type="noConversion"/>
  </si>
  <si>
    <t>崇文门——磁器口</t>
    <phoneticPr fontId="3" type="noConversion"/>
  </si>
  <si>
    <t>广渠门内大街</t>
    <phoneticPr fontId="3" type="noConversion"/>
  </si>
  <si>
    <t>广渠门——磁器口</t>
    <phoneticPr fontId="3" type="noConversion"/>
  </si>
  <si>
    <t>珠市口东大街</t>
    <phoneticPr fontId="3" type="noConversion"/>
  </si>
  <si>
    <t>磁器口——珠市口</t>
    <phoneticPr fontId="3" type="noConversion"/>
  </si>
  <si>
    <t>鲜鱼口老字号美食街</t>
    <phoneticPr fontId="3" type="noConversion"/>
  </si>
  <si>
    <t>前门大街——前门东路</t>
    <phoneticPr fontId="3" type="noConversion"/>
  </si>
  <si>
    <t>五道营胡同</t>
    <phoneticPr fontId="3" type="noConversion"/>
  </si>
  <si>
    <t>安定门内大街——雍和宫大街</t>
    <phoneticPr fontId="3" type="noConversion"/>
  </si>
  <si>
    <t>西城区</t>
    <phoneticPr fontId="3" type="noConversion"/>
  </si>
  <si>
    <t>西长安街</t>
    <phoneticPr fontId="3" type="noConversion"/>
  </si>
  <si>
    <t>天安门——西单</t>
    <phoneticPr fontId="3" type="noConversion"/>
  </si>
  <si>
    <t>西单商业街（西单北大街）</t>
    <phoneticPr fontId="3" type="noConversion"/>
  </si>
  <si>
    <t>西单——辟才胡同</t>
    <phoneticPr fontId="3" type="noConversion"/>
  </si>
  <si>
    <t>复兴门内大街</t>
    <phoneticPr fontId="3" type="noConversion"/>
  </si>
  <si>
    <t>西单——复兴门</t>
    <phoneticPr fontId="3" type="noConversion"/>
  </si>
  <si>
    <t>西四大街</t>
    <phoneticPr fontId="3" type="noConversion"/>
  </si>
  <si>
    <t>辟才胡同——平安里</t>
    <phoneticPr fontId="3" type="noConversion"/>
  </si>
  <si>
    <t>大栅栏商业街</t>
    <phoneticPr fontId="3" type="noConversion"/>
  </si>
  <si>
    <t>前门大街——煤市街</t>
    <phoneticPr fontId="3" type="noConversion"/>
  </si>
  <si>
    <t>琉璃厂古文化街（琉璃厂西街、琉璃厂东街）</t>
    <phoneticPr fontId="3" type="noConversion"/>
  </si>
  <si>
    <t>南柳巷——延寿街</t>
    <phoneticPr fontId="3" type="noConversion"/>
  </si>
  <si>
    <t>复兴门外大街</t>
    <phoneticPr fontId="3" type="noConversion"/>
  </si>
  <si>
    <t>复兴门——木樨地</t>
    <phoneticPr fontId="3" type="noConversion"/>
  </si>
  <si>
    <t>新街口大街</t>
    <phoneticPr fontId="3" type="noConversion"/>
  </si>
  <si>
    <t>平安里——积水潭桥</t>
    <phoneticPr fontId="3" type="noConversion"/>
  </si>
  <si>
    <t>地安门西大街</t>
    <phoneticPr fontId="3" type="noConversion"/>
  </si>
  <si>
    <t>地安门外大街——新街口南大街</t>
    <phoneticPr fontId="3" type="noConversion"/>
  </si>
  <si>
    <t>平安里西大街</t>
    <phoneticPr fontId="3" type="noConversion"/>
  </si>
  <si>
    <t>新街口南大街——车公庄</t>
    <phoneticPr fontId="3" type="noConversion"/>
  </si>
  <si>
    <t>珠市口西大街</t>
    <phoneticPr fontId="3" type="noConversion"/>
  </si>
  <si>
    <t>珠市口——南新华街</t>
    <phoneticPr fontId="3" type="noConversion"/>
  </si>
  <si>
    <t>骡马市大街</t>
    <phoneticPr fontId="3" type="noConversion"/>
  </si>
  <si>
    <t>南新华街——菜市口</t>
    <phoneticPr fontId="3" type="noConversion"/>
  </si>
  <si>
    <t>广安门内大街</t>
    <phoneticPr fontId="3" type="noConversion"/>
  </si>
  <si>
    <t>菜市口——广安门桥</t>
    <phoneticPr fontId="3" type="noConversion"/>
  </si>
  <si>
    <t>马连道茶叶街（马连道路）</t>
    <phoneticPr fontId="3" type="noConversion"/>
  </si>
  <si>
    <t>广安门外大街——红莲南路</t>
    <phoneticPr fontId="3" type="noConversion"/>
  </si>
  <si>
    <t>烟袋斜街</t>
    <phoneticPr fontId="3" type="noConversion"/>
  </si>
  <si>
    <t>小石碑胡同——地安门外大街</t>
    <phoneticPr fontId="3" type="noConversion"/>
  </si>
  <si>
    <t>护国寺街</t>
    <phoneticPr fontId="3" type="noConversion"/>
  </si>
  <si>
    <t>新街口南大街——德胜门内大街</t>
    <phoneticPr fontId="3" type="noConversion"/>
  </si>
  <si>
    <t>什刹海茶艺酒吧街</t>
    <phoneticPr fontId="3" type="noConversion"/>
  </si>
  <si>
    <t>地安门西大街——前海北沿</t>
    <phoneticPr fontId="3" type="noConversion"/>
  </si>
  <si>
    <t>朝阳区</t>
    <phoneticPr fontId="3" type="noConversion"/>
  </si>
  <si>
    <t>三里屯路</t>
    <phoneticPr fontId="3" type="noConversion"/>
  </si>
  <si>
    <t>工人体育场北路——三里屯东三街</t>
    <phoneticPr fontId="3" type="noConversion"/>
  </si>
  <si>
    <t>建国门外大街</t>
    <phoneticPr fontId="3" type="noConversion"/>
  </si>
  <si>
    <t>建国门桥——国贸桥</t>
    <phoneticPr fontId="3" type="noConversion"/>
  </si>
  <si>
    <t>建国路</t>
    <phoneticPr fontId="3" type="noConversion"/>
  </si>
  <si>
    <t>国贸桥——西大望路</t>
    <phoneticPr fontId="3" type="noConversion"/>
  </si>
  <si>
    <t>朝阳门外大街</t>
    <phoneticPr fontId="3" type="noConversion"/>
  </si>
  <si>
    <t>朝阳门——东大桥</t>
    <phoneticPr fontId="3" type="noConversion"/>
  </si>
  <si>
    <t>十里河家具大道</t>
    <phoneticPr fontId="3" type="noConversion"/>
  </si>
  <si>
    <t>东三环南路——周家庄路</t>
    <phoneticPr fontId="3" type="noConversion"/>
  </si>
  <si>
    <t xml:space="preserve">大羊坊路         </t>
    <phoneticPr fontId="3" type="noConversion"/>
  </si>
  <si>
    <t>十里河桥——小武基路</t>
    <phoneticPr fontId="3" type="noConversion"/>
  </si>
  <si>
    <t>海淀区</t>
    <phoneticPr fontId="3" type="noConversion"/>
  </si>
  <si>
    <t>中关村大街</t>
    <phoneticPr fontId="3" type="noConversion"/>
  </si>
  <si>
    <t>海淀南路——北四环</t>
    <phoneticPr fontId="3" type="noConversion"/>
  </si>
  <si>
    <t>复兴路</t>
    <phoneticPr fontId="3" type="noConversion"/>
  </si>
  <si>
    <t>木樨地——万寿路</t>
    <phoneticPr fontId="3" type="noConversion"/>
  </si>
  <si>
    <t>丹棱街</t>
    <phoneticPr fontId="3" type="noConversion"/>
  </si>
  <si>
    <t>苏州街——中关村大街</t>
    <phoneticPr fontId="3" type="noConversion"/>
  </si>
  <si>
    <t>丰台区</t>
    <phoneticPr fontId="3" type="noConversion"/>
  </si>
  <si>
    <t>丽泽路</t>
    <phoneticPr fontId="3" type="noConversion"/>
  </si>
  <si>
    <t>菜户营桥——丽泽桥</t>
    <phoneticPr fontId="3" type="noConversion"/>
  </si>
  <si>
    <t>方庄商业街（蒲芳路）</t>
    <phoneticPr fontId="3" type="noConversion"/>
  </si>
  <si>
    <t>蒲黄榆路——方庄路</t>
    <phoneticPr fontId="3" type="noConversion"/>
  </si>
  <si>
    <t>石景山区</t>
    <phoneticPr fontId="3" type="noConversion"/>
  </si>
  <si>
    <t>政达路</t>
    <phoneticPr fontId="3" type="noConversion"/>
  </si>
  <si>
    <t>鲁谷大街——银河大街</t>
    <phoneticPr fontId="3" type="noConversion"/>
  </si>
  <si>
    <t>北京台湾街</t>
    <phoneticPr fontId="3" type="noConversion"/>
  </si>
  <si>
    <t>雕塑园中街——鲁谷东街</t>
    <phoneticPr fontId="3" type="noConversion"/>
  </si>
  <si>
    <t>门头沟区</t>
    <phoneticPr fontId="3" type="noConversion"/>
  </si>
  <si>
    <t>新桥大街</t>
    <phoneticPr fontId="3" type="noConversion"/>
  </si>
  <si>
    <t>门头沟路——双峪路</t>
    <phoneticPr fontId="3" type="noConversion"/>
  </si>
  <si>
    <t>金安路</t>
    <phoneticPr fontId="3" type="noConversion"/>
  </si>
  <si>
    <t>西六环——石担路</t>
    <phoneticPr fontId="3" type="noConversion"/>
  </si>
  <si>
    <t>房山区</t>
    <phoneticPr fontId="3" type="noConversion"/>
  </si>
  <si>
    <t>南关大街</t>
    <phoneticPr fontId="3" type="noConversion"/>
  </si>
  <si>
    <t>房山东大街——南关立交桥</t>
    <phoneticPr fontId="3" type="noConversion"/>
  </si>
  <si>
    <t>拱辰大街</t>
    <phoneticPr fontId="3" type="noConversion"/>
  </si>
  <si>
    <t>良乡中路——月华大街</t>
    <phoneticPr fontId="3" type="noConversion"/>
  </si>
  <si>
    <t>通州区</t>
    <phoneticPr fontId="3" type="noConversion"/>
  </si>
  <si>
    <t>新华大街</t>
    <phoneticPr fontId="3" type="noConversion"/>
  </si>
  <si>
    <t>北苑南路——滨河中路</t>
    <phoneticPr fontId="3" type="noConversion"/>
  </si>
  <si>
    <t>云景东路</t>
    <phoneticPr fontId="3" type="noConversion"/>
  </si>
  <si>
    <t>地铁八通线——云景南大街</t>
    <phoneticPr fontId="3" type="noConversion"/>
  </si>
  <si>
    <t>顺义区</t>
    <phoneticPr fontId="3" type="noConversion"/>
  </si>
  <si>
    <t>新顺大街</t>
    <phoneticPr fontId="3" type="noConversion"/>
  </si>
  <si>
    <t>幸福西街——站前街</t>
    <phoneticPr fontId="3" type="noConversion"/>
  </si>
  <si>
    <t>昌平区</t>
    <phoneticPr fontId="3" type="noConversion"/>
  </si>
  <si>
    <t>鼓楼东、西街</t>
    <phoneticPr fontId="3" type="noConversion"/>
  </si>
  <si>
    <t>东环路——西环路</t>
    <phoneticPr fontId="3" type="noConversion"/>
  </si>
  <si>
    <t>鼓楼南、北街</t>
    <phoneticPr fontId="3" type="noConversion"/>
  </si>
  <si>
    <t>北环路——府学路</t>
    <phoneticPr fontId="3" type="noConversion"/>
  </si>
  <si>
    <t>回龙观西大街</t>
    <phoneticPr fontId="3" type="noConversion"/>
  </si>
  <si>
    <t>京藏高速公路——文华西路</t>
    <phoneticPr fontId="3" type="noConversion"/>
  </si>
  <si>
    <t>大兴区</t>
    <phoneticPr fontId="3" type="noConversion"/>
  </si>
  <si>
    <t>兴华大街</t>
    <phoneticPr fontId="3" type="noConversion"/>
  </si>
  <si>
    <t>乐园路——黄村火车站</t>
    <phoneticPr fontId="3" type="noConversion"/>
  </si>
  <si>
    <t>新源大街</t>
    <phoneticPr fontId="3" type="noConversion"/>
  </si>
  <si>
    <t>天河西路——永旺路</t>
    <phoneticPr fontId="3" type="noConversion"/>
  </si>
  <si>
    <t>怀柔区</t>
    <phoneticPr fontId="3" type="noConversion"/>
  </si>
  <si>
    <t>商业街</t>
    <phoneticPr fontId="3" type="noConversion"/>
  </si>
  <si>
    <t>迎宾路——龙山东路</t>
    <phoneticPr fontId="3" type="noConversion"/>
  </si>
  <si>
    <t>青春路</t>
    <phoneticPr fontId="3" type="noConversion"/>
  </si>
  <si>
    <t>南大街——兴怀大街</t>
    <phoneticPr fontId="3" type="noConversion"/>
  </si>
  <si>
    <t>平谷区</t>
    <phoneticPr fontId="3" type="noConversion"/>
  </si>
  <si>
    <t>步行街</t>
    <phoneticPr fontId="3" type="noConversion"/>
  </si>
  <si>
    <t>文化北街——向阳北街</t>
    <phoneticPr fontId="3" type="noConversion"/>
  </si>
  <si>
    <t>密云县</t>
    <phoneticPr fontId="3" type="noConversion"/>
  </si>
  <si>
    <t>鼓楼东、西大街</t>
    <phoneticPr fontId="3" type="noConversion"/>
  </si>
  <si>
    <t>新中街——南更大街</t>
    <phoneticPr fontId="3" type="noConversion"/>
  </si>
  <si>
    <t>鼓楼南北大街</t>
    <phoneticPr fontId="3" type="noConversion"/>
  </si>
  <si>
    <t>京沈路——康复路</t>
    <phoneticPr fontId="3" type="noConversion"/>
  </si>
  <si>
    <t>延庆县</t>
    <phoneticPr fontId="3" type="noConversion"/>
  </si>
  <si>
    <t>东外大街</t>
    <phoneticPr fontId="3" type="noConversion"/>
  </si>
  <si>
    <t>香苑街——东顺城街</t>
    <phoneticPr fontId="3" type="noConversion"/>
  </si>
  <si>
    <t>——</t>
    <phoneticPr fontId="3" type="noConversion"/>
  </si>
  <si>
    <t>北京市基准地价容积率修正系数表（商业）</t>
    <phoneticPr fontId="3" type="noConversion"/>
  </si>
  <si>
    <t>容积率</t>
    <phoneticPr fontId="3" type="noConversion"/>
  </si>
  <si>
    <t>北京市基准地价容积率修正系数表（办公）</t>
    <phoneticPr fontId="3" type="noConversion"/>
  </si>
  <si>
    <t>北京市基准地价容积率修正系数表（住宅）</t>
    <phoneticPr fontId="3" type="noConversion"/>
  </si>
  <si>
    <t>北京市基准地价容积率修正系数表（工业）</t>
    <phoneticPr fontId="3" type="noConversion"/>
  </si>
  <si>
    <t>北京市基准地价容积率修正系数表（公共服务及M4科研）</t>
    <phoneticPr fontId="3" type="noConversion"/>
  </si>
  <si>
    <t>R</t>
    <phoneticPr fontId="3" type="noConversion"/>
  </si>
  <si>
    <t>1~2级</t>
    <phoneticPr fontId="3" type="noConversion"/>
  </si>
  <si>
    <t>3~7级</t>
    <phoneticPr fontId="3" type="noConversion"/>
  </si>
  <si>
    <t>8~12级</t>
    <phoneticPr fontId="3" type="noConversion"/>
  </si>
  <si>
    <t>3~5级</t>
    <phoneticPr fontId="3" type="noConversion"/>
  </si>
  <si>
    <t>6~7级</t>
    <phoneticPr fontId="3" type="noConversion"/>
  </si>
  <si>
    <t>平均</t>
    <phoneticPr fontId="3" type="noConversion"/>
  </si>
  <si>
    <t>商业</t>
    <phoneticPr fontId="3" type="noConversion"/>
  </si>
  <si>
    <t>办公</t>
    <phoneticPr fontId="133" type="noConversion"/>
  </si>
  <si>
    <t>住宅</t>
    <phoneticPr fontId="3" type="noConversion"/>
  </si>
  <si>
    <t>工业</t>
    <phoneticPr fontId="133" type="noConversion"/>
  </si>
  <si>
    <t>工业</t>
    <phoneticPr fontId="133" type="noConversion"/>
  </si>
  <si>
    <t>住宅</t>
    <phoneticPr fontId="3" type="noConversion"/>
  </si>
  <si>
    <t>工业</t>
    <phoneticPr fontId="133" type="noConversion"/>
  </si>
  <si>
    <t>住宅</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</si>
  <si>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</si>
  <si>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</si>
  <si>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</si>
  <si>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</si>
  <si>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</si>
  <si>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2021-1</t>
    <phoneticPr fontId="3" type="noConversion"/>
  </si>
  <si>
    <t xml:space="preserve"> </t>
    <phoneticPr fontId="133" type="noConversion"/>
  </si>
  <si>
    <r>
      <rPr>
        <b/>
        <sz val="10"/>
        <color theme="1"/>
        <rFont val="楷体_GB2312"/>
        <family val="2"/>
        <charset val="134"/>
      </rPr>
      <t>核算至百分数</t>
    </r>
    <phoneticPr fontId="141" type="noConversion"/>
  </si>
  <si>
    <t>季度连乘</t>
    <phoneticPr fontId="133" type="noConversion"/>
  </si>
  <si>
    <t>平均增幅</t>
    <phoneticPr fontId="133" type="noConversion"/>
  </si>
  <si>
    <t>平均</t>
    <phoneticPr fontId="3" type="noConversion"/>
  </si>
  <si>
    <t>商业</t>
    <phoneticPr fontId="3" type="noConversion"/>
  </si>
  <si>
    <t>办公</t>
    <phoneticPr fontId="133" type="noConversion"/>
  </si>
  <si>
    <t>住宅</t>
    <phoneticPr fontId="3" type="noConversion"/>
  </si>
  <si>
    <t>公共服务</t>
    <phoneticPr fontId="3" type="noConversion"/>
  </si>
  <si>
    <t>本行不参与计算</t>
    <phoneticPr fontId="133" type="noConversion"/>
  </si>
  <si>
    <t>2022-1</t>
    <phoneticPr fontId="3" type="noConversion"/>
  </si>
  <si>
    <t>2021-4</t>
    <phoneticPr fontId="3" type="noConversion"/>
  </si>
  <si>
    <t>2021-3</t>
    <phoneticPr fontId="3" type="noConversion"/>
  </si>
  <si>
    <t>2021-2</t>
    <phoneticPr fontId="3" type="noConversion"/>
  </si>
  <si>
    <t>北京市区片基准地价表（楼面地价）</t>
    <phoneticPr fontId="3" type="noConversion"/>
  </si>
  <si>
    <t>一级</t>
    <phoneticPr fontId="3" type="noConversion"/>
  </si>
  <si>
    <t>二级</t>
    <phoneticPr fontId="3" type="noConversion"/>
  </si>
  <si>
    <t>三级</t>
    <phoneticPr fontId="3" type="noConversion"/>
  </si>
  <si>
    <t>四级</t>
    <phoneticPr fontId="3" type="noConversion"/>
  </si>
  <si>
    <t>五级</t>
    <phoneticPr fontId="3" type="noConversion"/>
  </si>
  <si>
    <t>六级</t>
    <phoneticPr fontId="3" type="noConversion"/>
  </si>
  <si>
    <t>七级</t>
    <phoneticPr fontId="3" type="noConversion"/>
  </si>
  <si>
    <t>八级</t>
    <phoneticPr fontId="3" type="noConversion"/>
  </si>
  <si>
    <t>九级</t>
    <phoneticPr fontId="3" type="noConversion"/>
  </si>
  <si>
    <t>十级</t>
    <phoneticPr fontId="3" type="noConversion"/>
  </si>
  <si>
    <t>十一级</t>
    <phoneticPr fontId="3" type="noConversion"/>
  </si>
  <si>
    <t>十二级</t>
    <phoneticPr fontId="3" type="noConversion"/>
  </si>
  <si>
    <t xml:space="preserve">基准日期：2021年1月1日                                                             </t>
    <phoneticPr fontId="3" type="noConversion"/>
  </si>
  <si>
    <t>单位：元/平方米</t>
    <phoneticPr fontId="3" type="noConversion"/>
  </si>
  <si>
    <t>Ⅰ—01</t>
    <phoneticPr fontId="3" type="noConversion"/>
  </si>
  <si>
    <t>Ⅱ—01</t>
    <phoneticPr fontId="3" type="noConversion"/>
  </si>
  <si>
    <t>Ⅲ—01</t>
    <phoneticPr fontId="3" type="noConversion"/>
  </si>
  <si>
    <t>Ⅳ-01</t>
    <phoneticPr fontId="3" type="noConversion"/>
  </si>
  <si>
    <t>Ⅴ-01</t>
    <phoneticPr fontId="3" type="noConversion"/>
  </si>
  <si>
    <t>Ⅵ-01</t>
    <phoneticPr fontId="3" type="noConversion"/>
  </si>
  <si>
    <t>Ⅶ-01</t>
    <phoneticPr fontId="3" type="noConversion"/>
  </si>
  <si>
    <t>Ⅷ-01</t>
    <phoneticPr fontId="3" type="noConversion"/>
  </si>
  <si>
    <t>Ⅸ-01</t>
    <phoneticPr fontId="3" type="noConversion"/>
  </si>
  <si>
    <t>Ⅹ-01</t>
    <phoneticPr fontId="3" type="noConversion"/>
  </si>
  <si>
    <t>Ⅺ-门1</t>
    <phoneticPr fontId="3" type="noConversion"/>
  </si>
  <si>
    <t>Ⅻ-门1</t>
    <phoneticPr fontId="3" type="noConversion"/>
  </si>
  <si>
    <t>级别</t>
    <phoneticPr fontId="3" type="noConversion"/>
  </si>
  <si>
    <t>办公</t>
    <phoneticPr fontId="3" type="noConversion"/>
  </si>
  <si>
    <t>工业</t>
    <phoneticPr fontId="3" type="noConversion"/>
  </si>
  <si>
    <t>Ⅰ—02</t>
    <phoneticPr fontId="3" type="noConversion"/>
  </si>
  <si>
    <t>Ⅺ-门斋</t>
    <phoneticPr fontId="3" type="noConversion"/>
  </si>
  <si>
    <t>Ⅻ-房1</t>
    <phoneticPr fontId="3" type="noConversion"/>
  </si>
  <si>
    <t>区片编号</t>
    <phoneticPr fontId="3" type="noConversion"/>
  </si>
  <si>
    <t>区片价格</t>
    <phoneticPr fontId="3" type="noConversion"/>
  </si>
  <si>
    <t>Ⅸ-门1</t>
    <phoneticPr fontId="3" type="noConversion"/>
  </si>
  <si>
    <t>Ⅹ-门1</t>
    <phoneticPr fontId="3" type="noConversion"/>
  </si>
  <si>
    <t>Ⅺ-房1</t>
    <phoneticPr fontId="3" type="noConversion"/>
  </si>
  <si>
    <t>Ⅻ-昌1</t>
    <phoneticPr fontId="3" type="noConversion"/>
  </si>
  <si>
    <t>Ⅸ-门2</t>
    <phoneticPr fontId="3" type="noConversion"/>
  </si>
  <si>
    <t>Ⅹ-房1</t>
    <phoneticPr fontId="3" type="noConversion"/>
  </si>
  <si>
    <t>Ⅻ-怀1</t>
    <phoneticPr fontId="3" type="noConversion"/>
  </si>
  <si>
    <t>Ⅷ-05</t>
  </si>
  <si>
    <t>Ⅸ-门潭</t>
    <phoneticPr fontId="3" type="noConversion"/>
  </si>
  <si>
    <t>Ⅺ-顺1</t>
    <phoneticPr fontId="3" type="noConversion"/>
  </si>
  <si>
    <t>Ⅻ-平1</t>
    <phoneticPr fontId="3" type="noConversion"/>
  </si>
  <si>
    <t>Ⅷ-门1</t>
    <phoneticPr fontId="3" type="noConversion"/>
  </si>
  <si>
    <t>Ⅸ-房1</t>
    <phoneticPr fontId="3" type="noConversion"/>
  </si>
  <si>
    <t>Ⅹ-房3</t>
  </si>
  <si>
    <t>Ⅺ-顺2</t>
  </si>
  <si>
    <t>Ⅻ-密1</t>
    <phoneticPr fontId="3" type="noConversion"/>
  </si>
  <si>
    <t>Ⅷ-门军</t>
    <phoneticPr fontId="3" type="noConversion"/>
  </si>
  <si>
    <t>Ⅹ-顺1</t>
    <phoneticPr fontId="3" type="noConversion"/>
  </si>
  <si>
    <t>Ⅺ-昌1</t>
    <phoneticPr fontId="3" type="noConversion"/>
  </si>
  <si>
    <t>Ⅻ-延1</t>
    <phoneticPr fontId="3" type="noConversion"/>
  </si>
  <si>
    <t>Ⅷ-房1</t>
    <phoneticPr fontId="3" type="noConversion"/>
  </si>
  <si>
    <t>Ⅺ-昌3</t>
  </si>
  <si>
    <t>Ⅶ-门1</t>
    <phoneticPr fontId="3" type="noConversion"/>
  </si>
  <si>
    <t>Ⅹ-顺4</t>
  </si>
  <si>
    <t>Ⅺ-怀1</t>
    <phoneticPr fontId="3" type="noConversion"/>
  </si>
  <si>
    <t>Ⅶ-门2</t>
  </si>
  <si>
    <t>Ⅷ-通1</t>
    <phoneticPr fontId="3" type="noConversion"/>
  </si>
  <si>
    <t>Ⅸ-通1</t>
    <phoneticPr fontId="3" type="noConversion"/>
  </si>
  <si>
    <t>Ⅹ-昌1</t>
    <phoneticPr fontId="3" type="noConversion"/>
  </si>
  <si>
    <t>Ⅺ-平1</t>
    <phoneticPr fontId="3" type="noConversion"/>
  </si>
  <si>
    <t>Ⅶ-房1</t>
    <phoneticPr fontId="3" type="noConversion"/>
  </si>
  <si>
    <t>Ⅱ—13</t>
    <phoneticPr fontId="3" type="noConversion"/>
  </si>
  <si>
    <t>Ⅸ-顺1</t>
    <phoneticPr fontId="3" type="noConversion"/>
  </si>
  <si>
    <t>Ⅶ-通1</t>
    <phoneticPr fontId="3" type="noConversion"/>
  </si>
  <si>
    <t>Ⅷ-顺1</t>
    <phoneticPr fontId="3" type="noConversion"/>
  </si>
  <si>
    <t>Ⅹ-兴1</t>
    <phoneticPr fontId="3" type="noConversion"/>
  </si>
  <si>
    <t>Ⅶ-通2</t>
  </si>
  <si>
    <t>Ⅺ-密1</t>
    <phoneticPr fontId="3" type="noConversion"/>
  </si>
  <si>
    <t>Ⅶ-通3</t>
  </si>
  <si>
    <t>Ⅷ-顺3</t>
    <phoneticPr fontId="3" type="noConversion"/>
  </si>
  <si>
    <t>Ⅹ-怀1</t>
    <phoneticPr fontId="3" type="noConversion"/>
  </si>
  <si>
    <t>Ⅶ-通4</t>
  </si>
  <si>
    <t>Ⅸ-顺5</t>
  </si>
  <si>
    <t>Ⅶ-通5</t>
  </si>
  <si>
    <t>Ⅸ-昌1</t>
    <phoneticPr fontId="3" type="noConversion"/>
  </si>
  <si>
    <t>Ⅺ-延1</t>
    <phoneticPr fontId="3" type="noConversion"/>
  </si>
  <si>
    <t>Ⅶ-顺1</t>
    <phoneticPr fontId="3" type="noConversion"/>
  </si>
  <si>
    <t>Ⅷ-昌1</t>
    <phoneticPr fontId="3" type="noConversion"/>
  </si>
  <si>
    <t>Ⅹ-怀4</t>
  </si>
  <si>
    <t>Ⅱ—20</t>
  </si>
  <si>
    <t>Ⅹ-平1</t>
    <phoneticPr fontId="3" type="noConversion"/>
  </si>
  <si>
    <t>Ⅺ-延3</t>
  </si>
  <si>
    <t>Ⅲ—21</t>
  </si>
  <si>
    <t>Ⅶ-顺3</t>
  </si>
  <si>
    <t>Ⅲ—22</t>
  </si>
  <si>
    <t>Ⅵ-门1</t>
    <phoneticPr fontId="3" type="noConversion"/>
  </si>
  <si>
    <t>Ⅶ-昌1</t>
    <phoneticPr fontId="3" type="noConversion"/>
  </si>
  <si>
    <t>Ⅹ-平3</t>
  </si>
  <si>
    <t>Ⅲ—23</t>
  </si>
  <si>
    <t>Ⅵ-通1</t>
    <phoneticPr fontId="3" type="noConversion"/>
  </si>
  <si>
    <t>Ⅷ-兴1</t>
    <phoneticPr fontId="3" type="noConversion"/>
  </si>
  <si>
    <t>Ⅸ-兴1</t>
  </si>
  <si>
    <t>Ⅹ-平4</t>
  </si>
  <si>
    <t>Ⅲ—24</t>
  </si>
  <si>
    <t>Ⅳ-24</t>
  </si>
  <si>
    <t>Ⅹ-密1</t>
    <phoneticPr fontId="3" type="noConversion"/>
  </si>
  <si>
    <t>Ⅲ—25</t>
  </si>
  <si>
    <t>Ⅳ-25</t>
  </si>
  <si>
    <t>Ⅶ-兴1</t>
    <phoneticPr fontId="3" type="noConversion"/>
  </si>
  <si>
    <t>Ⅷ-兴3</t>
  </si>
  <si>
    <t>Ⅹ-密2</t>
  </si>
  <si>
    <t>Ⅳ-26</t>
  </si>
  <si>
    <t>Ⅶ-兴2</t>
    <phoneticPr fontId="3" type="noConversion"/>
  </si>
  <si>
    <t>Ⅷ-怀1</t>
    <phoneticPr fontId="3" type="noConversion"/>
  </si>
  <si>
    <t>Ⅸ-怀1</t>
    <phoneticPr fontId="3" type="noConversion"/>
  </si>
  <si>
    <t>Ⅹ-密3</t>
  </si>
  <si>
    <t>Ⅳ-27</t>
  </si>
  <si>
    <t>Ⅴ-27</t>
  </si>
  <si>
    <t>Ⅵ-通5</t>
  </si>
  <si>
    <t>Ⅶ-亦1</t>
    <phoneticPr fontId="3" type="noConversion"/>
  </si>
  <si>
    <t>Ⅷ-平1</t>
    <phoneticPr fontId="3" type="noConversion"/>
  </si>
  <si>
    <t>Ⅸ-怀2</t>
  </si>
  <si>
    <t>Ⅹ-延1</t>
    <phoneticPr fontId="3" type="noConversion"/>
  </si>
  <si>
    <t>Ⅳ-28</t>
  </si>
  <si>
    <t>Ⅴ-28</t>
  </si>
  <si>
    <t>Ⅵ-顺1</t>
    <phoneticPr fontId="3" type="noConversion"/>
  </si>
  <si>
    <t>Ⅶ-亦2</t>
  </si>
  <si>
    <t>Ⅷ-密1</t>
    <phoneticPr fontId="3" type="noConversion"/>
  </si>
  <si>
    <t>Ⅸ-怀3</t>
  </si>
  <si>
    <t>Ⅳ-电子城东</t>
    <phoneticPr fontId="3" type="noConversion"/>
  </si>
  <si>
    <t>Ⅴ-29</t>
  </si>
  <si>
    <t>Ⅵ-顺2</t>
  </si>
  <si>
    <t>Ⅶ-创新园</t>
    <phoneticPr fontId="3" type="noConversion"/>
  </si>
  <si>
    <t>Ⅷ-延1</t>
    <phoneticPr fontId="3" type="noConversion"/>
  </si>
  <si>
    <t>Ⅸ-怀4</t>
  </si>
  <si>
    <t>Ⅹ-延3</t>
  </si>
  <si>
    <t>Ⅳ-电子城西</t>
    <phoneticPr fontId="3" type="noConversion"/>
  </si>
  <si>
    <t>Ⅴ-30</t>
  </si>
  <si>
    <t>Ⅵ-昌1</t>
    <phoneticPr fontId="3" type="noConversion"/>
  </si>
  <si>
    <t>Ⅶ-海淀环保园</t>
    <phoneticPr fontId="3" type="noConversion"/>
  </si>
  <si>
    <t>Ⅷ-亦1</t>
    <phoneticPr fontId="3" type="noConversion"/>
  </si>
  <si>
    <t>Ⅸ-平1</t>
    <phoneticPr fontId="3" type="noConversion"/>
  </si>
  <si>
    <t>Ⅹ-延4</t>
  </si>
  <si>
    <t>Ⅳ-丰台园东</t>
    <phoneticPr fontId="3" type="noConversion"/>
  </si>
  <si>
    <t>Ⅴ-31</t>
  </si>
  <si>
    <t>Ⅶ-温泉科技园Ⅰ</t>
    <phoneticPr fontId="3" type="noConversion"/>
  </si>
  <si>
    <t>Ⅸ-平2</t>
  </si>
  <si>
    <t>Ⅹ-亦1</t>
    <phoneticPr fontId="3" type="noConversion"/>
  </si>
  <si>
    <t>Ⅳ-通1</t>
    <phoneticPr fontId="3" type="noConversion"/>
  </si>
  <si>
    <t>Ⅴ-32</t>
  </si>
  <si>
    <t>Ⅶ-温泉科技园Ⅱ</t>
    <phoneticPr fontId="3" type="noConversion"/>
  </si>
  <si>
    <t>Ⅷ-文化教育基地</t>
    <phoneticPr fontId="3" type="noConversion"/>
  </si>
  <si>
    <t>Ⅸ-密1</t>
    <phoneticPr fontId="3" type="noConversion"/>
  </si>
  <si>
    <t>Ⅴ-33</t>
  </si>
  <si>
    <t>Ⅶ-温泉科技园Ⅲ</t>
    <phoneticPr fontId="3" type="noConversion"/>
  </si>
  <si>
    <t>Ⅷ-苏家坨科技Ⅰ</t>
    <phoneticPr fontId="3" type="noConversion"/>
  </si>
  <si>
    <t>Ⅸ-延1</t>
    <phoneticPr fontId="3" type="noConversion"/>
  </si>
  <si>
    <t>Ⅴ-上地核心</t>
    <phoneticPr fontId="3" type="noConversion"/>
  </si>
  <si>
    <t>Ⅵ-兴1</t>
    <phoneticPr fontId="3" type="noConversion"/>
  </si>
  <si>
    <t>Ⅶ-国际教育园</t>
    <phoneticPr fontId="3" type="noConversion"/>
  </si>
  <si>
    <t>Ⅷ-苏家坨科技Ⅱ</t>
    <phoneticPr fontId="3" type="noConversion"/>
  </si>
  <si>
    <t>Ⅸ-延2</t>
  </si>
  <si>
    <t>Ⅴ-电子城北</t>
    <phoneticPr fontId="3" type="noConversion"/>
  </si>
  <si>
    <t>Ⅵ-兴2</t>
  </si>
  <si>
    <t>Ⅶ-农林园</t>
    <phoneticPr fontId="3" type="noConversion"/>
  </si>
  <si>
    <t>Ⅷ-通州环保园</t>
    <phoneticPr fontId="3" type="noConversion"/>
  </si>
  <si>
    <t>Ⅸ-亦1</t>
    <phoneticPr fontId="3" type="noConversion"/>
  </si>
  <si>
    <t>Ⅴ-通1</t>
    <phoneticPr fontId="3" type="noConversion"/>
  </si>
  <si>
    <t>Ⅵ-兴3</t>
  </si>
  <si>
    <t>Ⅶ-上庄科技</t>
    <phoneticPr fontId="3" type="noConversion"/>
  </si>
  <si>
    <t>Ⅷ-通州开发区东</t>
    <phoneticPr fontId="3" type="noConversion"/>
  </si>
  <si>
    <t>Ⅸ-亦2</t>
  </si>
  <si>
    <t>Ⅴ-通2</t>
  </si>
  <si>
    <t>Ⅵ-兴4</t>
  </si>
  <si>
    <t>Ⅶ-石龙开发区</t>
    <phoneticPr fontId="3" type="noConversion"/>
  </si>
  <si>
    <t>Ⅷ-空港北区B</t>
    <phoneticPr fontId="3" type="noConversion"/>
  </si>
  <si>
    <t>Ⅸ-亦3</t>
  </si>
  <si>
    <t>Ⅴ-通3</t>
  </si>
  <si>
    <t>Ⅵ-兴5</t>
  </si>
  <si>
    <r>
      <t>Ⅶ-良乡开发区</t>
    </r>
    <r>
      <rPr>
        <sz val="9"/>
        <color indexed="8"/>
        <rFont val="仿宋_GB2312"/>
        <family val="3"/>
        <charset val="134"/>
      </rPr>
      <t>A</t>
    </r>
    <phoneticPr fontId="3" type="noConversion"/>
  </si>
  <si>
    <t>Ⅷ-昌平园北Ⅱ</t>
    <phoneticPr fontId="3" type="noConversion"/>
  </si>
  <si>
    <t>Ⅸ-房山工业园西</t>
    <phoneticPr fontId="3" type="noConversion"/>
  </si>
  <si>
    <t>Ⅴ-通4</t>
  </si>
  <si>
    <t>Ⅵ-亦1</t>
    <phoneticPr fontId="3" type="noConversion"/>
  </si>
  <si>
    <r>
      <t>Ⅶ-良乡开发区</t>
    </r>
    <r>
      <rPr>
        <sz val="9"/>
        <color indexed="8"/>
        <rFont val="仿宋_GB2312"/>
        <family val="3"/>
        <charset val="134"/>
      </rPr>
      <t>B</t>
    </r>
    <phoneticPr fontId="3" type="noConversion"/>
  </si>
  <si>
    <t>Ⅷ-昌平园北Ⅲ</t>
    <phoneticPr fontId="3" type="noConversion"/>
  </si>
  <si>
    <t>Ⅸ-房山工业园东</t>
    <phoneticPr fontId="3" type="noConversion"/>
  </si>
  <si>
    <t>Ⅴ-亦1</t>
    <phoneticPr fontId="3" type="noConversion"/>
  </si>
  <si>
    <t>Ⅵ-亦2</t>
  </si>
  <si>
    <r>
      <t>Ⅶ-良乡开发区</t>
    </r>
    <r>
      <rPr>
        <sz val="9"/>
        <color indexed="8"/>
        <rFont val="仿宋_GB2312"/>
        <family val="3"/>
        <charset val="134"/>
      </rPr>
      <t>C</t>
    </r>
    <phoneticPr fontId="3" type="noConversion"/>
  </si>
  <si>
    <t>Ⅷ-昌平园南Ⅰ</t>
    <phoneticPr fontId="3" type="noConversion"/>
  </si>
  <si>
    <t>Ⅸ-永乐开发区</t>
    <phoneticPr fontId="3" type="noConversion"/>
  </si>
  <si>
    <t>Ⅵ-亦3</t>
  </si>
  <si>
    <t>Ⅶ-林河开发区</t>
    <phoneticPr fontId="3" type="noConversion"/>
  </si>
  <si>
    <t>Ⅷ-昌平园南Ⅱ</t>
    <phoneticPr fontId="3" type="noConversion"/>
  </si>
  <si>
    <t>Ⅸ-采育开发区</t>
    <phoneticPr fontId="3" type="noConversion"/>
  </si>
  <si>
    <t>三级</t>
    <phoneticPr fontId="3" type="noConversion"/>
  </si>
  <si>
    <t>Ⅵ-亦4</t>
  </si>
  <si>
    <t>Ⅶ-空港北区A</t>
    <phoneticPr fontId="3" type="noConversion"/>
  </si>
  <si>
    <t>Ⅷ-小汤山工业园</t>
    <phoneticPr fontId="3" type="noConversion"/>
  </si>
  <si>
    <t>Ⅸ-雁栖开发区A</t>
    <phoneticPr fontId="3" type="noConversion"/>
  </si>
  <si>
    <t>Ⅵ-永丰产业基地</t>
    <phoneticPr fontId="3" type="noConversion"/>
  </si>
  <si>
    <r>
      <t>Ⅶ-昌平园北</t>
    </r>
    <r>
      <rPr>
        <sz val="9"/>
        <color indexed="8"/>
        <rFont val="宋体"/>
        <family val="3"/>
        <charset val="134"/>
      </rPr>
      <t>Ⅰ</t>
    </r>
    <phoneticPr fontId="3" type="noConversion"/>
  </si>
  <si>
    <t>Ⅷ-生物医药基地</t>
    <phoneticPr fontId="3" type="noConversion"/>
  </si>
  <si>
    <t>Ⅸ-雁栖开发区B</t>
    <phoneticPr fontId="3" type="noConversion"/>
  </si>
  <si>
    <t>Ⅵ-航天城</t>
    <phoneticPr fontId="3" type="noConversion"/>
  </si>
  <si>
    <t>Ⅶ-BDA南</t>
    <phoneticPr fontId="3" type="noConversion"/>
  </si>
  <si>
    <t>Ⅸ-雁栖开发区C</t>
    <phoneticPr fontId="3" type="noConversion"/>
  </si>
  <si>
    <t>Ⅵ-西北旺Ⅰ</t>
    <phoneticPr fontId="3" type="noConversion"/>
  </si>
  <si>
    <t>Ⅸ-兴谷开发区A</t>
    <phoneticPr fontId="3" type="noConversion"/>
  </si>
  <si>
    <t>Ⅵ-西北旺Ⅱ</t>
    <phoneticPr fontId="3" type="noConversion"/>
  </si>
  <si>
    <t>Ⅸ-兴谷开发区B</t>
    <phoneticPr fontId="3" type="noConversion"/>
  </si>
  <si>
    <t>Ⅵ-丰台西园Ⅰ</t>
    <phoneticPr fontId="3" type="noConversion"/>
  </si>
  <si>
    <t>Ⅸ-马坊工业园</t>
    <phoneticPr fontId="3" type="noConversion"/>
  </si>
  <si>
    <t>Ⅵ-丰台西园Ⅱ</t>
    <phoneticPr fontId="3" type="noConversion"/>
  </si>
  <si>
    <t>Ⅸ-密云开发区</t>
    <phoneticPr fontId="3" type="noConversion"/>
  </si>
  <si>
    <t>Ⅵ-石景山园北Ⅰ</t>
    <phoneticPr fontId="3" type="noConversion"/>
  </si>
  <si>
    <t>Ⅸ-延庆开发区</t>
    <phoneticPr fontId="3" type="noConversion"/>
  </si>
  <si>
    <t>Ⅵ-石景山园北Ⅱ</t>
    <phoneticPr fontId="3" type="noConversion"/>
  </si>
  <si>
    <t>Ⅸ-八达岭开发区</t>
    <phoneticPr fontId="3" type="noConversion"/>
  </si>
  <si>
    <t>Ⅵ-石景山园南</t>
    <phoneticPr fontId="3" type="noConversion"/>
  </si>
  <si>
    <t>Ⅵ-通州开发区西</t>
    <phoneticPr fontId="3" type="noConversion"/>
  </si>
  <si>
    <t>Ⅵ-光机电</t>
    <phoneticPr fontId="3" type="noConversion"/>
  </si>
  <si>
    <t>Ⅳ-01</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</si>
  <si>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</si>
  <si>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</si>
  <si>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</si>
  <si>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</si>
  <si>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</si>
  <si>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</si>
  <si>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</si>
  <si>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</si>
  <si>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</si>
  <si>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</si>
  <si>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Ⅳ-电子城东</t>
    <phoneticPr fontId="3" type="noConversion"/>
  </si>
  <si>
    <t>Ⅳ-电子城西</t>
    <phoneticPr fontId="3" type="noConversion"/>
  </si>
  <si>
    <t>Ⅳ-丰台园东</t>
    <phoneticPr fontId="3" type="noConversion"/>
  </si>
  <si>
    <t>Ⅳ-通1</t>
    <phoneticPr fontId="3" type="noConversion"/>
  </si>
  <si>
    <t>Ⅴ-01</t>
    <phoneticPr fontId="3" type="noConversion"/>
  </si>
  <si>
    <t>Ⅴ-上地核心</t>
    <phoneticPr fontId="3" type="noConversion"/>
  </si>
  <si>
    <t>Ⅴ-电子城北</t>
    <phoneticPr fontId="3" type="noConversion"/>
  </si>
  <si>
    <t>Ⅴ-通1</t>
    <phoneticPr fontId="3" type="noConversion"/>
  </si>
  <si>
    <t>Ⅵ-01</t>
    <phoneticPr fontId="3" type="noConversion"/>
  </si>
  <si>
    <t>Ⅵ-门1</t>
    <phoneticPr fontId="3" type="noConversion"/>
  </si>
  <si>
    <t>Ⅵ-通1</t>
    <phoneticPr fontId="3" type="noConversion"/>
  </si>
  <si>
    <t>Ⅵ-顺1</t>
    <phoneticPr fontId="3" type="noConversion"/>
  </si>
  <si>
    <t>Ⅵ-昌1</t>
    <phoneticPr fontId="3" type="noConversion"/>
  </si>
  <si>
    <t>Ⅵ-兴1</t>
    <phoneticPr fontId="3" type="noConversion"/>
  </si>
  <si>
    <t>Ⅵ-亦1</t>
    <phoneticPr fontId="3" type="noConversion"/>
  </si>
  <si>
    <t>Ⅵ-永丰产业基地</t>
    <phoneticPr fontId="3" type="noConversion"/>
  </si>
  <si>
    <t>Ⅵ-石景山园南</t>
    <phoneticPr fontId="3" type="noConversion"/>
  </si>
  <si>
    <t>Ⅵ-通州开发区西</t>
    <phoneticPr fontId="3" type="noConversion"/>
  </si>
  <si>
    <t>Ⅵ-光机电</t>
    <phoneticPr fontId="3" type="noConversion"/>
  </si>
  <si>
    <t>Ⅶ-01</t>
    <phoneticPr fontId="3" type="noConversion"/>
  </si>
  <si>
    <t>Ⅶ-门1</t>
    <phoneticPr fontId="3" type="noConversion"/>
  </si>
  <si>
    <t>Ⅶ-房1</t>
    <phoneticPr fontId="3" type="noConversion"/>
  </si>
  <si>
    <t>Ⅶ-通1</t>
    <phoneticPr fontId="3" type="noConversion"/>
  </si>
  <si>
    <t>Ⅶ-顺1</t>
    <phoneticPr fontId="3" type="noConversion"/>
  </si>
  <si>
    <t>Ⅶ-昌1</t>
    <phoneticPr fontId="3" type="noConversion"/>
  </si>
  <si>
    <t>Ⅶ-兴1</t>
    <phoneticPr fontId="3" type="noConversion"/>
  </si>
  <si>
    <t>Ⅶ-兴2</t>
    <phoneticPr fontId="3" type="noConversion"/>
  </si>
  <si>
    <t>Ⅶ-亦1</t>
    <phoneticPr fontId="3" type="noConversion"/>
  </si>
  <si>
    <t>Ⅶ-创新园</t>
    <phoneticPr fontId="3" type="noConversion"/>
  </si>
  <si>
    <t>Ⅶ-海淀环保园</t>
    <phoneticPr fontId="3" type="noConversion"/>
  </si>
  <si>
    <t>Ⅶ-温泉科技园Ⅰ</t>
    <phoneticPr fontId="3" type="noConversion"/>
  </si>
  <si>
    <t>Ⅶ-温泉科技园Ⅱ</t>
    <phoneticPr fontId="3" type="noConversion"/>
  </si>
  <si>
    <t>Ⅶ-温泉科技园Ⅲ</t>
    <phoneticPr fontId="3" type="noConversion"/>
  </si>
  <si>
    <t>Ⅶ-国际教育园</t>
    <phoneticPr fontId="3" type="noConversion"/>
  </si>
  <si>
    <t>Ⅶ-农林园</t>
    <phoneticPr fontId="3" type="noConversion"/>
  </si>
  <si>
    <t>Ⅶ-上庄科技</t>
    <phoneticPr fontId="3" type="noConversion"/>
  </si>
  <si>
    <t>Ⅶ-石龙开发区</t>
    <phoneticPr fontId="3" type="noConversion"/>
  </si>
  <si>
    <r>
      <t>Ⅶ-良乡开发区</t>
    </r>
    <r>
      <rPr>
        <sz val="9"/>
        <color indexed="8"/>
        <rFont val="仿宋_GB2312"/>
        <family val="3"/>
        <charset val="134"/>
      </rPr>
      <t>A</t>
    </r>
    <phoneticPr fontId="3" type="noConversion"/>
  </si>
  <si>
    <r>
      <t>Ⅶ-良乡开发区</t>
    </r>
    <r>
      <rPr>
        <sz val="9"/>
        <color indexed="8"/>
        <rFont val="仿宋_GB2312"/>
        <family val="3"/>
        <charset val="134"/>
      </rPr>
      <t>B</t>
    </r>
    <phoneticPr fontId="3" type="noConversion"/>
  </si>
  <si>
    <t>Ⅶ-林河开发区</t>
    <phoneticPr fontId="3" type="noConversion"/>
  </si>
  <si>
    <t>Ⅶ-空港北区A</t>
    <phoneticPr fontId="3" type="noConversion"/>
  </si>
  <si>
    <r>
      <t>Ⅶ-昌平园北</t>
    </r>
    <r>
      <rPr>
        <sz val="9"/>
        <color indexed="8"/>
        <rFont val="宋体"/>
        <family val="3"/>
        <charset val="134"/>
      </rPr>
      <t>Ⅰ</t>
    </r>
    <phoneticPr fontId="3" type="noConversion"/>
  </si>
  <si>
    <t>Ⅷ-01</t>
    <phoneticPr fontId="3" type="noConversion"/>
  </si>
  <si>
    <t>Ⅷ-门1</t>
    <phoneticPr fontId="3" type="noConversion"/>
  </si>
  <si>
    <t>Ⅷ-门军</t>
    <phoneticPr fontId="3" type="noConversion"/>
  </si>
  <si>
    <t>Ⅷ-房1</t>
    <phoneticPr fontId="3" type="noConversion"/>
  </si>
  <si>
    <t>Ⅷ-通1</t>
    <phoneticPr fontId="3" type="noConversion"/>
  </si>
  <si>
    <t>Ⅷ-顺1</t>
    <phoneticPr fontId="3" type="noConversion"/>
  </si>
  <si>
    <t>Ⅷ-顺3</t>
    <phoneticPr fontId="3" type="noConversion"/>
  </si>
  <si>
    <t>Ⅷ-昌1</t>
    <phoneticPr fontId="3" type="noConversion"/>
  </si>
  <si>
    <t>Ⅷ-兴1</t>
    <phoneticPr fontId="3" type="noConversion"/>
  </si>
  <si>
    <t>Ⅷ-怀1</t>
    <phoneticPr fontId="3" type="noConversion"/>
  </si>
  <si>
    <t>Ⅷ-平1</t>
    <phoneticPr fontId="3" type="noConversion"/>
  </si>
  <si>
    <t>Ⅷ-密1</t>
    <phoneticPr fontId="3" type="noConversion"/>
  </si>
  <si>
    <t>Ⅷ-延1</t>
    <phoneticPr fontId="3" type="noConversion"/>
  </si>
  <si>
    <t>Ⅷ-亦1</t>
    <phoneticPr fontId="3" type="noConversion"/>
  </si>
  <si>
    <t>Ⅷ-文化教育基地</t>
    <phoneticPr fontId="3" type="noConversion"/>
  </si>
  <si>
    <t>Ⅷ-苏家坨科技Ⅰ</t>
    <phoneticPr fontId="3" type="noConversion"/>
  </si>
  <si>
    <t>Ⅷ-苏家坨科技Ⅱ</t>
    <phoneticPr fontId="3" type="noConversion"/>
  </si>
  <si>
    <t>Ⅷ-通州环保园</t>
    <phoneticPr fontId="3" type="noConversion"/>
  </si>
  <si>
    <t>Ⅷ-通州开发区东</t>
    <phoneticPr fontId="3" type="noConversion"/>
  </si>
  <si>
    <t>Ⅷ-空港北区B</t>
    <phoneticPr fontId="3" type="noConversion"/>
  </si>
  <si>
    <t>Ⅷ-昌平园北Ⅱ</t>
    <phoneticPr fontId="3" type="noConversion"/>
  </si>
  <si>
    <t>Ⅷ-昌平园北Ⅲ</t>
    <phoneticPr fontId="3" type="noConversion"/>
  </si>
  <si>
    <t>Ⅷ-昌平园南Ⅱ</t>
    <phoneticPr fontId="3" type="noConversion"/>
  </si>
  <si>
    <t>Ⅷ-小汤山工业园</t>
    <phoneticPr fontId="3" type="noConversion"/>
  </si>
  <si>
    <t>Ⅷ-生物医药基地</t>
    <phoneticPr fontId="3" type="noConversion"/>
  </si>
  <si>
    <t>Ⅸ-01</t>
    <phoneticPr fontId="3" type="noConversion"/>
  </si>
  <si>
    <t>Ⅸ-门1</t>
    <phoneticPr fontId="3" type="noConversion"/>
  </si>
  <si>
    <t>Ⅸ-门2</t>
    <phoneticPr fontId="3" type="noConversion"/>
  </si>
  <si>
    <t>Ⅸ-门潭</t>
    <phoneticPr fontId="3" type="noConversion"/>
  </si>
  <si>
    <t>Ⅸ-房1</t>
    <phoneticPr fontId="3" type="noConversion"/>
  </si>
  <si>
    <t>Ⅸ-通1</t>
    <phoneticPr fontId="3" type="noConversion"/>
  </si>
  <si>
    <t>Ⅸ-顺1</t>
    <phoneticPr fontId="3" type="noConversion"/>
  </si>
  <si>
    <t>Ⅸ-昌1</t>
    <phoneticPr fontId="3" type="noConversion"/>
  </si>
  <si>
    <t>Ⅸ-怀1</t>
    <phoneticPr fontId="3" type="noConversion"/>
  </si>
  <si>
    <t>Ⅸ-平1</t>
    <phoneticPr fontId="3" type="noConversion"/>
  </si>
  <si>
    <t>Ⅸ-密1</t>
    <phoneticPr fontId="3" type="noConversion"/>
  </si>
  <si>
    <t>Ⅸ-延1</t>
    <phoneticPr fontId="3" type="noConversion"/>
  </si>
  <si>
    <t>Ⅸ-亦1</t>
    <phoneticPr fontId="3" type="noConversion"/>
  </si>
  <si>
    <t>Ⅸ-房山工业园西</t>
    <phoneticPr fontId="3" type="noConversion"/>
  </si>
  <si>
    <t>Ⅸ-房山工业园东</t>
    <phoneticPr fontId="3" type="noConversion"/>
  </si>
  <si>
    <t>Ⅸ-采育开发区</t>
    <phoneticPr fontId="3" type="noConversion"/>
  </si>
  <si>
    <t>Ⅸ-雁栖开发区A</t>
    <phoneticPr fontId="3" type="noConversion"/>
  </si>
  <si>
    <t>Ⅹ-01</t>
    <phoneticPr fontId="3" type="noConversion"/>
  </si>
  <si>
    <t>Ⅹ-门1</t>
    <phoneticPr fontId="3" type="noConversion"/>
  </si>
  <si>
    <t>Ⅹ-房1</t>
    <phoneticPr fontId="3" type="noConversion"/>
  </si>
  <si>
    <t>Ⅹ-顺1</t>
    <phoneticPr fontId="3" type="noConversion"/>
  </si>
  <si>
    <t>Ⅹ-昌1</t>
    <phoneticPr fontId="3" type="noConversion"/>
  </si>
  <si>
    <t>Ⅹ-兴1</t>
    <phoneticPr fontId="3" type="noConversion"/>
  </si>
  <si>
    <t>Ⅹ-怀1</t>
    <phoneticPr fontId="3" type="noConversion"/>
  </si>
  <si>
    <t>Ⅹ-平1</t>
    <phoneticPr fontId="3" type="noConversion"/>
  </si>
  <si>
    <t>Ⅹ-密1</t>
    <phoneticPr fontId="3" type="noConversion"/>
  </si>
  <si>
    <t>Ⅹ-延1</t>
    <phoneticPr fontId="3" type="noConversion"/>
  </si>
  <si>
    <t>Ⅹ-亦1</t>
    <phoneticPr fontId="3" type="noConversion"/>
  </si>
  <si>
    <t>十一级</t>
    <phoneticPr fontId="3" type="noConversion"/>
  </si>
  <si>
    <t>Ⅺ-门1</t>
    <phoneticPr fontId="3" type="noConversion"/>
  </si>
  <si>
    <t>Ⅺ-门斋</t>
    <phoneticPr fontId="3" type="noConversion"/>
  </si>
  <si>
    <t>Ⅺ-房1</t>
    <phoneticPr fontId="3" type="noConversion"/>
  </si>
  <si>
    <t>Ⅺ-顺1</t>
    <phoneticPr fontId="3" type="noConversion"/>
  </si>
  <si>
    <t>Ⅺ-昌1</t>
    <phoneticPr fontId="3" type="noConversion"/>
  </si>
  <si>
    <t>Ⅺ-怀1</t>
    <phoneticPr fontId="3" type="noConversion"/>
  </si>
  <si>
    <t>Ⅺ-平1</t>
    <phoneticPr fontId="3" type="noConversion"/>
  </si>
  <si>
    <t>Ⅺ-密1</t>
    <phoneticPr fontId="3" type="noConversion"/>
  </si>
  <si>
    <t>Ⅺ-延1</t>
    <phoneticPr fontId="3" type="noConversion"/>
  </si>
  <si>
    <t>十二级</t>
    <phoneticPr fontId="3" type="noConversion"/>
  </si>
  <si>
    <t>Ⅻ-门1</t>
    <phoneticPr fontId="3" type="noConversion"/>
  </si>
  <si>
    <t>Ⅻ-房1</t>
    <phoneticPr fontId="3" type="noConversion"/>
  </si>
  <si>
    <t>Ⅻ-昌1</t>
    <phoneticPr fontId="3" type="noConversion"/>
  </si>
  <si>
    <t>Ⅻ-怀1</t>
    <phoneticPr fontId="3" type="noConversion"/>
  </si>
  <si>
    <t>Ⅻ-平1</t>
    <phoneticPr fontId="3" type="noConversion"/>
  </si>
  <si>
    <t>Ⅻ-密1</t>
    <phoneticPr fontId="3" type="noConversion"/>
  </si>
  <si>
    <t>Ⅻ-延1</t>
    <phoneticPr fontId="3" type="noConversion"/>
  </si>
  <si>
    <t>北京市区片基准地价因素总修正幅度表</t>
    <phoneticPr fontId="3" type="noConversion"/>
  </si>
  <si>
    <t>Ⅴ-亦1</t>
    <phoneticPr fontId="3" type="noConversion"/>
  </si>
  <si>
    <t>Ⅵ-亦1</t>
    <phoneticPr fontId="3" type="noConversion"/>
  </si>
  <si>
    <t>Ⅵ-永丰产业基地</t>
    <phoneticPr fontId="3" type="noConversion"/>
  </si>
  <si>
    <t>Ⅵ-航天城</t>
    <phoneticPr fontId="3" type="noConversion"/>
  </si>
  <si>
    <t>Ⅵ-西北旺Ⅰ</t>
    <phoneticPr fontId="3" type="noConversion"/>
  </si>
  <si>
    <t>Ⅵ-西北旺Ⅱ</t>
    <phoneticPr fontId="3" type="noConversion"/>
  </si>
  <si>
    <t>Ⅵ-丰台西园Ⅰ</t>
    <phoneticPr fontId="3" type="noConversion"/>
  </si>
  <si>
    <t>Ⅵ-丰台西园Ⅱ</t>
    <phoneticPr fontId="3" type="noConversion"/>
  </si>
  <si>
    <t>Ⅵ-石景山园北Ⅰ</t>
    <phoneticPr fontId="3" type="noConversion"/>
  </si>
  <si>
    <t>Ⅵ-石景山园北Ⅱ</t>
    <phoneticPr fontId="3" type="noConversion"/>
  </si>
  <si>
    <t>Ⅵ-石景山园南</t>
    <phoneticPr fontId="3" type="noConversion"/>
  </si>
  <si>
    <t>Ⅵ-通州开发区西</t>
    <phoneticPr fontId="3" type="noConversion"/>
  </si>
  <si>
    <t>Ⅵ-光机电</t>
    <phoneticPr fontId="3" type="noConversion"/>
  </si>
  <si>
    <t>Ⅵ-天竺保税区南</t>
    <phoneticPr fontId="3" type="noConversion"/>
  </si>
  <si>
    <t>Ⅵ-天竺保税区北Ⅰ</t>
    <phoneticPr fontId="3" type="noConversion"/>
  </si>
  <si>
    <t>Ⅵ-天竺保税区北Ⅱ</t>
    <phoneticPr fontId="3" type="noConversion"/>
  </si>
  <si>
    <t>Ⅵ-空港A</t>
    <phoneticPr fontId="3" type="noConversion"/>
  </si>
  <si>
    <t>Ⅵ-空港B</t>
    <phoneticPr fontId="3" type="noConversion"/>
  </si>
  <si>
    <t>Ⅵ-生命科学园</t>
    <phoneticPr fontId="3" type="noConversion"/>
  </si>
  <si>
    <t>Ⅵ-三一光电</t>
    <phoneticPr fontId="3" type="noConversion"/>
  </si>
  <si>
    <t>Ⅵ-大兴开发区</t>
    <phoneticPr fontId="3" type="noConversion"/>
  </si>
  <si>
    <t>Ⅵ-BDA核心</t>
    <phoneticPr fontId="3" type="noConversion"/>
  </si>
  <si>
    <t>Ⅵ-BDA东</t>
    <phoneticPr fontId="3" type="noConversion"/>
  </si>
  <si>
    <t>Ⅶ-石龙开发区</t>
    <phoneticPr fontId="3" type="noConversion"/>
  </si>
  <si>
    <r>
      <t>Ⅶ-良乡开发区</t>
    </r>
    <r>
      <rPr>
        <sz val="8"/>
        <color indexed="8"/>
        <rFont val="仿宋_GB2312"/>
        <family val="3"/>
        <charset val="134"/>
      </rPr>
      <t>A</t>
    </r>
    <phoneticPr fontId="3" type="noConversion"/>
  </si>
  <si>
    <r>
      <t>Ⅶ-良乡开发区</t>
    </r>
    <r>
      <rPr>
        <sz val="8"/>
        <color indexed="8"/>
        <rFont val="仿宋_GB2312"/>
        <family val="3"/>
        <charset val="134"/>
      </rPr>
      <t>B</t>
    </r>
    <phoneticPr fontId="3" type="noConversion"/>
  </si>
  <si>
    <r>
      <t>Ⅶ-良乡开发区</t>
    </r>
    <r>
      <rPr>
        <sz val="8"/>
        <color indexed="8"/>
        <rFont val="仿宋_GB2312"/>
        <family val="3"/>
        <charset val="134"/>
      </rPr>
      <t>C</t>
    </r>
    <phoneticPr fontId="3" type="noConversion"/>
  </si>
  <si>
    <t>Ⅶ-林河开发区</t>
    <phoneticPr fontId="3" type="noConversion"/>
  </si>
  <si>
    <t>Ⅶ-空港北区A</t>
    <phoneticPr fontId="3" type="noConversion"/>
  </si>
  <si>
    <r>
      <t>Ⅶ-昌平园北</t>
    </r>
    <r>
      <rPr>
        <sz val="8"/>
        <color indexed="8"/>
        <rFont val="宋体"/>
        <family val="3"/>
        <charset val="134"/>
      </rPr>
      <t>Ⅰ</t>
    </r>
    <phoneticPr fontId="3" type="noConversion"/>
  </si>
  <si>
    <t>Ⅶ-BDA南</t>
    <phoneticPr fontId="3" type="noConversion"/>
  </si>
  <si>
    <t>Ⅷ-昌平园北Ⅱ</t>
    <phoneticPr fontId="3" type="noConversion"/>
  </si>
  <si>
    <t>Ⅷ-昌平园北Ⅲ</t>
    <phoneticPr fontId="3" type="noConversion"/>
  </si>
  <si>
    <t>Ⅷ-昌平园南Ⅰ</t>
    <phoneticPr fontId="3" type="noConversion"/>
  </si>
  <si>
    <t>Ⅷ-昌平园南Ⅱ</t>
    <phoneticPr fontId="3" type="noConversion"/>
  </si>
  <si>
    <t>Ⅷ-小汤山工业园</t>
    <phoneticPr fontId="3" type="noConversion"/>
  </si>
  <si>
    <t>Ⅷ-生物医药基地</t>
    <phoneticPr fontId="3" type="noConversion"/>
  </si>
  <si>
    <t>Ⅸ-房山工业园西</t>
    <phoneticPr fontId="3" type="noConversion"/>
  </si>
  <si>
    <t>Ⅸ-房山工业园东</t>
    <phoneticPr fontId="3" type="noConversion"/>
  </si>
  <si>
    <t>Ⅸ-永乐开发区</t>
    <phoneticPr fontId="3" type="noConversion"/>
  </si>
  <si>
    <t>Ⅸ-采育开发区</t>
    <phoneticPr fontId="3" type="noConversion"/>
  </si>
  <si>
    <t>Ⅸ-雁栖开发区A</t>
    <phoneticPr fontId="3" type="noConversion"/>
  </si>
  <si>
    <t>Ⅸ-雁栖开发区B</t>
    <phoneticPr fontId="3" type="noConversion"/>
  </si>
  <si>
    <t>Ⅸ-雁栖开发区C</t>
    <phoneticPr fontId="3" type="noConversion"/>
  </si>
  <si>
    <t>Ⅸ-兴谷开发区A</t>
    <phoneticPr fontId="3" type="noConversion"/>
  </si>
  <si>
    <t>Ⅸ-兴谷开发区B</t>
    <phoneticPr fontId="3" type="noConversion"/>
  </si>
  <si>
    <t>Ⅸ-马坊工业园</t>
    <phoneticPr fontId="3" type="noConversion"/>
  </si>
  <si>
    <t>Ⅸ-密云开发区</t>
    <phoneticPr fontId="3" type="noConversion"/>
  </si>
  <si>
    <t>Ⅸ-延庆开发区</t>
    <phoneticPr fontId="3" type="noConversion"/>
  </si>
  <si>
    <t>Ⅸ-八达岭开发区</t>
    <phoneticPr fontId="3" type="noConversion"/>
  </si>
  <si>
    <t>北京市级别基准地价表（楼面地价）</t>
    <phoneticPr fontId="133" type="noConversion"/>
  </si>
  <si>
    <t>（一）北京市级别基准地价表</t>
    <phoneticPr fontId="133" type="noConversion"/>
  </si>
  <si>
    <t xml:space="preserve">基准期日：2021年１月１日                        </t>
    <phoneticPr fontId="133" type="noConversion"/>
  </si>
  <si>
    <t>单位：元／平方米</t>
    <phoneticPr fontId="133" type="noConversion"/>
  </si>
  <si>
    <t>公共服务</t>
    <phoneticPr fontId="133" type="noConversion"/>
  </si>
  <si>
    <t>（2）</t>
    <phoneticPr fontId="76" type="noConversion"/>
  </si>
  <si>
    <t>（3）</t>
    <phoneticPr fontId="76" type="noConversion"/>
  </si>
  <si>
    <r>
      <rPr>
        <b/>
        <sz val="10"/>
        <rFont val="宋体"/>
        <family val="3"/>
        <charset val="134"/>
      </rPr>
      <t>轨道交通站点</t>
    </r>
    <r>
      <rPr>
        <b/>
        <sz val="10"/>
        <rFont val="Arial"/>
        <family val="2"/>
      </rPr>
      <t>500</t>
    </r>
    <r>
      <rPr>
        <b/>
        <sz val="10"/>
        <rFont val="宋体"/>
        <family val="3"/>
        <charset val="134"/>
      </rPr>
      <t>米范围内的办公用地</t>
    </r>
    <phoneticPr fontId="3" type="noConversion"/>
  </si>
  <si>
    <r>
      <rPr>
        <sz val="10"/>
        <rFont val="宋体"/>
        <family val="3"/>
        <charset val="134"/>
      </rPr>
      <t>浮动范围</t>
    </r>
    <r>
      <rPr>
        <sz val="10"/>
        <rFont val="Arial"/>
        <family val="2"/>
      </rPr>
      <t>1.00~1.05</t>
    </r>
    <phoneticPr fontId="3" type="noConversion"/>
  </si>
  <si>
    <r>
      <rPr>
        <sz val="10"/>
        <color rgb="FFFF0000"/>
        <rFont val="宋体"/>
        <family val="3"/>
        <charset val="134"/>
      </rPr>
      <t xml:space="preserve">不需调整填 " 1 </t>
    </r>
    <r>
      <rPr>
        <sz val="10"/>
        <rFont val="宋体"/>
        <family val="3"/>
        <charset val="134"/>
      </rPr>
      <t>"</t>
    </r>
    <phoneticPr fontId="3" type="noConversion"/>
  </si>
  <si>
    <t>（4）</t>
    <phoneticPr fontId="76" type="noConversion"/>
  </si>
  <si>
    <r>
      <rPr>
        <sz val="10"/>
        <rFont val="宋体"/>
        <family val="3"/>
        <charset val="134"/>
      </rPr>
      <t>无</t>
    </r>
    <phoneticPr fontId="3" type="noConversion"/>
  </si>
  <si>
    <r>
      <rPr>
        <sz val="10"/>
        <color indexed="10"/>
        <rFont val="宋体"/>
        <family val="3"/>
        <charset val="134"/>
      </rPr>
      <t>其他（大型博物馆、文体设施，优质教育资源；垃圾填埋场</t>
    </r>
    <r>
      <rPr>
        <sz val="10"/>
        <color indexed="10"/>
        <rFont val="Arial"/>
        <family val="2"/>
      </rPr>
      <t>/</t>
    </r>
    <r>
      <rPr>
        <sz val="10"/>
        <color indexed="10"/>
        <rFont val="宋体"/>
        <family val="3"/>
        <charset val="134"/>
      </rPr>
      <t>污水处理厂，殡葬场等），自定义修正，幅度不超过</t>
    </r>
    <r>
      <rPr>
        <sz val="10"/>
        <color indexed="10"/>
        <rFont val="Arial"/>
        <family val="2"/>
      </rPr>
      <t>±10%</t>
    </r>
    <phoneticPr fontId="3" type="noConversion"/>
  </si>
  <si>
    <t>（5）</t>
    <phoneticPr fontId="76" type="noConversion"/>
  </si>
  <si>
    <t>自持修正</t>
    <phoneticPr fontId="3" type="noConversion"/>
  </si>
  <si>
    <t>自持年期修正系数</t>
    <phoneticPr fontId="3" type="noConversion"/>
  </si>
  <si>
    <t>自持年期（n)</t>
    <phoneticPr fontId="3" type="noConversion"/>
  </si>
  <si>
    <t>自持面积</t>
    <phoneticPr fontId="3" type="noConversion"/>
  </si>
  <si>
    <t>自持面积比例</t>
    <phoneticPr fontId="3" type="noConversion"/>
  </si>
  <si>
    <t>Kn</t>
    <phoneticPr fontId="3" type="noConversion"/>
  </si>
  <si>
    <t>全部面积</t>
    <phoneticPr fontId="3" type="noConversion"/>
  </si>
  <si>
    <t>KN</t>
    <phoneticPr fontId="3" type="noConversion"/>
  </si>
  <si>
    <t>（6）</t>
    <phoneticPr fontId="76" type="noConversion"/>
  </si>
  <si>
    <t>按公示增长率计算</t>
  </si>
  <si>
    <r>
      <t>R</t>
    </r>
    <r>
      <rPr>
        <sz val="11"/>
        <rFont val="宋体"/>
        <family val="3"/>
        <charset val="134"/>
      </rPr>
      <t>＜</t>
    </r>
    <r>
      <rPr>
        <sz val="11"/>
        <rFont val="Arial"/>
        <family val="2"/>
      </rPr>
      <t>10</t>
    </r>
    <phoneticPr fontId="3" type="noConversion"/>
  </si>
  <si>
    <r>
      <t>R</t>
    </r>
    <r>
      <rPr>
        <sz val="11"/>
        <rFont val="宋体"/>
        <family val="3"/>
        <charset val="134"/>
      </rPr>
      <t>≥</t>
    </r>
    <r>
      <rPr>
        <sz val="11"/>
        <rFont val="Arial"/>
        <family val="2"/>
      </rPr>
      <t>10</t>
    </r>
    <phoneticPr fontId="3" type="noConversion"/>
  </si>
  <si>
    <r>
      <rPr>
        <sz val="10"/>
        <color theme="1"/>
        <rFont val="宋体"/>
        <family val="3"/>
        <charset val="134"/>
      </rPr>
      <t>地下第</t>
    </r>
    <r>
      <rPr>
        <sz val="10"/>
        <color theme="1"/>
        <rFont val="Arial"/>
        <family val="2"/>
      </rPr>
      <t>3</t>
    </r>
    <r>
      <rPr>
        <sz val="10"/>
        <color theme="1"/>
        <rFont val="宋体"/>
        <family val="3"/>
        <charset val="134"/>
      </rPr>
      <t>层及以下商业</t>
    </r>
    <phoneticPr fontId="3" type="noConversion"/>
  </si>
  <si>
    <t>楼面熟地价=适用的基准地价×用途修正系数×期日修正系数×年期修正系数×（容积率修正系数或楼层修正系数）×因素修正系数</t>
    <phoneticPr fontId="3" type="noConversion"/>
  </si>
  <si>
    <t>楼面熟地价=适用的基准地价×用途修正系数×期日修正系数×年期修正系数×因素修正系数×相应用途地下空间修正系数</t>
    <phoneticPr fontId="76" type="noConversion"/>
  </si>
  <si>
    <t>公共服务</t>
    <phoneticPr fontId="76" type="noConversion"/>
  </si>
  <si>
    <t>不低于</t>
    <phoneticPr fontId="3" type="noConversion"/>
  </si>
  <si>
    <t>不高于</t>
    <phoneticPr fontId="3" type="noConversion"/>
  </si>
  <si>
    <t>lpr</t>
    <phoneticPr fontId="3" type="noConversion"/>
  </si>
  <si>
    <t>加浮动点数</t>
    <phoneticPr fontId="3" type="noConversion"/>
  </si>
  <si>
    <r>
      <rPr>
        <sz val="10"/>
        <rFont val="宋体"/>
        <family val="3"/>
        <charset val="134"/>
      </rPr>
      <t>商业</t>
    </r>
    <r>
      <rPr>
        <sz val="10"/>
        <rFont val="Arial"/>
        <family val="2"/>
      </rPr>
      <t>/</t>
    </r>
    <r>
      <rPr>
        <sz val="10"/>
        <rFont val="宋体"/>
        <family val="3"/>
        <charset val="134"/>
      </rPr>
      <t>办公</t>
    </r>
    <r>
      <rPr>
        <sz val="10"/>
        <rFont val="Arial"/>
        <family val="2"/>
      </rPr>
      <t>/</t>
    </r>
    <r>
      <rPr>
        <sz val="10"/>
        <rFont val="宋体"/>
        <family val="3"/>
        <charset val="134"/>
      </rPr>
      <t>居住</t>
    </r>
    <r>
      <rPr>
        <sz val="10"/>
        <rFont val="Arial"/>
        <family val="2"/>
      </rPr>
      <t>/</t>
    </r>
    <r>
      <rPr>
        <sz val="10"/>
        <rFont val="宋体"/>
        <family val="3"/>
        <charset val="134"/>
      </rPr>
      <t>公共服务</t>
    </r>
    <phoneticPr fontId="3" type="noConversion"/>
  </si>
  <si>
    <r>
      <t>6</t>
    </r>
    <r>
      <rPr>
        <sz val="10"/>
        <color theme="1"/>
        <rFont val="宋体"/>
        <family val="3"/>
        <charset val="134"/>
      </rPr>
      <t>层及以上</t>
    </r>
    <phoneticPr fontId="3" type="noConversion"/>
  </si>
  <si>
    <t>城市规划及区域土地利用方向</t>
    <phoneticPr fontId="3" type="noConversion"/>
  </si>
  <si>
    <t>城市规划及区域土地利用方向</t>
    <phoneticPr fontId="3" type="noConversion"/>
  </si>
  <si>
    <r>
      <rPr>
        <sz val="10"/>
        <color theme="1"/>
        <rFont val="宋体"/>
        <family val="3"/>
        <charset val="134"/>
      </rPr>
      <t>影响因素</t>
    </r>
    <phoneticPr fontId="3" type="noConversion"/>
  </si>
  <si>
    <t>物业聚集程度</t>
    <phoneticPr fontId="3" type="noConversion"/>
  </si>
  <si>
    <r>
      <rPr>
        <sz val="10"/>
        <color theme="1"/>
        <rFont val="宋体"/>
        <family val="3"/>
        <charset val="134"/>
      </rPr>
      <t>交通便捷度</t>
    </r>
    <phoneticPr fontId="3" type="noConversion"/>
  </si>
  <si>
    <r>
      <rPr>
        <sz val="10"/>
        <color theme="1"/>
        <rFont val="宋体"/>
        <family val="3"/>
        <charset val="134"/>
      </rPr>
      <t>临街宽度和深度</t>
    </r>
    <phoneticPr fontId="3" type="noConversion"/>
  </si>
  <si>
    <r>
      <rPr>
        <sz val="10"/>
        <color theme="1"/>
        <rFont val="宋体"/>
        <family val="3"/>
        <charset val="134"/>
      </rPr>
      <t>临街道路状况</t>
    </r>
    <phoneticPr fontId="3" type="noConversion"/>
  </si>
  <si>
    <r>
      <rPr>
        <sz val="10"/>
        <color theme="1"/>
        <rFont val="宋体"/>
        <family val="3"/>
        <charset val="134"/>
      </rPr>
      <t>宗地形状及可利用程度</t>
    </r>
    <phoneticPr fontId="3" type="noConversion"/>
  </si>
  <si>
    <r>
      <rPr>
        <sz val="10"/>
        <color theme="1"/>
        <rFont val="宋体"/>
        <family val="3"/>
        <charset val="134"/>
      </rPr>
      <t>公共服务设施状况</t>
    </r>
    <phoneticPr fontId="3" type="noConversion"/>
  </si>
  <si>
    <r>
      <rPr>
        <sz val="10"/>
        <color theme="1"/>
        <rFont val="宋体"/>
        <family val="3"/>
        <charset val="134"/>
      </rPr>
      <t>基础设施完备状况</t>
    </r>
    <phoneticPr fontId="3" type="noConversion"/>
  </si>
  <si>
    <r>
      <rPr>
        <sz val="10"/>
        <color theme="1"/>
        <rFont val="宋体"/>
        <family val="3"/>
        <charset val="134"/>
      </rPr>
      <t>自然和人文环境状况</t>
    </r>
    <phoneticPr fontId="3" type="noConversion"/>
  </si>
  <si>
    <r>
      <rPr>
        <sz val="10"/>
        <color theme="1"/>
        <rFont val="宋体"/>
        <family val="3"/>
        <charset val="134"/>
      </rPr>
      <t>等级</t>
    </r>
    <phoneticPr fontId="3" type="noConversion"/>
  </si>
  <si>
    <r>
      <rPr>
        <sz val="10"/>
        <color indexed="8"/>
        <rFont val="宋体"/>
        <family val="3"/>
        <charset val="134"/>
      </rPr>
      <t>修正幅度</t>
    </r>
    <phoneticPr fontId="3" type="noConversion"/>
  </si>
  <si>
    <r>
      <rPr>
        <sz val="10"/>
        <rFont val="宋体"/>
        <family val="3"/>
        <charset val="134"/>
      </rPr>
      <t>合计</t>
    </r>
    <phoneticPr fontId="3" type="noConversion"/>
  </si>
  <si>
    <r>
      <rPr>
        <sz val="10"/>
        <color rgb="FFFF0000"/>
        <rFont val="宋体"/>
        <family val="3"/>
        <charset val="134"/>
      </rPr>
      <t>幅度控制</t>
    </r>
    <r>
      <rPr>
        <sz val="10"/>
        <color rgb="FFFF0000"/>
        <rFont val="Arial"/>
        <family val="2"/>
      </rPr>
      <t>(±)</t>
    </r>
    <phoneticPr fontId="3" type="noConversion"/>
  </si>
  <si>
    <r>
      <rPr>
        <sz val="10"/>
        <color indexed="8"/>
        <rFont val="宋体"/>
        <family val="3"/>
        <charset val="134"/>
      </rPr>
      <t>修正系数</t>
    </r>
    <phoneticPr fontId="3" type="noConversion"/>
  </si>
  <si>
    <r>
      <rPr>
        <sz val="10"/>
        <color theme="9" tint="-0.249977111117893"/>
        <rFont val="宋体"/>
        <family val="3"/>
        <charset val="134"/>
      </rPr>
      <t>宽度</t>
    </r>
    <r>
      <rPr>
        <sz val="10"/>
        <color theme="9" tint="-0.249977111117893"/>
        <rFont val="Arial"/>
        <family val="2"/>
      </rPr>
      <t>XX</t>
    </r>
    <r>
      <rPr>
        <sz val="10"/>
        <color theme="9" tint="-0.249977111117893"/>
        <rFont val="宋体"/>
        <family val="3"/>
        <charset val="134"/>
      </rPr>
      <t>米，深度</t>
    </r>
    <r>
      <rPr>
        <sz val="10"/>
        <color theme="9" tint="-0.249977111117893"/>
        <rFont val="Arial"/>
        <family val="2"/>
      </rPr>
      <t>XX</t>
    </r>
    <r>
      <rPr>
        <sz val="10"/>
        <color theme="9" tint="-0.249977111117893"/>
        <rFont val="宋体"/>
        <family val="3"/>
        <charset val="134"/>
      </rPr>
      <t>米</t>
    </r>
    <r>
      <rPr>
        <sz val="10"/>
        <color theme="9" tint="-0.249977111117893"/>
        <rFont val="Arial"/>
        <family val="2"/>
      </rPr>
      <t>,</t>
    </r>
    <r>
      <rPr>
        <sz val="10"/>
        <color theme="9" tint="-0.249977111117893"/>
        <rFont val="宋体"/>
        <family val="3"/>
        <charset val="134"/>
      </rPr>
      <t>临街宽度及深度比例适宜程度？对土地利用的影响？</t>
    </r>
    <phoneticPr fontId="3" type="noConversion"/>
  </si>
  <si>
    <r>
      <rPr>
        <sz val="10"/>
        <color theme="9" tint="-0.249977111117893"/>
        <rFont val="宋体"/>
        <family val="3"/>
        <charset val="134"/>
      </rPr>
      <t>宗地形状？，但对宗地利用影响？</t>
    </r>
    <phoneticPr fontId="3" type="noConversion"/>
  </si>
  <si>
    <r>
      <rPr>
        <sz val="10"/>
        <color rgb="FFFF0000"/>
        <rFont val="宋体"/>
        <family val="3"/>
        <charset val="134"/>
      </rPr>
      <t>各因素幅度控制</t>
    </r>
    <r>
      <rPr>
        <sz val="10"/>
        <color rgb="FFFF0000"/>
        <rFont val="Arial"/>
        <family val="2"/>
      </rPr>
      <t>(±)</t>
    </r>
    <phoneticPr fontId="3" type="noConversion"/>
  </si>
  <si>
    <r>
      <rPr>
        <sz val="10"/>
        <color indexed="8"/>
        <rFont val="宋体"/>
        <family val="3"/>
        <charset val="134"/>
      </rPr>
      <t>权重</t>
    </r>
    <phoneticPr fontId="3" type="noConversion"/>
  </si>
  <si>
    <r>
      <rPr>
        <sz val="11"/>
        <color indexed="8"/>
        <rFont val="宋体"/>
        <family val="3"/>
        <charset val="134"/>
      </rPr>
      <t>好</t>
    </r>
    <phoneticPr fontId="3" type="noConversion"/>
  </si>
  <si>
    <r>
      <rPr>
        <sz val="11"/>
        <color indexed="8"/>
        <rFont val="宋体"/>
        <family val="3"/>
        <charset val="134"/>
      </rPr>
      <t>较好</t>
    </r>
    <phoneticPr fontId="3" type="noConversion"/>
  </si>
  <si>
    <r>
      <rPr>
        <sz val="11"/>
        <color indexed="8"/>
        <rFont val="宋体"/>
        <family val="3"/>
        <charset val="134"/>
      </rPr>
      <t>一般</t>
    </r>
    <phoneticPr fontId="3" type="noConversion"/>
  </si>
  <si>
    <r>
      <rPr>
        <sz val="11"/>
        <color indexed="8"/>
        <rFont val="宋体"/>
        <family val="3"/>
        <charset val="134"/>
      </rPr>
      <t>较差</t>
    </r>
    <phoneticPr fontId="3" type="noConversion"/>
  </si>
  <si>
    <r>
      <rPr>
        <sz val="11"/>
        <color indexed="8"/>
        <rFont val="宋体"/>
        <family val="3"/>
        <charset val="134"/>
      </rPr>
      <t>差</t>
    </r>
    <phoneticPr fontId="3" type="noConversion"/>
  </si>
  <si>
    <r>
      <rPr>
        <b/>
        <sz val="10"/>
        <color theme="1"/>
        <rFont val="宋体"/>
        <family val="3"/>
        <charset val="134"/>
      </rPr>
      <t>北京市基准地价商业用途楼层修正系数表</t>
    </r>
    <phoneticPr fontId="3" type="noConversion"/>
  </si>
  <si>
    <r>
      <rPr>
        <sz val="10"/>
        <color theme="1"/>
        <rFont val="宋体"/>
        <family val="3"/>
        <charset val="134"/>
      </rPr>
      <t>用途</t>
    </r>
    <phoneticPr fontId="3" type="noConversion"/>
  </si>
  <si>
    <r>
      <rPr>
        <sz val="10"/>
        <color theme="1"/>
        <rFont val="宋体"/>
        <family val="3"/>
        <charset val="134"/>
      </rPr>
      <t>所在楼层</t>
    </r>
    <phoneticPr fontId="3" type="noConversion"/>
  </si>
  <si>
    <r>
      <rPr>
        <sz val="10"/>
        <color theme="1"/>
        <rFont val="宋体"/>
        <family val="3"/>
        <charset val="134"/>
      </rPr>
      <t>楼层修正系数</t>
    </r>
    <phoneticPr fontId="3" type="noConversion"/>
  </si>
  <si>
    <r>
      <rPr>
        <sz val="10"/>
        <color theme="1"/>
        <rFont val="宋体"/>
        <family val="3"/>
        <charset val="134"/>
      </rPr>
      <t>一级</t>
    </r>
    <phoneticPr fontId="3" type="noConversion"/>
  </si>
  <si>
    <r>
      <rPr>
        <sz val="10"/>
        <color theme="1"/>
        <rFont val="宋体"/>
        <family val="3"/>
        <charset val="134"/>
      </rPr>
      <t>二级</t>
    </r>
    <phoneticPr fontId="3" type="noConversion"/>
  </si>
  <si>
    <r>
      <rPr>
        <sz val="10"/>
        <color theme="1"/>
        <rFont val="宋体"/>
        <family val="3"/>
        <charset val="134"/>
      </rPr>
      <t>三级</t>
    </r>
    <phoneticPr fontId="3" type="noConversion"/>
  </si>
  <si>
    <r>
      <rPr>
        <sz val="10"/>
        <color theme="1"/>
        <rFont val="宋体"/>
        <family val="3"/>
        <charset val="134"/>
      </rPr>
      <t>四级</t>
    </r>
    <phoneticPr fontId="3" type="noConversion"/>
  </si>
  <si>
    <r>
      <rPr>
        <sz val="10"/>
        <color theme="1"/>
        <rFont val="宋体"/>
        <family val="3"/>
        <charset val="134"/>
      </rPr>
      <t>五级</t>
    </r>
    <phoneticPr fontId="3" type="noConversion"/>
  </si>
  <si>
    <r>
      <rPr>
        <sz val="10"/>
        <color theme="1"/>
        <rFont val="宋体"/>
        <family val="3"/>
        <charset val="134"/>
      </rPr>
      <t>六级</t>
    </r>
    <phoneticPr fontId="3" type="noConversion"/>
  </si>
  <si>
    <r>
      <rPr>
        <sz val="10"/>
        <color theme="1"/>
        <rFont val="宋体"/>
        <family val="3"/>
        <charset val="134"/>
      </rPr>
      <t>七级</t>
    </r>
    <phoneticPr fontId="3" type="noConversion"/>
  </si>
  <si>
    <r>
      <rPr>
        <sz val="10"/>
        <color theme="1"/>
        <rFont val="宋体"/>
        <family val="3"/>
        <charset val="134"/>
      </rPr>
      <t>八级</t>
    </r>
    <phoneticPr fontId="3" type="noConversion"/>
  </si>
  <si>
    <r>
      <rPr>
        <sz val="10"/>
        <color theme="1"/>
        <rFont val="宋体"/>
        <family val="3"/>
        <charset val="134"/>
      </rPr>
      <t>九级</t>
    </r>
    <phoneticPr fontId="3" type="noConversion"/>
  </si>
  <si>
    <r>
      <rPr>
        <sz val="10"/>
        <color theme="1"/>
        <rFont val="宋体"/>
        <family val="3"/>
        <charset val="134"/>
      </rPr>
      <t>十级</t>
    </r>
    <phoneticPr fontId="3" type="noConversion"/>
  </si>
  <si>
    <r>
      <rPr>
        <sz val="10"/>
        <color theme="1"/>
        <rFont val="宋体"/>
        <family val="3"/>
        <charset val="134"/>
      </rPr>
      <t>十一级</t>
    </r>
    <phoneticPr fontId="3" type="noConversion"/>
  </si>
  <si>
    <r>
      <rPr>
        <sz val="10"/>
        <color theme="1"/>
        <rFont val="宋体"/>
        <family val="3"/>
        <charset val="134"/>
      </rPr>
      <t>十二级</t>
    </r>
    <phoneticPr fontId="3" type="noConversion"/>
  </si>
  <si>
    <r>
      <rPr>
        <sz val="10"/>
        <color theme="1"/>
        <rFont val="宋体"/>
        <family val="3"/>
        <charset val="134"/>
      </rPr>
      <t>商业</t>
    </r>
    <r>
      <rPr>
        <sz val="10"/>
        <color theme="1"/>
        <rFont val="Arial"/>
        <family val="2"/>
      </rPr>
      <t>R</t>
    </r>
    <r>
      <rPr>
        <sz val="10"/>
        <color indexed="8"/>
        <rFont val="宋体"/>
        <family val="3"/>
        <charset val="134"/>
      </rPr>
      <t>≥</t>
    </r>
    <r>
      <rPr>
        <sz val="10"/>
        <color indexed="8"/>
        <rFont val="Arial"/>
        <family val="2"/>
      </rPr>
      <t>1</t>
    </r>
    <phoneticPr fontId="3" type="noConversion"/>
  </si>
  <si>
    <r>
      <rPr>
        <sz val="10"/>
        <color theme="1"/>
        <rFont val="宋体"/>
        <family val="3"/>
        <charset val="134"/>
      </rPr>
      <t>说明：</t>
    </r>
    <r>
      <rPr>
        <sz val="10"/>
        <color theme="1"/>
        <rFont val="Arial"/>
        <family val="2"/>
      </rPr>
      <t>R</t>
    </r>
    <r>
      <rPr>
        <sz val="10"/>
        <color theme="1"/>
        <rFont val="宋体"/>
        <family val="3"/>
        <charset val="134"/>
      </rPr>
      <t>为宗地地上容积率</t>
    </r>
    <phoneticPr fontId="3" type="noConversion"/>
  </si>
  <si>
    <r>
      <rPr>
        <sz val="10"/>
        <rFont val="宋体"/>
        <family val="3"/>
        <charset val="134"/>
      </rPr>
      <t>宗地容积率</t>
    </r>
    <r>
      <rPr>
        <sz val="10"/>
        <rFont val="Arial"/>
        <family val="2"/>
      </rPr>
      <t>R</t>
    </r>
    <phoneticPr fontId="3" type="noConversion"/>
  </si>
  <si>
    <r>
      <rPr>
        <sz val="10"/>
        <rFont val="宋体"/>
        <family val="3"/>
        <charset val="134"/>
      </rPr>
      <t>修正系数</t>
    </r>
    <phoneticPr fontId="3" type="noConversion"/>
  </si>
  <si>
    <r>
      <rPr>
        <sz val="10"/>
        <rFont val="宋体"/>
        <family val="3"/>
        <charset val="134"/>
      </rPr>
      <t>用途</t>
    </r>
    <phoneticPr fontId="3" type="noConversion"/>
  </si>
  <si>
    <r>
      <rPr>
        <sz val="10"/>
        <rFont val="宋体"/>
        <family val="3"/>
        <charset val="134"/>
      </rPr>
      <t>土地级别</t>
    </r>
    <phoneticPr fontId="3" type="noConversion"/>
  </si>
  <si>
    <r>
      <rPr>
        <sz val="10"/>
        <rFont val="宋体"/>
        <family val="3"/>
        <charset val="134"/>
      </rPr>
      <t>一级</t>
    </r>
    <phoneticPr fontId="3" type="noConversion"/>
  </si>
  <si>
    <r>
      <rPr>
        <sz val="10"/>
        <rFont val="宋体"/>
        <family val="3"/>
        <charset val="134"/>
      </rPr>
      <t>二级</t>
    </r>
    <phoneticPr fontId="3" type="noConversion"/>
  </si>
  <si>
    <r>
      <rPr>
        <sz val="10"/>
        <rFont val="宋体"/>
        <family val="3"/>
        <charset val="134"/>
      </rPr>
      <t>三级</t>
    </r>
    <phoneticPr fontId="3" type="noConversion"/>
  </si>
  <si>
    <r>
      <rPr>
        <sz val="10"/>
        <rFont val="宋体"/>
        <family val="3"/>
        <charset val="134"/>
      </rPr>
      <t>四级</t>
    </r>
    <phoneticPr fontId="3" type="noConversion"/>
  </si>
  <si>
    <r>
      <rPr>
        <sz val="10"/>
        <rFont val="宋体"/>
        <family val="3"/>
        <charset val="134"/>
      </rPr>
      <t>五级</t>
    </r>
    <phoneticPr fontId="3" type="noConversion"/>
  </si>
  <si>
    <r>
      <rPr>
        <sz val="10"/>
        <rFont val="宋体"/>
        <family val="3"/>
        <charset val="134"/>
      </rPr>
      <t>六级</t>
    </r>
    <phoneticPr fontId="3" type="noConversion"/>
  </si>
  <si>
    <r>
      <rPr>
        <sz val="10"/>
        <rFont val="宋体"/>
        <family val="3"/>
        <charset val="134"/>
      </rPr>
      <t>七级</t>
    </r>
    <phoneticPr fontId="3" type="noConversion"/>
  </si>
  <si>
    <r>
      <rPr>
        <sz val="10"/>
        <rFont val="宋体"/>
        <family val="3"/>
        <charset val="134"/>
      </rPr>
      <t>八级</t>
    </r>
    <phoneticPr fontId="3" type="noConversion"/>
  </si>
  <si>
    <r>
      <rPr>
        <sz val="10"/>
        <rFont val="宋体"/>
        <family val="3"/>
        <charset val="134"/>
      </rPr>
      <t>九级</t>
    </r>
    <phoneticPr fontId="3" type="noConversion"/>
  </si>
  <si>
    <r>
      <rPr>
        <sz val="10"/>
        <rFont val="宋体"/>
        <family val="3"/>
        <charset val="134"/>
      </rPr>
      <t>十级</t>
    </r>
    <phoneticPr fontId="3" type="noConversion"/>
  </si>
  <si>
    <r>
      <rPr>
        <sz val="10"/>
        <rFont val="宋体"/>
        <family val="3"/>
        <charset val="134"/>
      </rPr>
      <t>十一级</t>
    </r>
    <phoneticPr fontId="3" type="noConversion"/>
  </si>
  <si>
    <r>
      <rPr>
        <sz val="10"/>
        <rFont val="宋体"/>
        <family val="3"/>
        <charset val="134"/>
      </rPr>
      <t>十二级</t>
    </r>
    <phoneticPr fontId="3" type="noConversion"/>
  </si>
  <si>
    <r>
      <rPr>
        <sz val="10"/>
        <rFont val="宋体"/>
        <family val="3"/>
        <charset val="134"/>
      </rPr>
      <t>商业</t>
    </r>
    <phoneticPr fontId="3" type="noConversion"/>
  </si>
  <si>
    <r>
      <rPr>
        <sz val="10"/>
        <rFont val="宋体"/>
        <family val="3"/>
        <charset val="134"/>
      </rPr>
      <t>办公</t>
    </r>
    <phoneticPr fontId="3" type="noConversion"/>
  </si>
  <si>
    <r>
      <rPr>
        <sz val="10"/>
        <rFont val="宋体"/>
        <family val="3"/>
        <charset val="134"/>
      </rPr>
      <t>住宅</t>
    </r>
    <phoneticPr fontId="3" type="noConversion"/>
  </si>
  <si>
    <r>
      <rPr>
        <sz val="10"/>
        <rFont val="宋体"/>
        <family val="3"/>
        <charset val="134"/>
      </rPr>
      <t>工业</t>
    </r>
    <phoneticPr fontId="3" type="noConversion"/>
  </si>
  <si>
    <t>出让</t>
  </si>
  <si>
    <t>车库</t>
  </si>
  <si>
    <t>仓储</t>
  </si>
  <si>
    <t>容积率修正</t>
  </si>
  <si>
    <t>按租金收入计税</t>
  </si>
  <si>
    <t>65-70（含）</t>
  </si>
  <si>
    <t>60-65（含）</t>
  </si>
  <si>
    <t>55-60（含）</t>
  </si>
  <si>
    <t>50-55（含）</t>
  </si>
  <si>
    <t>45-50（含）</t>
  </si>
  <si>
    <t>40-45（含）</t>
  </si>
  <si>
    <t>35-40（含）</t>
  </si>
  <si>
    <t>30-35（含）</t>
  </si>
  <si>
    <t>25-30（含）</t>
  </si>
  <si>
    <t>20-25（含）</t>
  </si>
  <si>
    <t>15-20（含）</t>
  </si>
  <si>
    <t>10-15（含）</t>
  </si>
  <si>
    <t>5-10（含）</t>
  </si>
  <si>
    <t>0-5（含）</t>
  </si>
  <si>
    <t>估价范围判定</t>
    <phoneticPr fontId="16" type="noConversion"/>
  </si>
  <si>
    <t>承租人权益价值（单套）</t>
    <phoneticPr fontId="3" type="noConversion"/>
  </si>
  <si>
    <t>万元</t>
    <phoneticPr fontId="136" type="noConversion"/>
  </si>
  <si>
    <t>元/平方米</t>
  </si>
  <si>
    <t>2022-2</t>
    <phoneticPr fontId="3" type="noConversion"/>
  </si>
  <si>
    <t>需转化为价格</t>
    <phoneticPr fontId="133" type="noConversion"/>
  </si>
  <si>
    <t>租金</t>
    <phoneticPr fontId="133" type="noConversion"/>
  </si>
  <si>
    <t>直接资本化率</t>
    <phoneticPr fontId="133" type="noConversion"/>
  </si>
  <si>
    <t>需考虑建筑物残值</t>
  </si>
  <si>
    <t>2022-3</t>
    <phoneticPr fontId="133" type="noConversion"/>
  </si>
  <si>
    <t>2022-2</t>
    <phoneticPr fontId="3" type="noConversion"/>
  </si>
  <si>
    <t>2022-1</t>
    <phoneticPr fontId="3" type="noConversion"/>
  </si>
  <si>
    <t>2022-4</t>
    <phoneticPr fontId="3" type="noConversion"/>
  </si>
  <si>
    <t>2022-3</t>
    <phoneticPr fontId="3" type="noConversion"/>
  </si>
  <si>
    <t>2022-3</t>
    <phoneticPr fontId="3" type="noConversion"/>
  </si>
  <si>
    <t>中心城区：城六区，对应北京市地价动态监测结果的国家级样点和市级样点中办公（市区）</t>
    <phoneticPr fontId="141" type="noConversion"/>
  </si>
  <si>
    <r>
      <t>非中心城区：除城六区外其余十一区，对应北京市地价动态监测结果的市级样点，即</t>
    </r>
    <r>
      <rPr>
        <sz val="10"/>
        <rFont val="楷体_GB2312"/>
        <family val="3"/>
        <charset val="134"/>
      </rPr>
      <t>规划新城</t>
    </r>
    <phoneticPr fontId="141" type="noConversion"/>
  </si>
  <si>
    <t>2022-4</t>
    <phoneticPr fontId="3" type="noConversion"/>
  </si>
  <si>
    <t>2023-1</t>
    <phoneticPr fontId="3" type="noConversion"/>
  </si>
  <si>
    <t>2023-2</t>
    <phoneticPr fontId="3" type="noConversion"/>
  </si>
  <si>
    <t>公示增长率-国家级样点（中心城区）</t>
    <phoneticPr fontId="141" type="noConversion"/>
  </si>
  <si>
    <t>公示增长率-市级样点（非中心城区）</t>
    <phoneticPr fontId="141" type="noConversion"/>
  </si>
  <si>
    <t>2023-2</t>
    <phoneticPr fontId="3" type="noConversion"/>
  </si>
  <si>
    <t>2024-2</t>
    <phoneticPr fontId="3" type="noConversion"/>
  </si>
  <si>
    <t>2024-1</t>
    <phoneticPr fontId="3" type="noConversion"/>
  </si>
  <si>
    <t>抵押</t>
  </si>
  <si>
    <t>2023-4</t>
    <phoneticPr fontId="3" type="noConversion"/>
  </si>
  <si>
    <t>2023-3</t>
    <phoneticPr fontId="3" type="noConversion"/>
  </si>
  <si>
    <t>2023-4</t>
    <phoneticPr fontId="3" type="noConversion"/>
  </si>
  <si>
    <t>吴薇</t>
  </si>
  <si>
    <t>郑燚</t>
  </si>
  <si>
    <t>兴业银行</t>
    <phoneticPr fontId="6" type="noConversion"/>
  </si>
  <si>
    <t>兴业银行</t>
    <phoneticPr fontId="6" type="noConversion"/>
  </si>
  <si>
    <t>北京中关村生命科学园发展有限责任公司</t>
    <phoneticPr fontId="6" type="noConversion"/>
  </si>
  <si>
    <t>房地产抵押价值</t>
  </si>
  <si>
    <t>北京市</t>
  </si>
  <si>
    <t>企业</t>
  </si>
  <si>
    <t>是</t>
  </si>
  <si>
    <t>建筑与土地面积依据相同</t>
  </si>
  <si>
    <t>复印件</t>
  </si>
  <si>
    <t>《不动产权证书》</t>
  </si>
  <si>
    <t>办公项目</t>
  </si>
  <si>
    <t>无</t>
  </si>
  <si>
    <t>否</t>
  </si>
  <si>
    <t>现房</t>
  </si>
  <si>
    <t>通路</t>
  </si>
  <si>
    <t>通电</t>
  </si>
  <si>
    <t>通讯</t>
  </si>
  <si>
    <t>通上水</t>
  </si>
  <si>
    <t>通下水</t>
  </si>
  <si>
    <t>燃气</t>
  </si>
  <si>
    <t>平整</t>
  </si>
  <si>
    <t>Ⅵ-昌1</t>
  </si>
  <si>
    <r>
      <t>昌平区生命园路</t>
    </r>
    <r>
      <rPr>
        <sz val="10"/>
        <color indexed="8"/>
        <rFont val="Arial"/>
        <family val="2"/>
      </rPr>
      <t>20</t>
    </r>
    <r>
      <rPr>
        <sz val="10"/>
        <color indexed="8"/>
        <rFont val="宋体"/>
        <family val="3"/>
        <charset val="134"/>
      </rPr>
      <t>号院</t>
    </r>
    <r>
      <rPr>
        <sz val="10"/>
        <color indexed="8"/>
        <rFont val="Arial"/>
        <family val="2"/>
      </rPr>
      <t>1</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</si>
  <si>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2</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</si>
  <si>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3</t>
    </r>
    <r>
      <rPr>
        <sz val="10"/>
        <color indexed="8"/>
        <rFont val="宋体"/>
        <family val="3"/>
        <charset val="134"/>
      </rPr>
      <t>号楼</t>
    </r>
    <r>
      <rPr>
        <sz val="10"/>
        <color indexed="8"/>
        <rFont val="Arial"/>
        <family val="2"/>
      </rPr>
      <t>-2</t>
    </r>
    <r>
      <rPr>
        <sz val="10"/>
        <color indexed="8"/>
        <rFont val="宋体"/>
        <family val="3"/>
        <charset val="134"/>
      </rPr>
      <t>至</t>
    </r>
    <r>
      <rPr>
        <sz val="10"/>
        <color indexed="8"/>
        <rFont val="Arial"/>
        <family val="2"/>
      </rPr>
      <t>5</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</si>
  <si>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4</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</si>
  <si>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0"/>
        <color indexed="8"/>
        <rFont val="Arial"/>
        <family val="2"/>
      </rPr>
      <t>20</t>
    </r>
    <r>
      <rPr>
        <sz val="10"/>
        <color indexed="8"/>
        <rFont val="宋体"/>
        <family val="3"/>
        <charset val="134"/>
      </rPr>
      <t>号院</t>
    </r>
    <r>
      <rPr>
        <sz val="10"/>
        <color indexed="8"/>
        <rFont val="Arial"/>
        <family val="2"/>
      </rPr>
      <t>5</t>
    </r>
    <r>
      <rPr>
        <sz val="10"/>
        <color indexed="8"/>
        <rFont val="宋体"/>
        <family val="3"/>
        <charset val="134"/>
      </rPr>
      <t>号楼</t>
    </r>
    <r>
      <rPr>
        <sz val="10"/>
        <color indexed="8"/>
        <rFont val="Arial"/>
        <family val="2"/>
      </rPr>
      <t>-1</t>
    </r>
    <r>
      <rPr>
        <sz val="10"/>
        <color indexed="8"/>
        <rFont val="宋体"/>
        <family val="3"/>
        <charset val="134"/>
      </rPr>
      <t>至</t>
    </r>
    <r>
      <rPr>
        <sz val="10"/>
        <color indexed="8"/>
        <rFont val="Arial"/>
        <family val="2"/>
      </rPr>
      <t>4</t>
    </r>
    <r>
      <rPr>
        <sz val="10"/>
        <color indexed="8"/>
        <rFont val="宋体"/>
        <family val="3"/>
        <charset val="134"/>
      </rPr>
      <t>层</t>
    </r>
    <r>
      <rPr>
        <sz val="10"/>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</si>
  <si>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6</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5</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</si>
  <si>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7</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4</t>
    </r>
    <r>
      <rPr>
        <sz val="11"/>
        <color indexed="8"/>
        <rFont val="宋体"/>
        <family val="3"/>
        <charset val="134"/>
      </rPr>
      <t>层</t>
    </r>
    <r>
      <rPr>
        <sz val="11"/>
        <color indexed="8"/>
        <rFont val="Arial"/>
        <family val="2"/>
      </rPr>
      <t>101</t>
    </r>
  </si>
  <si>
    <r>
      <t>昌平区生命园路</t>
    </r>
    <r>
      <rPr>
        <sz val="11"/>
        <color indexed="8"/>
        <rFont val="Arial"/>
        <family val="2"/>
      </rPr>
      <t>20</t>
    </r>
    <r>
      <rPr>
        <sz val="11"/>
        <color indexed="8"/>
        <rFont val="宋体"/>
        <family val="3"/>
        <charset val="134"/>
      </rPr>
      <t>号院</t>
    </r>
    <r>
      <rPr>
        <sz val="11"/>
        <color indexed="8"/>
        <rFont val="Arial"/>
        <family val="2"/>
      </rPr>
      <t>8</t>
    </r>
    <r>
      <rPr>
        <sz val="11"/>
        <color indexed="8"/>
        <rFont val="宋体"/>
        <family val="3"/>
        <charset val="134"/>
      </rPr>
      <t>号楼</t>
    </r>
    <r>
      <rPr>
        <sz val="11"/>
        <color indexed="8"/>
        <rFont val="Arial"/>
        <family val="2"/>
      </rPr>
      <t>-1</t>
    </r>
    <r>
      <rPr>
        <sz val="11"/>
        <color indexed="8"/>
        <rFont val="宋体"/>
        <family val="3"/>
        <charset val="134"/>
      </rPr>
      <t>至</t>
    </r>
    <r>
      <rPr>
        <sz val="11"/>
        <color indexed="8"/>
        <rFont val="Arial"/>
        <family val="2"/>
      </rPr>
      <t>1</t>
    </r>
    <r>
      <rPr>
        <sz val="11"/>
        <color indexed="8"/>
        <rFont val="宋体"/>
        <family val="3"/>
        <charset val="134"/>
      </rPr>
      <t>层</t>
    </r>
    <r>
      <rPr>
        <sz val="11"/>
        <color indexed="8"/>
        <rFont val="Arial"/>
        <family val="2"/>
      </rPr>
      <t>101</t>
    </r>
  </si>
  <si>
    <t>序号</t>
  </si>
  <si>
    <t>《不动产权证书》证号</t>
  </si>
  <si>
    <t>坐落</t>
  </si>
  <si>
    <t>楼栋</t>
  </si>
  <si>
    <t>房号及部位</t>
  </si>
  <si>
    <t>房屋总层数</t>
  </si>
  <si>
    <t>建筑面积</t>
  </si>
  <si>
    <t>规划用途</t>
  </si>
  <si>
    <t>现状使用用途</t>
  </si>
  <si>
    <r>
      <t>京（</t>
    </r>
    <r>
      <rPr>
        <sz val="9"/>
        <color theme="1"/>
        <rFont val="Arial"/>
        <family val="2"/>
      </rPr>
      <t>2019</t>
    </r>
    <r>
      <rPr>
        <sz val="9"/>
        <color theme="1"/>
        <rFont val="华文细黑"/>
        <family val="3"/>
        <charset val="134"/>
      </rPr>
      <t>）昌不动产权第</t>
    </r>
    <r>
      <rPr>
        <sz val="9"/>
        <color theme="1"/>
        <rFont val="Arial"/>
        <family val="2"/>
      </rPr>
      <t>0040930</t>
    </r>
    <r>
      <rPr>
        <sz val="9"/>
        <color theme="1"/>
        <rFont val="华文细黑"/>
        <family val="3"/>
        <charset val="134"/>
      </rPr>
      <t>号</t>
    </r>
  </si>
  <si>
    <r>
      <t>昌平区生命园路</t>
    </r>
    <r>
      <rPr>
        <sz val="9"/>
        <color theme="1"/>
        <rFont val="Arial"/>
        <family val="2"/>
      </rPr>
      <t>20</t>
    </r>
    <r>
      <rPr>
        <sz val="9"/>
        <color theme="1"/>
        <rFont val="华文细黑"/>
        <family val="3"/>
        <charset val="134"/>
      </rPr>
      <t>号院</t>
    </r>
  </si>
  <si>
    <r>
      <t>1</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</si>
  <si>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</si>
  <si>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研发楼</t>
    </r>
  </si>
  <si>
    <r>
      <t>京（</t>
    </r>
    <r>
      <rPr>
        <sz val="9"/>
        <color theme="1"/>
        <rFont val="Arial"/>
        <family val="2"/>
      </rPr>
      <t>2019</t>
    </r>
    <r>
      <rPr>
        <sz val="9"/>
        <color theme="1"/>
        <rFont val="华文细黑"/>
        <family val="3"/>
        <charset val="134"/>
      </rPr>
      <t>）昌不动产权第</t>
    </r>
    <r>
      <rPr>
        <sz val="9"/>
        <color theme="1"/>
        <rFont val="Arial"/>
        <family val="2"/>
      </rPr>
      <t>0040928</t>
    </r>
    <r>
      <rPr>
        <sz val="9"/>
        <color theme="1"/>
        <rFont val="华文细黑"/>
        <family val="3"/>
        <charset val="134"/>
      </rPr>
      <t>号</t>
    </r>
  </si>
  <si>
    <r>
      <t>2</t>
    </r>
    <r>
      <rPr>
        <sz val="9"/>
        <color theme="1"/>
        <rFont val="华文细黑"/>
        <family val="3"/>
        <charset val="134"/>
      </rPr>
      <t>号楼</t>
    </r>
  </si>
  <si>
    <r>
      <t>1</t>
    </r>
    <r>
      <rPr>
        <sz val="9"/>
        <color theme="1"/>
        <rFont val="华文细黑"/>
        <family val="3"/>
        <charset val="134"/>
      </rPr>
      <t>至</t>
    </r>
    <r>
      <rPr>
        <sz val="9"/>
        <color theme="1"/>
        <rFont val="Arial"/>
        <family val="2"/>
      </rPr>
      <t>4</t>
    </r>
    <r>
      <rPr>
        <sz val="9"/>
        <color theme="1"/>
        <rFont val="华文细黑"/>
        <family val="3"/>
        <charset val="134"/>
      </rPr>
      <t>层</t>
    </r>
    <r>
      <rPr>
        <sz val="9"/>
        <color theme="1"/>
        <rFont val="Arial"/>
        <family val="2"/>
      </rPr>
      <t>101</t>
    </r>
  </si>
  <si>
    <r>
      <t>京（</t>
    </r>
    <r>
      <rPr>
        <sz val="9"/>
        <color theme="1"/>
        <rFont val="Arial"/>
        <family val="2"/>
      </rPr>
      <t>2020</t>
    </r>
    <r>
      <rPr>
        <sz val="9"/>
        <color theme="1"/>
        <rFont val="华文细黑"/>
        <family val="3"/>
        <charset val="134"/>
      </rPr>
      <t>）昌不动产权第</t>
    </r>
    <r>
      <rPr>
        <sz val="9"/>
        <color theme="1"/>
        <rFont val="Arial"/>
        <family val="2"/>
      </rPr>
      <t>0016581</t>
    </r>
    <r>
      <rPr>
        <sz val="9"/>
        <color theme="1"/>
        <rFont val="华文细黑"/>
        <family val="3"/>
        <charset val="134"/>
      </rPr>
      <t>号</t>
    </r>
  </si>
  <si>
    <r>
      <t>3</t>
    </r>
    <r>
      <rPr>
        <sz val="9"/>
        <color theme="1"/>
        <rFont val="华文细黑"/>
        <family val="3"/>
        <charset val="134"/>
      </rPr>
      <t>号楼</t>
    </r>
  </si>
  <si>
    <r>
      <t>-2</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</si>
  <si>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研发中心</t>
    </r>
  </si>
  <si>
    <t>酒店</t>
  </si>
  <si>
    <r>
      <t>京（</t>
    </r>
    <r>
      <rPr>
        <sz val="9"/>
        <color theme="1"/>
        <rFont val="Arial"/>
        <family val="2"/>
      </rPr>
      <t>2019</t>
    </r>
    <r>
      <rPr>
        <sz val="9"/>
        <color theme="1"/>
        <rFont val="华文细黑"/>
        <family val="3"/>
        <charset val="134"/>
      </rPr>
      <t>）昌不动产权第</t>
    </r>
    <r>
      <rPr>
        <sz val="9"/>
        <color theme="1"/>
        <rFont val="Arial"/>
        <family val="2"/>
      </rPr>
      <t>0040927</t>
    </r>
    <r>
      <rPr>
        <sz val="9"/>
        <color theme="1"/>
        <rFont val="华文细黑"/>
        <family val="3"/>
        <charset val="134"/>
      </rPr>
      <t>号</t>
    </r>
  </si>
  <si>
    <r>
      <t>4</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</si>
  <si>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0043143</t>
    </r>
    <r>
      <rPr>
        <sz val="9"/>
        <color theme="1"/>
        <rFont val="华文细黑"/>
        <family val="3"/>
        <charset val="134"/>
      </rPr>
      <t>号</t>
    </r>
  </si>
  <si>
    <r>
      <t>5</t>
    </r>
    <r>
      <rPr>
        <sz val="9"/>
        <color theme="1"/>
        <rFont val="华文细黑"/>
        <family val="3"/>
        <charset val="134"/>
      </rPr>
      <t>号楼</t>
    </r>
  </si>
  <si>
    <r>
      <t>京（</t>
    </r>
    <r>
      <rPr>
        <sz val="9"/>
        <color theme="1"/>
        <rFont val="Arial"/>
        <family val="2"/>
      </rPr>
      <t>2019</t>
    </r>
    <r>
      <rPr>
        <sz val="9"/>
        <color theme="1"/>
        <rFont val="华文细黑"/>
        <family val="3"/>
        <charset val="134"/>
      </rPr>
      <t>）昌不动产权第</t>
    </r>
    <r>
      <rPr>
        <sz val="9"/>
        <color theme="1"/>
        <rFont val="Arial"/>
        <family val="2"/>
      </rPr>
      <t>0043144</t>
    </r>
    <r>
      <rPr>
        <sz val="9"/>
        <color theme="1"/>
        <rFont val="华文细黑"/>
        <family val="3"/>
        <charset val="134"/>
      </rPr>
      <t>号</t>
    </r>
  </si>
  <si>
    <r>
      <t>6</t>
    </r>
    <r>
      <rPr>
        <sz val="9"/>
        <color theme="1"/>
        <rFont val="华文细黑"/>
        <family val="3"/>
        <charset val="134"/>
      </rPr>
      <t>号楼</t>
    </r>
  </si>
  <si>
    <r>
      <t>-1</t>
    </r>
    <r>
      <rPr>
        <sz val="9"/>
        <color theme="1"/>
        <rFont val="华文细黑"/>
        <family val="3"/>
        <charset val="134"/>
      </rPr>
      <t>至</t>
    </r>
    <r>
      <rPr>
        <sz val="9"/>
        <color theme="1"/>
        <rFont val="Arial"/>
        <family val="2"/>
      </rPr>
      <t>5</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</si>
  <si>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办公研发楼</t>
    </r>
  </si>
  <si>
    <r>
      <t>京（</t>
    </r>
    <r>
      <rPr>
        <sz val="9"/>
        <color theme="1"/>
        <rFont val="Arial"/>
        <family val="2"/>
      </rPr>
      <t>2019</t>
    </r>
    <r>
      <rPr>
        <sz val="9"/>
        <color theme="1"/>
        <rFont val="华文细黑"/>
        <family val="3"/>
        <charset val="134"/>
      </rPr>
      <t>）昌不动产权第</t>
    </r>
    <r>
      <rPr>
        <sz val="9"/>
        <color theme="1"/>
        <rFont val="Arial"/>
        <family val="2"/>
      </rPr>
      <t>0040926</t>
    </r>
    <r>
      <rPr>
        <sz val="9"/>
        <color theme="1"/>
        <rFont val="华文细黑"/>
        <family val="3"/>
        <charset val="134"/>
      </rPr>
      <t>号</t>
    </r>
  </si>
  <si>
    <r>
      <t>7</t>
    </r>
    <r>
      <rPr>
        <sz val="9"/>
        <color theme="1"/>
        <rFont val="华文细黑"/>
        <family val="3"/>
        <charset val="134"/>
      </rPr>
      <t>号楼</t>
    </r>
  </si>
  <si>
    <r>
      <t>京（</t>
    </r>
    <r>
      <rPr>
        <sz val="9"/>
        <color theme="1"/>
        <rFont val="Arial"/>
        <family val="2"/>
      </rPr>
      <t>2020</t>
    </r>
    <r>
      <rPr>
        <sz val="9"/>
        <color theme="1"/>
        <rFont val="华文细黑"/>
        <family val="3"/>
        <charset val="134"/>
      </rPr>
      <t>）昌不动产权第</t>
    </r>
    <r>
      <rPr>
        <sz val="9"/>
        <color theme="1"/>
        <rFont val="Arial"/>
        <family val="2"/>
      </rPr>
      <t>0002546</t>
    </r>
    <r>
      <rPr>
        <sz val="9"/>
        <color theme="1"/>
        <rFont val="华文细黑"/>
        <family val="3"/>
        <charset val="134"/>
      </rPr>
      <t>号</t>
    </r>
  </si>
  <si>
    <r>
      <t>8</t>
    </r>
    <r>
      <rPr>
        <sz val="9"/>
        <color theme="1"/>
        <rFont val="华文细黑"/>
        <family val="3"/>
        <charset val="134"/>
      </rPr>
      <t>号楼</t>
    </r>
  </si>
  <si>
    <r>
      <t>-1</t>
    </r>
    <r>
      <rPr>
        <sz val="9"/>
        <color theme="1"/>
        <rFont val="华文细黑"/>
        <family val="3"/>
        <charset val="134"/>
      </rPr>
      <t>至</t>
    </r>
    <r>
      <rPr>
        <sz val="9"/>
        <color theme="1"/>
        <rFont val="Arial"/>
        <family val="2"/>
      </rPr>
      <t>1</t>
    </r>
    <r>
      <rPr>
        <sz val="9"/>
        <color theme="1"/>
        <rFont val="华文细黑"/>
        <family val="3"/>
        <charset val="134"/>
      </rPr>
      <t>层</t>
    </r>
    <r>
      <rPr>
        <sz val="9"/>
        <color theme="1"/>
        <rFont val="Arial"/>
        <family val="2"/>
      </rPr>
      <t>101</t>
    </r>
  </si>
  <si>
    <r>
      <t>综合</t>
    </r>
    <r>
      <rPr>
        <sz val="9"/>
        <color theme="1"/>
        <rFont val="Arial"/>
        <family val="2"/>
      </rPr>
      <t>/</t>
    </r>
    <r>
      <rPr>
        <sz val="9"/>
        <color theme="1"/>
        <rFont val="华文细黑"/>
        <family val="3"/>
        <charset val="134"/>
      </rPr>
      <t>燃气计量间、库房、设备用房、职工餐厅、值班室</t>
    </r>
  </si>
  <si>
    <t>合计</t>
  </si>
  <si>
    <r>
      <rPr>
        <sz val="9"/>
        <color theme="1"/>
        <rFont val="宋体"/>
        <family val="3"/>
        <charset val="134"/>
      </rPr>
      <t>地下面积</t>
    </r>
    <phoneticPr fontId="133" type="noConversion"/>
  </si>
  <si>
    <t>地上</t>
  </si>
  <si>
    <t>地上</t>
    <phoneticPr fontId="133" type="noConversion"/>
  </si>
  <si>
    <t>公共服务</t>
  </si>
  <si>
    <t>地下</t>
  </si>
  <si>
    <t>公共服务（办公）</t>
  </si>
  <si>
    <t>公共服务（办公）</t>
    <phoneticPr fontId="7" type="noConversion"/>
  </si>
  <si>
    <t>建安取值</t>
  </si>
  <si>
    <t>单方建安</t>
  </si>
  <si>
    <t>建安</t>
  </si>
  <si>
    <t>主体</t>
  </si>
  <si>
    <t>公区装修</t>
  </si>
  <si>
    <t>室内装修</t>
  </si>
  <si>
    <t>设备</t>
  </si>
  <si>
    <t>人防</t>
  </si>
  <si>
    <t>综合平均</t>
  </si>
  <si>
    <t>成新度</t>
  </si>
  <si>
    <t>建成</t>
    <phoneticPr fontId="3" type="noConversion"/>
  </si>
  <si>
    <t>直线</t>
    <phoneticPr fontId="3" type="noConversion"/>
  </si>
  <si>
    <t>观察</t>
    <phoneticPr fontId="3" type="noConversion"/>
  </si>
  <si>
    <t>综合</t>
    <phoneticPr fontId="3" type="noConversion"/>
  </si>
  <si>
    <t>地块名称</t>
  </si>
  <si>
    <t>城市</t>
  </si>
  <si>
    <t>地块编号</t>
  </si>
  <si>
    <t>省份</t>
  </si>
  <si>
    <t>区县</t>
  </si>
  <si>
    <t>板块</t>
  </si>
  <si>
    <t>土地位置</t>
  </si>
  <si>
    <t>用地性质</t>
  </si>
  <si>
    <t>建设用地面积(㎡)</t>
  </si>
  <si>
    <t>规划建筑面积(㎡)</t>
  </si>
  <si>
    <t>容积率</t>
  </si>
  <si>
    <t>容积率上限</t>
  </si>
  <si>
    <t>出让方式</t>
  </si>
  <si>
    <t>建设用地分类</t>
  </si>
  <si>
    <t>详细规划</t>
  </si>
  <si>
    <t>集中供地</t>
  </si>
  <si>
    <t>商业比例(%)</t>
  </si>
  <si>
    <t>建筑密度</t>
  </si>
  <si>
    <t>限制高度</t>
  </si>
  <si>
    <t>推出特殊政策</t>
  </si>
  <si>
    <t>成交特殊政策</t>
  </si>
  <si>
    <t>特殊用地类型</t>
  </si>
  <si>
    <t>特殊住房类型</t>
  </si>
  <si>
    <t>推出保障房面积(㎡)</t>
  </si>
  <si>
    <t>成交保障房面积(㎡)</t>
  </si>
  <si>
    <t>推出自住房面积(㎡)</t>
  </si>
  <si>
    <t>成交自住房面积(㎡)</t>
  </si>
  <si>
    <t>公告时间</t>
  </si>
  <si>
    <t>起始时间</t>
  </si>
  <si>
    <t>截止时间</t>
  </si>
  <si>
    <t>成交时间</t>
  </si>
  <si>
    <t>公告编号</t>
  </si>
  <si>
    <t>交易状态</t>
  </si>
  <si>
    <t>受让单位</t>
  </si>
  <si>
    <t>拿地企业</t>
  </si>
  <si>
    <t>企业性质</t>
  </si>
  <si>
    <t>是否城投企业</t>
  </si>
  <si>
    <t>起始价(万元)</t>
  </si>
  <si>
    <t>保证金(万元)</t>
  </si>
  <si>
    <t>保证金截止时间</t>
  </si>
  <si>
    <t>成交价(万元)</t>
  </si>
  <si>
    <t>推出土地单价(元/㎡)</t>
  </si>
  <si>
    <t>成交土地单价(元/㎡)</t>
  </si>
  <si>
    <t>推出每亩价(万元/亩)</t>
  </si>
  <si>
    <t>成交每亩价(万元/亩)</t>
  </si>
  <si>
    <t>推出楼面价(元/㎡)</t>
  </si>
  <si>
    <t>成交楼面价(元/㎡)</t>
  </si>
  <si>
    <t>推出楼面价(除保障房)(元/㎡)</t>
  </si>
  <si>
    <t>成交楼面价(除保障房)(元/㎡)</t>
  </si>
  <si>
    <t>溢价率(%)</t>
  </si>
  <si>
    <t>出让年限(年)</t>
  </si>
  <si>
    <t>限地价(万元)</t>
  </si>
  <si>
    <t>触达限地价</t>
  </si>
  <si>
    <t>限售价(元/㎡)</t>
  </si>
  <si>
    <t>楼面价上限(元/㎡)</t>
  </si>
  <si>
    <t>溢价率上限(%)</t>
  </si>
  <si>
    <t>房地价差(元/㎡)</t>
  </si>
  <si>
    <t>政府指导价(元/㎡)</t>
  </si>
  <si>
    <t>开工进度</t>
  </si>
  <si>
    <t>关联供地计划</t>
  </si>
  <si>
    <t>供地计划名称</t>
  </si>
  <si>
    <t>北京市海淀区中关村翠湖科技园A1地块HD00-0302-0175、6008地块F3其他类多功能用地、B23研发设计用地</t>
  </si>
  <si>
    <t>京土储挂(海)[2024]008号</t>
  </si>
  <si>
    <t xml:space="preserve"> 北京 </t>
  </si>
  <si>
    <t xml:space="preserve"> 海淀区 </t>
  </si>
  <si>
    <t xml:space="preserve"> 温泉 </t>
  </si>
  <si>
    <t xml:space="preserve"> 海淀区西北旺镇 </t>
  </si>
  <si>
    <t xml:space="preserve"> 商业/办公用地 </t>
  </si>
  <si>
    <t xml:space="preserve"> 0175:1、6008:1.6 </t>
  </si>
  <si>
    <t xml:space="preserve"> 挂牌 </t>
  </si>
  <si>
    <t xml:space="preserve"> A1行政办公用地、A3教育科研用地 </t>
  </si>
  <si>
    <t xml:space="preserve"> F3其他类多功能用地、B23研发设计用地 </t>
  </si>
  <si>
    <t xml:space="preserve">-- </t>
  </si>
  <si>
    <t xml:space="preserve"> -- </t>
  </si>
  <si>
    <t xml:space="preserve"> 0175:12、6008:18.8-28 </t>
  </si>
  <si>
    <t xml:space="preserve"> 京土储挂(海)[2024]008号 </t>
  </si>
  <si>
    <t xml:space="preserve"> 已成交 </t>
  </si>
  <si>
    <t xml:space="preserve"> 北京翠湖智达科技服务有限责任公司  </t>
  </si>
  <si>
    <t xml:space="preserve"> 北京实创科技园 </t>
  </si>
  <si>
    <t xml:space="preserve"> 地方国有企业 </t>
  </si>
  <si>
    <t xml:space="preserve"> 城投企业 </t>
  </si>
  <si>
    <t>2024-03-15 15:00</t>
  </si>
  <si>
    <t xml:space="preserve"> 商业 40 年; 办公 50 年; 公服(科研) 20 年 </t>
  </si>
  <si>
    <t xml:space="preserve"> 已开工 </t>
  </si>
  <si>
    <t xml:space="preserve"> 否 </t>
  </si>
  <si>
    <t xml:space="preserve"> --</t>
  </si>
  <si>
    <t>北京市海淀区学院路北端A、B、C、J地块B4综合性商业金融服务业用地、 B23研发设计用地</t>
  </si>
  <si>
    <t>京土储挂(海)[2023]073号</t>
  </si>
  <si>
    <t xml:space="preserve"> 学清路 </t>
  </si>
  <si>
    <t xml:space="preserve"> 海淀区学院路地区 </t>
  </si>
  <si>
    <t xml:space="preserve"> B21金融保险用地、B1商业设施用地 </t>
  </si>
  <si>
    <t xml:space="preserve"> B4综合性商业金融服务业用地、B23研发设计用地 </t>
  </si>
  <si>
    <t xml:space="preserve"> 京土储挂(海)[2023]073号 </t>
  </si>
  <si>
    <t xml:space="preserve"> 腾讯科技(北京)有限公司  </t>
  </si>
  <si>
    <t xml:space="preserve"> 腾讯科技（北京）有限公司 </t>
  </si>
  <si>
    <t>2024-01-23 15:00</t>
  </si>
  <si>
    <t xml:space="preserve"> 商业 40 年; 办公 50 年; 公服(科研) 50 年 </t>
  </si>
  <si>
    <t>北京市石景山区中关村科技园区石景山园北I区1605-650地块B23研发设计用地</t>
  </si>
  <si>
    <t>京土储挂(石)[2023]072号</t>
  </si>
  <si>
    <t xml:space="preserve"> 石景山区 </t>
  </si>
  <si>
    <t xml:space="preserve"> 石景山区苹果园地区 </t>
  </si>
  <si>
    <t xml:space="preserve"> B2商务设施用地 </t>
  </si>
  <si>
    <t xml:space="preserve"> B23研发设计用地 </t>
  </si>
  <si>
    <t xml:space="preserve"> 京土储挂(石)[2023]072号 </t>
  </si>
  <si>
    <t xml:space="preserve"> 北京保恒置业发展有限公司  </t>
  </si>
  <si>
    <t xml:space="preserve"> 石景山国资投资 </t>
  </si>
  <si>
    <t>2024-01-17 15:00</t>
  </si>
  <si>
    <t>北京市石景山区中关村科技园石景山园北Ⅱ区西井地块土地一级开发项目1606-605地块B23研发设计用地</t>
  </si>
  <si>
    <t>京土储挂(石)[2022]070号</t>
  </si>
  <si>
    <t xml:space="preserve"> 苹果园、八角、金顶街 </t>
  </si>
  <si>
    <t xml:space="preserve"> B商业服务业设施用地 </t>
  </si>
  <si>
    <t xml:space="preserve"> 京土储挂(石)[2022]070号 </t>
  </si>
  <si>
    <t xml:space="preserve"> 北京中关村工业互联网产业发展有限公司  </t>
  </si>
  <si>
    <t xml:space="preserve"> 石景山国资投资,中关村发展 </t>
  </si>
  <si>
    <t xml:space="preserve"> 地方国有企业，地方国有企业 </t>
  </si>
  <si>
    <t xml:space="preserve"> 城投企业，城投企业 </t>
  </si>
  <si>
    <t>2023-01-04 15:00</t>
  </si>
  <si>
    <t xml:space="preserve"> 50年 </t>
  </si>
  <si>
    <t>北京市海淀区学院路北端A、B、C、J地块B4综合性商业金融服务业用地、B23研发设计用地</t>
  </si>
  <si>
    <t>京土整储招(海)[2019]034号</t>
  </si>
  <si>
    <t xml:space="preserve"> 海淀区学院路北端 </t>
  </si>
  <si>
    <t xml:space="preserve"> ≤4.04 </t>
  </si>
  <si>
    <t xml:space="preserve"> 招标 </t>
  </si>
  <si>
    <t xml:space="preserve"> 京土整储招(海)[2019]034号 </t>
  </si>
  <si>
    <t xml:space="preserve"> 紫光集团有限公司 、紫光股份有限公司 、紫光国芯微电子股份有限公司 、北京紫光科技服务集团有限公司联合体  </t>
  </si>
  <si>
    <t xml:space="preserve"> 紫光集团 </t>
  </si>
  <si>
    <t xml:space="preserve"> 中央国有企业 </t>
  </si>
  <si>
    <t xml:space="preserve"> 商业40年、办公50年 </t>
  </si>
  <si>
    <t xml:space="preserve"> 已竣工 </t>
  </si>
  <si>
    <t>北京市朝阳区奥林匹克公园中心区B23等地块B4综合性商业金融服务业用地、F3其他类多功能用地</t>
  </si>
  <si>
    <t>京土整储挂(朝)[2018]026号</t>
  </si>
  <si>
    <t xml:space="preserve"> 朝阳区 </t>
  </si>
  <si>
    <t xml:space="preserve"> 奥运场馆周边 </t>
  </si>
  <si>
    <t xml:space="preserve"> 朝阳区奥林匹克公园中心区 </t>
  </si>
  <si>
    <t xml:space="preserve"> B4综合性商业金融服务业用地、F3其他类多功能用地 </t>
  </si>
  <si>
    <t xml:space="preserve"> 详见挂牌文件 </t>
  </si>
  <si>
    <t xml:space="preserve"> 京土整储挂(朝)[2018]026号 </t>
  </si>
  <si>
    <t xml:space="preserve"> 北京北辰实业集团有限责任公司  </t>
  </si>
  <si>
    <t xml:space="preserve"> 北辰实业 </t>
  </si>
  <si>
    <t>北京市石景山区中关村科技园区石景山园北I区1605-636地块B23研发设计用地</t>
  </si>
  <si>
    <t>京土整储挂(石)[2017]098号</t>
  </si>
  <si>
    <t xml:space="preserve"> 石景山区中关村科技园区石景山园北I区 </t>
  </si>
  <si>
    <t xml:space="preserve"> ≤30% </t>
  </si>
  <si>
    <t xml:space="preserve"> ≤18 </t>
  </si>
  <si>
    <t xml:space="preserve"> 京土整储挂(石)[2017]098号 </t>
  </si>
  <si>
    <t xml:space="preserve"> 北京保险产业园投资控股有限责任公司 、北京保汇置业发展有限公司联合体  </t>
  </si>
  <si>
    <t xml:space="preserve"> 办公50年 </t>
  </si>
  <si>
    <t>北京市石景山区中关村科技园区石景山园北I区1605-651地块B23研发设计用地</t>
  </si>
  <si>
    <t>京土整储挂(石)[2017]099号</t>
  </si>
  <si>
    <t xml:space="preserve"> ≤36 </t>
  </si>
  <si>
    <t xml:space="preserve"> 京土整储挂(石)[2017]099号 </t>
  </si>
  <si>
    <t xml:space="preserve"> 北京京石科园置业发展有限公司  </t>
  </si>
  <si>
    <t>年期修正</t>
    <phoneticPr fontId="133" type="noConversion"/>
  </si>
  <si>
    <t>一般</t>
  </si>
  <si>
    <t>一般</t>
    <phoneticPr fontId="40" type="noConversion"/>
  </si>
  <si>
    <t>一般</t>
    <phoneticPr fontId="24" type="noConversion"/>
  </si>
  <si>
    <t>较好</t>
  </si>
  <si>
    <t>较好</t>
    <phoneticPr fontId="24" type="noConversion"/>
  </si>
  <si>
    <t>较好</t>
    <phoneticPr fontId="40" type="noConversion"/>
  </si>
  <si>
    <t>较好</t>
    <phoneticPr fontId="40" type="noConversion"/>
  </si>
  <si>
    <t>七通</t>
  </si>
  <si>
    <t>七通</t>
    <phoneticPr fontId="24" type="noConversion"/>
  </si>
  <si>
    <t>研发</t>
  </si>
  <si>
    <t>研发</t>
    <phoneticPr fontId="32" type="noConversion"/>
  </si>
  <si>
    <t>规则</t>
    <phoneticPr fontId="32" type="noConversion"/>
  </si>
  <si>
    <t>较规则</t>
  </si>
  <si>
    <t>较规则</t>
    <phoneticPr fontId="32" type="noConversion"/>
  </si>
  <si>
    <t>一般</t>
    <phoneticPr fontId="32" type="noConversion"/>
  </si>
  <si>
    <t>六通</t>
  </si>
  <si>
    <t>五通</t>
  </si>
  <si>
    <t>三通</t>
  </si>
  <si>
    <t>楼面地价</t>
  </si>
  <si>
    <t>北京市海淀区中关村翠湖科技园A1地块HD00-0302-0175、6008地块F3其他类多功能用地、B23研发设计用地</t>
    <phoneticPr fontId="133" type="noConversion"/>
  </si>
  <si>
    <t>不临65条商业街</t>
  </si>
  <si>
    <t>与级别开发程度不一致</t>
  </si>
  <si>
    <t>中心城区以外</t>
  </si>
  <si>
    <t>好</t>
  </si>
  <si>
    <t>未包含在土地购买价格中</t>
  </si>
  <si>
    <t>已包含在土地取得成本中</t>
  </si>
  <si>
    <t>押一</t>
  </si>
  <si>
    <t>钢混</t>
  </si>
  <si>
    <t>非生产用房</t>
  </si>
  <si>
    <t>收益法</t>
  </si>
  <si>
    <t>成本法</t>
  </si>
  <si>
    <t>项目局部</t>
  </si>
  <si>
    <t>总价</t>
  </si>
  <si>
    <t>成本比率</t>
  </si>
  <si>
    <t>情况4</t>
  </si>
  <si>
    <t>正常</t>
  </si>
  <si>
    <t>转让取得</t>
  </si>
  <si>
    <t>非个人房产</t>
  </si>
  <si>
    <r>
      <rPr>
        <b/>
        <sz val="10"/>
        <rFont val="宋体"/>
        <family val="3"/>
        <charset val="134"/>
      </rPr>
      <t>价值时点</t>
    </r>
  </si>
  <si>
    <r>
      <rPr>
        <b/>
        <sz val="10"/>
        <rFont val="宋体"/>
        <family val="3"/>
        <charset val="134"/>
      </rPr>
      <t>处置时需缴纳的相关税费</t>
    </r>
  </si>
  <si>
    <r>
      <rPr>
        <b/>
        <sz val="10"/>
        <rFont val="宋体"/>
        <family val="3"/>
        <charset val="134"/>
      </rPr>
      <t>序号</t>
    </r>
  </si>
  <si>
    <r>
      <rPr>
        <b/>
        <sz val="10"/>
        <rFont val="宋体"/>
        <family val="3"/>
        <charset val="134"/>
      </rPr>
      <t>税（费）种</t>
    </r>
  </si>
  <si>
    <r>
      <rPr>
        <b/>
        <sz val="10"/>
        <rFont val="宋体"/>
        <family val="3"/>
        <charset val="134"/>
      </rPr>
      <t>计算方法</t>
    </r>
  </si>
  <si>
    <r>
      <rPr>
        <b/>
        <sz val="10"/>
        <rFont val="宋体"/>
        <family val="3"/>
        <charset val="134"/>
      </rPr>
      <t>税（费）率</t>
    </r>
  </si>
  <si>
    <r>
      <rPr>
        <sz val="10"/>
        <rFont val="宋体"/>
        <family val="3"/>
        <charset val="134"/>
      </rPr>
      <t>小写</t>
    </r>
  </si>
  <si>
    <r>
      <rPr>
        <sz val="10"/>
        <rFont val="宋体"/>
        <family val="3"/>
        <charset val="134"/>
      </rPr>
      <t>大写</t>
    </r>
  </si>
  <si>
    <r>
      <rPr>
        <b/>
        <sz val="10"/>
        <rFont val="宋体"/>
        <family val="3"/>
        <charset val="134"/>
      </rPr>
      <t>评估总值</t>
    </r>
    <phoneticPr fontId="8" type="noConversion"/>
  </si>
  <si>
    <r>
      <rPr>
        <b/>
        <sz val="10"/>
        <rFont val="宋体"/>
        <family val="3"/>
        <charset val="134"/>
      </rPr>
      <t>金额（万元）</t>
    </r>
    <phoneticPr fontId="8" type="noConversion"/>
  </si>
  <si>
    <r>
      <rPr>
        <sz val="10"/>
        <rFont val="宋体"/>
        <family val="3"/>
        <charset val="134"/>
      </rPr>
      <t>增值税及附加</t>
    </r>
    <phoneticPr fontId="8" type="noConversion"/>
  </si>
  <si>
    <r>
      <rPr>
        <sz val="10"/>
        <rFont val="宋体"/>
        <family val="3"/>
        <charset val="134"/>
      </rPr>
      <t>印花税</t>
    </r>
    <phoneticPr fontId="8" type="noConversion"/>
  </si>
  <si>
    <r>
      <rPr>
        <sz val="10"/>
        <rFont val="宋体"/>
        <family val="3"/>
        <charset val="134"/>
      </rPr>
      <t>土地增值税</t>
    </r>
    <phoneticPr fontId="8" type="noConversion"/>
  </si>
  <si>
    <r>
      <rPr>
        <sz val="10"/>
        <rFont val="宋体"/>
        <family val="3"/>
        <charset val="134"/>
      </rPr>
      <t>合计</t>
    </r>
    <phoneticPr fontId="8" type="noConversion"/>
  </si>
  <si>
    <r>
      <rPr>
        <sz val="10"/>
        <rFont val="宋体"/>
        <family val="3"/>
        <charset val="134"/>
      </rPr>
      <t>抵押净值</t>
    </r>
    <phoneticPr fontId="8" type="noConversion"/>
  </si>
  <si>
    <r>
      <rPr>
        <sz val="10"/>
        <rFont val="宋体"/>
        <family val="3"/>
        <charset val="134"/>
      </rPr>
      <t>抵押净值单价</t>
    </r>
    <phoneticPr fontId="8" type="noConversion"/>
  </si>
  <si>
    <t>对比</t>
    <phoneticPr fontId="8" type="noConversion"/>
  </si>
  <si>
    <t>单价</t>
    <phoneticPr fontId="133" type="noConversion"/>
  </si>
  <si>
    <t>总价</t>
    <phoneticPr fontId="133" type="noConversion"/>
  </si>
  <si>
    <t>净值</t>
    <phoneticPr fontId="133" type="noConversion"/>
  </si>
  <si>
    <t>地上</t>
    <phoneticPr fontId="3" type="noConversion"/>
  </si>
  <si>
    <t>地下</t>
    <phoneticPr fontId="3" type="noConversion"/>
  </si>
  <si>
    <t>面积</t>
    <phoneticPr fontId="3" type="noConversion"/>
  </si>
  <si>
    <t>小计</t>
    <phoneticPr fontId="3" type="noConversion"/>
  </si>
  <si>
    <t>租金</t>
    <phoneticPr fontId="3" type="noConversion"/>
  </si>
  <si>
    <t>结果对比</t>
    <phoneticPr fontId="8" type="noConversion"/>
  </si>
  <si>
    <r>
      <t>1</t>
    </r>
    <r>
      <rPr>
        <sz val="10"/>
        <color indexed="8"/>
        <rFont val="宋体"/>
        <family val="3"/>
        <charset val="134"/>
      </rPr>
      <t>号楼</t>
    </r>
    <phoneticPr fontId="8" type="noConversion"/>
  </si>
  <si>
    <t>单价</t>
    <phoneticPr fontId="8" type="noConversion"/>
  </si>
  <si>
    <t>总价</t>
    <phoneticPr fontId="8" type="noConversion"/>
  </si>
  <si>
    <t>净值</t>
    <phoneticPr fontId="8" type="noConversion"/>
  </si>
  <si>
    <r>
      <rPr>
        <sz val="10"/>
        <color theme="9" tint="-0.249977111117893"/>
        <rFont val="宋体"/>
        <family val="3"/>
        <charset val="134"/>
      </rPr>
      <t>昌平区生命园路</t>
    </r>
    <r>
      <rPr>
        <sz val="10"/>
        <color theme="9" tint="-0.249977111117893"/>
        <rFont val="Arial"/>
        <family val="2"/>
      </rPr>
      <t>20</t>
    </r>
    <r>
      <rPr>
        <sz val="10"/>
        <color theme="9" tint="-0.249977111117893"/>
        <rFont val="宋体"/>
        <family val="3"/>
        <charset val="134"/>
      </rPr>
      <t>号院</t>
    </r>
    <r>
      <rPr>
        <sz val="10"/>
        <color theme="9" tint="-0.249977111117893"/>
        <rFont val="Arial"/>
        <family val="2"/>
      </rPr>
      <t>1</t>
    </r>
    <r>
      <rPr>
        <sz val="10"/>
        <color theme="9" tint="-0.249977111117893"/>
        <rFont val="宋体"/>
        <family val="3"/>
        <charset val="134"/>
      </rPr>
      <t>号楼</t>
    </r>
    <r>
      <rPr>
        <sz val="10"/>
        <color theme="9" tint="-0.249977111117893"/>
        <rFont val="Arial"/>
        <family val="2"/>
      </rPr>
      <t>-1</t>
    </r>
    <r>
      <rPr>
        <sz val="10"/>
        <color theme="9" tint="-0.249977111117893"/>
        <rFont val="宋体"/>
        <family val="3"/>
        <charset val="134"/>
      </rPr>
      <t>至</t>
    </r>
    <r>
      <rPr>
        <sz val="10"/>
        <color theme="9" tint="-0.249977111117893"/>
        <rFont val="Arial"/>
        <family val="2"/>
      </rPr>
      <t>4</t>
    </r>
    <r>
      <rPr>
        <sz val="10"/>
        <color theme="9" tint="-0.249977111117893"/>
        <rFont val="宋体"/>
        <family val="3"/>
        <charset val="134"/>
      </rPr>
      <t>层</t>
    </r>
    <r>
      <rPr>
        <sz val="10"/>
        <color theme="9" tint="-0.249977111117893"/>
        <rFont val="Arial"/>
        <family val="2"/>
      </rPr>
      <t>101</t>
    </r>
    <phoneticPr fontId="6" type="noConversion"/>
  </si>
  <si>
    <t>房屋坐落</t>
  </si>
  <si>
    <t>建筑面积（平方米）</t>
  </si>
  <si>
    <r>
      <t>单价（元</t>
    </r>
    <r>
      <rPr>
        <sz val="9"/>
        <color rgb="FF000000"/>
        <rFont val="Arial"/>
        <family val="2"/>
      </rPr>
      <t>/</t>
    </r>
    <r>
      <rPr>
        <sz val="9"/>
        <color rgb="FF000000"/>
        <rFont val="华文细黑"/>
        <family val="3"/>
        <charset val="134"/>
      </rPr>
      <t>平方米）</t>
    </r>
  </si>
  <si>
    <r>
      <t>昌平区生命园路</t>
    </r>
    <r>
      <rPr>
        <sz val="9"/>
        <color rgb="FF000000"/>
        <rFont val="Arial"/>
        <family val="2"/>
      </rPr>
      <t>20</t>
    </r>
    <r>
      <rPr>
        <sz val="9"/>
        <color rgb="FF000000"/>
        <rFont val="华文细黑"/>
        <family val="3"/>
        <charset val="134"/>
      </rPr>
      <t>号院</t>
    </r>
    <r>
      <rPr>
        <sz val="9"/>
        <color rgb="FF000000"/>
        <rFont val="Arial"/>
        <family val="2"/>
      </rPr>
      <t>1</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</si>
  <si>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2</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</si>
  <si>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3</t>
    </r>
    <r>
      <rPr>
        <sz val="9"/>
        <color rgb="FF000000"/>
        <rFont val="华文细黑"/>
        <family val="3"/>
        <charset val="134"/>
      </rPr>
      <t>号楼</t>
    </r>
    <r>
      <rPr>
        <sz val="9"/>
        <color rgb="FF000000"/>
        <rFont val="Arial"/>
        <family val="2"/>
      </rPr>
      <t>-2</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</si>
  <si>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4</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</si>
  <si>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5</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</si>
  <si>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6</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5</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</si>
  <si>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7</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4</t>
    </r>
    <r>
      <rPr>
        <sz val="9"/>
        <color rgb="FF000000"/>
        <rFont val="华文细黑"/>
        <family val="3"/>
        <charset val="134"/>
      </rPr>
      <t>层</t>
    </r>
    <r>
      <rPr>
        <sz val="9"/>
        <color rgb="FF000000"/>
        <rFont val="Arial"/>
        <family val="2"/>
      </rPr>
      <t>101</t>
    </r>
  </si>
  <si>
    <r>
      <t>昌平区生命园路</t>
    </r>
    <r>
      <rPr>
        <sz val="9"/>
        <color rgb="FF000000"/>
        <rFont val="Arial"/>
        <family val="2"/>
      </rPr>
      <t>20</t>
    </r>
    <r>
      <rPr>
        <sz val="9"/>
        <color rgb="FF000000"/>
        <rFont val="华文细黑"/>
        <family val="3"/>
        <charset val="134"/>
      </rPr>
      <t>号院</t>
    </r>
    <r>
      <rPr>
        <sz val="9"/>
        <color rgb="FF000000"/>
        <rFont val="Arial"/>
        <family val="2"/>
      </rPr>
      <t>8</t>
    </r>
    <r>
      <rPr>
        <sz val="9"/>
        <color rgb="FF000000"/>
        <rFont val="华文细黑"/>
        <family val="3"/>
        <charset val="134"/>
      </rPr>
      <t>号楼</t>
    </r>
    <r>
      <rPr>
        <sz val="9"/>
        <color rgb="FF000000"/>
        <rFont val="Arial"/>
        <family val="2"/>
      </rPr>
      <t>-1</t>
    </r>
    <r>
      <rPr>
        <sz val="9"/>
        <color rgb="FF000000"/>
        <rFont val="华文细黑"/>
        <family val="3"/>
        <charset val="134"/>
      </rPr>
      <t>至</t>
    </r>
    <r>
      <rPr>
        <sz val="9"/>
        <color rgb="FF000000"/>
        <rFont val="Arial"/>
        <family val="2"/>
      </rPr>
      <t>1</t>
    </r>
    <r>
      <rPr>
        <sz val="9"/>
        <color rgb="FF000000"/>
        <rFont val="华文细黑"/>
        <family val="3"/>
        <charset val="134"/>
      </rPr>
      <t>层</t>
    </r>
    <r>
      <rPr>
        <sz val="9"/>
        <color rgb="FF000000"/>
        <rFont val="Arial"/>
        <family val="2"/>
      </rPr>
      <t>101</t>
    </r>
  </si>
  <si>
    <t>自定义容积率</t>
  </si>
</sst>
</file>

<file path=xl/styles.xml><?xml version="1.0" encoding="utf-8"?>
<styleSheet xmlns="http://schemas.openxmlformats.org/spreadsheetml/2006/main" xmlns:mc="http://schemas.openxmlformats.org/markup-compatibility/2006" xmlns:x14ac="http://schemas.microsoft.com/office/spreadsheetml/2009/9/ac" mc:Ignorable="x14ac">
  <numFmts count="20">
    <numFmt numFmtId="176" formatCode="0.00_);[Red]\(0.00\)"/>
    <numFmt numFmtId="177" formatCode="0_ "/>
    <numFmt numFmtId="178" formatCode="0.0_ "/>
    <numFmt numFmtId="179" formatCode="0.00_ "/>
    <numFmt numFmtId="180" formatCode="0.000_ "/>
    <numFmt numFmtId="181" formatCode="0.0%"/>
    <numFmt numFmtId="182" formatCode="0.000%"/>
    <numFmt numFmtId="183" formatCode="yyyy&quot;年&quot;m&quot;月&quot;d&quot;日&quot;;@"/>
    <numFmt numFmtId="184" formatCode="0.0000%"/>
    <numFmt numFmtId="185" formatCode="0_);[Red]\(0\)"/>
    <numFmt numFmtId="186" formatCode="0.0000_ "/>
    <numFmt numFmtId="187" formatCode="0.000_);[Red]\(0.000\)"/>
    <numFmt numFmtId="188" formatCode="0.0_);[Red]\(0.0\)"/>
    <numFmt numFmtId="189" formatCode="yyyy&quot;年&quot;m&quot;月&quot;;@"/>
    <numFmt numFmtId="190" formatCode="0;_쐀"/>
    <numFmt numFmtId="191" formatCode="[$-F800]dddd\,\ mmmm\ dd\,\ yyyy"/>
    <numFmt numFmtId="192" formatCode="[DBNum1][$-804]yyyy&quot;年&quot;m&quot;月&quot;d&quot;日&quot;;@"/>
    <numFmt numFmtId="193" formatCode="0_ ;[Red]\-0\ "/>
    <numFmt numFmtId="194" formatCode="yyyy/m/d;@"/>
    <numFmt numFmtId="195" formatCode="0.0000_);[Red]\(0.0000\)"/>
  </numFmts>
  <fonts count="271">
    <font>
      <sz val="11"/>
      <color theme="1"/>
      <name val="宋体"/>
      <charset val="134"/>
      <scheme val="minor"/>
    </font>
    <font>
      <sz val="12"/>
      <color theme="1"/>
      <name val="楷体_GB2312"/>
      <family val="2"/>
      <charset val="134"/>
    </font>
    <font>
      <sz val="12"/>
      <color theme="1"/>
      <name val="楷体_GB2312"/>
      <family val="2"/>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0"/>
      <color indexed="8"/>
      <name val="楷体_GB2312"/>
      <family val="3"/>
      <charset val="134"/>
    </font>
    <font>
      <b/>
      <sz val="10"/>
      <name val="楷体_GB2312"/>
      <family val="3"/>
      <charset val="134"/>
    </font>
    <font>
      <sz val="10"/>
      <name val="楷体_GB2312"/>
      <family val="3"/>
      <charset val="134"/>
    </font>
    <font>
      <sz val="9"/>
      <color indexed="81"/>
      <name val="宋体"/>
      <family val="3"/>
      <charset val="134"/>
    </font>
    <font>
      <b/>
      <sz val="9"/>
      <color indexed="81"/>
      <name val="宋体"/>
      <family val="3"/>
      <charset val="134"/>
    </font>
    <font>
      <sz val="9"/>
      <name val="宋体"/>
      <family val="3"/>
      <charset val="134"/>
    </font>
    <font>
      <b/>
      <sz val="10"/>
      <color indexed="10"/>
      <name val="楷体_GB2312"/>
      <family val="3"/>
      <charset val="134"/>
    </font>
    <font>
      <sz val="9"/>
      <name val="宋体"/>
      <family val="3"/>
      <charset val="134"/>
    </font>
    <font>
      <sz val="10"/>
      <name val="宋体"/>
      <family val="3"/>
      <charset val="134"/>
    </font>
    <font>
      <sz val="9"/>
      <name val="宋体"/>
      <family val="3"/>
      <charset val="134"/>
    </font>
    <font>
      <b/>
      <sz val="12"/>
      <name val="楷体_GB2312"/>
      <family val="3"/>
      <charset val="134"/>
    </font>
    <font>
      <sz val="11"/>
      <color indexed="8"/>
      <name val="楷体_GB2312"/>
      <family val="3"/>
      <charset val="134"/>
    </font>
    <font>
      <i/>
      <sz val="10"/>
      <name val="楷体_GB2312"/>
      <family val="3"/>
      <charset val="134"/>
    </font>
    <font>
      <sz val="9"/>
      <name val="宋体"/>
      <family val="3"/>
      <charset val="134"/>
    </font>
    <font>
      <b/>
      <sz val="12"/>
      <color indexed="81"/>
      <name val="宋体"/>
      <family val="3"/>
      <charset val="134"/>
    </font>
    <font>
      <sz val="12"/>
      <color indexed="81"/>
      <name val="宋体"/>
      <family val="3"/>
      <charset val="134"/>
    </font>
    <font>
      <sz val="9"/>
      <name val="宋体"/>
      <family val="3"/>
      <charset val="134"/>
    </font>
    <font>
      <sz val="9"/>
      <name val="宋体"/>
      <family val="3"/>
      <charset val="134"/>
    </font>
    <font>
      <b/>
      <sz val="16"/>
      <color indexed="10"/>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1"/>
      <color indexed="81"/>
      <name val="宋体"/>
      <family val="3"/>
      <charset val="134"/>
    </font>
    <font>
      <sz val="16"/>
      <color indexed="81"/>
      <name val="宋体"/>
      <family val="3"/>
      <charset val="134"/>
    </font>
    <font>
      <sz val="12"/>
      <name val="宋体"/>
      <family val="3"/>
      <charset val="134"/>
    </font>
    <font>
      <sz val="9"/>
      <name val="宋体"/>
      <family val="3"/>
      <charset val="134"/>
    </font>
    <font>
      <sz val="11"/>
      <color indexed="81"/>
      <name val="楷体_GB2312"/>
      <family val="3"/>
      <charset val="134"/>
    </font>
    <font>
      <sz val="14"/>
      <color indexed="81"/>
      <name val="楷体_GB2312"/>
      <family val="3"/>
      <charset val="134"/>
    </font>
    <font>
      <sz val="9"/>
      <name val="宋体"/>
      <family val="3"/>
      <charset val="134"/>
    </font>
    <font>
      <b/>
      <sz val="11"/>
      <color indexed="81"/>
      <name val="宋体"/>
      <family val="3"/>
      <charset val="134"/>
    </font>
    <font>
      <sz val="9"/>
      <name val="宋体"/>
      <family val="3"/>
      <charset val="134"/>
    </font>
    <font>
      <sz val="9"/>
      <name val="宋体"/>
      <family val="3"/>
      <charset val="134"/>
    </font>
    <font>
      <sz val="11"/>
      <color indexed="8"/>
      <name val="Arial"/>
      <family val="2"/>
    </font>
    <font>
      <b/>
      <sz val="12"/>
      <color indexed="8"/>
      <name val="Arial"/>
      <family val="2"/>
    </font>
    <font>
      <b/>
      <sz val="11"/>
      <color indexed="8"/>
      <name val="Arial"/>
      <family val="2"/>
    </font>
    <font>
      <sz val="10"/>
      <color indexed="8"/>
      <name val="Arial"/>
      <family val="2"/>
    </font>
    <font>
      <sz val="10"/>
      <color indexed="10"/>
      <name val="Arial"/>
      <family val="2"/>
    </font>
    <font>
      <sz val="11"/>
      <color indexed="10"/>
      <name val="Arial"/>
      <family val="2"/>
    </font>
    <font>
      <b/>
      <sz val="11"/>
      <name val="Arial"/>
      <family val="2"/>
    </font>
    <font>
      <sz val="11"/>
      <name val="Arial"/>
      <family val="2"/>
    </font>
    <font>
      <b/>
      <sz val="10"/>
      <color indexed="8"/>
      <name val="Arial"/>
      <family val="2"/>
    </font>
    <font>
      <sz val="10"/>
      <name val="Arial"/>
      <family val="2"/>
    </font>
    <font>
      <b/>
      <sz val="10"/>
      <name val="Arial"/>
      <family val="2"/>
    </font>
    <font>
      <sz val="9"/>
      <color indexed="8"/>
      <name val="Arial"/>
      <family val="2"/>
    </font>
    <font>
      <b/>
      <sz val="16"/>
      <color indexed="8"/>
      <name val="Arial"/>
      <family val="2"/>
    </font>
    <font>
      <b/>
      <sz val="12"/>
      <name val="Arial"/>
      <family val="2"/>
    </font>
    <font>
      <sz val="12"/>
      <name val="Arial"/>
      <family val="2"/>
    </font>
    <font>
      <i/>
      <sz val="10"/>
      <name val="Arial"/>
      <family val="2"/>
    </font>
    <font>
      <b/>
      <sz val="10"/>
      <color indexed="10"/>
      <name val="Arial"/>
      <family val="2"/>
    </font>
    <font>
      <sz val="12"/>
      <color indexed="8"/>
      <name val="Arial"/>
      <family val="2"/>
    </font>
    <font>
      <b/>
      <sz val="16"/>
      <name val="Arial"/>
      <family val="2"/>
    </font>
    <font>
      <sz val="16"/>
      <name val="Arial"/>
      <family val="2"/>
    </font>
    <font>
      <b/>
      <sz val="16"/>
      <name val="宋体"/>
      <family val="3"/>
      <charset val="134"/>
    </font>
    <font>
      <b/>
      <sz val="16"/>
      <color indexed="10"/>
      <name val="Arial"/>
      <family val="2"/>
    </font>
    <font>
      <b/>
      <sz val="11"/>
      <color indexed="62"/>
      <name val="Arial"/>
      <family val="2"/>
    </font>
    <font>
      <sz val="11"/>
      <color indexed="62"/>
      <name val="Arial"/>
      <family val="2"/>
    </font>
    <font>
      <sz val="11"/>
      <color indexed="53"/>
      <name val="Arial"/>
      <family val="2"/>
    </font>
    <font>
      <b/>
      <sz val="11"/>
      <color indexed="10"/>
      <name val="Arial"/>
      <family val="2"/>
    </font>
    <font>
      <b/>
      <sz val="11"/>
      <color indexed="53"/>
      <name val="Arial"/>
      <family val="2"/>
    </font>
    <font>
      <sz val="12"/>
      <color indexed="53"/>
      <name val="Arial"/>
      <family val="2"/>
    </font>
    <font>
      <sz val="10"/>
      <color indexed="53"/>
      <name val="Arial"/>
      <family val="2"/>
    </font>
    <font>
      <sz val="10"/>
      <color indexed="81"/>
      <name val="宋体"/>
      <family val="3"/>
      <charset val="134"/>
    </font>
    <font>
      <b/>
      <vertAlign val="subscript"/>
      <sz val="10"/>
      <name val="楷体_GB2312"/>
      <family val="3"/>
      <charset val="134"/>
    </font>
    <font>
      <b/>
      <vertAlign val="subscript"/>
      <sz val="10"/>
      <name val="宋体"/>
      <family val="3"/>
      <charset val="134"/>
    </font>
    <font>
      <sz val="9"/>
      <name val="宋体"/>
      <family val="3"/>
      <charset val="134"/>
    </font>
    <font>
      <sz val="10"/>
      <color indexed="8"/>
      <name val="宋体"/>
      <family val="3"/>
      <charset val="134"/>
    </font>
    <font>
      <b/>
      <sz val="12"/>
      <name val="仿宋_GB2312"/>
      <family val="3"/>
      <charset val="134"/>
    </font>
    <font>
      <b/>
      <sz val="10"/>
      <color indexed="8"/>
      <name val="宋体"/>
      <family val="3"/>
      <charset val="134"/>
    </font>
    <font>
      <b/>
      <sz val="10"/>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楷体_GB2312"/>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9"/>
      <name val="宋体"/>
      <family val="3"/>
      <charset val="134"/>
    </font>
    <font>
      <sz val="12"/>
      <color indexed="81"/>
      <name val="仿宋_GB2312"/>
      <family val="3"/>
      <charset val="134"/>
    </font>
    <font>
      <sz val="9"/>
      <name val="宋体"/>
      <family val="3"/>
      <charset val="134"/>
    </font>
    <font>
      <sz val="11"/>
      <name val="宋体"/>
      <family val="3"/>
      <charset val="134"/>
    </font>
    <font>
      <sz val="11"/>
      <color theme="1"/>
      <name val="宋体"/>
      <family val="3"/>
      <charset val="134"/>
      <scheme val="minor"/>
    </font>
    <font>
      <b/>
      <sz val="11"/>
      <color theme="1"/>
      <name val="宋体"/>
      <family val="3"/>
      <charset val="134"/>
      <scheme val="minor"/>
    </font>
    <font>
      <sz val="11"/>
      <color theme="1"/>
      <name val="楷体_GB2312"/>
      <family val="3"/>
      <charset val="134"/>
    </font>
    <font>
      <sz val="11"/>
      <color theme="1"/>
      <name val="Arial"/>
      <family val="2"/>
    </font>
    <font>
      <sz val="10"/>
      <color theme="1"/>
      <name val="Arial"/>
      <family val="2"/>
    </font>
    <font>
      <sz val="11"/>
      <color rgb="FFFF0000"/>
      <name val="Arial"/>
      <family val="2"/>
    </font>
    <font>
      <b/>
      <sz val="16"/>
      <color rgb="FFFF0000"/>
      <name val="Arial"/>
      <family val="2"/>
    </font>
    <font>
      <b/>
      <sz val="10"/>
      <color theme="1"/>
      <name val="Arial"/>
      <family val="2"/>
    </font>
    <font>
      <b/>
      <sz val="14"/>
      <color rgb="FFFF0000"/>
      <name val="Arial"/>
      <family val="2"/>
    </font>
    <font>
      <sz val="12"/>
      <color rgb="FF000000"/>
      <name val="Arial"/>
      <family val="2"/>
    </font>
    <font>
      <u/>
      <sz val="11"/>
      <color rgb="FFFF0000"/>
      <name val="Arial"/>
      <family val="2"/>
    </font>
    <font>
      <sz val="10"/>
      <color theme="1"/>
      <name val="宋体"/>
      <family val="3"/>
      <charset val="134"/>
      <scheme val="minor"/>
    </font>
    <font>
      <b/>
      <sz val="11"/>
      <color rgb="FFFF0000"/>
      <name val="宋体"/>
      <family val="3"/>
      <charset val="134"/>
      <scheme val="minor"/>
    </font>
    <font>
      <b/>
      <sz val="11"/>
      <color rgb="FFFF0000"/>
      <name val="Arial"/>
      <family val="2"/>
    </font>
    <font>
      <sz val="10"/>
      <color theme="1"/>
      <name val="仿宋_GB2312"/>
      <family val="3"/>
      <charset val="134"/>
    </font>
    <font>
      <b/>
      <sz val="10"/>
      <color theme="1"/>
      <name val="仿宋_GB2312"/>
      <family val="3"/>
      <charset val="134"/>
    </font>
    <font>
      <b/>
      <sz val="10"/>
      <color theme="1"/>
      <name val="宋体"/>
      <family val="3"/>
      <charset val="134"/>
      <scheme val="minor"/>
    </font>
    <font>
      <sz val="10"/>
      <color rgb="FFFF0000"/>
      <name val="Arial"/>
      <family val="2"/>
    </font>
    <font>
      <sz val="11"/>
      <color theme="1"/>
      <name val="宋体"/>
      <family val="3"/>
      <charset val="134"/>
    </font>
    <font>
      <b/>
      <sz val="10.5"/>
      <color theme="1"/>
      <name val="黑体"/>
      <family val="3"/>
      <charset val="134"/>
    </font>
    <font>
      <b/>
      <sz val="12"/>
      <color theme="1"/>
      <name val="宋体"/>
      <family val="3"/>
      <charset val="134"/>
      <scheme val="minor"/>
    </font>
    <font>
      <b/>
      <sz val="16"/>
      <color rgb="FFFF0000"/>
      <name val="宋体"/>
      <family val="3"/>
      <charset val="134"/>
      <scheme val="major"/>
    </font>
    <font>
      <b/>
      <sz val="16"/>
      <color theme="1"/>
      <name val="宋体"/>
      <family val="3"/>
      <charset val="134"/>
      <scheme val="major"/>
    </font>
    <font>
      <sz val="16"/>
      <color theme="1"/>
      <name val="宋体"/>
      <family val="3"/>
      <charset val="134"/>
      <scheme val="minor"/>
    </font>
    <font>
      <b/>
      <sz val="16"/>
      <color theme="1"/>
      <name val="宋体"/>
      <family val="3"/>
      <charset val="134"/>
      <scheme val="minor"/>
    </font>
    <font>
      <b/>
      <sz val="11"/>
      <color theme="1"/>
      <name val="仿宋_GB2312"/>
      <family val="3"/>
      <charset val="134"/>
    </font>
    <font>
      <sz val="10"/>
      <color theme="1"/>
      <name val="宋体"/>
      <family val="3"/>
      <charset val="134"/>
    </font>
    <font>
      <sz val="11"/>
      <color rgb="FFFF0000"/>
      <name val="宋体"/>
      <family val="3"/>
      <charset val="134"/>
    </font>
    <font>
      <b/>
      <sz val="12"/>
      <color theme="1"/>
      <name val="Arial"/>
      <family val="2"/>
    </font>
    <font>
      <sz val="12"/>
      <color theme="1"/>
      <name val="Arial"/>
      <family val="2"/>
    </font>
    <font>
      <b/>
      <sz val="10"/>
      <color rgb="FFE36C0A"/>
      <name val="Arial"/>
      <family val="2"/>
    </font>
    <font>
      <b/>
      <sz val="16"/>
      <color indexed="8"/>
      <name val="宋体"/>
      <family val="3"/>
      <charset val="134"/>
    </font>
    <font>
      <sz val="11"/>
      <color indexed="8"/>
      <name val="宋体"/>
      <family val="3"/>
      <charset val="134"/>
    </font>
    <font>
      <sz val="10"/>
      <color rgb="FFFF0000"/>
      <name val="宋体"/>
      <family val="3"/>
      <charset val="134"/>
    </font>
    <font>
      <sz val="14"/>
      <color theme="1"/>
      <name val="Arial"/>
      <family val="2"/>
    </font>
    <font>
      <b/>
      <sz val="12"/>
      <color rgb="FFFF0000"/>
      <name val="Arial"/>
      <family val="2"/>
    </font>
    <font>
      <i/>
      <sz val="10"/>
      <color indexed="8"/>
      <name val="宋体"/>
      <family val="3"/>
      <charset val="134"/>
    </font>
    <font>
      <b/>
      <sz val="12"/>
      <color theme="1"/>
      <name val="宋体"/>
      <family val="3"/>
      <charset val="134"/>
    </font>
    <font>
      <sz val="9"/>
      <name val="宋体"/>
      <family val="3"/>
      <charset val="134"/>
      <scheme val="minor"/>
    </font>
    <font>
      <b/>
      <sz val="12"/>
      <name val="宋体"/>
      <family val="3"/>
      <charset val="134"/>
    </font>
    <font>
      <b/>
      <sz val="10"/>
      <color theme="1"/>
      <name val="宋体"/>
      <family val="3"/>
      <charset val="134"/>
    </font>
    <font>
      <sz val="9"/>
      <name val="宋体"/>
      <family val="3"/>
      <charset val="134"/>
      <scheme val="minor"/>
    </font>
    <font>
      <b/>
      <sz val="10"/>
      <color rgb="FFFF0000"/>
      <name val="宋体"/>
      <family val="3"/>
      <charset val="134"/>
    </font>
    <font>
      <b/>
      <sz val="10"/>
      <color rgb="FFFF0000"/>
      <name val="Arial"/>
      <family val="2"/>
    </font>
    <font>
      <b/>
      <i/>
      <sz val="10"/>
      <color rgb="FFFF0000"/>
      <name val="宋体"/>
      <family val="3"/>
      <charset val="134"/>
    </font>
    <font>
      <b/>
      <sz val="10"/>
      <color theme="1"/>
      <name val="楷体_GB2312"/>
      <family val="2"/>
      <charset val="134"/>
    </font>
    <font>
      <sz val="9"/>
      <name val="楷体_GB2312"/>
      <family val="2"/>
      <charset val="134"/>
    </font>
    <font>
      <sz val="10"/>
      <color rgb="FF707070"/>
      <name val="Arial"/>
      <family val="2"/>
    </font>
    <font>
      <b/>
      <sz val="10"/>
      <color theme="0"/>
      <name val="Arial"/>
      <family val="2"/>
    </font>
    <font>
      <sz val="10"/>
      <color rgb="FF707070"/>
      <name val="宋体"/>
      <family val="3"/>
      <charset val="134"/>
    </font>
    <font>
      <b/>
      <sz val="11"/>
      <color indexed="8"/>
      <name val="宋体"/>
      <family val="3"/>
      <charset val="134"/>
    </font>
    <font>
      <sz val="12"/>
      <color theme="1"/>
      <name val="宋体"/>
      <family val="3"/>
      <charset val="134"/>
      <scheme val="minor"/>
    </font>
    <font>
      <b/>
      <i/>
      <sz val="12"/>
      <color theme="9" tint="-0.249977111117893"/>
      <name val="Arial"/>
      <family val="2"/>
    </font>
    <font>
      <b/>
      <i/>
      <sz val="12"/>
      <color theme="9" tint="-0.249977111117893"/>
      <name val="宋体"/>
      <family val="3"/>
      <charset val="134"/>
    </font>
    <font>
      <b/>
      <i/>
      <sz val="12"/>
      <color theme="3" tint="0.39997558519241921"/>
      <name val="Arial"/>
      <family val="2"/>
    </font>
    <font>
      <b/>
      <i/>
      <sz val="12"/>
      <color theme="3" tint="0.39997558519241921"/>
      <name val="宋体"/>
      <family val="3"/>
      <charset val="134"/>
    </font>
    <font>
      <b/>
      <sz val="16"/>
      <color theme="3" tint="0.39997558519241921"/>
      <name val="宋体"/>
      <family val="3"/>
      <charset val="134"/>
    </font>
    <font>
      <b/>
      <sz val="12"/>
      <color theme="3" tint="0.39997558519241921"/>
      <name val="宋体"/>
      <family val="3"/>
      <charset val="134"/>
    </font>
    <font>
      <sz val="16"/>
      <name val="宋体"/>
      <family val="3"/>
      <charset val="134"/>
    </font>
    <font>
      <b/>
      <sz val="16"/>
      <name val="΢ȭхڬˎ̥"/>
      <family val="3"/>
      <charset val="134"/>
    </font>
    <font>
      <b/>
      <sz val="18"/>
      <color indexed="10"/>
      <name val="΢ȭхڬˎ̥"/>
      <family val="3"/>
      <charset val="134"/>
    </font>
    <font>
      <b/>
      <sz val="12"/>
      <color rgb="FFFF0000"/>
      <name val="宋体"/>
      <family val="3"/>
      <charset val="134"/>
    </font>
    <font>
      <sz val="12"/>
      <color rgb="FFFF0000"/>
      <name val="宋体"/>
      <family val="3"/>
      <charset val="134"/>
    </font>
    <font>
      <sz val="11"/>
      <color theme="1"/>
      <name val="宋体"/>
      <family val="2"/>
      <scheme val="minor"/>
    </font>
    <font>
      <sz val="11"/>
      <color rgb="FF666666"/>
      <name val="微软雅黑"/>
      <family val="2"/>
      <charset val="134"/>
    </font>
    <font>
      <b/>
      <vertAlign val="superscript"/>
      <sz val="8"/>
      <color rgb="FF666666"/>
      <name val="微软雅黑"/>
      <family val="2"/>
      <charset val="134"/>
    </font>
    <font>
      <b/>
      <sz val="11"/>
      <color rgb="FF666666"/>
      <name val="微软雅黑"/>
      <family val="2"/>
      <charset val="134"/>
    </font>
    <font>
      <sz val="10"/>
      <color rgb="FF000000"/>
      <name val="宋体"/>
      <family val="3"/>
      <charset val="134"/>
    </font>
    <font>
      <sz val="10"/>
      <color rgb="FF000000"/>
      <name val="Arial"/>
      <family val="2"/>
    </font>
    <font>
      <sz val="12"/>
      <color indexed="81"/>
      <name val="宋体"/>
      <family val="3"/>
      <charset val="134"/>
      <scheme val="minor"/>
    </font>
    <font>
      <sz val="11"/>
      <color theme="9" tint="-0.249977111117893"/>
      <name val="Arial"/>
      <family val="2"/>
    </font>
    <font>
      <b/>
      <sz val="11"/>
      <color theme="9" tint="-0.249977111117893"/>
      <name val="Arial"/>
      <family val="2"/>
    </font>
    <font>
      <sz val="10"/>
      <color theme="9" tint="-0.249977111117893"/>
      <name val="Arial"/>
      <family val="2"/>
    </font>
    <font>
      <b/>
      <sz val="11"/>
      <color theme="0" tint="-0.499984740745262"/>
      <name val="Arial"/>
      <family val="2"/>
    </font>
    <font>
      <sz val="12"/>
      <color rgb="FFFF0000"/>
      <name val="Arial"/>
      <family val="2"/>
    </font>
    <font>
      <i/>
      <sz val="10"/>
      <color indexed="8"/>
      <name val="Arial"/>
      <family val="2"/>
    </font>
    <font>
      <b/>
      <sz val="16"/>
      <color indexed="10"/>
      <name val="宋体"/>
      <family val="3"/>
      <charset val="134"/>
    </font>
    <font>
      <b/>
      <sz val="12"/>
      <color indexed="8"/>
      <name val="宋体"/>
      <family val="3"/>
      <charset val="134"/>
    </font>
    <font>
      <sz val="12"/>
      <color indexed="8"/>
      <name val="宋体"/>
      <family val="3"/>
      <charset val="134"/>
    </font>
    <font>
      <vertAlign val="subscript"/>
      <sz val="10"/>
      <color indexed="8"/>
      <name val="宋体"/>
      <family val="3"/>
      <charset val="134"/>
    </font>
    <font>
      <b/>
      <sz val="10"/>
      <color indexed="10"/>
      <name val="宋体"/>
      <family val="3"/>
      <charset val="134"/>
    </font>
    <font>
      <b/>
      <sz val="16"/>
      <color rgb="FFFF0000"/>
      <name val="宋体"/>
      <family val="3"/>
      <charset val="134"/>
    </font>
    <font>
      <sz val="12"/>
      <color theme="1"/>
      <name val="宋体"/>
      <family val="3"/>
      <charset val="134"/>
    </font>
    <font>
      <sz val="14"/>
      <color theme="1"/>
      <name val="宋体"/>
      <family val="3"/>
      <charset val="134"/>
    </font>
    <font>
      <sz val="12"/>
      <color rgb="FF000000"/>
      <name val="宋体"/>
      <family val="3"/>
      <charset val="134"/>
    </font>
    <font>
      <vertAlign val="superscript"/>
      <sz val="10"/>
      <color theme="1"/>
      <name val="宋体"/>
      <family val="3"/>
      <charset val="134"/>
    </font>
    <font>
      <vertAlign val="subscript"/>
      <sz val="10"/>
      <color theme="1"/>
      <name val="Arial"/>
      <family val="2"/>
    </font>
    <font>
      <vertAlign val="superscript"/>
      <sz val="10"/>
      <color theme="1"/>
      <name val="Arial"/>
      <family val="2"/>
    </font>
    <font>
      <sz val="10"/>
      <color indexed="10"/>
      <name val="宋体"/>
      <family val="3"/>
      <charset val="134"/>
    </font>
    <font>
      <b/>
      <sz val="11"/>
      <name val="宋体"/>
      <family val="3"/>
      <charset val="134"/>
    </font>
    <font>
      <sz val="10.5"/>
      <color theme="1"/>
      <name val="黑体"/>
      <family val="3"/>
      <charset val="134"/>
    </font>
    <font>
      <b/>
      <sz val="18"/>
      <color theme="1"/>
      <name val="宋体"/>
      <family val="3"/>
      <charset val="134"/>
    </font>
    <font>
      <b/>
      <sz val="14"/>
      <color theme="1"/>
      <name val="宋体"/>
      <family val="3"/>
      <charset val="134"/>
    </font>
    <font>
      <b/>
      <sz val="14"/>
      <color rgb="FF000000"/>
      <name val="宋体"/>
      <family val="3"/>
      <charset val="134"/>
    </font>
    <font>
      <b/>
      <i/>
      <sz val="14"/>
      <color theme="3" tint="0.39997558519241921"/>
      <name val="宋体"/>
      <family val="3"/>
      <charset val="134"/>
    </font>
    <font>
      <i/>
      <sz val="14"/>
      <color theme="3" tint="0.39997558519241921"/>
      <name val="宋体"/>
      <family val="3"/>
      <charset val="134"/>
    </font>
    <font>
      <sz val="14"/>
      <color theme="9" tint="-0.249977111117893"/>
      <name val="宋体"/>
      <family val="3"/>
      <charset val="134"/>
    </font>
    <font>
      <b/>
      <sz val="14"/>
      <color theme="1"/>
      <name val="宋体"/>
      <family val="3"/>
      <charset val="134"/>
      <scheme val="minor"/>
    </font>
    <font>
      <sz val="14"/>
      <color theme="1"/>
      <name val="宋体"/>
      <family val="3"/>
      <charset val="134"/>
      <scheme val="minor"/>
    </font>
    <font>
      <b/>
      <sz val="18"/>
      <color theme="1"/>
      <name val="Arial"/>
      <family val="2"/>
    </font>
    <font>
      <b/>
      <sz val="14"/>
      <color theme="1"/>
      <name val="Arial"/>
      <family val="2"/>
    </font>
    <font>
      <b/>
      <sz val="14"/>
      <color rgb="FF000000"/>
      <name val="Arial"/>
      <family val="2"/>
    </font>
    <font>
      <b/>
      <i/>
      <sz val="14"/>
      <color theme="3" tint="0.39997558519241921"/>
      <name val="Arial"/>
      <family val="2"/>
    </font>
    <font>
      <i/>
      <sz val="14"/>
      <color theme="3" tint="0.39997558519241921"/>
      <name val="Arial"/>
      <family val="2"/>
    </font>
    <font>
      <sz val="14"/>
      <color theme="9" tint="-0.249977111117893"/>
      <name val="Arial"/>
      <family val="2"/>
    </font>
    <font>
      <b/>
      <sz val="12"/>
      <color rgb="FF000000"/>
      <name val="宋体"/>
      <family val="3"/>
      <charset val="134"/>
    </font>
    <font>
      <b/>
      <sz val="12"/>
      <color indexed="8"/>
      <name val="宋体"/>
      <family val="3"/>
      <charset val="134"/>
      <scheme val="minor"/>
    </font>
    <font>
      <b/>
      <sz val="12"/>
      <color rgb="FF000000"/>
      <name val="Arial"/>
      <family val="2"/>
    </font>
    <font>
      <b/>
      <sz val="11"/>
      <color theme="1"/>
      <name val="Arial"/>
      <family val="2"/>
    </font>
    <font>
      <b/>
      <sz val="14"/>
      <color indexed="8"/>
      <name val="Arial"/>
      <family val="2"/>
    </font>
    <font>
      <sz val="14"/>
      <color rgb="FF000000"/>
      <name val="宋体"/>
      <family val="3"/>
      <charset val="134"/>
    </font>
    <font>
      <sz val="12"/>
      <color theme="9" tint="-0.249977111117893"/>
      <name val="宋体"/>
      <family val="3"/>
      <charset val="134"/>
    </font>
    <font>
      <sz val="11"/>
      <color theme="9" tint="-0.249977111117893"/>
      <name val="宋体"/>
      <family val="3"/>
      <charset val="134"/>
    </font>
    <font>
      <sz val="11"/>
      <color indexed="53"/>
      <name val="宋体"/>
      <family val="3"/>
      <charset val="134"/>
    </font>
    <font>
      <i/>
      <sz val="11"/>
      <color theme="3" tint="0.39997558519241921"/>
      <name val="宋体"/>
      <family val="3"/>
      <charset val="134"/>
    </font>
    <font>
      <sz val="14"/>
      <color rgb="FF000000"/>
      <name val="Arial"/>
      <family val="2"/>
    </font>
    <font>
      <sz val="14"/>
      <color rgb="FFE36C0A"/>
      <name val="Arial"/>
      <family val="2"/>
    </font>
    <font>
      <sz val="12"/>
      <color theme="9" tint="-0.249977111117893"/>
      <name val="Arial"/>
      <family val="2"/>
    </font>
    <font>
      <b/>
      <sz val="14"/>
      <color rgb="FFFF0000"/>
      <name val="宋体"/>
      <family val="3"/>
      <charset val="134"/>
    </font>
    <font>
      <b/>
      <sz val="14"/>
      <color rgb="FFFF0000"/>
      <name val="宋体"/>
      <family val="3"/>
      <charset val="134"/>
      <scheme val="minor"/>
    </font>
    <font>
      <b/>
      <sz val="14"/>
      <color indexed="10"/>
      <name val="宋体"/>
      <family val="3"/>
      <charset val="134"/>
      <scheme val="minor"/>
    </font>
    <font>
      <sz val="11"/>
      <color indexed="8"/>
      <name val="宋体"/>
      <family val="3"/>
      <charset val="134"/>
      <scheme val="minor"/>
    </font>
    <font>
      <b/>
      <sz val="12"/>
      <color indexed="13"/>
      <name val="宋体"/>
      <family val="3"/>
      <charset val="134"/>
      <scheme val="minor"/>
    </font>
    <font>
      <b/>
      <sz val="12"/>
      <color indexed="10"/>
      <name val="宋体"/>
      <family val="3"/>
      <charset val="134"/>
      <scheme val="minor"/>
    </font>
    <font>
      <b/>
      <sz val="12"/>
      <color rgb="FFFF0000"/>
      <name val="宋体"/>
      <family val="3"/>
      <charset val="134"/>
      <scheme val="minor"/>
    </font>
    <font>
      <sz val="9"/>
      <color indexed="8"/>
      <name val="宋体"/>
      <family val="3"/>
      <charset val="134"/>
    </font>
    <font>
      <sz val="10"/>
      <color theme="9" tint="-0.249977111117893"/>
      <name val="宋体"/>
      <family val="3"/>
      <charset val="134"/>
    </font>
    <font>
      <sz val="9"/>
      <color rgb="FFFF0000"/>
      <name val="Arial"/>
      <family val="2"/>
    </font>
    <font>
      <sz val="11"/>
      <color indexed="10"/>
      <name val="宋体"/>
      <family val="3"/>
      <charset val="134"/>
    </font>
    <font>
      <sz val="14"/>
      <color indexed="8"/>
      <name val="Arial"/>
      <family val="2"/>
    </font>
    <font>
      <b/>
      <i/>
      <sz val="11"/>
      <color theme="3" tint="0.39997558519241921"/>
      <name val="宋体"/>
      <family val="3"/>
      <charset val="134"/>
    </font>
    <font>
      <i/>
      <sz val="10"/>
      <name val="宋体"/>
      <family val="3"/>
      <charset val="134"/>
    </font>
    <font>
      <b/>
      <vertAlign val="subscript"/>
      <sz val="10"/>
      <name val="Arial"/>
      <family val="2"/>
    </font>
    <font>
      <b/>
      <sz val="11"/>
      <color theme="1"/>
      <name val="宋体"/>
      <family val="3"/>
      <charset val="134"/>
    </font>
    <font>
      <b/>
      <sz val="12"/>
      <color indexed="10"/>
      <name val="Arial"/>
      <family val="2"/>
    </font>
    <font>
      <b/>
      <sz val="11"/>
      <color theme="9" tint="-0.249977111117893"/>
      <name val="宋体"/>
      <family val="3"/>
      <charset val="134"/>
    </font>
    <font>
      <b/>
      <sz val="11"/>
      <color indexed="10"/>
      <name val="宋体"/>
      <family val="3"/>
      <charset val="134"/>
    </font>
    <font>
      <sz val="10"/>
      <color indexed="53"/>
      <name val="宋体"/>
      <family val="3"/>
      <charset val="134"/>
    </font>
    <font>
      <b/>
      <sz val="11"/>
      <color rgb="FFFF0000"/>
      <name val="宋体"/>
      <family val="3"/>
      <charset val="134"/>
    </font>
    <font>
      <b/>
      <sz val="8"/>
      <color indexed="81"/>
      <name val="宋体"/>
      <family val="3"/>
      <charset val="134"/>
    </font>
    <font>
      <vertAlign val="superscript"/>
      <sz val="10"/>
      <color indexed="8"/>
      <name val="Arial"/>
      <family val="2"/>
    </font>
    <font>
      <sz val="16"/>
      <color rgb="FFFF0000"/>
      <name val="宋体"/>
      <family val="3"/>
      <charset val="134"/>
      <scheme val="minor"/>
    </font>
    <font>
      <sz val="16"/>
      <color theme="1"/>
      <name val="Arial"/>
      <family val="2"/>
    </font>
    <font>
      <sz val="11"/>
      <color indexed="10"/>
      <name val="楷体_GB2312"/>
      <family val="3"/>
      <charset val="134"/>
    </font>
    <font>
      <sz val="11"/>
      <color rgb="FFFF0000"/>
      <name val="楷体_GB2312"/>
      <family val="3"/>
      <charset val="134"/>
    </font>
    <font>
      <sz val="13"/>
      <color theme="1"/>
      <name val="宋体"/>
      <family val="3"/>
      <charset val="134"/>
    </font>
    <font>
      <sz val="9"/>
      <name val="Arial"/>
      <family val="2"/>
    </font>
    <font>
      <b/>
      <sz val="10"/>
      <color theme="9" tint="-0.249977111117893"/>
      <name val="Arial"/>
      <family val="2"/>
    </font>
    <font>
      <b/>
      <sz val="10"/>
      <color indexed="53"/>
      <name val="宋体"/>
      <family val="3"/>
      <charset val="134"/>
    </font>
    <font>
      <sz val="11"/>
      <color theme="1"/>
      <name val="宋体"/>
      <family val="3"/>
      <charset val="134"/>
      <scheme val="minor"/>
    </font>
    <font>
      <sz val="9"/>
      <color theme="1"/>
      <name val="宋体"/>
      <family val="3"/>
      <charset val="134"/>
      <scheme val="minor"/>
    </font>
    <font>
      <sz val="9"/>
      <name val="宋体"/>
      <family val="2"/>
      <charset val="134"/>
      <scheme val="minor"/>
    </font>
    <font>
      <sz val="12"/>
      <color rgb="FFFF0000"/>
      <name val="宋体"/>
      <family val="3"/>
      <charset val="134"/>
      <scheme val="minor"/>
    </font>
    <font>
      <b/>
      <sz val="12"/>
      <color rgb="FFFF0000"/>
      <name val="仿宋_GB2312"/>
      <family val="3"/>
      <charset val="134"/>
    </font>
    <font>
      <sz val="9"/>
      <name val="仿宋_GB2312"/>
      <family val="3"/>
      <charset val="134"/>
    </font>
    <font>
      <sz val="9"/>
      <color rgb="FF000000"/>
      <name val="仿宋_GB2312"/>
      <family val="3"/>
      <charset val="134"/>
    </font>
    <font>
      <b/>
      <sz val="10"/>
      <color theme="9" tint="-0.249977111117893"/>
      <name val="宋体"/>
      <family val="3"/>
      <charset val="134"/>
    </font>
    <font>
      <b/>
      <sz val="10"/>
      <color rgb="FF707070"/>
      <name val="Arial"/>
      <family val="2"/>
    </font>
    <font>
      <b/>
      <sz val="9"/>
      <color theme="1"/>
      <name val="仿宋_GB2312"/>
      <family val="3"/>
      <charset val="134"/>
    </font>
    <font>
      <sz val="9"/>
      <color theme="1"/>
      <name val="仿宋_GB2312"/>
      <family val="3"/>
      <charset val="134"/>
    </font>
    <font>
      <b/>
      <sz val="9"/>
      <color theme="1"/>
      <name val="宋体"/>
      <family val="3"/>
      <charset val="134"/>
      <scheme val="minor"/>
    </font>
    <font>
      <sz val="9"/>
      <color indexed="8"/>
      <name val="仿宋_GB2312"/>
      <family val="3"/>
      <charset val="134"/>
    </font>
    <font>
      <sz val="8"/>
      <color theme="1"/>
      <name val="仿宋_GB2312"/>
      <family val="3"/>
      <charset val="134"/>
    </font>
    <font>
      <sz val="8"/>
      <color theme="1"/>
      <name val="宋体"/>
      <family val="3"/>
      <charset val="134"/>
    </font>
    <font>
      <sz val="9"/>
      <color theme="1"/>
      <name val="Times New Roman"/>
      <family val="1"/>
    </font>
    <font>
      <sz val="8"/>
      <color indexed="8"/>
      <name val="仿宋_GB2312"/>
      <family val="3"/>
      <charset val="134"/>
    </font>
    <font>
      <sz val="8"/>
      <color indexed="8"/>
      <name val="宋体"/>
      <family val="3"/>
      <charset val="134"/>
    </font>
    <font>
      <sz val="11"/>
      <color theme="1"/>
      <name val="方正黑体简体"/>
      <family val="3"/>
      <charset val="134"/>
    </font>
    <font>
      <sz val="9"/>
      <color rgb="FF000000"/>
      <name val="华文细黑"/>
      <family val="3"/>
      <charset val="134"/>
    </font>
    <font>
      <sz val="9"/>
      <color theme="1"/>
      <name val="华文细黑"/>
      <family val="3"/>
      <charset val="134"/>
    </font>
    <font>
      <sz val="9"/>
      <color rgb="FF000000"/>
      <name val="Arial"/>
      <family val="2"/>
    </font>
    <font>
      <b/>
      <sz val="14"/>
      <color indexed="81"/>
      <name val="宋体"/>
      <family val="3"/>
      <charset val="134"/>
    </font>
    <font>
      <sz val="10"/>
      <name val="楷体_GB2312"/>
      <family val="2"/>
      <charset val="134"/>
    </font>
    <font>
      <sz val="9"/>
      <color theme="1"/>
      <name val="Arial"/>
      <family val="2"/>
    </font>
    <font>
      <sz val="9"/>
      <color theme="1"/>
      <name val="宋体"/>
      <family val="3"/>
      <charset val="134"/>
    </font>
    <font>
      <sz val="12"/>
      <color theme="1"/>
      <name val="宋体"/>
      <family val="2"/>
      <scheme val="minor"/>
    </font>
  </fonts>
  <fills count="23">
    <fill>
      <patternFill patternType="none"/>
    </fill>
    <fill>
      <patternFill patternType="gray125"/>
    </fill>
    <fill>
      <patternFill patternType="solid">
        <fgColor indexed="13"/>
        <bgColor indexed="64"/>
      </patternFill>
    </fill>
    <fill>
      <patternFill patternType="solid">
        <fgColor indexed="9"/>
        <bgColor indexed="64"/>
      </patternFill>
    </fill>
    <fill>
      <patternFill patternType="solid">
        <fgColor indexed="10"/>
        <bgColor indexed="64"/>
      </patternFill>
    </fill>
    <fill>
      <patternFill patternType="solid">
        <fgColor rgb="FFFFFF00"/>
        <bgColor indexed="64"/>
      </patternFill>
    </fill>
    <fill>
      <patternFill patternType="solid">
        <fgColor theme="0" tint="-0.249977111117893"/>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theme="8" tint="0.59999389629810485"/>
        <bgColor indexed="64"/>
      </patternFill>
    </fill>
    <fill>
      <patternFill patternType="solid">
        <fgColor rgb="FFF0F0F0"/>
        <bgColor indexed="64"/>
      </patternFill>
    </fill>
    <fill>
      <patternFill patternType="solid">
        <fgColor rgb="FFFFFFFF"/>
        <bgColor indexed="64"/>
      </patternFill>
    </fill>
    <fill>
      <patternFill patternType="solid">
        <fgColor theme="3" tint="0.59999389629810485"/>
        <bgColor indexed="64"/>
      </patternFill>
    </fill>
    <fill>
      <patternFill patternType="solid">
        <fgColor theme="6" tint="0.59999389629810485"/>
        <bgColor indexed="64"/>
      </patternFill>
    </fill>
    <fill>
      <patternFill patternType="solid">
        <fgColor theme="6" tint="0.39997558519241921"/>
        <bgColor indexed="64"/>
      </patternFill>
    </fill>
    <fill>
      <patternFill patternType="solid">
        <fgColor rgb="FF57EF57"/>
        <bgColor indexed="64"/>
      </patternFill>
    </fill>
    <fill>
      <patternFill patternType="solid">
        <fgColor theme="7" tint="0.39997558519241921"/>
        <bgColor indexed="64"/>
      </patternFill>
    </fill>
    <fill>
      <patternFill patternType="solid">
        <fgColor theme="9" tint="-0.249977111117893"/>
        <bgColor indexed="64"/>
      </patternFill>
    </fill>
    <fill>
      <patternFill patternType="solid">
        <fgColor theme="0" tint="-0.14999847407452621"/>
        <bgColor indexed="64"/>
      </patternFill>
    </fill>
    <fill>
      <patternFill patternType="solid">
        <fgColor theme="0" tint="-0.499984740745262"/>
        <bgColor indexed="64"/>
      </patternFill>
    </fill>
    <fill>
      <patternFill patternType="solid">
        <fgColor theme="8" tint="0.39997558519241921"/>
        <bgColor indexed="64"/>
      </patternFill>
    </fill>
    <fill>
      <patternFill patternType="solid">
        <fgColor rgb="FF00B050"/>
        <bgColor indexed="64"/>
      </patternFill>
    </fill>
  </fills>
  <borders count="182">
    <border>
      <left/>
      <right/>
      <top/>
      <bottom/>
      <diagonal/>
    </border>
    <border>
      <left style="thin">
        <color indexed="64"/>
      </left>
      <right style="thin">
        <color indexed="64"/>
      </right>
      <top style="thin">
        <color indexed="64"/>
      </top>
      <bottom style="thin">
        <color indexed="64"/>
      </bottom>
      <diagonal/>
    </border>
    <border>
      <left style="thin">
        <color indexed="64"/>
      </left>
      <right style="thin">
        <color indexed="64"/>
      </right>
      <top/>
      <bottom style="thin">
        <color indexed="64"/>
      </bottom>
      <diagonal/>
    </border>
    <border>
      <left/>
      <right style="thin">
        <color indexed="64"/>
      </right>
      <top style="thin">
        <color indexed="64"/>
      </top>
      <bottom style="thin">
        <color indexed="64"/>
      </bottom>
      <diagonal/>
    </border>
    <border>
      <left style="thin">
        <color indexed="64"/>
      </left>
      <right/>
      <top/>
      <bottom style="thin">
        <color indexed="64"/>
      </bottom>
      <diagonal/>
    </border>
    <border>
      <left style="thin">
        <color indexed="64"/>
      </left>
      <right/>
      <top style="thin">
        <color indexed="64"/>
      </top>
      <bottom style="thin">
        <color indexed="64"/>
      </bottom>
      <diagonal/>
    </border>
    <border>
      <left style="medium">
        <color indexed="64"/>
      </left>
      <right style="thin">
        <color indexed="64"/>
      </right>
      <top style="medium">
        <color indexed="64"/>
      </top>
      <bottom style="thin">
        <color indexed="64"/>
      </bottom>
      <diagonal/>
    </border>
    <border>
      <left/>
      <right style="thin">
        <color indexed="64"/>
      </right>
      <top/>
      <bottom style="thin">
        <color indexed="64"/>
      </bottom>
      <diagonal/>
    </border>
    <border>
      <left style="thin">
        <color indexed="64"/>
      </left>
      <right style="medium">
        <color indexed="64"/>
      </right>
      <top/>
      <bottom style="thin">
        <color indexed="64"/>
      </bottom>
      <diagonal/>
    </border>
    <border>
      <left style="thin">
        <color indexed="64"/>
      </left>
      <right style="thin">
        <color indexed="64"/>
      </right>
      <top style="medium">
        <color indexed="64"/>
      </top>
      <bottom style="thin">
        <color indexed="64"/>
      </bottom>
      <diagonal/>
    </border>
    <border>
      <left style="thin">
        <color indexed="64"/>
      </left>
      <right style="medium">
        <color indexed="64"/>
      </right>
      <top style="medium">
        <color indexed="64"/>
      </top>
      <bottom style="thin">
        <color indexed="64"/>
      </bottom>
      <diagonal/>
    </border>
    <border>
      <left style="medium">
        <color indexed="64"/>
      </left>
      <right style="thin">
        <color indexed="64"/>
      </right>
      <top style="thin">
        <color indexed="64"/>
      </top>
      <bottom/>
      <diagonal/>
    </border>
    <border>
      <left style="medium">
        <color indexed="64"/>
      </left>
      <right style="thin">
        <color indexed="64"/>
      </right>
      <top/>
      <bottom style="medium">
        <color indexed="64"/>
      </bottom>
      <diagonal/>
    </border>
    <border>
      <left style="thin">
        <color indexed="64"/>
      </left>
      <right style="thin">
        <color indexed="64"/>
      </right>
      <top style="thin">
        <color indexed="64"/>
      </top>
      <bottom/>
      <diagonal/>
    </border>
    <border>
      <left style="medium">
        <color indexed="64"/>
      </left>
      <right style="thin">
        <color indexed="64"/>
      </right>
      <top/>
      <bottom/>
      <diagonal/>
    </border>
    <border>
      <left style="thin">
        <color indexed="64"/>
      </left>
      <right style="thin">
        <color indexed="64"/>
      </right>
      <top/>
      <bottom/>
      <diagonal/>
    </border>
    <border>
      <left style="medium">
        <color indexed="64"/>
      </left>
      <right/>
      <top style="medium">
        <color indexed="64"/>
      </top>
      <bottom/>
      <diagonal/>
    </border>
    <border>
      <left style="thin">
        <color indexed="64"/>
      </left>
      <right style="thin">
        <color indexed="64"/>
      </right>
      <top style="medium">
        <color indexed="64"/>
      </top>
      <bottom/>
      <diagonal/>
    </border>
    <border>
      <left style="medium">
        <color indexed="64"/>
      </left>
      <right/>
      <top/>
      <bottom/>
      <diagonal/>
    </border>
    <border>
      <left/>
      <right/>
      <top style="medium">
        <color indexed="64"/>
      </top>
      <bottom/>
      <diagonal/>
    </border>
    <border>
      <left/>
      <right/>
      <top style="medium">
        <color indexed="64"/>
      </top>
      <bottom style="thin">
        <color indexed="64"/>
      </bottom>
      <diagonal/>
    </border>
    <border>
      <left/>
      <right style="medium">
        <color indexed="64"/>
      </right>
      <top style="medium">
        <color indexed="64"/>
      </top>
      <bottom style="thin">
        <color indexed="64"/>
      </bottom>
      <diagonal/>
    </border>
    <border>
      <left/>
      <right style="thin">
        <color indexed="64"/>
      </right>
      <top style="thin">
        <color indexed="64"/>
      </top>
      <bottom/>
      <diagonal/>
    </border>
    <border>
      <left style="medium">
        <color indexed="64"/>
      </left>
      <right style="thin">
        <color indexed="64"/>
      </right>
      <top style="thin">
        <color indexed="64"/>
      </top>
      <bottom style="thin">
        <color indexed="64"/>
      </bottom>
      <diagonal/>
    </border>
    <border>
      <left style="thin">
        <color indexed="64"/>
      </left>
      <right style="medium">
        <color indexed="64"/>
      </right>
      <top style="thin">
        <color indexed="64"/>
      </top>
      <bottom style="thin">
        <color indexed="64"/>
      </bottom>
      <diagonal/>
    </border>
    <border>
      <left style="medium">
        <color indexed="64"/>
      </left>
      <right style="thin">
        <color indexed="64"/>
      </right>
      <top style="thin">
        <color indexed="64"/>
      </top>
      <bottom style="medium">
        <color indexed="64"/>
      </bottom>
      <diagonal/>
    </border>
    <border>
      <left style="medium">
        <color indexed="64"/>
      </left>
      <right style="thin">
        <color indexed="64"/>
      </right>
      <top style="medium">
        <color indexed="64"/>
      </top>
      <bottom style="medium">
        <color indexed="64"/>
      </bottom>
      <diagonal/>
    </border>
    <border>
      <left style="medium">
        <color indexed="64"/>
      </left>
      <right style="medium">
        <color indexed="64"/>
      </right>
      <top style="medium">
        <color indexed="64"/>
      </top>
      <bottom/>
      <diagonal/>
    </border>
    <border>
      <left style="thin">
        <color indexed="64"/>
      </left>
      <right/>
      <top style="medium">
        <color indexed="64"/>
      </top>
      <bottom style="thin">
        <color indexed="64"/>
      </bottom>
      <diagonal/>
    </border>
    <border>
      <left style="thin">
        <color indexed="64"/>
      </left>
      <right/>
      <top style="medium">
        <color indexed="64"/>
      </top>
      <bottom/>
      <diagonal/>
    </border>
    <border>
      <left/>
      <right style="thin">
        <color indexed="64"/>
      </right>
      <top style="medium">
        <color indexed="64"/>
      </top>
      <bottom style="thin">
        <color indexed="64"/>
      </bottom>
      <diagonal/>
    </border>
    <border>
      <left/>
      <right style="medium">
        <color indexed="64"/>
      </right>
      <top style="medium">
        <color indexed="64"/>
      </top>
      <bottom/>
      <diagonal/>
    </border>
    <border>
      <left style="thin">
        <color indexed="64"/>
      </left>
      <right style="thin">
        <color indexed="64"/>
      </right>
      <top style="thin">
        <color indexed="64"/>
      </top>
      <bottom style="medium">
        <color indexed="64"/>
      </bottom>
      <diagonal/>
    </border>
    <border>
      <left style="thin">
        <color indexed="64"/>
      </left>
      <right/>
      <top style="thin">
        <color indexed="64"/>
      </top>
      <bottom style="medium">
        <color indexed="64"/>
      </bottom>
      <diagonal/>
    </border>
    <border>
      <left style="thin">
        <color indexed="64"/>
      </left>
      <right/>
      <top style="medium">
        <color indexed="64"/>
      </top>
      <bottom style="medium">
        <color indexed="64"/>
      </bottom>
      <diagonal/>
    </border>
    <border>
      <left/>
      <right style="thin">
        <color indexed="64"/>
      </right>
      <top/>
      <bottom/>
      <diagonal/>
    </border>
    <border>
      <left/>
      <right/>
      <top style="thin">
        <color indexed="64"/>
      </top>
      <bottom/>
      <diagonal/>
    </border>
    <border>
      <left style="medium">
        <color indexed="64"/>
      </left>
      <right/>
      <top style="thin">
        <color indexed="64"/>
      </top>
      <bottom style="thin">
        <color indexed="64"/>
      </bottom>
      <diagonal/>
    </border>
    <border>
      <left style="medium">
        <color indexed="64"/>
      </left>
      <right/>
      <top style="thin">
        <color indexed="64"/>
      </top>
      <bottom style="medium">
        <color indexed="64"/>
      </bottom>
      <diagonal/>
    </border>
    <border>
      <left/>
      <right style="thin">
        <color indexed="64"/>
      </right>
      <top style="medium">
        <color indexed="64"/>
      </top>
      <bottom/>
      <diagonal/>
    </border>
    <border>
      <left style="medium">
        <color indexed="64"/>
      </left>
      <right style="thin">
        <color indexed="64"/>
      </right>
      <top style="medium">
        <color indexed="64"/>
      </top>
      <bottom/>
      <diagonal/>
    </border>
    <border>
      <left style="medium">
        <color indexed="64"/>
      </left>
      <right style="thin">
        <color indexed="64"/>
      </right>
      <top/>
      <bottom style="thin">
        <color indexed="64"/>
      </bottom>
      <diagonal/>
    </border>
    <border>
      <left style="medium">
        <color indexed="64"/>
      </left>
      <right/>
      <top/>
      <bottom style="medium">
        <color indexed="64"/>
      </bottom>
      <diagonal/>
    </border>
    <border>
      <left/>
      <right style="medium">
        <color indexed="64"/>
      </right>
      <top/>
      <bottom style="medium">
        <color indexed="64"/>
      </bottom>
      <diagonal/>
    </border>
    <border>
      <left style="thin">
        <color indexed="64"/>
      </left>
      <right style="thin">
        <color indexed="64"/>
      </right>
      <top style="double">
        <color indexed="64"/>
      </top>
      <bottom style="thin">
        <color indexed="64"/>
      </bottom>
      <diagonal/>
    </border>
    <border>
      <left style="thin">
        <color indexed="64"/>
      </left>
      <right style="medium">
        <color indexed="64"/>
      </right>
      <top style="double">
        <color indexed="64"/>
      </top>
      <bottom style="thin">
        <color indexed="64"/>
      </bottom>
      <diagonal/>
    </border>
    <border>
      <left style="thin">
        <color indexed="64"/>
      </left>
      <right/>
      <top style="thin">
        <color indexed="64"/>
      </top>
      <bottom/>
      <diagonal/>
    </border>
    <border>
      <left/>
      <right/>
      <top/>
      <bottom style="medium">
        <color indexed="64"/>
      </bottom>
      <diagonal/>
    </border>
    <border>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medium">
        <color indexed="64"/>
      </left>
      <right style="medium">
        <color indexed="64"/>
      </right>
      <top/>
      <bottom style="thin">
        <color indexed="64"/>
      </bottom>
      <diagonal/>
    </border>
    <border>
      <left style="medium">
        <color indexed="64"/>
      </left>
      <right/>
      <top style="medium">
        <color indexed="64"/>
      </top>
      <bottom style="thin">
        <color indexed="64"/>
      </bottom>
      <diagonal/>
    </border>
    <border>
      <left/>
      <right/>
      <top style="thin">
        <color indexed="64"/>
      </top>
      <bottom style="medium">
        <color indexed="64"/>
      </bottom>
      <diagonal/>
    </border>
    <border>
      <left style="thin">
        <color indexed="64"/>
      </left>
      <right style="medium">
        <color indexed="64"/>
      </right>
      <top/>
      <bottom/>
      <diagonal/>
    </border>
    <border>
      <left/>
      <right/>
      <top style="thin">
        <color indexed="64"/>
      </top>
      <bottom style="thin">
        <color indexed="64"/>
      </bottom>
      <diagonal/>
    </border>
    <border>
      <left style="medium">
        <color indexed="64"/>
      </left>
      <right/>
      <top style="thin">
        <color indexed="64"/>
      </top>
      <bottom/>
      <diagonal/>
    </border>
    <border>
      <left/>
      <right style="medium">
        <color indexed="64"/>
      </right>
      <top/>
      <bottom/>
      <diagonal/>
    </border>
    <border>
      <left style="thin">
        <color indexed="64"/>
      </left>
      <right style="thin">
        <color indexed="64"/>
      </right>
      <top style="double">
        <color indexed="64"/>
      </top>
      <bottom/>
      <diagonal/>
    </border>
    <border>
      <left style="thin">
        <color indexed="64"/>
      </left>
      <right/>
      <top/>
      <bottom/>
      <diagonal/>
    </border>
    <border>
      <left/>
      <right style="medium">
        <color indexed="64"/>
      </right>
      <top style="thin">
        <color indexed="64"/>
      </top>
      <bottom/>
      <diagonal/>
    </border>
    <border>
      <left/>
      <right/>
      <top/>
      <bottom style="thin">
        <color indexed="64"/>
      </bottom>
      <diagonal/>
    </border>
    <border>
      <left style="thin">
        <color indexed="64"/>
      </left>
      <right style="medium">
        <color indexed="64"/>
      </right>
      <top style="thin">
        <color indexed="64"/>
      </top>
      <bottom/>
      <diagonal/>
    </border>
    <border>
      <left style="thin">
        <color indexed="64"/>
      </left>
      <right style="medium">
        <color indexed="64"/>
      </right>
      <top style="medium">
        <color indexed="64"/>
      </top>
      <bottom/>
      <diagonal/>
    </border>
    <border>
      <left style="medium">
        <color indexed="64"/>
      </left>
      <right/>
      <top style="medium">
        <color indexed="64"/>
      </top>
      <bottom style="medium">
        <color indexed="64"/>
      </bottom>
      <diagonal/>
    </border>
    <border>
      <left/>
      <right/>
      <top style="medium">
        <color indexed="64"/>
      </top>
      <bottom style="medium">
        <color indexed="64"/>
      </bottom>
      <diagonal/>
    </border>
    <border>
      <left/>
      <right style="medium">
        <color indexed="64"/>
      </right>
      <top style="medium">
        <color indexed="64"/>
      </top>
      <bottom style="medium">
        <color indexed="64"/>
      </bottom>
      <diagonal/>
    </border>
    <border>
      <left/>
      <right style="thin">
        <color indexed="64"/>
      </right>
      <top style="thin">
        <color indexed="64"/>
      </top>
      <bottom style="medium">
        <color indexed="64"/>
      </bottom>
      <diagonal/>
    </border>
    <border>
      <left style="thin">
        <color indexed="64"/>
      </left>
      <right style="medium">
        <color indexed="64"/>
      </right>
      <top style="medium">
        <color indexed="64"/>
      </top>
      <bottom style="medium">
        <color indexed="64"/>
      </bottom>
      <diagonal/>
    </border>
    <border>
      <left/>
      <right style="medium">
        <color indexed="64"/>
      </right>
      <top style="thin">
        <color indexed="64"/>
      </top>
      <bottom style="medium">
        <color indexed="64"/>
      </bottom>
      <diagonal/>
    </border>
    <border>
      <left style="medium">
        <color indexed="64"/>
      </left>
      <right/>
      <top/>
      <bottom style="thin">
        <color indexed="64"/>
      </bottom>
      <diagonal/>
    </border>
    <border>
      <left/>
      <right style="thin">
        <color indexed="64"/>
      </right>
      <top style="medium">
        <color indexed="64"/>
      </top>
      <bottom style="medium">
        <color indexed="64"/>
      </bottom>
      <diagonal/>
    </border>
    <border>
      <left/>
      <right style="medium">
        <color indexed="64"/>
      </right>
      <top/>
      <bottom style="thin">
        <color indexed="64"/>
      </bottom>
      <diagonal/>
    </border>
    <border>
      <left style="medium">
        <color indexed="64"/>
      </left>
      <right style="medium">
        <color indexed="64"/>
      </right>
      <top style="thin">
        <color indexed="64"/>
      </top>
      <bottom/>
      <diagonal/>
    </border>
    <border>
      <left/>
      <right style="thin">
        <color indexed="64"/>
      </right>
      <top/>
      <bottom style="medium">
        <color indexed="64"/>
      </bottom>
      <diagonal/>
    </border>
    <border>
      <left style="thin">
        <color indexed="64"/>
      </left>
      <right style="thin">
        <color indexed="64"/>
      </right>
      <top/>
      <bottom style="medium">
        <color indexed="64"/>
      </bottom>
      <diagonal/>
    </border>
    <border>
      <left style="thin">
        <color indexed="64"/>
      </left>
      <right/>
      <top/>
      <bottom style="medium">
        <color indexed="64"/>
      </bottom>
      <diagonal/>
    </border>
    <border>
      <left style="thin">
        <color indexed="64"/>
      </left>
      <right style="medium">
        <color indexed="64"/>
      </right>
      <top/>
      <bottom style="medium">
        <color indexed="64"/>
      </bottom>
      <diagonal/>
    </border>
    <border>
      <left style="thin">
        <color indexed="64"/>
      </left>
      <right style="thin">
        <color indexed="64"/>
      </right>
      <top/>
      <bottom style="double">
        <color indexed="64"/>
      </bottom>
      <diagonal/>
    </border>
    <border>
      <left style="thin">
        <color indexed="64"/>
      </left>
      <right style="thin">
        <color indexed="64"/>
      </right>
      <top style="thin">
        <color indexed="64"/>
      </top>
      <bottom style="double">
        <color indexed="64"/>
      </bottom>
      <diagonal/>
    </border>
    <border>
      <left style="thin">
        <color indexed="64"/>
      </left>
      <right style="medium">
        <color indexed="64"/>
      </right>
      <top style="thin">
        <color indexed="64"/>
      </top>
      <bottom style="double">
        <color indexed="64"/>
      </bottom>
      <diagonal/>
    </border>
    <border>
      <left style="medium">
        <color indexed="64"/>
      </left>
      <right style="medium">
        <color indexed="64"/>
      </right>
      <top/>
      <bottom/>
      <diagonal/>
    </border>
    <border>
      <left style="medium">
        <color indexed="64"/>
      </left>
      <right style="medium">
        <color indexed="64"/>
      </right>
      <top/>
      <bottom style="medium">
        <color indexed="64"/>
      </bottom>
      <diagonal/>
    </border>
    <border>
      <left style="medium">
        <color indexed="64"/>
      </left>
      <right style="medium">
        <color indexed="64"/>
      </right>
      <top style="medium">
        <color indexed="64"/>
      </top>
      <bottom style="medium">
        <color indexed="64"/>
      </bottom>
      <diagonal/>
    </border>
    <border>
      <left/>
      <right/>
      <top style="double">
        <color indexed="64"/>
      </top>
      <bottom/>
      <diagonal/>
    </border>
    <border>
      <left style="thin">
        <color indexed="64"/>
      </left>
      <right style="thin">
        <color indexed="64"/>
      </right>
      <top style="medium">
        <color indexed="64"/>
      </top>
      <bottom style="medium">
        <color indexed="64"/>
      </bottom>
      <diagonal/>
    </border>
    <border>
      <left style="thin">
        <color indexed="64"/>
      </left>
      <right/>
      <top style="thin">
        <color indexed="64"/>
      </top>
      <bottom style="double">
        <color indexed="64"/>
      </bottom>
      <diagonal/>
    </border>
    <border>
      <left style="medium">
        <color indexed="64"/>
      </left>
      <right style="medium">
        <color indexed="64"/>
      </right>
      <top style="thin">
        <color indexed="64"/>
      </top>
      <bottom style="thin">
        <color indexed="64"/>
      </bottom>
      <diagonal/>
    </border>
    <border>
      <left/>
      <right/>
      <top/>
      <bottom style="double">
        <color indexed="64"/>
      </bottom>
      <diagonal/>
    </border>
    <border>
      <left/>
      <right/>
      <top style="thin">
        <color indexed="64"/>
      </top>
      <bottom style="double">
        <color indexed="64"/>
      </bottom>
      <diagonal/>
    </border>
    <border>
      <left style="medium">
        <color indexed="64"/>
      </left>
      <right/>
      <top/>
      <bottom style="double">
        <color indexed="64"/>
      </bottom>
      <diagonal/>
    </border>
    <border>
      <left/>
      <right style="medium">
        <color indexed="64"/>
      </right>
      <top style="thin">
        <color indexed="64"/>
      </top>
      <bottom style="double">
        <color indexed="64"/>
      </bottom>
      <diagonal/>
    </border>
    <border>
      <left style="medium">
        <color indexed="64"/>
      </left>
      <right style="thin">
        <color indexed="64"/>
      </right>
      <top style="thin">
        <color indexed="64"/>
      </top>
      <bottom style="double">
        <color indexed="64"/>
      </bottom>
      <diagonal/>
    </border>
    <border>
      <left style="mediumDashed">
        <color indexed="64"/>
      </left>
      <right style="thin">
        <color indexed="64"/>
      </right>
      <top style="thin">
        <color indexed="64"/>
      </top>
      <bottom style="thin">
        <color indexed="64"/>
      </bottom>
      <diagonal/>
    </border>
    <border>
      <left style="mediumDashed">
        <color indexed="64"/>
      </left>
      <right style="thin">
        <color indexed="64"/>
      </right>
      <top/>
      <bottom style="thin">
        <color indexed="64"/>
      </bottom>
      <diagonal/>
    </border>
    <border>
      <left style="mediumDashed">
        <color indexed="64"/>
      </left>
      <right/>
      <top style="thin">
        <color indexed="64"/>
      </top>
      <bottom style="medium">
        <color indexed="64"/>
      </bottom>
      <diagonal/>
    </border>
    <border>
      <left style="medium">
        <color indexed="64"/>
      </left>
      <right style="medium">
        <color indexed="64"/>
      </right>
      <top style="medium">
        <color indexed="64"/>
      </top>
      <bottom style="thin">
        <color indexed="64"/>
      </bottom>
      <diagonal/>
    </border>
    <border>
      <left style="medium">
        <color indexed="64"/>
      </left>
      <right style="medium">
        <color indexed="64"/>
      </right>
      <top style="thin">
        <color indexed="64"/>
      </top>
      <bottom style="medium">
        <color indexed="64"/>
      </bottom>
      <diagonal/>
    </border>
    <border>
      <left style="medium">
        <color indexed="64"/>
      </left>
      <right/>
      <top/>
      <bottom style="mediumDashed">
        <color indexed="64"/>
      </bottom>
      <diagonal/>
    </border>
    <border>
      <left style="thin">
        <color indexed="64"/>
      </left>
      <right style="thin">
        <color indexed="64"/>
      </right>
      <top style="thin">
        <color indexed="64"/>
      </top>
      <bottom style="mediumDashed">
        <color indexed="64"/>
      </bottom>
      <diagonal/>
    </border>
    <border>
      <left/>
      <right style="medium">
        <color indexed="64"/>
      </right>
      <top/>
      <bottom style="mediumDashed">
        <color indexed="64"/>
      </bottom>
      <diagonal/>
    </border>
    <border>
      <left style="medium">
        <color indexed="64"/>
      </left>
      <right style="thin">
        <color indexed="64"/>
      </right>
      <top style="thin">
        <color indexed="64"/>
      </top>
      <bottom style="mediumDashed">
        <color indexed="64"/>
      </bottom>
      <diagonal/>
    </border>
    <border>
      <left/>
      <right/>
      <top style="dotted">
        <color indexed="64"/>
      </top>
      <bottom/>
      <diagonal/>
    </border>
    <border>
      <left/>
      <right style="dotted">
        <color indexed="64"/>
      </right>
      <top style="dotted">
        <color indexed="64"/>
      </top>
      <bottom/>
      <diagonal/>
    </border>
    <border>
      <left style="thin">
        <color indexed="64"/>
      </left>
      <right/>
      <top/>
      <bottom style="double">
        <color indexed="64"/>
      </bottom>
      <diagonal/>
    </border>
    <border>
      <left style="dotted">
        <color indexed="64"/>
      </left>
      <right/>
      <top/>
      <bottom/>
      <diagonal/>
    </border>
    <border>
      <left style="dotted">
        <color indexed="64"/>
      </left>
      <right/>
      <top style="dotted">
        <color indexed="64"/>
      </top>
      <bottom/>
      <diagonal/>
    </border>
    <border diagonalDown="1">
      <left style="medium">
        <color indexed="64"/>
      </left>
      <right style="thin">
        <color indexed="64"/>
      </right>
      <top style="thin">
        <color indexed="64"/>
      </top>
      <bottom style="thin">
        <color indexed="64"/>
      </bottom>
      <diagonal style="thin">
        <color indexed="64"/>
      </diagonal>
    </border>
    <border diagonalDown="1">
      <left style="thin">
        <color indexed="64"/>
      </left>
      <right style="thin">
        <color indexed="64"/>
      </right>
      <top style="thin">
        <color indexed="64"/>
      </top>
      <bottom style="thin">
        <color indexed="64"/>
      </bottom>
      <diagonal style="thin">
        <color indexed="64"/>
      </diagonal>
    </border>
    <border>
      <left style="medium">
        <color indexed="64"/>
      </left>
      <right/>
      <top style="mediumDashed">
        <color indexed="64"/>
      </top>
      <bottom/>
      <diagonal/>
    </border>
    <border>
      <left style="medium">
        <color indexed="64"/>
      </left>
      <right style="thin">
        <color indexed="64"/>
      </right>
      <top style="mediumDashed">
        <color indexed="64"/>
      </top>
      <bottom style="thin">
        <color indexed="64"/>
      </bottom>
      <diagonal/>
    </border>
    <border>
      <left style="thin">
        <color indexed="64"/>
      </left>
      <right style="thin">
        <color indexed="64"/>
      </right>
      <top style="mediumDashed">
        <color indexed="64"/>
      </top>
      <bottom style="thin">
        <color indexed="64"/>
      </bottom>
      <diagonal/>
    </border>
    <border>
      <left style="thin">
        <color indexed="64"/>
      </left>
      <right/>
      <top style="mediumDashed">
        <color indexed="64"/>
      </top>
      <bottom style="thin">
        <color indexed="64"/>
      </bottom>
      <diagonal/>
    </border>
    <border>
      <left/>
      <right style="medium">
        <color indexed="64"/>
      </right>
      <top style="mediumDashed">
        <color indexed="64"/>
      </top>
      <bottom style="thin">
        <color indexed="64"/>
      </bottom>
      <diagonal/>
    </border>
    <border>
      <left/>
      <right style="medium">
        <color indexed="64"/>
      </right>
      <top style="mediumDashed">
        <color indexed="64"/>
      </top>
      <bottom/>
      <diagonal/>
    </border>
    <border>
      <left style="thin">
        <color indexed="64"/>
      </left>
      <right/>
      <top style="thin">
        <color indexed="64"/>
      </top>
      <bottom style="mediumDashed">
        <color indexed="64"/>
      </bottom>
      <diagonal/>
    </border>
    <border>
      <left/>
      <right style="medium">
        <color indexed="64"/>
      </right>
      <top style="thin">
        <color indexed="64"/>
      </top>
      <bottom style="mediumDashed">
        <color indexed="64"/>
      </bottom>
      <diagonal/>
    </border>
    <border>
      <left style="thin">
        <color indexed="64"/>
      </left>
      <right/>
      <top style="mediumDashed">
        <color indexed="64"/>
      </top>
      <bottom/>
      <diagonal/>
    </border>
    <border>
      <left style="thin">
        <color indexed="64"/>
      </left>
      <right style="thin">
        <color indexed="64"/>
      </right>
      <top style="mediumDashed">
        <color indexed="64"/>
      </top>
      <bottom/>
      <diagonal/>
    </border>
    <border>
      <left/>
      <right style="thin">
        <color indexed="64"/>
      </right>
      <top style="thin">
        <color indexed="64"/>
      </top>
      <bottom style="double">
        <color indexed="64"/>
      </bottom>
      <diagonal/>
    </border>
    <border>
      <left/>
      <right/>
      <top/>
      <bottom style="slantDashDot">
        <color auto="1"/>
      </bottom>
      <diagonal/>
    </border>
    <border>
      <left style="slantDashDot">
        <color auto="1"/>
      </left>
      <right/>
      <top/>
      <bottom style="slantDashDot">
        <color auto="1"/>
      </bottom>
      <diagonal/>
    </border>
    <border>
      <left style="slantDashDot">
        <color auto="1"/>
      </left>
      <right/>
      <top/>
      <bottom/>
      <diagonal/>
    </border>
    <border>
      <left style="slantDashDot">
        <color auto="1"/>
      </left>
      <right style="thin">
        <color rgb="FFDFE8ED"/>
      </right>
      <top style="medium">
        <color rgb="FFDFE8ED"/>
      </top>
      <bottom/>
      <diagonal/>
    </border>
    <border>
      <left style="thin">
        <color rgb="FFDFE8ED"/>
      </left>
      <right style="thin">
        <color rgb="FFDFE8ED"/>
      </right>
      <top style="medium">
        <color rgb="FFDFE8ED"/>
      </top>
      <bottom style="thin">
        <color rgb="FFDFE8ED"/>
      </bottom>
      <diagonal/>
    </border>
    <border>
      <left style="thin">
        <color rgb="FFDFE8ED"/>
      </left>
      <right style="medium">
        <color rgb="FFDFE8ED"/>
      </right>
      <top style="medium">
        <color rgb="FFDFE8ED"/>
      </top>
      <bottom style="thin">
        <color rgb="FFDFE8ED"/>
      </bottom>
      <diagonal/>
    </border>
    <border>
      <left style="slantDashDot">
        <color auto="1"/>
      </left>
      <right style="thin">
        <color rgb="FFDFE8ED"/>
      </right>
      <top/>
      <bottom/>
      <diagonal/>
    </border>
    <border>
      <left style="thin">
        <color rgb="FFDFE8ED"/>
      </left>
      <right style="thin">
        <color rgb="FFDFE8ED"/>
      </right>
      <top style="thin">
        <color rgb="FFDFE8ED"/>
      </top>
      <bottom style="thin">
        <color rgb="FFDFE8ED"/>
      </bottom>
      <diagonal/>
    </border>
    <border>
      <left style="slantDashDot">
        <color auto="1"/>
      </left>
      <right style="thin">
        <color rgb="FFDFE8ED"/>
      </right>
      <top/>
      <bottom style="thin">
        <color rgb="FFDFE8ED"/>
      </bottom>
      <diagonal/>
    </border>
    <border>
      <left style="slantDashDot">
        <color auto="1"/>
      </left>
      <right/>
      <top/>
      <bottom style="thin">
        <color indexed="64"/>
      </bottom>
      <diagonal/>
    </border>
    <border>
      <left style="thin">
        <color rgb="FFDFE8ED"/>
      </left>
      <right/>
      <top style="medium">
        <color rgb="FFDFE8ED"/>
      </top>
      <bottom style="thin">
        <color rgb="FFDFE8ED"/>
      </bottom>
      <diagonal/>
    </border>
    <border>
      <left style="thin">
        <color rgb="FFDFE8ED"/>
      </left>
      <right style="medium">
        <color rgb="FFDFE8ED"/>
      </right>
      <top style="thin">
        <color rgb="FFDFE8ED"/>
      </top>
      <bottom style="thin">
        <color rgb="FFDFE8ED"/>
      </bottom>
      <diagonal/>
    </border>
    <border>
      <left style="slantDashDot">
        <color auto="1"/>
      </left>
      <right style="thin">
        <color rgb="FFDFE8ED"/>
      </right>
      <top style="thin">
        <color rgb="FFDFE8ED"/>
      </top>
      <bottom/>
      <diagonal/>
    </border>
    <border>
      <left style="thin">
        <color rgb="FFDFE8ED"/>
      </left>
      <right style="thin">
        <color rgb="FFDFE8ED"/>
      </right>
      <top style="thin">
        <color rgb="FFDFE8ED"/>
      </top>
      <bottom style="medium">
        <color rgb="FFDFE8ED"/>
      </bottom>
      <diagonal/>
    </border>
    <border>
      <left style="thin">
        <color rgb="FFDFE8ED"/>
      </left>
      <right style="medium">
        <color rgb="FFDFE8ED"/>
      </right>
      <top style="thin">
        <color rgb="FFDFE8ED"/>
      </top>
      <bottom style="medium">
        <color rgb="FFDFE8ED"/>
      </bottom>
      <diagonal/>
    </border>
    <border>
      <left style="slantDashDot">
        <color auto="1"/>
      </left>
      <right/>
      <top style="thin">
        <color indexed="64"/>
      </top>
      <bottom/>
      <diagonal/>
    </border>
    <border>
      <left style="thin">
        <color rgb="FFDFE8ED"/>
      </left>
      <right/>
      <top style="thin">
        <color rgb="FFDFE8ED"/>
      </top>
      <bottom style="thin">
        <color rgb="FFDFE8ED"/>
      </bottom>
      <diagonal/>
    </border>
    <border>
      <left style="thin">
        <color rgb="FFDFE8ED"/>
      </left>
      <right/>
      <top style="thin">
        <color rgb="FFDFE8ED"/>
      </top>
      <bottom style="medium">
        <color rgb="FFDFE8ED"/>
      </bottom>
      <diagonal/>
    </border>
    <border>
      <left style="thin">
        <color rgb="FFDFE8ED"/>
      </left>
      <right style="thin">
        <color rgb="FFDFE8ED"/>
      </right>
      <top style="thin">
        <color rgb="FFDFE8ED"/>
      </top>
      <bottom style="medium">
        <color indexed="64"/>
      </bottom>
      <diagonal/>
    </border>
    <border>
      <left style="thin">
        <color rgb="FFDFE8ED"/>
      </left>
      <right style="medium">
        <color rgb="FFDFE8ED"/>
      </right>
      <top style="thin">
        <color rgb="FFDFE8ED"/>
      </top>
      <bottom style="medium">
        <color indexed="64"/>
      </bottom>
      <diagonal/>
    </border>
    <border>
      <left style="slantDashDot">
        <color auto="1"/>
      </left>
      <right/>
      <top/>
      <bottom style="medium">
        <color indexed="64"/>
      </bottom>
      <diagonal/>
    </border>
    <border>
      <left style="thin">
        <color rgb="FFDFE8ED"/>
      </left>
      <right style="thin">
        <color rgb="FFDFE8ED"/>
      </right>
      <top/>
      <bottom style="medium">
        <color rgb="FFDFE8ED"/>
      </bottom>
      <diagonal/>
    </border>
    <border>
      <left style="thin">
        <color rgb="FFDFE8ED"/>
      </left>
      <right style="medium">
        <color rgb="FFDFE8ED"/>
      </right>
      <top/>
      <bottom style="medium">
        <color rgb="FFDFE8ED"/>
      </bottom>
      <diagonal/>
    </border>
    <border>
      <left style="thin">
        <color rgb="FFDFE8ED"/>
      </left>
      <right style="thin">
        <color rgb="FFDFE8ED"/>
      </right>
      <top/>
      <bottom style="thin">
        <color rgb="FFDFE8ED"/>
      </bottom>
      <diagonal/>
    </border>
    <border>
      <left style="thin">
        <color rgb="FFDFE8ED"/>
      </left>
      <right/>
      <top/>
      <bottom style="thin">
        <color rgb="FFDFE8ED"/>
      </bottom>
      <diagonal/>
    </border>
    <border>
      <left style="medium">
        <color rgb="FFDFE8ED"/>
      </left>
      <right style="thin">
        <color rgb="FFDFE8ED"/>
      </right>
      <top style="medium">
        <color rgb="FFDFE8ED"/>
      </top>
      <bottom style="medium">
        <color rgb="FFDFE8ED"/>
      </bottom>
      <diagonal/>
    </border>
    <border>
      <left style="thin">
        <color rgb="FFDFE8ED"/>
      </left>
      <right style="thin">
        <color rgb="FFDFE8ED"/>
      </right>
      <top style="medium">
        <color rgb="FFDFE8ED"/>
      </top>
      <bottom style="medium">
        <color rgb="FFDFE8ED"/>
      </bottom>
      <diagonal/>
    </border>
    <border>
      <left style="thin">
        <color rgb="FFDFE8ED"/>
      </left>
      <right/>
      <top style="medium">
        <color rgb="FFDFE8ED"/>
      </top>
      <bottom style="medium">
        <color rgb="FFDFE8ED"/>
      </bottom>
      <diagonal/>
    </border>
    <border>
      <left style="slantDashDot">
        <color auto="1"/>
      </left>
      <right style="thin">
        <color rgb="FFDFE8ED"/>
      </right>
      <top style="medium">
        <color rgb="FFDFE8ED"/>
      </top>
      <bottom style="thin">
        <color rgb="FFDFE8ED"/>
      </bottom>
      <diagonal/>
    </border>
    <border>
      <left style="slantDashDot">
        <color auto="1"/>
      </left>
      <right style="thin">
        <color rgb="FFDFE8ED"/>
      </right>
      <top style="thin">
        <color rgb="FFDFE8ED"/>
      </top>
      <bottom style="thin">
        <color rgb="FFDFE8ED"/>
      </bottom>
      <diagonal/>
    </border>
    <border>
      <left style="slantDashDot">
        <color auto="1"/>
      </left>
      <right style="thin">
        <color rgb="FFDFE8ED"/>
      </right>
      <top style="thin">
        <color rgb="FFDFE8ED"/>
      </top>
      <bottom style="medium">
        <color rgb="FFDFE8ED"/>
      </bottom>
      <diagonal/>
    </border>
    <border>
      <left style="thin">
        <color indexed="64"/>
      </left>
      <right/>
      <top style="double">
        <color indexed="64"/>
      </top>
      <bottom style="thin">
        <color indexed="64"/>
      </bottom>
      <diagonal/>
    </border>
    <border>
      <left/>
      <right/>
      <top/>
      <bottom style="mediumDashed">
        <color auto="1"/>
      </bottom>
      <diagonal/>
    </border>
    <border>
      <left style="thin">
        <color indexed="64"/>
      </left>
      <right/>
      <top/>
      <bottom style="mediumDashed">
        <color auto="1"/>
      </bottom>
      <diagonal/>
    </border>
    <border>
      <left style="slantDashDot">
        <color auto="1"/>
      </left>
      <right style="thin">
        <color rgb="FFDFE8ED"/>
      </right>
      <top/>
      <bottom style="medium">
        <color rgb="FFDFE8ED"/>
      </bottom>
      <diagonal/>
    </border>
    <border>
      <left/>
      <right/>
      <top style="double">
        <color theme="1"/>
      </top>
      <bottom style="double">
        <color rgb="FFFF0000"/>
      </bottom>
      <diagonal/>
    </border>
    <border>
      <left style="double">
        <color indexed="64"/>
      </left>
      <right/>
      <top style="thin">
        <color indexed="64"/>
      </top>
      <bottom style="thin">
        <color indexed="64"/>
      </bottom>
      <diagonal/>
    </border>
    <border>
      <left style="double">
        <color indexed="64"/>
      </left>
      <right style="thin">
        <color indexed="64"/>
      </right>
      <top style="thin">
        <color indexed="64"/>
      </top>
      <bottom style="thin">
        <color indexed="64"/>
      </bottom>
      <diagonal/>
    </border>
    <border>
      <left style="double">
        <color indexed="64"/>
      </left>
      <right/>
      <top/>
      <bottom/>
      <diagonal/>
    </border>
    <border>
      <left style="double">
        <color indexed="64"/>
      </left>
      <right style="double">
        <color indexed="64"/>
      </right>
      <top style="thin">
        <color indexed="64"/>
      </top>
      <bottom style="thin">
        <color indexed="64"/>
      </bottom>
      <diagonal/>
    </border>
    <border>
      <left style="double">
        <color indexed="64"/>
      </left>
      <right style="double">
        <color indexed="64"/>
      </right>
      <top style="thin">
        <color indexed="64"/>
      </top>
      <bottom style="medium">
        <color indexed="64"/>
      </bottom>
      <diagonal/>
    </border>
    <border>
      <left style="medium">
        <color indexed="64"/>
      </left>
      <right/>
      <top style="thick">
        <color indexed="64"/>
      </top>
      <bottom/>
      <diagonal/>
    </border>
    <border>
      <left/>
      <right/>
      <top style="thick">
        <color indexed="64"/>
      </top>
      <bottom/>
      <diagonal/>
    </border>
    <border>
      <left/>
      <right style="medium">
        <color indexed="64"/>
      </right>
      <top style="thick">
        <color indexed="64"/>
      </top>
      <bottom/>
      <diagonal/>
    </border>
    <border>
      <left style="mediumDashDot">
        <color indexed="64"/>
      </left>
      <right/>
      <top/>
      <bottom/>
      <diagonal/>
    </border>
    <border>
      <left/>
      <right style="mediumDashDot">
        <color indexed="64"/>
      </right>
      <top/>
      <bottom/>
      <diagonal/>
    </border>
    <border>
      <left style="mediumDashDot">
        <color indexed="64"/>
      </left>
      <right style="mediumDashDot">
        <color indexed="64"/>
      </right>
      <top/>
      <bottom/>
      <diagonal/>
    </border>
    <border>
      <left style="thin">
        <color indexed="64"/>
      </left>
      <right style="thin">
        <color indexed="64"/>
      </right>
      <top style="thin">
        <color indexed="64"/>
      </top>
      <bottom style="thick">
        <color indexed="64"/>
      </bottom>
      <diagonal/>
    </border>
    <border>
      <left style="slantDashDot">
        <color auto="1"/>
      </left>
      <right style="thin">
        <color rgb="FFDFE8ED"/>
      </right>
      <top/>
      <bottom style="thick">
        <color indexed="64"/>
      </bottom>
      <diagonal/>
    </border>
    <border>
      <left style="thin">
        <color rgb="FFDFE8ED"/>
      </left>
      <right style="thin">
        <color rgb="FFDFE8ED"/>
      </right>
      <top style="thin">
        <color rgb="FFDFE8ED"/>
      </top>
      <bottom style="thick">
        <color indexed="64"/>
      </bottom>
      <diagonal/>
    </border>
    <border>
      <left style="thin">
        <color rgb="FFDFE8ED"/>
      </left>
      <right/>
      <top style="thin">
        <color rgb="FFDFE8ED"/>
      </top>
      <bottom style="thick">
        <color indexed="64"/>
      </bottom>
      <diagonal/>
    </border>
    <border>
      <left style="thin">
        <color rgb="FFDFE8ED"/>
      </left>
      <right style="medium">
        <color rgb="FFDFE8ED"/>
      </right>
      <top style="thin">
        <color rgb="FFDFE8ED"/>
      </top>
      <bottom style="thick">
        <color indexed="64"/>
      </bottom>
      <diagonal/>
    </border>
    <border>
      <left/>
      <right/>
      <top/>
      <bottom style="thick">
        <color indexed="64"/>
      </bottom>
      <diagonal/>
    </border>
    <border>
      <left style="slantDashDot">
        <color auto="1"/>
      </left>
      <right/>
      <top/>
      <bottom style="thick">
        <color indexed="64"/>
      </bottom>
      <diagonal/>
    </border>
    <border>
      <left style="mediumDashDot">
        <color indexed="64"/>
      </left>
      <right/>
      <top/>
      <bottom style="thick">
        <color indexed="64"/>
      </bottom>
      <diagonal/>
    </border>
    <border>
      <left/>
      <right style="mediumDashDot">
        <color indexed="64"/>
      </right>
      <top/>
      <bottom style="thick">
        <color indexed="64"/>
      </bottom>
      <diagonal/>
    </border>
    <border>
      <left style="mediumDashDot">
        <color indexed="64"/>
      </left>
      <right style="mediumDashDot">
        <color indexed="64"/>
      </right>
      <top/>
      <bottom style="thick">
        <color indexed="64"/>
      </bottom>
      <diagonal/>
    </border>
    <border>
      <left style="dotted">
        <color indexed="64"/>
      </left>
      <right style="dotted">
        <color indexed="64"/>
      </right>
      <top style="double">
        <color indexed="64"/>
      </top>
      <bottom style="dotted">
        <color indexed="64"/>
      </bottom>
      <diagonal/>
    </border>
    <border>
      <left/>
      <right style="dotted">
        <color indexed="64"/>
      </right>
      <top style="double">
        <color indexed="64"/>
      </top>
      <bottom style="dotted">
        <color indexed="64"/>
      </bottom>
      <diagonal/>
    </border>
    <border>
      <left style="dotted">
        <color indexed="64"/>
      </left>
      <right style="dotted">
        <color indexed="64"/>
      </right>
      <top/>
      <bottom style="dotted">
        <color indexed="64"/>
      </bottom>
      <diagonal/>
    </border>
    <border>
      <left/>
      <right style="dotted">
        <color indexed="64"/>
      </right>
      <top/>
      <bottom style="dotted">
        <color indexed="64"/>
      </bottom>
      <diagonal/>
    </border>
    <border>
      <left style="dotted">
        <color indexed="64"/>
      </left>
      <right style="dotted">
        <color indexed="64"/>
      </right>
      <top/>
      <bottom style="double">
        <color indexed="64"/>
      </bottom>
      <diagonal/>
    </border>
    <border>
      <left/>
      <right style="dotted">
        <color indexed="64"/>
      </right>
      <top/>
      <bottom style="double">
        <color indexed="64"/>
      </bottom>
      <diagonal/>
    </border>
  </borders>
  <cellStyleXfs count="20">
    <xf numFmtId="0" fontId="0" fillId="0" borderId="0">
      <alignment vertical="center"/>
    </xf>
    <xf numFmtId="0" fontId="95" fillId="0" borderId="0">
      <alignment vertical="center"/>
    </xf>
    <xf numFmtId="0" fontId="95" fillId="0" borderId="0"/>
    <xf numFmtId="0" fontId="95" fillId="0" borderId="0">
      <alignment vertical="center"/>
    </xf>
    <xf numFmtId="0" fontId="36" fillId="0" borderId="0"/>
    <xf numFmtId="0" fontId="95" fillId="0" borderId="0">
      <alignment vertical="center"/>
    </xf>
    <xf numFmtId="0" fontId="95" fillId="0" borderId="0"/>
    <xf numFmtId="0" fontId="95" fillId="0" borderId="0">
      <alignment vertical="center"/>
    </xf>
    <xf numFmtId="0" fontId="95" fillId="0" borderId="0">
      <alignment vertical="center"/>
    </xf>
    <xf numFmtId="0" fontId="2" fillId="0" borderId="0">
      <alignment vertical="center"/>
    </xf>
    <xf numFmtId="0" fontId="95" fillId="0" borderId="0">
      <alignment vertical="center"/>
    </xf>
    <xf numFmtId="0" fontId="1" fillId="0" borderId="0">
      <alignment vertical="center"/>
    </xf>
    <xf numFmtId="0" fontId="158" fillId="0" borderId="0"/>
    <xf numFmtId="0" fontId="1" fillId="0" borderId="0">
      <alignment vertical="center"/>
    </xf>
    <xf numFmtId="9" fontId="36" fillId="0" borderId="0" applyFont="0" applyFill="0" applyBorder="0" applyAlignment="0" applyProtection="0">
      <alignment vertical="center"/>
    </xf>
    <xf numFmtId="0" fontId="95" fillId="0" borderId="0">
      <alignment vertical="center"/>
    </xf>
    <xf numFmtId="0" fontId="1" fillId="0" borderId="0">
      <alignment vertical="center"/>
    </xf>
    <xf numFmtId="9" fontId="244" fillId="0" borderId="0" applyFont="0" applyFill="0" applyBorder="0" applyAlignment="0" applyProtection="0">
      <alignment vertical="center"/>
    </xf>
    <xf numFmtId="192" fontId="95" fillId="0" borderId="0">
      <alignment vertical="center"/>
    </xf>
    <xf numFmtId="0" fontId="270" fillId="0" borderId="0"/>
  </cellStyleXfs>
  <cellXfs count="3832">
    <xf numFmtId="0" fontId="0" fillId="0" borderId="0" xfId="0">
      <alignment vertical="center"/>
    </xf>
    <xf numFmtId="0" fontId="12" fillId="5" borderId="24" xfId="1" applyFont="1" applyFill="1" applyBorder="1" applyAlignment="1" applyProtection="1">
      <alignment horizontal="left" vertical="center"/>
      <protection locked="0"/>
    </xf>
    <xf numFmtId="0" fontId="21" fillId="6" borderId="0" xfId="1" applyFont="1" applyFill="1" applyBorder="1" applyAlignment="1" applyProtection="1">
      <alignment vertical="center"/>
    </xf>
    <xf numFmtId="0" fontId="98" fillId="6" borderId="0" xfId="0" applyFont="1" applyFill="1" applyAlignment="1" applyProtection="1">
      <alignment horizontal="center" vertical="center"/>
    </xf>
    <xf numFmtId="0" fontId="98" fillId="6" borderId="0" xfId="0" applyFont="1" applyFill="1" applyProtection="1">
      <alignment vertical="center"/>
    </xf>
    <xf numFmtId="0" fontId="46" fillId="6" borderId="5" xfId="0" applyFont="1" applyFill="1" applyBorder="1" applyAlignment="1" applyProtection="1">
      <alignment vertical="center"/>
    </xf>
    <xf numFmtId="0" fontId="44" fillId="0" borderId="1" xfId="0" applyFont="1" applyBorder="1" applyAlignment="1" applyProtection="1">
      <alignment horizontal="center" vertical="center" wrapText="1"/>
      <protection locked="0"/>
    </xf>
    <xf numFmtId="0" fontId="44" fillId="0" borderId="1" xfId="0" applyFont="1" applyBorder="1" applyAlignment="1" applyProtection="1">
      <alignment vertical="center" wrapText="1"/>
      <protection locked="0"/>
    </xf>
    <xf numFmtId="0" fontId="47" fillId="6" borderId="1" xfId="0" applyFont="1" applyFill="1" applyBorder="1" applyAlignment="1" applyProtection="1">
      <alignment horizontal="center" vertical="center" wrapText="1"/>
    </xf>
    <xf numFmtId="0" fontId="47" fillId="0" borderId="0" xfId="0" applyFont="1" applyAlignment="1" applyProtection="1">
      <alignment horizontal="center" vertical="center" wrapText="1"/>
      <protection locked="0"/>
    </xf>
    <xf numFmtId="179" fontId="47" fillId="0" borderId="1" xfId="0" applyNumberFormat="1" applyFont="1" applyBorder="1" applyAlignment="1" applyProtection="1">
      <alignment horizontal="center" vertical="center" wrapText="1"/>
      <protection locked="0"/>
    </xf>
    <xf numFmtId="179" fontId="99" fillId="6" borderId="1" xfId="0" applyNumberFormat="1" applyFont="1" applyFill="1" applyBorder="1" applyAlignment="1" applyProtection="1">
      <alignment horizontal="center" vertical="center" wrapText="1"/>
    </xf>
    <xf numFmtId="0" fontId="47" fillId="6" borderId="5" xfId="0" applyFont="1" applyFill="1" applyBorder="1" applyAlignment="1" applyProtection="1">
      <alignment horizontal="left" vertical="center"/>
    </xf>
    <xf numFmtId="176" fontId="47" fillId="6" borderId="1" xfId="0" applyNumberFormat="1" applyFont="1" applyFill="1" applyBorder="1" applyAlignment="1" applyProtection="1">
      <alignment horizontal="center" vertical="center" wrapText="1"/>
    </xf>
    <xf numFmtId="0" fontId="47" fillId="6" borderId="6" xfId="0" applyFont="1" applyFill="1" applyBorder="1" applyAlignment="1" applyProtection="1">
      <alignment horizontal="center" vertical="center" wrapText="1"/>
    </xf>
    <xf numFmtId="176" fontId="47" fillId="6" borderId="9" xfId="0" applyNumberFormat="1" applyFont="1" applyFill="1" applyBorder="1" applyAlignment="1" applyProtection="1">
      <alignment horizontal="center" vertical="center" wrapText="1"/>
    </xf>
    <xf numFmtId="176" fontId="47" fillId="6" borderId="10" xfId="0" applyNumberFormat="1" applyFont="1" applyFill="1" applyBorder="1" applyAlignment="1" applyProtection="1">
      <alignment horizontal="center" vertical="center" wrapText="1"/>
    </xf>
    <xf numFmtId="176" fontId="47" fillId="6" borderId="13" xfId="0" applyNumberFormat="1" applyFont="1" applyFill="1" applyBorder="1" applyAlignment="1" applyProtection="1">
      <alignment horizontal="center" vertical="center" wrapText="1"/>
    </xf>
    <xf numFmtId="176" fontId="47" fillId="6" borderId="23" xfId="0" applyNumberFormat="1" applyFont="1" applyFill="1" applyBorder="1" applyAlignment="1" applyProtection="1">
      <alignment horizontal="center" vertical="center" wrapText="1"/>
    </xf>
    <xf numFmtId="176" fontId="47" fillId="6" borderId="24" xfId="0" applyNumberFormat="1" applyFont="1" applyFill="1" applyBorder="1" applyAlignment="1" applyProtection="1">
      <alignment horizontal="center" vertical="center" wrapText="1"/>
    </xf>
    <xf numFmtId="0" fontId="47" fillId="6" borderId="13" xfId="0" applyFont="1" applyFill="1" applyBorder="1" applyAlignment="1" applyProtection="1">
      <alignment horizontal="center" vertical="center" wrapText="1"/>
    </xf>
    <xf numFmtId="0" fontId="47" fillId="6" borderId="1" xfId="0" applyFont="1" applyFill="1" applyBorder="1" applyAlignment="1" applyProtection="1">
      <alignment horizontal="center" vertical="center"/>
    </xf>
    <xf numFmtId="0" fontId="47" fillId="6" borderId="13" xfId="0" applyFont="1" applyFill="1" applyBorder="1" applyAlignment="1" applyProtection="1">
      <alignment horizontal="center" vertical="center"/>
    </xf>
    <xf numFmtId="0" fontId="47" fillId="6" borderId="48" xfId="0" applyFont="1" applyFill="1" applyBorder="1" applyAlignment="1" applyProtection="1">
      <alignment horizontal="center" vertical="center"/>
    </xf>
    <xf numFmtId="0" fontId="47" fillId="0" borderId="0" xfId="0" applyFont="1" applyAlignment="1" applyProtection="1">
      <alignment horizontal="center" vertical="center"/>
      <protection locked="0"/>
    </xf>
    <xf numFmtId="0" fontId="47" fillId="6" borderId="35" xfId="0" applyFont="1" applyFill="1" applyBorder="1" applyAlignment="1" applyProtection="1">
      <alignment horizontal="center" vertical="center"/>
    </xf>
    <xf numFmtId="0" fontId="47" fillId="6" borderId="2" xfId="0" applyFont="1" applyFill="1" applyBorder="1" applyAlignment="1" applyProtection="1">
      <alignment horizontal="center" vertical="center"/>
    </xf>
    <xf numFmtId="0" fontId="47" fillId="6" borderId="2" xfId="0" applyFont="1" applyFill="1" applyBorder="1" applyAlignment="1" applyProtection="1">
      <alignment horizontal="center" vertical="center" wrapText="1"/>
    </xf>
    <xf numFmtId="0" fontId="47" fillId="6" borderId="15" xfId="0" applyFont="1" applyFill="1" applyBorder="1" applyAlignment="1" applyProtection="1">
      <alignment horizontal="center" vertical="center" wrapText="1"/>
    </xf>
    <xf numFmtId="176" fontId="47" fillId="0" borderId="2" xfId="0" applyNumberFormat="1" applyFont="1" applyFill="1" applyBorder="1" applyAlignment="1" applyProtection="1">
      <alignment horizontal="center" vertical="center" wrapText="1"/>
      <protection locked="0"/>
    </xf>
    <xf numFmtId="176" fontId="47" fillId="6" borderId="2" xfId="0" applyNumberFormat="1" applyFont="1" applyFill="1" applyBorder="1" applyAlignment="1" applyProtection="1">
      <alignment horizontal="center" vertical="center" wrapText="1"/>
    </xf>
    <xf numFmtId="0" fontId="44" fillId="0" borderId="2" xfId="0" applyFont="1" applyBorder="1" applyAlignment="1" applyProtection="1">
      <alignment horizontal="center" vertical="center" wrapText="1"/>
      <protection locked="0"/>
    </xf>
    <xf numFmtId="176" fontId="44" fillId="6" borderId="1" xfId="0" applyNumberFormat="1" applyFont="1" applyFill="1" applyBorder="1" applyAlignment="1" applyProtection="1">
      <alignment horizontal="center" vertical="center" wrapText="1"/>
    </xf>
    <xf numFmtId="176" fontId="44" fillId="0" borderId="2" xfId="0" applyNumberFormat="1" applyFont="1" applyFill="1" applyBorder="1" applyAlignment="1" applyProtection="1">
      <alignment horizontal="center" vertical="center" wrapText="1"/>
      <protection locked="0"/>
    </xf>
    <xf numFmtId="176" fontId="44" fillId="6" borderId="2" xfId="0" applyNumberFormat="1" applyFont="1" applyFill="1" applyBorder="1" applyAlignment="1" applyProtection="1">
      <alignment horizontal="center" vertical="center" wrapText="1"/>
    </xf>
    <xf numFmtId="176" fontId="44" fillId="6" borderId="13" xfId="0" applyNumberFormat="1" applyFont="1" applyFill="1" applyBorder="1" applyAlignment="1" applyProtection="1">
      <alignment horizontal="center" vertical="center" wrapText="1"/>
    </xf>
    <xf numFmtId="176" fontId="44" fillId="0" borderId="1" xfId="0" applyNumberFormat="1" applyFont="1" applyBorder="1" applyAlignment="1" applyProtection="1">
      <alignment vertical="center" wrapText="1"/>
      <protection locked="0"/>
    </xf>
    <xf numFmtId="176" fontId="44" fillId="0" borderId="1" xfId="0" applyNumberFormat="1" applyFont="1" applyBorder="1" applyAlignment="1" applyProtection="1">
      <alignment horizontal="center" vertical="center" wrapText="1"/>
      <protection locked="0"/>
    </xf>
    <xf numFmtId="176" fontId="44" fillId="0" borderId="2" xfId="0" applyNumberFormat="1" applyFont="1" applyBorder="1" applyAlignment="1" applyProtection="1">
      <alignment horizontal="center" vertical="center" wrapText="1"/>
      <protection locked="0"/>
    </xf>
    <xf numFmtId="0" fontId="44" fillId="6" borderId="3" xfId="0" applyFont="1" applyFill="1" applyBorder="1" applyAlignment="1" applyProtection="1">
      <alignment horizontal="center" vertical="center" wrapText="1"/>
    </xf>
    <xf numFmtId="176" fontId="44" fillId="6" borderId="24" xfId="0" applyNumberFormat="1" applyFont="1" applyFill="1" applyBorder="1" applyAlignment="1" applyProtection="1">
      <alignment horizontal="center" vertical="center" wrapText="1"/>
    </xf>
    <xf numFmtId="176" fontId="44" fillId="0" borderId="1" xfId="0" applyNumberFormat="1" applyFont="1" applyFill="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protection locked="0"/>
    </xf>
    <xf numFmtId="0" fontId="46" fillId="6" borderId="13" xfId="0" applyFont="1" applyFill="1" applyBorder="1" applyAlignment="1" applyProtection="1">
      <alignment vertical="center"/>
    </xf>
    <xf numFmtId="0" fontId="44" fillId="6" borderId="11" xfId="0" applyFont="1" applyFill="1" applyBorder="1" applyAlignment="1" applyProtection="1">
      <alignment vertical="center"/>
    </xf>
    <xf numFmtId="0" fontId="44" fillId="6" borderId="1" xfId="0" applyFont="1" applyFill="1" applyBorder="1" applyAlignment="1" applyProtection="1">
      <alignment vertical="center"/>
    </xf>
    <xf numFmtId="176" fontId="44" fillId="6" borderId="24" xfId="0" applyNumberFormat="1" applyFont="1" applyFill="1" applyBorder="1" applyAlignment="1" applyProtection="1">
      <alignment vertical="center"/>
    </xf>
    <xf numFmtId="0" fontId="44" fillId="6" borderId="13" xfId="0" applyFont="1" applyFill="1" applyBorder="1" applyAlignment="1" applyProtection="1">
      <alignment vertical="center"/>
    </xf>
    <xf numFmtId="0" fontId="44" fillId="6" borderId="24" xfId="0" applyFont="1" applyFill="1" applyBorder="1" applyAlignment="1" applyProtection="1">
      <alignment vertical="center"/>
    </xf>
    <xf numFmtId="0" fontId="44" fillId="0" borderId="24" xfId="0" applyFont="1" applyFill="1" applyBorder="1" applyAlignment="1" applyProtection="1">
      <alignment vertical="center"/>
      <protection locked="0"/>
    </xf>
    <xf numFmtId="0" fontId="44" fillId="6" borderId="61" xfId="0" applyFont="1" applyFill="1" applyBorder="1" applyAlignment="1" applyProtection="1">
      <alignment vertical="center"/>
    </xf>
    <xf numFmtId="179" fontId="44" fillId="6" borderId="1" xfId="0" applyNumberFormat="1"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176" fontId="44" fillId="6" borderId="1" xfId="0" applyNumberFormat="1" applyFont="1" applyFill="1" applyBorder="1" applyAlignment="1" applyProtection="1">
      <alignment vertical="center"/>
    </xf>
    <xf numFmtId="0" fontId="47" fillId="0" borderId="1" xfId="0" applyFont="1" applyBorder="1" applyAlignment="1" applyProtection="1">
      <alignment horizontal="center" vertical="center"/>
      <protection locked="0"/>
    </xf>
    <xf numFmtId="177" fontId="44" fillId="0" borderId="3" xfId="1" applyNumberFormat="1" applyFont="1" applyFill="1" applyBorder="1" applyAlignment="1" applyProtection="1">
      <alignment vertical="center"/>
      <protection locked="0"/>
    </xf>
    <xf numFmtId="0" fontId="44" fillId="6" borderId="3" xfId="0" applyFont="1" applyFill="1" applyBorder="1" applyProtection="1">
      <alignment vertical="center"/>
    </xf>
    <xf numFmtId="0" fontId="44" fillId="6" borderId="48" xfId="0" applyFont="1" applyFill="1" applyBorder="1" applyProtection="1">
      <alignment vertical="center"/>
    </xf>
    <xf numFmtId="0" fontId="44" fillId="6" borderId="22" xfId="0" applyFont="1" applyFill="1" applyBorder="1" applyProtection="1">
      <alignment vertical="center"/>
    </xf>
    <xf numFmtId="0" fontId="44" fillId="6" borderId="61" xfId="0" applyFont="1" applyFill="1" applyBorder="1" applyProtection="1">
      <alignment vertical="center"/>
    </xf>
    <xf numFmtId="0" fontId="46" fillId="6" borderId="27" xfId="0" applyFont="1" applyFill="1" applyBorder="1" applyAlignment="1" applyProtection="1">
      <alignment vertical="center" wrapText="1"/>
    </xf>
    <xf numFmtId="0" fontId="44" fillId="6" borderId="29" xfId="0" applyFont="1" applyFill="1" applyBorder="1" applyAlignment="1" applyProtection="1">
      <alignment horizontal="center" vertical="center" wrapText="1"/>
    </xf>
    <xf numFmtId="0" fontId="44" fillId="6" borderId="10" xfId="0" applyFont="1" applyFill="1" applyBorder="1" applyAlignment="1" applyProtection="1">
      <alignment horizontal="center" vertical="center" wrapText="1"/>
    </xf>
    <xf numFmtId="0" fontId="44" fillId="6" borderId="28" xfId="0" applyFont="1" applyFill="1" applyBorder="1" applyAlignment="1" applyProtection="1">
      <alignment horizontal="center" vertical="center" wrapText="1"/>
    </xf>
    <xf numFmtId="179" fontId="51" fillId="6" borderId="1" xfId="1" applyNumberFormat="1" applyFont="1" applyFill="1" applyBorder="1" applyAlignment="1" applyProtection="1">
      <alignment horizontal="center" vertical="center"/>
    </xf>
    <xf numFmtId="180" fontId="51" fillId="6" borderId="1" xfId="1" applyNumberFormat="1" applyFont="1" applyFill="1" applyBorder="1" applyAlignment="1" applyProtection="1">
      <alignment horizontal="center" vertical="center"/>
    </xf>
    <xf numFmtId="181" fontId="44" fillId="0" borderId="1" xfId="0" applyNumberFormat="1" applyFont="1" applyFill="1" applyBorder="1" applyAlignment="1" applyProtection="1">
      <alignment horizontal="center" vertical="center"/>
      <protection locked="0"/>
    </xf>
    <xf numFmtId="0" fontId="44" fillId="6" borderId="1" xfId="1" applyNumberFormat="1" applyFont="1" applyFill="1" applyBorder="1" applyAlignment="1" applyProtection="1">
      <alignment horizontal="center" vertical="center"/>
    </xf>
    <xf numFmtId="0" fontId="44" fillId="6" borderId="5" xfId="0" applyNumberFormat="1" applyFont="1" applyFill="1" applyBorder="1" applyAlignment="1" applyProtection="1">
      <alignment horizontal="center" vertical="center"/>
    </xf>
    <xf numFmtId="179" fontId="44" fillId="6" borderId="23" xfId="1" applyNumberFormat="1" applyFont="1" applyFill="1" applyBorder="1" applyAlignment="1" applyProtection="1">
      <alignment horizontal="center" vertical="center"/>
    </xf>
    <xf numFmtId="181" fontId="44" fillId="0" borderId="1" xfId="0" applyNumberFormat="1" applyFont="1" applyBorder="1" applyAlignment="1" applyProtection="1">
      <alignment vertical="center"/>
      <protection locked="0"/>
    </xf>
    <xf numFmtId="181" fontId="44" fillId="0" borderId="24" xfId="0" applyNumberFormat="1" applyFont="1" applyBorder="1" applyAlignment="1" applyProtection="1">
      <alignment vertical="center"/>
      <protection locked="0"/>
    </xf>
    <xf numFmtId="0" fontId="44" fillId="0" borderId="3" xfId="0" applyFont="1" applyBorder="1" applyAlignment="1" applyProtection="1">
      <alignment vertical="center"/>
      <protection locked="0"/>
    </xf>
    <xf numFmtId="181" fontId="44" fillId="0" borderId="5" xfId="0" applyNumberFormat="1" applyFont="1" applyBorder="1" applyAlignment="1" applyProtection="1">
      <alignment vertical="center"/>
      <protection locked="0"/>
    </xf>
    <xf numFmtId="0" fontId="44" fillId="0" borderId="23" xfId="0" applyFont="1" applyBorder="1" applyAlignment="1" applyProtection="1">
      <alignment horizontal="center" vertical="center"/>
      <protection locked="0"/>
    </xf>
    <xf numFmtId="0" fontId="44" fillId="0" borderId="24" xfId="0" applyFont="1" applyBorder="1" applyAlignment="1" applyProtection="1">
      <alignment horizontal="center" vertical="center"/>
      <protection locked="0"/>
    </xf>
    <xf numFmtId="0" fontId="44" fillId="5" borderId="3" xfId="0" applyFont="1" applyFill="1" applyBorder="1" applyAlignment="1" applyProtection="1">
      <alignment horizontal="center" vertical="center"/>
      <protection locked="0"/>
    </xf>
    <xf numFmtId="0" fontId="44" fillId="0" borderId="1" xfId="0" applyNumberFormat="1" applyFont="1" applyBorder="1" applyAlignment="1" applyProtection="1">
      <alignment horizontal="center" vertical="center"/>
      <protection locked="0"/>
    </xf>
    <xf numFmtId="10" fontId="44" fillId="0" borderId="1" xfId="0" applyNumberFormat="1" applyFont="1" applyBorder="1" applyAlignment="1" applyProtection="1">
      <alignment horizontal="center" vertical="center"/>
      <protection locked="0"/>
    </xf>
    <xf numFmtId="182" fontId="44" fillId="0" borderId="1" xfId="0" applyNumberFormat="1" applyFont="1" applyBorder="1" applyAlignment="1" applyProtection="1">
      <alignment horizontal="center" vertical="center"/>
      <protection locked="0"/>
    </xf>
    <xf numFmtId="181" fontId="44" fillId="0" borderId="24" xfId="0" applyNumberFormat="1" applyFont="1" applyBorder="1" applyAlignment="1" applyProtection="1">
      <alignment horizontal="center" vertical="center"/>
      <protection locked="0"/>
    </xf>
    <xf numFmtId="9" fontId="44" fillId="0" borderId="5" xfId="0" applyNumberFormat="1" applyFont="1" applyFill="1" applyBorder="1" applyAlignment="1" applyProtection="1">
      <alignment horizontal="center" vertical="center"/>
      <protection locked="0"/>
    </xf>
    <xf numFmtId="177" fontId="44" fillId="0" borderId="1" xfId="1" applyNumberFormat="1" applyFont="1" applyFill="1" applyBorder="1" applyAlignment="1" applyProtection="1">
      <alignment horizontal="center" vertical="center"/>
      <protection locked="0"/>
    </xf>
    <xf numFmtId="10" fontId="44" fillId="0" borderId="1" xfId="1" applyNumberFormat="1" applyFont="1" applyFill="1" applyBorder="1" applyAlignment="1" applyProtection="1">
      <alignment horizontal="center" vertical="center"/>
      <protection locked="0"/>
    </xf>
    <xf numFmtId="0" fontId="44" fillId="0" borderId="3" xfId="0" applyFont="1" applyBorder="1" applyAlignment="1" applyProtection="1">
      <alignment horizontal="center" vertical="center"/>
      <protection locked="0"/>
    </xf>
    <xf numFmtId="10" fontId="44" fillId="0" borderId="1" xfId="0" applyNumberFormat="1" applyFont="1" applyFill="1" applyBorder="1" applyAlignment="1" applyProtection="1">
      <alignment horizontal="center" vertical="center"/>
      <protection locked="0"/>
    </xf>
    <xf numFmtId="182" fontId="44" fillId="0" borderId="1" xfId="0" applyNumberFormat="1" applyFont="1" applyFill="1" applyBorder="1" applyAlignment="1" applyProtection="1">
      <alignment horizontal="center" vertical="center"/>
      <protection locked="0"/>
    </xf>
    <xf numFmtId="181" fontId="44" fillId="0" borderId="24" xfId="0" applyNumberFormat="1" applyFont="1" applyFill="1" applyBorder="1" applyAlignment="1" applyProtection="1">
      <alignment horizontal="center" vertical="center"/>
      <protection locked="0"/>
    </xf>
    <xf numFmtId="0" fontId="46" fillId="6" borderId="32" xfId="1" applyFont="1" applyFill="1" applyBorder="1" applyAlignment="1" applyProtection="1">
      <alignment vertical="center"/>
    </xf>
    <xf numFmtId="0" fontId="46" fillId="6" borderId="32" xfId="1" applyFont="1" applyFill="1" applyBorder="1" applyAlignment="1" applyProtection="1">
      <alignment horizontal="center" vertical="center"/>
    </xf>
    <xf numFmtId="181" fontId="46" fillId="6" borderId="32" xfId="1" applyNumberFormat="1" applyFont="1" applyFill="1" applyBorder="1" applyAlignment="1" applyProtection="1">
      <alignment vertical="center"/>
    </xf>
    <xf numFmtId="0" fontId="46" fillId="6" borderId="49" xfId="1" applyFont="1" applyFill="1" applyBorder="1" applyAlignment="1" applyProtection="1">
      <alignment vertical="center"/>
    </xf>
    <xf numFmtId="176" fontId="44" fillId="6" borderId="25" xfId="0" applyNumberFormat="1" applyFont="1" applyFill="1" applyBorder="1" applyAlignment="1" applyProtection="1">
      <alignment horizontal="center" vertical="center"/>
    </xf>
    <xf numFmtId="0" fontId="44" fillId="6" borderId="32" xfId="1" applyNumberFormat="1" applyFont="1" applyFill="1" applyBorder="1" applyAlignment="1" applyProtection="1">
      <alignment horizontal="center" vertical="center"/>
    </xf>
    <xf numFmtId="10" fontId="44" fillId="6" borderId="32" xfId="1" applyNumberFormat="1" applyFont="1" applyFill="1" applyBorder="1" applyAlignment="1" applyProtection="1">
      <alignment horizontal="center" vertical="center"/>
    </xf>
    <xf numFmtId="9" fontId="44" fillId="6" borderId="33" xfId="0" applyNumberFormat="1" applyFont="1" applyFill="1" applyBorder="1" applyAlignment="1" applyProtection="1">
      <alignment horizontal="center" vertical="center"/>
    </xf>
    <xf numFmtId="179" fontId="44" fillId="6" borderId="66" xfId="1" applyNumberFormat="1" applyFont="1" applyFill="1" applyBorder="1" applyAlignment="1" applyProtection="1">
      <alignment horizontal="center" vertical="center"/>
    </xf>
    <xf numFmtId="0" fontId="44" fillId="6" borderId="68" xfId="1" applyNumberFormat="1" applyFont="1" applyFill="1" applyBorder="1" applyAlignment="1" applyProtection="1">
      <alignment horizontal="center" vertical="center"/>
    </xf>
    <xf numFmtId="0" fontId="44" fillId="6" borderId="25" xfId="0" applyFont="1" applyFill="1" applyBorder="1" applyAlignment="1" applyProtection="1">
      <alignment vertical="center"/>
    </xf>
    <xf numFmtId="0" fontId="44" fillId="6" borderId="32" xfId="0" applyFont="1" applyFill="1" applyBorder="1" applyAlignment="1" applyProtection="1">
      <alignment vertical="center"/>
    </xf>
    <xf numFmtId="0" fontId="44" fillId="6" borderId="49" xfId="0" applyFont="1" applyFill="1" applyBorder="1" applyAlignment="1" applyProtection="1">
      <alignment vertical="center"/>
    </xf>
    <xf numFmtId="0" fontId="44" fillId="6" borderId="66" xfId="0" applyFont="1" applyFill="1" applyBorder="1" applyAlignment="1" applyProtection="1">
      <alignment vertical="center"/>
    </xf>
    <xf numFmtId="0" fontId="44" fillId="6" borderId="33" xfId="0" applyFont="1" applyFill="1" applyBorder="1" applyAlignment="1" applyProtection="1">
      <alignment vertical="center"/>
    </xf>
    <xf numFmtId="176" fontId="51" fillId="0" borderId="10" xfId="1" applyNumberFormat="1" applyFont="1" applyFill="1" applyBorder="1" applyAlignment="1" applyProtection="1">
      <alignment horizontal="center" vertical="center"/>
      <protection locked="0"/>
    </xf>
    <xf numFmtId="176" fontId="44" fillId="0" borderId="24" xfId="1" applyNumberFormat="1" applyFont="1" applyFill="1" applyBorder="1" applyAlignment="1" applyProtection="1">
      <alignment horizontal="center" vertical="center"/>
      <protection locked="0"/>
    </xf>
    <xf numFmtId="176" fontId="51" fillId="6" borderId="24" xfId="1" applyNumberFormat="1" applyFont="1" applyFill="1" applyBorder="1" applyAlignment="1" applyProtection="1">
      <alignment horizontal="center" vertical="center"/>
    </xf>
    <xf numFmtId="176" fontId="51" fillId="6" borderId="49" xfId="1" applyNumberFormat="1" applyFont="1" applyFill="1" applyBorder="1" applyAlignment="1" applyProtection="1">
      <alignment horizontal="center" vertical="center"/>
    </xf>
    <xf numFmtId="0" fontId="53" fillId="0" borderId="10" xfId="1" applyNumberFormat="1" applyFont="1" applyFill="1" applyBorder="1" applyAlignment="1" applyProtection="1">
      <alignment horizontal="center" vertical="center"/>
      <protection locked="0"/>
    </xf>
    <xf numFmtId="0" fontId="44" fillId="0" borderId="0" xfId="0" applyFont="1" applyFill="1" applyAlignment="1" applyProtection="1">
      <alignment horizontal="center" vertical="center"/>
      <protection locked="0"/>
    </xf>
    <xf numFmtId="0" fontId="47" fillId="0" borderId="0" xfId="0" applyFont="1" applyFill="1" applyAlignment="1" applyProtection="1">
      <alignment horizontal="center" vertical="center"/>
      <protection locked="0"/>
    </xf>
    <xf numFmtId="0" fontId="53" fillId="0" borderId="24" xfId="1" applyNumberFormat="1" applyFont="1" applyFill="1" applyBorder="1" applyAlignment="1" applyProtection="1">
      <alignment horizontal="center" vertical="center"/>
      <protection locked="0"/>
    </xf>
    <xf numFmtId="0" fontId="51" fillId="6" borderId="24" xfId="1" applyNumberFormat="1" applyFont="1" applyFill="1" applyBorder="1" applyAlignment="1" applyProtection="1">
      <alignment horizontal="center" vertical="center"/>
    </xf>
    <xf numFmtId="0" fontId="53" fillId="0" borderId="49" xfId="1" applyNumberFormat="1" applyFont="1" applyFill="1" applyBorder="1" applyAlignment="1" applyProtection="1">
      <alignment horizontal="center" vertical="center"/>
      <protection locked="0"/>
    </xf>
    <xf numFmtId="181" fontId="47" fillId="0" borderId="24" xfId="0" applyNumberFormat="1" applyFont="1" applyFill="1" applyBorder="1" applyAlignment="1" applyProtection="1">
      <alignment horizontal="center" vertical="center"/>
      <protection locked="0"/>
    </xf>
    <xf numFmtId="181" fontId="47" fillId="0" borderId="49" xfId="0" applyNumberFormat="1" applyFont="1" applyFill="1" applyBorder="1" applyAlignment="1" applyProtection="1">
      <alignment horizontal="center" vertical="center"/>
      <protection locked="0"/>
    </xf>
    <xf numFmtId="181" fontId="47" fillId="0" borderId="8" xfId="0" applyNumberFormat="1" applyFont="1" applyFill="1" applyBorder="1" applyAlignment="1" applyProtection="1">
      <alignment horizontal="center" vertical="center"/>
      <protection locked="0"/>
    </xf>
    <xf numFmtId="10" fontId="44" fillId="6" borderId="10" xfId="0" applyNumberFormat="1" applyFont="1" applyFill="1" applyBorder="1" applyAlignment="1" applyProtection="1">
      <alignment horizontal="center" vertical="center"/>
    </xf>
    <xf numFmtId="10" fontId="44" fillId="0" borderId="61" xfId="0" applyNumberFormat="1" applyFont="1" applyFill="1" applyBorder="1" applyAlignment="1" applyProtection="1">
      <alignment horizontal="center" vertical="center"/>
      <protection locked="0"/>
    </xf>
    <xf numFmtId="182" fontId="44" fillId="6" borderId="61" xfId="0" applyNumberFormat="1" applyFont="1" applyFill="1" applyBorder="1" applyAlignment="1" applyProtection="1">
      <alignment horizontal="center" vertical="center"/>
    </xf>
    <xf numFmtId="10" fontId="44" fillId="2" borderId="61" xfId="0" applyNumberFormat="1" applyFont="1" applyFill="1" applyBorder="1" applyAlignment="1" applyProtection="1">
      <alignment horizontal="center" vertical="center"/>
      <protection locked="0"/>
    </xf>
    <xf numFmtId="10" fontId="44" fillId="0" borderId="49" xfId="0" applyNumberFormat="1" applyFont="1" applyFill="1" applyBorder="1" applyAlignment="1" applyProtection="1">
      <alignment horizontal="center" vertical="center"/>
      <protection locked="0"/>
    </xf>
    <xf numFmtId="10" fontId="44" fillId="0" borderId="53" xfId="0" applyNumberFormat="1" applyFont="1" applyFill="1" applyBorder="1" applyAlignment="1" applyProtection="1">
      <alignment horizontal="center" vertical="center"/>
      <protection locked="0"/>
    </xf>
    <xf numFmtId="10" fontId="44" fillId="6" borderId="62" xfId="0" applyNumberFormat="1" applyFont="1" applyFill="1" applyBorder="1" applyAlignment="1" applyProtection="1">
      <alignment horizontal="center" vertical="center"/>
    </xf>
    <xf numFmtId="10" fontId="44" fillId="6" borderId="49" xfId="0" applyNumberFormat="1" applyFont="1" applyFill="1" applyBorder="1" applyAlignment="1" applyProtection="1">
      <alignment horizontal="center" vertical="center"/>
    </xf>
    <xf numFmtId="178" fontId="44" fillId="6" borderId="62" xfId="0" applyNumberFormat="1" applyFont="1" applyFill="1" applyBorder="1" applyAlignment="1" applyProtection="1">
      <alignment horizontal="center" vertical="center"/>
    </xf>
    <xf numFmtId="0" fontId="44" fillId="0" borderId="49" xfId="0" applyFont="1" applyBorder="1" applyAlignment="1" applyProtection="1">
      <alignment vertical="center"/>
      <protection locked="0"/>
    </xf>
    <xf numFmtId="0" fontId="44" fillId="6" borderId="10" xfId="0" applyNumberFormat="1" applyFont="1" applyFill="1" applyBorder="1" applyAlignment="1" applyProtection="1">
      <alignment horizontal="center" vertical="center" wrapText="1"/>
    </xf>
    <xf numFmtId="0" fontId="44" fillId="6" borderId="24" xfId="0" applyNumberFormat="1" applyFont="1" applyFill="1" applyBorder="1" applyAlignment="1" applyProtection="1">
      <alignment horizontal="center" vertical="center" wrapText="1"/>
    </xf>
    <xf numFmtId="0" fontId="44" fillId="6" borderId="49" xfId="0" applyNumberFormat="1" applyFont="1" applyFill="1" applyBorder="1" applyAlignment="1" applyProtection="1">
      <alignment horizontal="center" vertical="center" wrapText="1"/>
    </xf>
    <xf numFmtId="0" fontId="47" fillId="6" borderId="0" xfId="0" applyFont="1" applyFill="1" applyProtection="1">
      <alignment vertical="center"/>
      <protection locked="0"/>
    </xf>
    <xf numFmtId="0" fontId="47" fillId="0" borderId="0" xfId="0" applyFont="1" applyProtection="1">
      <alignment vertical="center"/>
      <protection locked="0"/>
    </xf>
    <xf numFmtId="0" fontId="47" fillId="6" borderId="5" xfId="0" applyFont="1" applyFill="1" applyBorder="1" applyAlignment="1" applyProtection="1">
      <alignment vertical="center"/>
    </xf>
    <xf numFmtId="0" fontId="44" fillId="6" borderId="2" xfId="0" applyFont="1" applyFill="1" applyBorder="1" applyAlignment="1" applyProtection="1">
      <alignment horizontal="center" vertical="center"/>
    </xf>
    <xf numFmtId="179" fontId="44" fillId="6" borderId="13" xfId="0" applyNumberFormat="1" applyFont="1" applyFill="1" applyBorder="1" applyAlignment="1" applyProtection="1">
      <alignment horizontal="center" vertical="center"/>
    </xf>
    <xf numFmtId="0" fontId="98" fillId="6" borderId="9" xfId="0" applyFont="1" applyFill="1" applyBorder="1" applyAlignment="1" applyProtection="1">
      <alignment horizontal="center" vertical="center"/>
    </xf>
    <xf numFmtId="0" fontId="98" fillId="6" borderId="10" xfId="0" applyFont="1" applyFill="1" applyBorder="1" applyAlignment="1" applyProtection="1">
      <alignment horizontal="center" vertical="center"/>
    </xf>
    <xf numFmtId="0" fontId="44" fillId="6" borderId="28" xfId="0" applyFont="1" applyFill="1" applyBorder="1" applyAlignment="1" applyProtection="1">
      <alignment horizontal="right" vertical="center"/>
    </xf>
    <xf numFmtId="0" fontId="98" fillId="6" borderId="1" xfId="0" applyFont="1" applyFill="1" applyBorder="1" applyAlignment="1" applyProtection="1">
      <alignment horizontal="center" vertical="center"/>
    </xf>
    <xf numFmtId="0" fontId="98" fillId="6" borderId="24" xfId="0" applyFont="1" applyFill="1" applyBorder="1" applyAlignment="1" applyProtection="1">
      <alignment horizontal="center" vertical="center"/>
    </xf>
    <xf numFmtId="0" fontId="44" fillId="6" borderId="5" xfId="0" applyFont="1" applyFill="1" applyBorder="1" applyAlignment="1" applyProtection="1">
      <alignment horizontal="right" vertical="center"/>
    </xf>
    <xf numFmtId="0" fontId="44" fillId="6" borderId="33" xfId="0" applyFont="1" applyFill="1" applyBorder="1" applyAlignment="1" applyProtection="1">
      <alignment horizontal="right" vertical="center"/>
    </xf>
    <xf numFmtId="0" fontId="44" fillId="6" borderId="4" xfId="0" applyFont="1" applyFill="1" applyBorder="1" applyAlignment="1" applyProtection="1">
      <alignment horizontal="right" vertical="center"/>
    </xf>
    <xf numFmtId="0" fontId="100" fillId="0" borderId="1" xfId="0" applyFont="1" applyFill="1" applyBorder="1" applyAlignment="1" applyProtection="1">
      <alignment horizontal="center" vertical="center"/>
      <protection locked="0"/>
    </xf>
    <xf numFmtId="0" fontId="100" fillId="0" borderId="24" xfId="0" applyFont="1" applyFill="1" applyBorder="1" applyAlignment="1" applyProtection="1">
      <alignment horizontal="center" vertical="center"/>
      <protection locked="0"/>
    </xf>
    <xf numFmtId="0" fontId="44" fillId="6" borderId="29" xfId="0" applyFont="1" applyFill="1" applyBorder="1" applyAlignment="1" applyProtection="1">
      <alignment horizontal="center" vertical="center"/>
    </xf>
    <xf numFmtId="0" fontId="46" fillId="0" borderId="10" xfId="0" applyFont="1" applyFill="1" applyBorder="1" applyAlignment="1" applyProtection="1">
      <alignment horizontal="center" vertical="center"/>
      <protection locked="0"/>
    </xf>
    <xf numFmtId="0" fontId="47" fillId="6" borderId="1" xfId="0" applyFont="1" applyFill="1" applyBorder="1" applyProtection="1">
      <alignment vertical="center"/>
    </xf>
    <xf numFmtId="0" fontId="46" fillId="0" borderId="24" xfId="0" applyFont="1" applyFill="1" applyBorder="1" applyAlignment="1" applyProtection="1">
      <alignment horizontal="center" vertical="center"/>
      <protection locked="0"/>
    </xf>
    <xf numFmtId="0" fontId="46" fillId="6" borderId="4" xfId="0" applyFont="1" applyFill="1" applyBorder="1" applyAlignment="1" applyProtection="1">
      <alignment horizontal="center" vertical="center"/>
    </xf>
    <xf numFmtId="0" fontId="47" fillId="0" borderId="23" xfId="0" applyFont="1" applyBorder="1" applyProtection="1">
      <alignment vertical="center"/>
      <protection locked="0"/>
    </xf>
    <xf numFmtId="0" fontId="47" fillId="0" borderId="1" xfId="0" applyFont="1" applyBorder="1" applyProtection="1">
      <alignment vertical="center"/>
      <protection locked="0"/>
    </xf>
    <xf numFmtId="0" fontId="47" fillId="0" borderId="24" xfId="0" applyFont="1" applyFill="1" applyBorder="1" applyAlignment="1" applyProtection="1">
      <alignment horizontal="center" vertical="center"/>
      <protection locked="0"/>
    </xf>
    <xf numFmtId="0" fontId="47" fillId="0" borderId="25" xfId="0" applyFont="1" applyBorder="1" applyProtection="1">
      <alignment vertical="center"/>
      <protection locked="0"/>
    </xf>
    <xf numFmtId="0" fontId="47" fillId="0" borderId="32" xfId="0" applyFont="1" applyBorder="1" applyProtection="1">
      <alignment vertical="center"/>
      <protection locked="0"/>
    </xf>
    <xf numFmtId="0" fontId="47" fillId="0" borderId="49" xfId="0" applyFont="1" applyBorder="1" applyProtection="1">
      <alignment vertical="center"/>
      <protection locked="0"/>
    </xf>
    <xf numFmtId="0" fontId="47" fillId="6" borderId="13" xfId="0" applyFont="1" applyFill="1" applyBorder="1" applyAlignment="1" applyProtection="1">
      <alignment vertical="center"/>
    </xf>
    <xf numFmtId="0" fontId="47" fillId="6" borderId="36" xfId="0" applyFont="1" applyFill="1" applyBorder="1" applyAlignment="1" applyProtection="1">
      <alignment horizontal="right" vertical="center"/>
    </xf>
    <xf numFmtId="9" fontId="47" fillId="5" borderId="36" xfId="0" applyNumberFormat="1" applyFont="1" applyFill="1" applyBorder="1" applyAlignment="1" applyProtection="1">
      <alignment horizontal="center" vertical="center"/>
      <protection locked="0"/>
    </xf>
    <xf numFmtId="0" fontId="47" fillId="6" borderId="22" xfId="0" applyFont="1" applyFill="1" applyBorder="1" applyProtection="1">
      <alignment vertical="center"/>
    </xf>
    <xf numFmtId="0" fontId="47" fillId="6" borderId="0" xfId="0" applyFont="1" applyFill="1" applyAlignment="1" applyProtection="1">
      <alignment horizontal="center" vertical="center"/>
      <protection locked="0"/>
    </xf>
    <xf numFmtId="0" fontId="52" fillId="6" borderId="18" xfId="0" applyFont="1" applyFill="1" applyBorder="1" applyAlignment="1" applyProtection="1">
      <alignment horizontal="left" vertical="center" wrapText="1"/>
    </xf>
    <xf numFmtId="0" fontId="52" fillId="6" borderId="60" xfId="0" applyFont="1" applyFill="1" applyBorder="1" applyAlignment="1" applyProtection="1">
      <alignment horizontal="left" vertical="center" wrapText="1"/>
    </xf>
    <xf numFmtId="0" fontId="52" fillId="6" borderId="7" xfId="0" applyFont="1" applyFill="1" applyBorder="1" applyAlignment="1" applyProtection="1">
      <alignment horizontal="left" vertical="center" wrapText="1"/>
    </xf>
    <xf numFmtId="0" fontId="52" fillId="6" borderId="1" xfId="0" applyFont="1" applyFill="1" applyBorder="1" applyAlignment="1" applyProtection="1">
      <alignment horizontal="left" vertical="center" wrapText="1"/>
    </xf>
    <xf numFmtId="0" fontId="47" fillId="6" borderId="46" xfId="0" applyFont="1" applyFill="1" applyBorder="1" applyAlignment="1" applyProtection="1">
      <alignment vertical="center"/>
    </xf>
    <xf numFmtId="10" fontId="47" fillId="6" borderId="5" xfId="0" applyNumberFormat="1" applyFont="1" applyFill="1" applyBorder="1" applyAlignment="1" applyProtection="1">
      <alignment horizontal="center" vertical="center"/>
    </xf>
    <xf numFmtId="0" fontId="47" fillId="6" borderId="10" xfId="0" applyFont="1" applyFill="1" applyBorder="1" applyAlignment="1" applyProtection="1">
      <alignment horizontal="left" vertical="center" wrapText="1"/>
    </xf>
    <xf numFmtId="0" fontId="54" fillId="6" borderId="2" xfId="0" applyFont="1" applyFill="1" applyBorder="1" applyAlignment="1" applyProtection="1">
      <alignment horizontal="left" vertical="center" wrapText="1"/>
    </xf>
    <xf numFmtId="0" fontId="47" fillId="6" borderId="8" xfId="0" applyFont="1" applyFill="1" applyBorder="1" applyAlignment="1" applyProtection="1">
      <alignment horizontal="left" vertical="center" wrapText="1"/>
    </xf>
    <xf numFmtId="49" fontId="47" fillId="6" borderId="23" xfId="0" applyNumberFormat="1"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center" vertical="center" wrapText="1"/>
    </xf>
    <xf numFmtId="0" fontId="47" fillId="6" borderId="24" xfId="0" applyFont="1" applyFill="1" applyBorder="1" applyAlignment="1" applyProtection="1">
      <alignment horizontal="left" vertical="center" wrapText="1"/>
    </xf>
    <xf numFmtId="49" fontId="52" fillId="6" borderId="23" xfId="0" applyNumberFormat="1" applyFont="1" applyFill="1" applyBorder="1" applyAlignment="1" applyProtection="1">
      <alignment horizontal="left" vertical="center" wrapText="1"/>
    </xf>
    <xf numFmtId="0" fontId="54" fillId="6" borderId="1" xfId="0" applyFont="1" applyFill="1" applyBorder="1" applyAlignment="1" applyProtection="1">
      <alignment horizontal="left" vertical="center" wrapText="1"/>
    </xf>
    <xf numFmtId="0" fontId="54" fillId="6" borderId="1" xfId="0" applyFont="1" applyFill="1" applyBorder="1" applyAlignment="1" applyProtection="1">
      <alignment horizontal="center" vertical="center" wrapText="1"/>
    </xf>
    <xf numFmtId="49" fontId="52" fillId="6" borderId="25" xfId="0" applyNumberFormat="1" applyFont="1" applyFill="1" applyBorder="1" applyAlignment="1" applyProtection="1">
      <alignment horizontal="left" vertical="center" wrapText="1"/>
    </xf>
    <xf numFmtId="0" fontId="54" fillId="6" borderId="32" xfId="0" applyFont="1" applyFill="1" applyBorder="1" applyAlignment="1" applyProtection="1">
      <alignment horizontal="left" vertical="center" wrapText="1"/>
    </xf>
    <xf numFmtId="0" fontId="47" fillId="6" borderId="49" xfId="0" applyFont="1" applyFill="1" applyBorder="1" applyAlignment="1" applyProtection="1">
      <alignment horizontal="left" vertical="center"/>
    </xf>
    <xf numFmtId="0" fontId="47" fillId="6" borderId="28" xfId="0" applyFont="1" applyFill="1" applyBorder="1" applyAlignment="1" applyProtection="1">
      <alignment horizontal="left" vertical="center" wrapText="1"/>
    </xf>
    <xf numFmtId="0" fontId="47" fillId="6" borderId="20" xfId="0" applyFont="1" applyFill="1" applyBorder="1" applyAlignment="1" applyProtection="1">
      <alignment horizontal="left" vertical="center" wrapText="1"/>
    </xf>
    <xf numFmtId="0" fontId="44" fillId="6" borderId="21" xfId="2" applyFont="1" applyFill="1" applyBorder="1" applyAlignment="1" applyProtection="1">
      <alignment horizontal="left" vertical="center" wrapText="1"/>
    </xf>
    <xf numFmtId="0" fontId="44" fillId="6" borderId="48" xfId="2" applyFont="1" applyFill="1" applyBorder="1" applyAlignment="1" applyProtection="1">
      <alignment horizontal="left" vertical="center" wrapText="1"/>
    </xf>
    <xf numFmtId="0" fontId="53" fillId="0" borderId="1" xfId="0" applyFont="1" applyFill="1" applyBorder="1" applyAlignment="1" applyProtection="1">
      <alignment horizontal="center" vertical="center" wrapText="1"/>
      <protection locked="0"/>
    </xf>
    <xf numFmtId="0" fontId="44" fillId="6" borderId="1" xfId="2"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xf>
    <xf numFmtId="0" fontId="53" fillId="6" borderId="32" xfId="0" applyFont="1" applyFill="1" applyBorder="1" applyAlignment="1" applyProtection="1">
      <alignment horizontal="center" vertical="center" wrapText="1"/>
    </xf>
    <xf numFmtId="0" fontId="47" fillId="6" borderId="33" xfId="0" applyFont="1" applyFill="1" applyBorder="1" applyAlignment="1" applyProtection="1">
      <alignment horizontal="left" vertical="center"/>
    </xf>
    <xf numFmtId="0" fontId="47" fillId="6" borderId="52" xfId="0" applyFont="1" applyFill="1" applyBorder="1" applyAlignment="1" applyProtection="1">
      <alignment horizontal="left" vertical="center" wrapText="1"/>
    </xf>
    <xf numFmtId="0" fontId="44" fillId="6" borderId="68" xfId="2" applyFont="1" applyFill="1" applyBorder="1" applyAlignment="1" applyProtection="1">
      <alignment horizontal="left" vertical="center" wrapText="1"/>
    </xf>
    <xf numFmtId="0" fontId="47" fillId="6" borderId="21" xfId="2" applyFont="1" applyFill="1" applyBorder="1" applyAlignment="1" applyProtection="1">
      <alignment horizontal="left" vertical="center" wrapText="1"/>
    </xf>
    <xf numFmtId="0" fontId="47" fillId="6" borderId="48" xfId="2"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xf>
    <xf numFmtId="0" fontId="55" fillId="6" borderId="0" xfId="0" applyFont="1" applyFill="1" applyBorder="1" applyAlignment="1" applyProtection="1">
      <alignment horizontal="left" vertical="center"/>
    </xf>
    <xf numFmtId="0" fontId="47" fillId="6" borderId="68" xfId="2" applyFont="1" applyFill="1" applyBorder="1" applyAlignment="1" applyProtection="1">
      <alignment horizontal="left" vertical="center" wrapText="1"/>
    </xf>
    <xf numFmtId="0" fontId="101" fillId="6" borderId="51" xfId="1" applyFont="1" applyFill="1" applyBorder="1" applyAlignment="1" applyProtection="1">
      <alignment vertical="center"/>
    </xf>
    <xf numFmtId="0" fontId="57" fillId="6" borderId="20" xfId="1" applyFont="1" applyFill="1" applyBorder="1" applyAlignment="1" applyProtection="1">
      <alignment vertical="center"/>
    </xf>
    <xf numFmtId="0" fontId="57" fillId="6" borderId="19" xfId="1" applyFont="1" applyFill="1" applyBorder="1" applyAlignment="1" applyProtection="1">
      <alignment vertical="center"/>
    </xf>
    <xf numFmtId="0" fontId="57" fillId="6" borderId="0" xfId="1" applyFont="1" applyFill="1" applyBorder="1" applyAlignment="1" applyProtection="1">
      <alignment vertical="center"/>
    </xf>
    <xf numFmtId="0" fontId="58" fillId="3" borderId="0" xfId="0" applyFont="1" applyFill="1" applyAlignment="1" applyProtection="1">
      <alignment vertical="center"/>
      <protection locked="0"/>
    </xf>
    <xf numFmtId="0" fontId="57" fillId="6" borderId="1" xfId="1" applyFont="1" applyFill="1" applyBorder="1" applyAlignment="1" applyProtection="1">
      <alignment vertical="center"/>
    </xf>
    <xf numFmtId="177" fontId="57" fillId="6" borderId="1" xfId="1" applyNumberFormat="1" applyFont="1" applyFill="1" applyBorder="1" applyAlignment="1" applyProtection="1">
      <alignment horizontal="right" vertical="center"/>
    </xf>
    <xf numFmtId="0" fontId="57" fillId="6" borderId="13" xfId="1" applyFont="1" applyFill="1" applyBorder="1" applyAlignment="1" applyProtection="1">
      <alignment vertical="center"/>
    </xf>
    <xf numFmtId="0" fontId="57" fillId="6" borderId="13" xfId="1" applyFont="1" applyFill="1" applyBorder="1" applyAlignment="1" applyProtection="1">
      <alignment horizontal="right" vertical="center"/>
    </xf>
    <xf numFmtId="49" fontId="57" fillId="6" borderId="51" xfId="1" applyNumberFormat="1" applyFont="1" applyFill="1" applyBorder="1" applyAlignment="1" applyProtection="1"/>
    <xf numFmtId="49" fontId="57" fillId="6" borderId="20" xfId="1" applyNumberFormat="1" applyFont="1" applyFill="1" applyBorder="1" applyAlignment="1" applyProtection="1"/>
    <xf numFmtId="49" fontId="57" fillId="6" borderId="21" xfId="1" applyNumberFormat="1" applyFont="1" applyFill="1" applyBorder="1" applyAlignment="1" applyProtection="1"/>
    <xf numFmtId="0" fontId="57" fillId="3" borderId="0" xfId="0" applyFont="1" applyFill="1" applyAlignment="1" applyProtection="1">
      <alignment vertical="center"/>
      <protection locked="0"/>
    </xf>
    <xf numFmtId="0" fontId="54" fillId="6" borderId="23" xfId="1" applyFont="1" applyFill="1" applyBorder="1" applyAlignment="1" applyProtection="1">
      <alignment horizontal="left"/>
    </xf>
    <xf numFmtId="0" fontId="54" fillId="6" borderId="5" xfId="1" applyFont="1" applyFill="1" applyBorder="1" applyAlignment="1" applyProtection="1"/>
    <xf numFmtId="177" fontId="54" fillId="6" borderId="1" xfId="1" applyNumberFormat="1" applyFont="1" applyFill="1" applyBorder="1" applyAlignment="1" applyProtection="1">
      <alignment horizontal="center"/>
    </xf>
    <xf numFmtId="0" fontId="54" fillId="6" borderId="1" xfId="1" applyFont="1" applyFill="1" applyBorder="1" applyAlignment="1" applyProtection="1">
      <alignment horizontal="center"/>
    </xf>
    <xf numFmtId="0" fontId="54" fillId="6" borderId="24" xfId="1" applyFont="1" applyFill="1" applyBorder="1" applyAlignment="1" applyProtection="1">
      <alignment horizontal="left"/>
    </xf>
    <xf numFmtId="0" fontId="54" fillId="3" borderId="0" xfId="0" applyFont="1" applyFill="1" applyAlignment="1" applyProtection="1">
      <alignment vertical="center"/>
      <protection locked="0"/>
    </xf>
    <xf numFmtId="0" fontId="53" fillId="6" borderId="5" xfId="1" applyFont="1" applyFill="1" applyBorder="1" applyAlignment="1" applyProtection="1"/>
    <xf numFmtId="177" fontId="53" fillId="0" borderId="1" xfId="1" applyNumberFormat="1" applyFont="1" applyFill="1" applyBorder="1" applyAlignment="1" applyProtection="1">
      <alignment horizontal="center"/>
      <protection locked="0"/>
    </xf>
    <xf numFmtId="179" fontId="53" fillId="6" borderId="1" xfId="1" applyNumberFormat="1" applyFont="1" applyFill="1" applyBorder="1" applyAlignment="1" applyProtection="1">
      <alignment horizontal="center"/>
    </xf>
    <xf numFmtId="0" fontId="53" fillId="6" borderId="1" xfId="1" applyFont="1" applyFill="1" applyBorder="1" applyAlignment="1" applyProtection="1">
      <alignment horizontal="center"/>
    </xf>
    <xf numFmtId="0" fontId="53" fillId="6" borderId="24" xfId="1" applyFont="1" applyFill="1" applyBorder="1" applyAlignment="1" applyProtection="1">
      <alignment horizontal="left"/>
    </xf>
    <xf numFmtId="177" fontId="53" fillId="6" borderId="1" xfId="1" applyNumberFormat="1" applyFont="1" applyFill="1" applyBorder="1" applyAlignment="1" applyProtection="1">
      <alignment horizontal="center"/>
    </xf>
    <xf numFmtId="10" fontId="53" fillId="6" borderId="1" xfId="1" applyNumberFormat="1" applyFont="1" applyFill="1" applyBorder="1" applyAlignment="1" applyProtection="1">
      <alignment horizontal="center"/>
    </xf>
    <xf numFmtId="177" fontId="53" fillId="6" borderId="1" xfId="1" applyNumberFormat="1" applyFont="1" applyFill="1" applyBorder="1" applyAlignment="1" applyProtection="1"/>
    <xf numFmtId="0" fontId="54" fillId="0" borderId="0" xfId="0" applyFont="1" applyFill="1" applyAlignment="1" applyProtection="1">
      <alignment vertical="center"/>
      <protection locked="0"/>
    </xf>
    <xf numFmtId="0" fontId="59" fillId="6" borderId="5" xfId="1" applyFont="1" applyFill="1" applyBorder="1" applyAlignment="1" applyProtection="1"/>
    <xf numFmtId="177" fontId="59" fillId="6" borderId="1" xfId="1" applyNumberFormat="1" applyFont="1" applyFill="1" applyBorder="1" applyAlignment="1" applyProtection="1">
      <alignment horizontal="center"/>
    </xf>
    <xf numFmtId="0" fontId="53" fillId="6" borderId="24" xfId="1" applyFont="1" applyFill="1" applyBorder="1" applyAlignment="1" applyProtection="1">
      <alignment vertical="center" wrapText="1"/>
    </xf>
    <xf numFmtId="0" fontId="53" fillId="6" borderId="23" xfId="1" applyFont="1" applyFill="1" applyBorder="1" applyAlignment="1" applyProtection="1">
      <alignment horizontal="left"/>
    </xf>
    <xf numFmtId="0" fontId="53" fillId="6" borderId="0" xfId="1" applyFont="1" applyFill="1" applyBorder="1" applyAlignment="1" applyProtection="1">
      <alignment horizontal="center"/>
    </xf>
    <xf numFmtId="0" fontId="53" fillId="6" borderId="1" xfId="0" applyFont="1" applyFill="1" applyBorder="1" applyProtection="1">
      <alignment vertical="center"/>
    </xf>
    <xf numFmtId="179" fontId="54" fillId="6" borderId="1" xfId="1" applyNumberFormat="1" applyFont="1" applyFill="1" applyBorder="1" applyAlignment="1" applyProtection="1">
      <alignment horizontal="center"/>
    </xf>
    <xf numFmtId="9" fontId="54" fillId="6" borderId="5" xfId="1" applyNumberFormat="1" applyFont="1" applyFill="1" applyBorder="1" applyAlignment="1" applyProtection="1">
      <alignment horizontal="center"/>
    </xf>
    <xf numFmtId="0" fontId="54" fillId="6" borderId="1" xfId="0" applyFont="1" applyFill="1" applyBorder="1" applyAlignment="1" applyProtection="1">
      <alignment horizontal="center" vertical="center"/>
    </xf>
    <xf numFmtId="10" fontId="54" fillId="6" borderId="5" xfId="1" applyNumberFormat="1" applyFont="1" applyFill="1" applyBorder="1" applyAlignment="1" applyProtection="1">
      <alignment horizontal="center"/>
    </xf>
    <xf numFmtId="0" fontId="54" fillId="6" borderId="24" xfId="0" applyFont="1" applyFill="1" applyBorder="1" applyAlignment="1" applyProtection="1">
      <alignment vertical="center"/>
    </xf>
    <xf numFmtId="0" fontId="54" fillId="6" borderId="1" xfId="0" applyFont="1" applyFill="1" applyBorder="1" applyAlignment="1" applyProtection="1">
      <alignment horizontal="right" vertical="center"/>
    </xf>
    <xf numFmtId="0" fontId="54" fillId="6" borderId="1" xfId="0" applyFont="1" applyFill="1" applyBorder="1" applyAlignment="1" applyProtection="1">
      <alignment horizontal="left" vertical="center"/>
    </xf>
    <xf numFmtId="10" fontId="54" fillId="6" borderId="5" xfId="1" applyNumberFormat="1" applyFont="1" applyFill="1" applyBorder="1" applyAlignment="1" applyProtection="1">
      <alignment horizontal="center" vertical="center"/>
    </xf>
    <xf numFmtId="0" fontId="53" fillId="6" borderId="1" xfId="0" applyFont="1" applyFill="1" applyBorder="1" applyAlignment="1" applyProtection="1">
      <alignment horizontal="center" vertical="center"/>
    </xf>
    <xf numFmtId="179" fontId="53" fillId="6" borderId="5" xfId="1" applyNumberFormat="1" applyFont="1" applyFill="1" applyBorder="1" applyAlignment="1" applyProtection="1">
      <alignment horizontal="center" vertical="center"/>
    </xf>
    <xf numFmtId="0" fontId="53" fillId="6" borderId="24" xfId="0" applyFont="1" applyFill="1" applyBorder="1" applyAlignment="1" applyProtection="1">
      <alignment vertical="center"/>
    </xf>
    <xf numFmtId="0" fontId="54" fillId="6" borderId="1" xfId="0" applyFont="1" applyFill="1" applyBorder="1" applyAlignment="1" applyProtection="1">
      <alignment vertical="center"/>
    </xf>
    <xf numFmtId="0" fontId="53" fillId="6" borderId="61" xfId="0" applyFont="1" applyFill="1" applyBorder="1" applyAlignment="1" applyProtection="1">
      <alignment vertical="center" wrapText="1"/>
    </xf>
    <xf numFmtId="0" fontId="53" fillId="6" borderId="8" xfId="0" applyFont="1" applyFill="1" applyBorder="1" applyAlignment="1" applyProtection="1">
      <alignment vertical="center"/>
    </xf>
    <xf numFmtId="0" fontId="54" fillId="6" borderId="5" xfId="1" applyFont="1" applyFill="1" applyBorder="1" applyAlignment="1" applyProtection="1">
      <alignment vertical="center"/>
    </xf>
    <xf numFmtId="177" fontId="54" fillId="6" borderId="1" xfId="1" applyNumberFormat="1" applyFont="1" applyFill="1" applyBorder="1" applyAlignment="1" applyProtection="1">
      <alignment horizontal="center" vertical="center"/>
    </xf>
    <xf numFmtId="9" fontId="54" fillId="6" borderId="5" xfId="1" applyNumberFormat="1" applyFont="1" applyFill="1" applyBorder="1" applyAlignment="1" applyProtection="1">
      <alignment horizontal="center" vertical="center"/>
    </xf>
    <xf numFmtId="0" fontId="54" fillId="6" borderId="24" xfId="0" applyFont="1" applyFill="1" applyBorder="1" applyAlignment="1" applyProtection="1">
      <alignment vertical="center" wrapText="1"/>
    </xf>
    <xf numFmtId="0" fontId="53" fillId="6" borderId="5" xfId="1" applyFont="1" applyFill="1" applyBorder="1" applyAlignment="1" applyProtection="1">
      <alignment horizontal="left"/>
    </xf>
    <xf numFmtId="177" fontId="53" fillId="6" borderId="1" xfId="1" applyNumberFormat="1" applyFont="1" applyFill="1" applyBorder="1" applyAlignment="1" applyProtection="1">
      <alignment horizontal="center" vertical="center"/>
    </xf>
    <xf numFmtId="9" fontId="54" fillId="6" borderId="1" xfId="1" applyNumberFormat="1" applyFont="1" applyFill="1" applyBorder="1" applyAlignment="1" applyProtection="1">
      <alignment horizontal="center"/>
    </xf>
    <xf numFmtId="0" fontId="53" fillId="3" borderId="0" xfId="0" applyFont="1" applyFill="1" applyAlignment="1" applyProtection="1">
      <alignment vertical="center"/>
      <protection locked="0"/>
    </xf>
    <xf numFmtId="49" fontId="57" fillId="6" borderId="37" xfId="1" applyNumberFormat="1" applyFont="1" applyFill="1" applyBorder="1" applyAlignment="1" applyProtection="1"/>
    <xf numFmtId="49" fontId="57" fillId="6" borderId="54" xfId="1" applyNumberFormat="1" applyFont="1" applyFill="1" applyBorder="1" applyAlignment="1" applyProtection="1"/>
    <xf numFmtId="49" fontId="57" fillId="6" borderId="48" xfId="1" applyNumberFormat="1" applyFont="1" applyFill="1" applyBorder="1" applyAlignment="1" applyProtection="1"/>
    <xf numFmtId="49" fontId="54" fillId="6" borderId="23" xfId="1" applyNumberFormat="1" applyFont="1" applyFill="1" applyBorder="1" applyAlignment="1" applyProtection="1">
      <alignment horizontal="left"/>
    </xf>
    <xf numFmtId="177" fontId="54" fillId="6" borderId="1" xfId="0" applyNumberFormat="1" applyFont="1" applyFill="1" applyBorder="1" applyAlignment="1" applyProtection="1">
      <alignment horizontal="center" vertical="center"/>
    </xf>
    <xf numFmtId="181" fontId="54" fillId="6" borderId="5" xfId="1" applyNumberFormat="1" applyFont="1" applyFill="1" applyBorder="1" applyAlignment="1" applyProtection="1">
      <alignment horizontal="center"/>
    </xf>
    <xf numFmtId="0" fontId="53" fillId="0" borderId="0" xfId="0" applyFont="1" applyFill="1" applyAlignment="1" applyProtection="1">
      <alignment vertical="center"/>
      <protection locked="0"/>
    </xf>
    <xf numFmtId="10" fontId="53" fillId="6" borderId="5" xfId="1" applyNumberFormat="1" applyFont="1" applyFill="1" applyBorder="1" applyAlignment="1" applyProtection="1">
      <alignment horizontal="center"/>
    </xf>
    <xf numFmtId="0" fontId="53" fillId="6" borderId="24" xfId="0" applyFont="1" applyFill="1" applyBorder="1" applyAlignment="1" applyProtection="1">
      <alignment vertical="center" wrapText="1"/>
    </xf>
    <xf numFmtId="0" fontId="53" fillId="6" borderId="24" xfId="1" applyFont="1" applyFill="1" applyBorder="1" applyAlignment="1" applyProtection="1">
      <alignment horizontal="left" vertical="center"/>
    </xf>
    <xf numFmtId="10" fontId="54" fillId="6" borderId="1" xfId="0" applyNumberFormat="1" applyFont="1" applyFill="1" applyBorder="1" applyAlignment="1" applyProtection="1">
      <alignment horizontal="right" vertical="center"/>
    </xf>
    <xf numFmtId="184" fontId="54" fillId="6" borderId="1" xfId="0" applyNumberFormat="1" applyFont="1" applyFill="1" applyBorder="1" applyAlignment="1" applyProtection="1">
      <alignment horizontal="right" vertical="center"/>
    </xf>
    <xf numFmtId="10" fontId="54" fillId="6" borderId="1" xfId="1" applyNumberFormat="1" applyFont="1" applyFill="1" applyBorder="1" applyAlignment="1" applyProtection="1">
      <alignment horizontal="center" vertical="center"/>
    </xf>
    <xf numFmtId="49" fontId="57" fillId="6" borderId="38" xfId="1" applyNumberFormat="1" applyFont="1" applyFill="1" applyBorder="1" applyAlignment="1" applyProtection="1"/>
    <xf numFmtId="49" fontId="57" fillId="6" borderId="52" xfId="1" applyNumberFormat="1" applyFont="1" applyFill="1" applyBorder="1" applyAlignment="1" applyProtection="1"/>
    <xf numFmtId="177" fontId="54" fillId="6" borderId="32" xfId="0" applyNumberFormat="1" applyFont="1" applyFill="1" applyBorder="1" applyAlignment="1" applyProtection="1">
      <alignment horizontal="center" vertical="center"/>
    </xf>
    <xf numFmtId="49" fontId="57" fillId="6" borderId="68" xfId="1" applyNumberFormat="1" applyFont="1" applyFill="1" applyBorder="1" applyAlignment="1" applyProtection="1"/>
    <xf numFmtId="0" fontId="53" fillId="3" borderId="0" xfId="0" applyFont="1" applyFill="1" applyAlignment="1" applyProtection="1">
      <alignment horizontal="left" vertical="center"/>
      <protection locked="0"/>
    </xf>
    <xf numFmtId="0" fontId="60" fillId="6" borderId="1" xfId="0" applyFont="1" applyFill="1" applyBorder="1" applyAlignment="1" applyProtection="1">
      <alignment horizontal="left"/>
    </xf>
    <xf numFmtId="0" fontId="58" fillId="6" borderId="1" xfId="0" applyFont="1" applyFill="1" applyBorder="1" applyAlignment="1" applyProtection="1">
      <alignment horizontal="center" vertical="center"/>
    </xf>
    <xf numFmtId="0" fontId="53" fillId="3" borderId="0" xfId="0" applyFont="1" applyFill="1" applyAlignment="1" applyProtection="1">
      <alignment horizontal="center" vertical="center"/>
      <protection locked="0"/>
    </xf>
    <xf numFmtId="0" fontId="47" fillId="6" borderId="1" xfId="0" applyFont="1" applyFill="1" applyBorder="1" applyAlignment="1" applyProtection="1"/>
    <xf numFmtId="181" fontId="53" fillId="6" borderId="1" xfId="0" applyNumberFormat="1" applyFont="1" applyFill="1" applyBorder="1" applyAlignment="1" applyProtection="1">
      <alignment horizontal="center"/>
    </xf>
    <xf numFmtId="181" fontId="47" fillId="6" borderId="1" xfId="0" applyNumberFormat="1" applyFont="1" applyFill="1" applyBorder="1" applyAlignment="1" applyProtection="1">
      <alignment horizontal="center"/>
    </xf>
    <xf numFmtId="0" fontId="45" fillId="6" borderId="0" xfId="1" applyFont="1" applyFill="1" applyBorder="1" applyAlignment="1" applyProtection="1">
      <alignment vertical="center"/>
    </xf>
    <xf numFmtId="176" fontId="99" fillId="6" borderId="1" xfId="0" applyNumberFormat="1" applyFont="1" applyFill="1" applyBorder="1" applyAlignment="1" applyProtection="1">
      <alignment horizontal="center" vertical="center"/>
    </xf>
    <xf numFmtId="176" fontId="99" fillId="6" borderId="24" xfId="0" applyNumberFormat="1" applyFont="1" applyFill="1" applyBorder="1" applyAlignment="1" applyProtection="1">
      <alignment horizontal="center" vertical="center"/>
    </xf>
    <xf numFmtId="177" fontId="47"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right" vertical="center"/>
    </xf>
    <xf numFmtId="177" fontId="46" fillId="6" borderId="1" xfId="1" applyNumberFormat="1" applyFont="1" applyFill="1" applyBorder="1" applyAlignment="1" applyProtection="1">
      <alignment vertical="center"/>
    </xf>
    <xf numFmtId="177" fontId="46" fillId="6" borderId="54" xfId="1" applyNumberFormat="1" applyFont="1" applyFill="1" applyBorder="1" applyAlignment="1" applyProtection="1">
      <alignment vertical="center"/>
    </xf>
    <xf numFmtId="10" fontId="46" fillId="6" borderId="13" xfId="0" applyNumberFormat="1" applyFont="1" applyFill="1" applyBorder="1" applyAlignment="1" applyProtection="1">
      <alignment horizontal="center" vertical="center"/>
    </xf>
    <xf numFmtId="186" fontId="47" fillId="6" borderId="1" xfId="0" applyNumberFormat="1" applyFont="1" applyFill="1" applyBorder="1" applyAlignment="1" applyProtection="1">
      <alignment horizontal="center" vertical="center"/>
    </xf>
    <xf numFmtId="177" fontId="47" fillId="6" borderId="54" xfId="1" applyNumberFormat="1" applyFont="1" applyFill="1" applyBorder="1" applyAlignment="1" applyProtection="1">
      <alignment vertical="center"/>
    </xf>
    <xf numFmtId="10" fontId="47" fillId="6" borderId="13" xfId="0" applyNumberFormat="1" applyFont="1" applyFill="1" applyBorder="1" applyAlignment="1" applyProtection="1">
      <alignment horizontal="center" vertical="center"/>
    </xf>
    <xf numFmtId="177" fontId="46" fillId="6" borderId="3" xfId="0" applyNumberFormat="1" applyFont="1" applyFill="1" applyBorder="1" applyAlignment="1" applyProtection="1">
      <alignment horizontal="center" vertical="center" wrapText="1"/>
    </xf>
    <xf numFmtId="10" fontId="46" fillId="6" borderId="1" xfId="0" applyNumberFormat="1" applyFont="1" applyFill="1" applyBorder="1" applyAlignment="1" applyProtection="1">
      <alignment horizontal="center" vertical="center" wrapText="1"/>
    </xf>
    <xf numFmtId="0" fontId="49" fillId="3" borderId="0" xfId="0" applyFont="1" applyFill="1" applyAlignment="1" applyProtection="1">
      <alignment vertical="center" wrapText="1"/>
      <protection locked="0"/>
    </xf>
    <xf numFmtId="10" fontId="47" fillId="6" borderId="1" xfId="0" applyNumberFormat="1" applyFont="1" applyFill="1" applyBorder="1" applyAlignment="1" applyProtection="1">
      <alignment horizontal="center" vertical="center" wrapText="1"/>
    </xf>
    <xf numFmtId="0" fontId="48" fillId="3" borderId="0" xfId="0" applyFont="1" applyFill="1" applyAlignment="1" applyProtection="1">
      <alignment vertical="center" wrapText="1"/>
      <protection locked="0"/>
    </xf>
    <xf numFmtId="177" fontId="47" fillId="6" borderId="1" xfId="0" applyNumberFormat="1" applyFont="1" applyFill="1" applyBorder="1" applyAlignment="1" applyProtection="1">
      <alignment horizontal="center" vertical="center" wrapText="1"/>
    </xf>
    <xf numFmtId="0" fontId="63" fillId="0" borderId="0" xfId="0" applyFont="1" applyFill="1" applyAlignment="1" applyProtection="1">
      <alignment vertical="center"/>
      <protection locked="0"/>
    </xf>
    <xf numFmtId="0" fontId="45" fillId="6" borderId="1" xfId="0" applyFont="1" applyFill="1" applyBorder="1" applyAlignment="1" applyProtection="1">
      <alignment horizontal="center" vertical="center"/>
    </xf>
    <xf numFmtId="49" fontId="47" fillId="6" borderId="6" xfId="0" applyNumberFormat="1" applyFont="1" applyFill="1" applyBorder="1" applyAlignment="1" applyProtection="1">
      <alignment horizontal="center" vertical="center"/>
    </xf>
    <xf numFmtId="0" fontId="47" fillId="6" borderId="9" xfId="0" applyFont="1" applyFill="1" applyBorder="1" applyAlignment="1" applyProtection="1">
      <alignment horizontal="center" vertical="center"/>
    </xf>
    <xf numFmtId="0" fontId="47" fillId="6" borderId="28" xfId="0" applyFont="1" applyFill="1" applyBorder="1" applyAlignment="1" applyProtection="1">
      <alignment horizontal="right" vertical="center"/>
    </xf>
    <xf numFmtId="0" fontId="47" fillId="6" borderId="21" xfId="0" applyFont="1" applyFill="1" applyBorder="1" applyAlignment="1" applyProtection="1">
      <alignment horizontal="center" vertical="center"/>
    </xf>
    <xf numFmtId="49" fontId="52" fillId="6" borderId="11" xfId="0" applyNumberFormat="1" applyFont="1" applyFill="1" applyBorder="1" applyAlignment="1" applyProtection="1">
      <alignment vertical="center"/>
    </xf>
    <xf numFmtId="0" fontId="52" fillId="6" borderId="13" xfId="0" applyFont="1" applyFill="1" applyBorder="1" applyAlignment="1" applyProtection="1">
      <alignment vertical="center" wrapText="1"/>
    </xf>
    <xf numFmtId="0" fontId="52" fillId="6" borderId="13" xfId="0" applyFont="1" applyFill="1" applyBorder="1" applyAlignment="1" applyProtection="1">
      <alignment horizontal="center" vertical="center"/>
    </xf>
    <xf numFmtId="0" fontId="47" fillId="6" borderId="1" xfId="0" applyFont="1" applyFill="1" applyBorder="1" applyAlignment="1" applyProtection="1">
      <alignment horizontal="left" vertical="center"/>
    </xf>
    <xf numFmtId="0" fontId="52" fillId="6" borderId="24" xfId="0" applyFont="1" applyFill="1" applyBorder="1" applyAlignment="1" applyProtection="1">
      <alignment horizontal="center" vertical="center"/>
    </xf>
    <xf numFmtId="49" fontId="52" fillId="6" borderId="14" xfId="0" applyNumberFormat="1" applyFont="1" applyFill="1" applyBorder="1" applyAlignment="1" applyProtection="1">
      <alignment vertical="center"/>
    </xf>
    <xf numFmtId="0" fontId="52" fillId="6" borderId="15" xfId="0" applyFont="1" applyFill="1" applyBorder="1" applyAlignment="1" applyProtection="1">
      <alignment vertical="center" wrapText="1"/>
    </xf>
    <xf numFmtId="0" fontId="52" fillId="6" borderId="15" xfId="0" applyFont="1" applyFill="1" applyBorder="1" applyAlignment="1" applyProtection="1">
      <alignment horizontal="center" vertical="center"/>
    </xf>
    <xf numFmtId="0" fontId="47" fillId="6" borderId="15" xfId="0" applyFont="1" applyFill="1" applyBorder="1" applyAlignment="1" applyProtection="1">
      <alignment vertical="center"/>
    </xf>
    <xf numFmtId="49" fontId="52" fillId="6" borderId="41" xfId="0" applyNumberFormat="1" applyFont="1" applyFill="1" applyBorder="1" applyAlignment="1" applyProtection="1">
      <alignment vertical="center"/>
    </xf>
    <xf numFmtId="0" fontId="52" fillId="6" borderId="2" xfId="0" applyFont="1" applyFill="1" applyBorder="1" applyAlignment="1" applyProtection="1">
      <alignment vertical="center" wrapText="1"/>
    </xf>
    <xf numFmtId="0" fontId="52" fillId="6" borderId="2" xfId="0" applyFont="1" applyFill="1" applyBorder="1" applyAlignment="1" applyProtection="1">
      <alignment horizontal="center" vertical="center"/>
    </xf>
    <xf numFmtId="0" fontId="47" fillId="6" borderId="2" xfId="0" applyFont="1" applyFill="1" applyBorder="1" applyAlignment="1" applyProtection="1">
      <alignment vertical="center"/>
    </xf>
    <xf numFmtId="181" fontId="52" fillId="6" borderId="24" xfId="0" applyNumberFormat="1" applyFont="1" applyFill="1" applyBorder="1" applyAlignment="1" applyProtection="1">
      <alignment horizontal="center" vertical="center"/>
    </xf>
    <xf numFmtId="0" fontId="47" fillId="6" borderId="13" xfId="0" applyFont="1" applyFill="1" applyBorder="1" applyAlignment="1" applyProtection="1">
      <alignment horizontal="left" vertical="center"/>
    </xf>
    <xf numFmtId="181" fontId="52" fillId="6" borderId="61" xfId="0" applyNumberFormat="1" applyFont="1" applyFill="1" applyBorder="1" applyAlignment="1" applyProtection="1">
      <alignment horizontal="center" vertical="center"/>
    </xf>
    <xf numFmtId="49" fontId="52" fillId="6" borderId="23" xfId="0" applyNumberFormat="1" applyFont="1" applyFill="1" applyBorder="1" applyAlignment="1" applyProtection="1">
      <alignment horizontal="left" vertical="center"/>
    </xf>
    <xf numFmtId="0" fontId="52" fillId="6" borderId="1" xfId="0" applyFont="1" applyFill="1" applyBorder="1" applyAlignment="1" applyProtection="1">
      <alignment horizontal="center" vertical="center"/>
    </xf>
    <xf numFmtId="181" fontId="47" fillId="6" borderId="61" xfId="0" applyNumberFormat="1" applyFont="1" applyFill="1" applyBorder="1" applyAlignment="1" applyProtection="1">
      <alignment horizontal="center" vertical="center"/>
    </xf>
    <xf numFmtId="0" fontId="99" fillId="6" borderId="5" xfId="0" applyFont="1" applyFill="1" applyBorder="1" applyAlignment="1" applyProtection="1">
      <alignment horizontal="center" vertical="center"/>
    </xf>
    <xf numFmtId="179" fontId="52" fillId="6" borderId="48" xfId="0" applyNumberFormat="1" applyFont="1" applyFill="1" applyBorder="1" applyAlignment="1" applyProtection="1">
      <alignment horizontal="center" vertical="center"/>
    </xf>
    <xf numFmtId="0" fontId="47" fillId="6" borderId="2" xfId="0" applyFont="1" applyFill="1" applyBorder="1" applyAlignment="1" applyProtection="1">
      <alignment horizontal="left" vertical="center"/>
    </xf>
    <xf numFmtId="181" fontId="47" fillId="6" borderId="8" xfId="0" applyNumberFormat="1" applyFont="1" applyFill="1" applyBorder="1" applyAlignment="1" applyProtection="1">
      <alignment horizontal="center" vertical="center"/>
    </xf>
    <xf numFmtId="181" fontId="47"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wrapText="1"/>
    </xf>
    <xf numFmtId="0" fontId="47" fillId="6" borderId="13" xfId="0" applyFont="1" applyFill="1" applyBorder="1" applyAlignment="1" applyProtection="1">
      <alignment horizontal="left" vertical="center" wrapText="1"/>
    </xf>
    <xf numFmtId="0" fontId="47" fillId="6" borderId="24" xfId="0" applyFont="1" applyFill="1" applyBorder="1" applyAlignment="1" applyProtection="1">
      <alignment horizontal="center" vertical="center"/>
    </xf>
    <xf numFmtId="49" fontId="47" fillId="6" borderId="41" xfId="0" applyNumberFormat="1" applyFont="1" applyFill="1" applyBorder="1" applyAlignment="1" applyProtection="1">
      <alignment vertical="center"/>
    </xf>
    <xf numFmtId="0" fontId="47" fillId="6" borderId="2" xfId="0" applyFont="1" applyFill="1" applyBorder="1" applyAlignment="1" applyProtection="1">
      <alignment horizontal="left" vertical="center" wrapText="1"/>
    </xf>
    <xf numFmtId="10" fontId="52" fillId="6" borderId="24" xfId="0" applyNumberFormat="1" applyFont="1" applyFill="1" applyBorder="1" applyAlignment="1" applyProtection="1">
      <alignment horizontal="center" vertical="center"/>
    </xf>
    <xf numFmtId="0" fontId="47" fillId="6" borderId="1" xfId="0" applyFont="1" applyFill="1" applyBorder="1" applyAlignment="1" applyProtection="1">
      <alignment vertical="center"/>
    </xf>
    <xf numFmtId="182" fontId="52" fillId="6" borderId="24" xfId="0" applyNumberFormat="1" applyFont="1" applyFill="1" applyBorder="1" applyAlignment="1" applyProtection="1">
      <alignment horizontal="center" vertical="center"/>
    </xf>
    <xf numFmtId="10" fontId="47" fillId="6" borderId="24" xfId="0" applyNumberFormat="1" applyFont="1" applyFill="1" applyBorder="1" applyAlignment="1" applyProtection="1">
      <alignment horizontal="center" vertical="center"/>
    </xf>
    <xf numFmtId="0" fontId="47" fillId="6" borderId="15" xfId="0" applyFont="1" applyFill="1" applyBorder="1" applyAlignment="1" applyProtection="1">
      <alignment horizontal="left" vertical="center" wrapText="1"/>
    </xf>
    <xf numFmtId="179" fontId="52" fillId="6" borderId="24" xfId="0" applyNumberFormat="1" applyFont="1" applyFill="1" applyBorder="1" applyAlignment="1" applyProtection="1">
      <alignment horizontal="center" vertical="center"/>
    </xf>
    <xf numFmtId="49" fontId="52" fillId="6" borderId="25" xfId="0" applyNumberFormat="1" applyFont="1" applyFill="1" applyBorder="1" applyAlignment="1" applyProtection="1">
      <alignment horizontal="left" vertical="center"/>
    </xf>
    <xf numFmtId="0" fontId="52" fillId="6" borderId="32" xfId="0" applyFont="1" applyFill="1" applyBorder="1" applyAlignment="1" applyProtection="1">
      <alignment horizontal="left" vertical="center"/>
    </xf>
    <xf numFmtId="0" fontId="52" fillId="6" borderId="32" xfId="0" applyFont="1" applyFill="1" applyBorder="1" applyAlignment="1" applyProtection="1">
      <alignment horizontal="center" vertical="center"/>
    </xf>
    <xf numFmtId="0" fontId="47" fillId="6" borderId="32" xfId="0" applyFont="1" applyFill="1" applyBorder="1" applyAlignment="1" applyProtection="1">
      <alignment vertical="center"/>
    </xf>
    <xf numFmtId="0" fontId="47" fillId="6" borderId="32" xfId="0" applyFont="1" applyFill="1" applyBorder="1" applyAlignment="1" applyProtection="1">
      <alignment horizontal="left" vertical="center"/>
    </xf>
    <xf numFmtId="179" fontId="52" fillId="6" borderId="49" xfId="0" applyNumberFormat="1" applyFont="1" applyFill="1" applyBorder="1" applyAlignment="1" applyProtection="1">
      <alignment horizontal="center" vertical="center"/>
    </xf>
    <xf numFmtId="0" fontId="53" fillId="6" borderId="1" xfId="0" applyFont="1" applyFill="1" applyBorder="1" applyAlignment="1" applyProtection="1">
      <alignment horizontal="left"/>
    </xf>
    <xf numFmtId="185" fontId="53" fillId="6" borderId="1" xfId="0" applyNumberFormat="1" applyFont="1" applyFill="1" applyBorder="1" applyAlignment="1" applyProtection="1">
      <alignment horizontal="center"/>
    </xf>
    <xf numFmtId="0" fontId="53" fillId="6" borderId="1" xfId="0" applyFont="1" applyFill="1" applyBorder="1" applyAlignment="1" applyProtection="1">
      <alignment vertical="center" wrapText="1"/>
    </xf>
    <xf numFmtId="181" fontId="52" fillId="6" borderId="1" xfId="0" applyNumberFormat="1" applyFont="1" applyFill="1" applyBorder="1" applyAlignment="1" applyProtection="1">
      <alignment horizontal="center" vertical="center"/>
    </xf>
    <xf numFmtId="0" fontId="102" fillId="6" borderId="1" xfId="0" applyFont="1" applyFill="1" applyBorder="1" applyAlignment="1" applyProtection="1">
      <alignment horizontal="left"/>
    </xf>
    <xf numFmtId="0" fontId="102" fillId="6" borderId="1" xfId="0" applyFont="1" applyFill="1" applyBorder="1" applyAlignment="1" applyProtection="1">
      <alignment horizontal="center"/>
    </xf>
    <xf numFmtId="0" fontId="60" fillId="6" borderId="1" xfId="0" applyFont="1" applyFill="1" applyBorder="1" applyAlignment="1" applyProtection="1">
      <alignment horizontal="center"/>
    </xf>
    <xf numFmtId="0" fontId="58" fillId="0" borderId="0" xfId="0" applyFont="1" applyFill="1" applyAlignment="1" applyProtection="1">
      <alignment horizontal="center" vertical="center"/>
      <protection locked="0"/>
    </xf>
    <xf numFmtId="0" fontId="101" fillId="6" borderId="46" xfId="0" applyFont="1" applyFill="1" applyBorder="1" applyAlignment="1" applyProtection="1">
      <alignment vertical="center"/>
    </xf>
    <xf numFmtId="0" fontId="62" fillId="6" borderId="36" xfId="0" applyFont="1" applyFill="1" applyBorder="1" applyAlignment="1" applyProtection="1">
      <alignment horizontal="right" vertical="center"/>
    </xf>
    <xf numFmtId="0" fontId="62" fillId="6" borderId="0" xfId="0" applyFont="1" applyFill="1" applyAlignment="1" applyProtection="1">
      <alignment horizontal="center" vertical="center"/>
    </xf>
    <xf numFmtId="0" fontId="63" fillId="0" borderId="0" xfId="0" applyFont="1" applyFill="1" applyBorder="1" applyAlignment="1" applyProtection="1">
      <alignment horizontal="center" vertical="center"/>
      <protection locked="0"/>
    </xf>
    <xf numFmtId="0" fontId="63" fillId="0" borderId="0" xfId="0" applyFont="1" applyFill="1" applyAlignment="1" applyProtection="1">
      <alignment horizontal="center" vertical="center"/>
      <protection locked="0"/>
    </xf>
    <xf numFmtId="0" fontId="57" fillId="6" borderId="13" xfId="0" applyFont="1" applyFill="1" applyBorder="1" applyAlignment="1" applyProtection="1">
      <alignment horizontal="right" vertical="center"/>
    </xf>
    <xf numFmtId="0" fontId="57" fillId="6" borderId="13" xfId="0" applyFont="1" applyFill="1" applyBorder="1" applyAlignment="1" applyProtection="1">
      <alignment horizontal="center" vertical="center"/>
    </xf>
    <xf numFmtId="0" fontId="50" fillId="6" borderId="16" xfId="0" applyFont="1" applyFill="1" applyBorder="1" applyAlignment="1" applyProtection="1">
      <alignment vertical="center" wrapText="1"/>
    </xf>
    <xf numFmtId="0" fontId="50" fillId="6" borderId="19" xfId="0" applyFont="1" applyFill="1" applyBorder="1" applyAlignment="1" applyProtection="1">
      <alignment vertical="center" wrapText="1"/>
    </xf>
    <xf numFmtId="0" fontId="51" fillId="0" borderId="0" xfId="0" applyFont="1" applyFill="1" applyAlignment="1" applyProtection="1">
      <alignment horizontal="center" vertical="center"/>
      <protection locked="0"/>
    </xf>
    <xf numFmtId="0" fontId="50" fillId="6" borderId="18" xfId="0" applyFont="1" applyFill="1" applyBorder="1" applyAlignment="1" applyProtection="1">
      <alignment vertical="center" wrapText="1"/>
    </xf>
    <xf numFmtId="0" fontId="50" fillId="6" borderId="0" xfId="0" applyFont="1" applyFill="1" applyBorder="1" applyAlignment="1" applyProtection="1">
      <alignment vertical="center" wrapText="1"/>
    </xf>
    <xf numFmtId="0" fontId="50" fillId="6" borderId="42" xfId="0" applyFont="1" applyFill="1" applyBorder="1" applyAlignment="1" applyProtection="1">
      <alignment vertical="center" wrapText="1"/>
    </xf>
    <xf numFmtId="0" fontId="50" fillId="6" borderId="47" xfId="0" applyFont="1" applyFill="1" applyBorder="1" applyAlignment="1" applyProtection="1">
      <alignment vertical="center" wrapText="1"/>
    </xf>
    <xf numFmtId="0" fontId="46" fillId="6" borderId="63" xfId="0" applyFont="1" applyFill="1" applyBorder="1" applyAlignment="1" applyProtection="1">
      <alignment vertical="center" wrapText="1"/>
    </xf>
    <xf numFmtId="0" fontId="46" fillId="6" borderId="64" xfId="0" applyFont="1" applyFill="1" applyBorder="1" applyAlignment="1" applyProtection="1">
      <alignment vertical="center" wrapText="1"/>
    </xf>
    <xf numFmtId="183" fontId="44" fillId="6" borderId="26" xfId="0" applyNumberFormat="1" applyFont="1" applyFill="1" applyBorder="1" applyAlignment="1" applyProtection="1">
      <alignment horizontal="center" vertical="center" wrapText="1"/>
    </xf>
    <xf numFmtId="0" fontId="44" fillId="6" borderId="67" xfId="0" applyNumberFormat="1" applyFont="1" applyFill="1" applyBorder="1" applyAlignment="1" applyProtection="1">
      <alignment horizontal="center" vertical="center" wrapText="1"/>
    </xf>
    <xf numFmtId="183" fontId="44" fillId="0" borderId="70" xfId="0" applyNumberFormat="1" applyFont="1" applyFill="1" applyBorder="1" applyAlignment="1" applyProtection="1">
      <alignment horizontal="center" vertical="center" wrapText="1"/>
      <protection locked="0"/>
    </xf>
    <xf numFmtId="0" fontId="44" fillId="6" borderId="34" xfId="0" applyNumberFormat="1" applyFont="1" applyFill="1" applyBorder="1" applyAlignment="1" applyProtection="1">
      <alignment horizontal="center" vertical="center" wrapText="1"/>
    </xf>
    <xf numFmtId="49" fontId="44" fillId="2" borderId="26" xfId="0" applyNumberFormat="1" applyFont="1" applyFill="1" applyBorder="1" applyAlignment="1" applyProtection="1">
      <alignment horizontal="center" vertical="center" wrapText="1"/>
      <protection locked="0"/>
    </xf>
    <xf numFmtId="0" fontId="46" fillId="6" borderId="40" xfId="0" applyFont="1" applyFill="1" applyBorder="1" applyAlignment="1" applyProtection="1">
      <alignment vertical="center" wrapText="1"/>
    </xf>
    <xf numFmtId="0" fontId="44" fillId="0" borderId="51" xfId="0" applyNumberFormat="1" applyFont="1" applyFill="1" applyBorder="1" applyAlignment="1" applyProtection="1">
      <alignment horizontal="center" vertical="center" wrapText="1"/>
      <protection locked="0"/>
    </xf>
    <xf numFmtId="49" fontId="44" fillId="2" borderId="30" xfId="0" applyNumberFormat="1" applyFont="1" applyFill="1" applyBorder="1" applyAlignment="1" applyProtection="1">
      <alignment horizontal="center" vertical="center" wrapText="1"/>
      <protection locked="0"/>
    </xf>
    <xf numFmtId="0" fontId="44" fillId="6" borderId="28" xfId="0" applyNumberFormat="1" applyFont="1" applyFill="1" applyBorder="1" applyAlignment="1" applyProtection="1">
      <alignment horizontal="center" vertical="center" wrapText="1"/>
    </xf>
    <xf numFmtId="49" fontId="44" fillId="2" borderId="6" xfId="0" applyNumberFormat="1" applyFont="1" applyFill="1" applyBorder="1" applyAlignment="1" applyProtection="1">
      <alignment horizontal="center" vertical="center" wrapText="1"/>
      <protection locked="0"/>
    </xf>
    <xf numFmtId="0" fontId="66" fillId="6" borderId="14" xfId="0" applyFont="1" applyFill="1" applyBorder="1" applyAlignment="1" applyProtection="1">
      <alignment vertical="center" wrapText="1"/>
    </xf>
    <xf numFmtId="0" fontId="44" fillId="6" borderId="5" xfId="0" applyFont="1" applyFill="1" applyBorder="1" applyAlignment="1" applyProtection="1">
      <alignment horizontal="center" vertical="center" wrapText="1"/>
    </xf>
    <xf numFmtId="0" fontId="44" fillId="6" borderId="5" xfId="0" applyNumberFormat="1" applyFont="1" applyFill="1" applyBorder="1" applyAlignment="1" applyProtection="1">
      <alignment horizontal="center" vertical="center" wrapText="1"/>
    </xf>
    <xf numFmtId="0" fontId="58" fillId="0" borderId="48" xfId="0" applyNumberFormat="1" applyFont="1" applyFill="1" applyBorder="1" applyAlignment="1" applyProtection="1">
      <alignment horizontal="center" vertical="center" wrapText="1"/>
      <protection locked="0"/>
    </xf>
    <xf numFmtId="0" fontId="67"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wrapText="1"/>
    </xf>
    <xf numFmtId="0" fontId="44" fillId="0" borderId="23" xfId="0" applyNumberFormat="1" applyFont="1" applyFill="1" applyBorder="1" applyAlignment="1" applyProtection="1">
      <alignment horizontal="center" vertical="center" wrapText="1"/>
      <protection locked="0"/>
    </xf>
    <xf numFmtId="0" fontId="44" fillId="0" borderId="3" xfId="0" applyNumberFormat="1" applyFont="1" applyFill="1" applyBorder="1" applyAlignment="1" applyProtection="1">
      <alignment horizontal="center" vertical="center" wrapText="1"/>
      <protection locked="0"/>
    </xf>
    <xf numFmtId="0" fontId="46" fillId="6" borderId="14" xfId="0" applyFont="1" applyFill="1" applyBorder="1" applyAlignment="1" applyProtection="1">
      <alignment vertical="center" wrapText="1"/>
    </xf>
    <xf numFmtId="0" fontId="44" fillId="0" borderId="41" xfId="0" applyNumberFormat="1" applyFont="1" applyFill="1" applyBorder="1" applyAlignment="1" applyProtection="1">
      <alignment horizontal="center" vertical="center" wrapText="1"/>
      <protection locked="0"/>
    </xf>
    <xf numFmtId="0" fontId="44" fillId="6" borderId="71" xfId="0" applyNumberFormat="1" applyFont="1" applyFill="1" applyBorder="1" applyAlignment="1" applyProtection="1">
      <alignment horizontal="center" vertical="center" wrapText="1"/>
    </xf>
    <xf numFmtId="0" fontId="51" fillId="0" borderId="37" xfId="0" applyNumberFormat="1" applyFont="1" applyFill="1" applyBorder="1" applyAlignment="1" applyProtection="1">
      <alignment horizontal="center" vertical="center" wrapText="1"/>
      <protection locked="0"/>
    </xf>
    <xf numFmtId="0" fontId="51" fillId="6" borderId="24" xfId="0" applyNumberFormat="1" applyFont="1" applyFill="1" applyBorder="1" applyAlignment="1" applyProtection="1">
      <alignment horizontal="center" vertical="center" wrapText="1"/>
    </xf>
    <xf numFmtId="0" fontId="50" fillId="6" borderId="12" xfId="0" applyFont="1" applyFill="1" applyBorder="1" applyAlignment="1" applyProtection="1">
      <alignment vertical="center" wrapText="1"/>
    </xf>
    <xf numFmtId="0" fontId="51" fillId="0" borderId="38" xfId="0" applyNumberFormat="1" applyFont="1" applyFill="1" applyBorder="1" applyAlignment="1" applyProtection="1">
      <alignment horizontal="center" vertical="center" wrapText="1"/>
      <protection locked="0"/>
    </xf>
    <xf numFmtId="0" fontId="51" fillId="6" borderId="49" xfId="0" applyNumberFormat="1" applyFont="1" applyFill="1" applyBorder="1" applyAlignment="1" applyProtection="1">
      <alignment horizontal="center" vertical="center" wrapText="1"/>
    </xf>
    <xf numFmtId="0" fontId="51" fillId="6" borderId="33" xfId="0" applyNumberFormat="1" applyFont="1" applyFill="1" applyBorder="1" applyAlignment="1" applyProtection="1">
      <alignment horizontal="center" vertical="center" wrapText="1"/>
    </xf>
    <xf numFmtId="0" fontId="50" fillId="6" borderId="40" xfId="0" applyFont="1" applyFill="1" applyBorder="1" applyAlignment="1" applyProtection="1">
      <alignment vertical="center" wrapText="1"/>
    </xf>
    <xf numFmtId="0" fontId="51" fillId="6" borderId="62" xfId="0" applyNumberFormat="1" applyFont="1" applyFill="1" applyBorder="1" applyAlignment="1" applyProtection="1">
      <alignment horizontal="center" vertical="center" wrapText="1"/>
    </xf>
    <xf numFmtId="49" fontId="51" fillId="0" borderId="39" xfId="0" applyNumberFormat="1" applyFont="1" applyFill="1" applyBorder="1" applyAlignment="1" applyProtection="1">
      <alignment horizontal="center" vertical="center" wrapText="1"/>
      <protection locked="0"/>
    </xf>
    <xf numFmtId="0" fontId="51" fillId="6" borderId="29" xfId="0" applyNumberFormat="1" applyFont="1" applyFill="1" applyBorder="1" applyAlignment="1" applyProtection="1">
      <alignment horizontal="center" vertical="center" wrapText="1"/>
    </xf>
    <xf numFmtId="49" fontId="51" fillId="0" borderId="40" xfId="0" applyNumberFormat="1" applyFont="1" applyFill="1" applyBorder="1" applyAlignment="1" applyProtection="1">
      <alignment horizontal="center" vertical="center" wrapText="1"/>
      <protection locked="0"/>
    </xf>
    <xf numFmtId="0" fontId="58" fillId="0" borderId="72" xfId="0" applyNumberFormat="1" applyFont="1" applyFill="1" applyBorder="1" applyAlignment="1" applyProtection="1">
      <alignment horizontal="center" vertical="center" wrapText="1"/>
      <protection locked="0"/>
    </xf>
    <xf numFmtId="0" fontId="51" fillId="6" borderId="0" xfId="0" applyFont="1" applyFill="1" applyBorder="1" applyAlignment="1" applyProtection="1">
      <alignment horizontal="center" vertical="center"/>
    </xf>
    <xf numFmtId="0" fontId="51" fillId="2" borderId="41" xfId="0" applyNumberFormat="1" applyFont="1" applyFill="1" applyBorder="1" applyAlignment="1" applyProtection="1">
      <alignment horizontal="center" vertical="center" wrapText="1"/>
      <protection locked="0"/>
    </xf>
    <xf numFmtId="0" fontId="51" fillId="6" borderId="8" xfId="0" applyNumberFormat="1" applyFont="1" applyFill="1" applyBorder="1" applyAlignment="1" applyProtection="1">
      <alignment horizontal="center" vertical="center" wrapText="1"/>
    </xf>
    <xf numFmtId="0" fontId="51" fillId="6" borderId="4" xfId="0" applyNumberFormat="1" applyFont="1" applyFill="1" applyBorder="1" applyAlignment="1" applyProtection="1">
      <alignment horizontal="center" vertical="center" wrapText="1"/>
    </xf>
    <xf numFmtId="0" fontId="51" fillId="6" borderId="53" xfId="0" applyNumberFormat="1" applyFont="1" applyFill="1" applyBorder="1" applyAlignment="1" applyProtection="1">
      <alignment horizontal="center" vertical="center" wrapText="1"/>
    </xf>
    <xf numFmtId="0" fontId="44" fillId="6" borderId="46" xfId="0" applyFont="1" applyFill="1" applyBorder="1" applyAlignment="1" applyProtection="1">
      <alignment horizontal="center" vertical="center" wrapText="1"/>
    </xf>
    <xf numFmtId="49" fontId="51" fillId="0" borderId="35" xfId="0" applyNumberFormat="1" applyFont="1" applyFill="1" applyBorder="1" applyAlignment="1" applyProtection="1">
      <alignment horizontal="center" vertical="center" wrapText="1"/>
      <protection locked="0"/>
    </xf>
    <xf numFmtId="0" fontId="51" fillId="6" borderId="58" xfId="0" applyNumberFormat="1" applyFont="1" applyFill="1" applyBorder="1" applyAlignment="1" applyProtection="1">
      <alignment horizontal="center" vertical="center" wrapText="1"/>
    </xf>
    <xf numFmtId="49" fontId="51" fillId="0" borderId="14" xfId="0" applyNumberFormat="1" applyFont="1" applyFill="1" applyBorder="1" applyAlignment="1" applyProtection="1">
      <alignment horizontal="center" vertical="center" wrapText="1"/>
      <protection locked="0"/>
    </xf>
    <xf numFmtId="0" fontId="51" fillId="6" borderId="61" xfId="0" applyNumberFormat="1" applyFont="1" applyFill="1" applyBorder="1" applyAlignment="1" applyProtection="1">
      <alignment horizontal="center" vertical="center" wrapText="1"/>
    </xf>
    <xf numFmtId="0" fontId="44" fillId="6" borderId="4" xfId="0" applyFont="1" applyFill="1" applyBorder="1" applyAlignment="1" applyProtection="1">
      <alignment horizontal="center" vertical="center" wrapText="1"/>
    </xf>
    <xf numFmtId="49" fontId="51" fillId="0" borderId="22" xfId="0" applyNumberFormat="1" applyFont="1" applyFill="1" applyBorder="1" applyAlignment="1" applyProtection="1">
      <alignment horizontal="center" vertical="center" wrapText="1"/>
      <protection locked="0"/>
    </xf>
    <xf numFmtId="0" fontId="51" fillId="6" borderId="46" xfId="0" applyNumberFormat="1" applyFont="1" applyFill="1" applyBorder="1" applyAlignment="1" applyProtection="1">
      <alignment horizontal="center" vertical="center" wrapText="1"/>
    </xf>
    <xf numFmtId="49" fontId="51" fillId="0" borderId="11" xfId="0" applyNumberFormat="1" applyFont="1" applyFill="1" applyBorder="1" applyAlignment="1" applyProtection="1">
      <alignment horizontal="center" vertical="center" wrapText="1"/>
      <protection locked="0"/>
    </xf>
    <xf numFmtId="0" fontId="51" fillId="2" borderId="23" xfId="0" applyNumberFormat="1" applyFont="1" applyFill="1" applyBorder="1" applyAlignment="1" applyProtection="1">
      <alignment horizontal="center" vertical="center" wrapText="1"/>
      <protection locked="0"/>
    </xf>
    <xf numFmtId="0" fontId="51" fillId="6" borderId="5" xfId="0" applyNumberFormat="1" applyFont="1" applyFill="1" applyBorder="1" applyAlignment="1" applyProtection="1">
      <alignment horizontal="center" vertical="center" wrapText="1"/>
    </xf>
    <xf numFmtId="0" fontId="44" fillId="6" borderId="8" xfId="0" applyNumberFormat="1" applyFont="1" applyFill="1" applyBorder="1" applyAlignment="1" applyProtection="1">
      <alignment horizontal="center" vertical="center" wrapText="1"/>
    </xf>
    <xf numFmtId="49" fontId="44" fillId="0" borderId="7" xfId="0" applyNumberFormat="1" applyFont="1" applyFill="1" applyBorder="1" applyAlignment="1" applyProtection="1">
      <alignment horizontal="center" vertical="center" wrapText="1"/>
      <protection locked="0"/>
    </xf>
    <xf numFmtId="0" fontId="44" fillId="6" borderId="4" xfId="0" applyNumberFormat="1" applyFont="1" applyFill="1" applyBorder="1" applyAlignment="1" applyProtection="1">
      <alignment horizontal="center" vertical="center" wrapText="1"/>
    </xf>
    <xf numFmtId="49" fontId="44" fillId="0" borderId="41" xfId="0" applyNumberFormat="1" applyFont="1" applyFill="1" applyBorder="1" applyAlignment="1" applyProtection="1">
      <alignment horizontal="center" vertical="center" wrapText="1"/>
      <protection locked="0"/>
    </xf>
    <xf numFmtId="0" fontId="50" fillId="6" borderId="40" xfId="0" applyFont="1" applyFill="1" applyBorder="1" applyAlignment="1" applyProtection="1">
      <alignment vertical="center" textRotation="255" wrapText="1"/>
    </xf>
    <xf numFmtId="0" fontId="51" fillId="6" borderId="10" xfId="0" applyNumberFormat="1" applyFont="1" applyFill="1" applyBorder="1" applyAlignment="1" applyProtection="1">
      <alignment horizontal="center" vertical="center" wrapText="1"/>
    </xf>
    <xf numFmtId="0" fontId="69" fillId="6" borderId="14" xfId="0" applyFont="1" applyFill="1" applyBorder="1" applyAlignment="1" applyProtection="1">
      <alignment vertical="center" textRotation="255" wrapText="1"/>
    </xf>
    <xf numFmtId="0" fontId="44" fillId="0" borderId="37"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protection locked="0"/>
    </xf>
    <xf numFmtId="0" fontId="49" fillId="0" borderId="0" xfId="0" applyFont="1" applyFill="1" applyAlignment="1" applyProtection="1">
      <alignment horizontal="center" vertical="center"/>
      <protection locked="0"/>
    </xf>
    <xf numFmtId="0" fontId="50" fillId="6" borderId="14" xfId="0" applyFont="1" applyFill="1" applyBorder="1" applyAlignment="1" applyProtection="1">
      <alignment vertical="center" textRotation="255" wrapText="1"/>
    </xf>
    <xf numFmtId="0" fontId="46" fillId="6" borderId="14" xfId="0" applyFont="1" applyFill="1" applyBorder="1" applyAlignment="1" applyProtection="1">
      <alignment vertical="center" textRotation="255" wrapText="1"/>
    </xf>
    <xf numFmtId="9" fontId="44" fillId="0" borderId="37" xfId="0" applyNumberFormat="1" applyFont="1" applyFill="1" applyBorder="1" applyAlignment="1" applyProtection="1">
      <alignment horizontal="center" vertical="center" wrapText="1"/>
      <protection locked="0"/>
    </xf>
    <xf numFmtId="9" fontId="44" fillId="0" borderId="3" xfId="0" applyNumberFormat="1" applyFont="1" applyFill="1" applyBorder="1" applyAlignment="1" applyProtection="1">
      <alignment horizontal="center" vertical="center" wrapText="1"/>
      <protection locked="0"/>
    </xf>
    <xf numFmtId="9" fontId="44" fillId="0" borderId="23" xfId="0" applyNumberFormat="1" applyFont="1" applyFill="1" applyBorder="1" applyAlignment="1" applyProtection="1">
      <alignment horizontal="center" vertical="center" wrapText="1"/>
      <protection locked="0"/>
    </xf>
    <xf numFmtId="0" fontId="51" fillId="0" borderId="3" xfId="0" applyNumberFormat="1" applyFont="1" applyFill="1" applyBorder="1" applyAlignment="1" applyProtection="1">
      <alignment horizontal="center" vertical="center" wrapText="1"/>
      <protection locked="0"/>
    </xf>
    <xf numFmtId="0" fontId="50" fillId="6" borderId="12" xfId="0" applyFont="1" applyFill="1" applyBorder="1" applyAlignment="1" applyProtection="1">
      <alignment vertical="center" textRotation="255" wrapText="1"/>
    </xf>
    <xf numFmtId="49" fontId="50" fillId="6" borderId="51" xfId="0" applyNumberFormat="1" applyFont="1" applyFill="1" applyBorder="1" applyAlignment="1" applyProtection="1">
      <alignment vertical="center"/>
    </xf>
    <xf numFmtId="49" fontId="50" fillId="6" borderId="20" xfId="0" applyNumberFormat="1" applyFont="1" applyFill="1" applyBorder="1" applyAlignment="1" applyProtection="1">
      <alignment vertical="center"/>
    </xf>
    <xf numFmtId="0" fontId="50" fillId="6" borderId="21" xfId="0" applyFont="1" applyFill="1" applyBorder="1" applyAlignment="1" applyProtection="1">
      <alignment vertical="center" wrapText="1"/>
    </xf>
    <xf numFmtId="0" fontId="70" fillId="3" borderId="20" xfId="0" applyFont="1" applyFill="1" applyBorder="1" applyAlignment="1" applyProtection="1">
      <alignment vertical="center" wrapText="1"/>
      <protection locked="0"/>
    </xf>
    <xf numFmtId="0" fontId="70" fillId="6" borderId="20" xfId="0" applyFont="1" applyFill="1" applyBorder="1" applyAlignment="1" applyProtection="1">
      <alignment vertical="center" wrapText="1"/>
    </xf>
    <xf numFmtId="0" fontId="70" fillId="3" borderId="51" xfId="0" applyFont="1" applyFill="1" applyBorder="1" applyAlignment="1" applyProtection="1">
      <alignment vertical="center" wrapText="1"/>
      <protection locked="0"/>
    </xf>
    <xf numFmtId="0" fontId="70" fillId="6" borderId="21" xfId="0" applyFont="1" applyFill="1" applyBorder="1" applyAlignment="1" applyProtection="1">
      <alignment vertical="center" wrapText="1"/>
    </xf>
    <xf numFmtId="49" fontId="50" fillId="6" borderId="38" xfId="0" applyNumberFormat="1" applyFont="1" applyFill="1" applyBorder="1" applyAlignment="1" applyProtection="1">
      <alignment vertical="center"/>
    </xf>
    <xf numFmtId="49" fontId="50" fillId="6" borderId="52" xfId="0" applyNumberFormat="1" applyFont="1" applyFill="1" applyBorder="1" applyAlignment="1" applyProtection="1">
      <alignment vertical="center"/>
    </xf>
    <xf numFmtId="185" fontId="50" fillId="6" borderId="38" xfId="0" applyNumberFormat="1" applyFont="1" applyFill="1" applyBorder="1" applyAlignment="1" applyProtection="1">
      <alignment vertical="center" wrapText="1"/>
    </xf>
    <xf numFmtId="185" fontId="50" fillId="6" borderId="52" xfId="0" applyNumberFormat="1" applyFont="1" applyFill="1" applyBorder="1" applyAlignment="1" applyProtection="1">
      <alignment vertical="center" wrapText="1"/>
    </xf>
    <xf numFmtId="49" fontId="50" fillId="0" borderId="42" xfId="0" applyNumberFormat="1" applyFont="1" applyFill="1" applyBorder="1" applyAlignment="1" applyProtection="1">
      <alignment vertical="center"/>
      <protection locked="0"/>
    </xf>
    <xf numFmtId="49" fontId="50" fillId="0" borderId="43" xfId="0" applyNumberFormat="1" applyFont="1" applyFill="1" applyBorder="1" applyAlignment="1" applyProtection="1">
      <alignment vertical="center"/>
      <protection locked="0"/>
    </xf>
    <xf numFmtId="185" fontId="50" fillId="6" borderId="47" xfId="0" applyNumberFormat="1" applyFont="1" applyFill="1" applyBorder="1" applyAlignment="1" applyProtection="1">
      <alignment vertical="center" wrapText="1"/>
    </xf>
    <xf numFmtId="188" fontId="51" fillId="0" borderId="0" xfId="0" applyNumberFormat="1" applyFont="1" applyFill="1" applyAlignment="1" applyProtection="1">
      <alignment horizontal="center" vertical="center"/>
      <protection locked="0"/>
    </xf>
    <xf numFmtId="181" fontId="51" fillId="0" borderId="0" xfId="0" applyNumberFormat="1" applyFont="1" applyFill="1" applyAlignment="1" applyProtection="1">
      <alignment horizontal="center" vertical="center"/>
      <protection locked="0"/>
    </xf>
    <xf numFmtId="0" fontId="50" fillId="6" borderId="1" xfId="0" applyFont="1" applyFill="1" applyBorder="1" applyAlignment="1" applyProtection="1">
      <alignment horizontal="left" vertical="center"/>
    </xf>
    <xf numFmtId="0" fontId="50" fillId="6" borderId="1" xfId="0" applyFont="1" applyFill="1" applyBorder="1" applyAlignment="1" applyProtection="1">
      <alignment horizontal="center" vertical="center" wrapText="1"/>
    </xf>
    <xf numFmtId="181" fontId="51" fillId="6" borderId="5" xfId="0" applyNumberFormat="1" applyFont="1" applyFill="1" applyBorder="1" applyAlignment="1" applyProtection="1">
      <alignment horizontal="center" vertical="center"/>
    </xf>
    <xf numFmtId="181" fontId="51" fillId="6" borderId="3" xfId="0" applyNumberFormat="1" applyFont="1" applyFill="1" applyBorder="1" applyAlignment="1" applyProtection="1">
      <alignment vertical="center"/>
    </xf>
    <xf numFmtId="0" fontId="50" fillId="6" borderId="3" xfId="0" applyFont="1" applyFill="1" applyBorder="1" applyAlignment="1" applyProtection="1">
      <alignment horizontal="center" vertical="center" wrapText="1"/>
    </xf>
    <xf numFmtId="0" fontId="68" fillId="0" borderId="0" xfId="0" applyFont="1" applyFill="1" applyAlignment="1" applyProtection="1">
      <alignment horizontal="center" vertical="center"/>
      <protection locked="0"/>
    </xf>
    <xf numFmtId="0" fontId="51" fillId="0" borderId="0" xfId="0" applyFont="1" applyBorder="1" applyAlignment="1" applyProtection="1">
      <protection locked="0"/>
    </xf>
    <xf numFmtId="9" fontId="44" fillId="0" borderId="0" xfId="0" applyNumberFormat="1" applyFont="1" applyFill="1" applyBorder="1" applyAlignment="1" applyProtection="1">
      <alignment horizontal="center" vertical="center" wrapText="1"/>
      <protection locked="0"/>
    </xf>
    <xf numFmtId="0" fontId="46" fillId="6" borderId="16" xfId="0" applyNumberFormat="1" applyFont="1" applyFill="1" applyBorder="1" applyAlignment="1" applyProtection="1">
      <alignment vertical="center" wrapText="1"/>
    </xf>
    <xf numFmtId="0" fontId="46" fillId="6" borderId="39" xfId="0" applyNumberFormat="1" applyFont="1" applyFill="1" applyBorder="1" applyAlignment="1" applyProtection="1">
      <alignment vertical="center" wrapText="1"/>
    </xf>
    <xf numFmtId="49" fontId="44" fillId="0" borderId="0" xfId="0" applyNumberFormat="1" applyFont="1" applyFill="1" applyBorder="1" applyAlignment="1" applyProtection="1">
      <alignment horizontal="center" vertical="center"/>
      <protection locked="0"/>
    </xf>
    <xf numFmtId="49" fontId="44" fillId="0" borderId="0" xfId="0" applyNumberFormat="1" applyFont="1" applyFill="1" applyAlignment="1" applyProtection="1">
      <alignment horizontal="center" vertical="center"/>
      <protection locked="0"/>
    </xf>
    <xf numFmtId="0" fontId="46" fillId="6" borderId="18" xfId="0" applyNumberFormat="1" applyFont="1" applyFill="1" applyBorder="1" applyAlignment="1" applyProtection="1">
      <alignment vertical="center" wrapText="1"/>
    </xf>
    <xf numFmtId="0" fontId="46" fillId="6" borderId="35" xfId="0" applyNumberFormat="1" applyFont="1" applyFill="1" applyBorder="1" applyAlignment="1" applyProtection="1">
      <alignment vertical="center" wrapText="1"/>
    </xf>
    <xf numFmtId="0" fontId="44" fillId="0" borderId="22" xfId="0" applyNumberFormat="1" applyFont="1" applyFill="1" applyBorder="1" applyAlignment="1" applyProtection="1">
      <alignment horizontal="center" vertical="center" wrapText="1"/>
      <protection locked="0"/>
    </xf>
    <xf numFmtId="0" fontId="44" fillId="0" borderId="13" xfId="0" applyNumberFormat="1" applyFont="1" applyFill="1" applyBorder="1" applyAlignment="1" applyProtection="1">
      <alignment horizontal="center" vertical="center" wrapText="1"/>
      <protection locked="0"/>
    </xf>
    <xf numFmtId="0" fontId="44" fillId="0" borderId="46" xfId="0" applyNumberFormat="1" applyFont="1" applyFill="1" applyBorder="1" applyAlignment="1" applyProtection="1">
      <alignment horizontal="center" vertical="center" wrapText="1"/>
      <protection locked="0"/>
    </xf>
    <xf numFmtId="0" fontId="44" fillId="0" borderId="61" xfId="0" applyNumberFormat="1" applyFont="1" applyFill="1" applyBorder="1" applyAlignment="1" applyProtection="1">
      <alignment horizontal="center" vertical="center" wrapText="1"/>
      <protection locked="0"/>
    </xf>
    <xf numFmtId="0" fontId="46" fillId="6" borderId="42" xfId="0" applyNumberFormat="1" applyFont="1" applyFill="1" applyBorder="1" applyAlignment="1" applyProtection="1">
      <alignment vertical="center"/>
    </xf>
    <xf numFmtId="0" fontId="46" fillId="6" borderId="73" xfId="0" applyNumberFormat="1" applyFont="1" applyFill="1" applyBorder="1" applyAlignment="1" applyProtection="1">
      <alignment vertical="center" wrapText="1"/>
    </xf>
    <xf numFmtId="0" fontId="44" fillId="0" borderId="73" xfId="0" applyNumberFormat="1" applyFont="1" applyFill="1" applyBorder="1" applyAlignment="1" applyProtection="1">
      <alignment horizontal="center" vertical="center" wrapText="1"/>
      <protection locked="0"/>
    </xf>
    <xf numFmtId="0" fontId="44" fillId="0" borderId="74" xfId="0" applyNumberFormat="1" applyFont="1" applyFill="1" applyBorder="1" applyAlignment="1" applyProtection="1">
      <alignment horizontal="center" vertical="center" wrapText="1"/>
      <protection locked="0"/>
    </xf>
    <xf numFmtId="0" fontId="44" fillId="0" borderId="75" xfId="0" applyNumberFormat="1" applyFont="1" applyFill="1" applyBorder="1" applyAlignment="1" applyProtection="1">
      <alignment horizontal="center" vertical="center" wrapText="1"/>
      <protection locked="0"/>
    </xf>
    <xf numFmtId="0" fontId="44" fillId="0" borderId="76" xfId="0" applyNumberFormat="1" applyFont="1" applyFill="1" applyBorder="1" applyAlignment="1" applyProtection="1">
      <alignment horizontal="center" vertical="center" wrapText="1"/>
      <protection locked="0"/>
    </xf>
    <xf numFmtId="0" fontId="46" fillId="6" borderId="58" xfId="0" applyNumberFormat="1" applyFont="1" applyFill="1" applyBorder="1" applyAlignment="1" applyProtection="1">
      <alignment vertical="center" wrapText="1"/>
    </xf>
    <xf numFmtId="0" fontId="44" fillId="6" borderId="7" xfId="0" applyNumberFormat="1" applyFont="1" applyFill="1" applyBorder="1" applyAlignment="1" applyProtection="1">
      <alignment horizontal="center" vertical="center" wrapText="1"/>
    </xf>
    <xf numFmtId="0" fontId="44" fillId="0" borderId="2" xfId="0" applyNumberFormat="1" applyFont="1" applyFill="1" applyBorder="1" applyAlignment="1" applyProtection="1">
      <alignment horizontal="center" vertical="center" wrapText="1"/>
      <protection locked="0"/>
    </xf>
    <xf numFmtId="0" fontId="44" fillId="0" borderId="2" xfId="0" applyNumberFormat="1" applyFont="1" applyFill="1" applyBorder="1" applyAlignment="1" applyProtection="1">
      <alignment horizontal="left" vertical="center" wrapText="1"/>
      <protection locked="0"/>
    </xf>
    <xf numFmtId="0" fontId="44" fillId="0" borderId="8" xfId="0" applyNumberFormat="1" applyFont="1" applyFill="1" applyBorder="1" applyAlignment="1" applyProtection="1">
      <alignment horizontal="center" vertical="center" wrapText="1"/>
      <protection locked="0"/>
    </xf>
    <xf numFmtId="0" fontId="98" fillId="0" borderId="0" xfId="0" applyFont="1" applyFill="1" applyBorder="1" applyAlignment="1" applyProtection="1">
      <alignment vertical="center"/>
      <protection locked="0"/>
    </xf>
    <xf numFmtId="0" fontId="50" fillId="6" borderId="40" xfId="0" applyNumberFormat="1" applyFont="1" applyFill="1" applyBorder="1" applyAlignment="1" applyProtection="1">
      <alignment vertical="center" wrapText="1"/>
    </xf>
    <xf numFmtId="0" fontId="44" fillId="6" borderId="17" xfId="0" applyNumberFormat="1" applyFont="1" applyFill="1" applyBorder="1" applyAlignment="1" applyProtection="1">
      <alignment horizontal="center" vertical="center" wrapText="1"/>
    </xf>
    <xf numFmtId="0" fontId="51" fillId="6" borderId="9" xfId="0" applyNumberFormat="1" applyFont="1" applyFill="1" applyBorder="1" applyAlignment="1" applyProtection="1">
      <alignment horizontal="center" vertical="center" wrapText="1"/>
    </xf>
    <xf numFmtId="0" fontId="51"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center" vertical="center" wrapText="1"/>
      <protection locked="0"/>
    </xf>
    <xf numFmtId="0" fontId="68" fillId="0" borderId="9" xfId="0" applyNumberFormat="1" applyFont="1" applyFill="1" applyBorder="1" applyAlignment="1" applyProtection="1">
      <alignment horizontal="left" vertical="center" wrapText="1"/>
      <protection locked="0"/>
    </xf>
    <xf numFmtId="0" fontId="68" fillId="0" borderId="10"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wrapText="1"/>
    </xf>
    <xf numFmtId="0" fontId="49" fillId="6" borderId="77" xfId="0" applyNumberFormat="1" applyFont="1" applyFill="1" applyBorder="1" applyAlignment="1" applyProtection="1">
      <alignment horizontal="center" vertical="center" wrapText="1"/>
    </xf>
    <xf numFmtId="0" fontId="51" fillId="0" borderId="78" xfId="0" applyNumberFormat="1" applyFont="1" applyFill="1" applyBorder="1" applyAlignment="1" applyProtection="1">
      <alignment horizontal="center" vertical="center" wrapText="1"/>
      <protection locked="0"/>
    </xf>
    <xf numFmtId="0" fontId="51" fillId="0" borderId="79" xfId="0" applyNumberFormat="1" applyFont="1" applyFill="1" applyBorder="1" applyAlignment="1" applyProtection="1">
      <alignment horizontal="center" vertical="center" wrapText="1"/>
      <protection locked="0"/>
    </xf>
    <xf numFmtId="0" fontId="44" fillId="6" borderId="57" xfId="0" applyNumberFormat="1" applyFont="1" applyFill="1" applyBorder="1" applyAlignment="1" applyProtection="1">
      <alignment horizontal="center" vertical="center" wrapText="1"/>
    </xf>
    <xf numFmtId="0" fontId="51"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center" vertical="center" wrapText="1"/>
    </xf>
    <xf numFmtId="0" fontId="68" fillId="6" borderId="44" xfId="0" applyNumberFormat="1" applyFont="1" applyFill="1" applyBorder="1" applyAlignment="1" applyProtection="1">
      <alignment horizontal="left" vertical="center" wrapText="1"/>
    </xf>
    <xf numFmtId="0" fontId="68" fillId="6" borderId="45" xfId="0" applyNumberFormat="1" applyFont="1" applyFill="1" applyBorder="1" applyAlignment="1" applyProtection="1">
      <alignment horizontal="center" vertical="center" wrapText="1"/>
    </xf>
    <xf numFmtId="0" fontId="44" fillId="6" borderId="77" xfId="0" applyNumberFormat="1" applyFont="1" applyFill="1" applyBorder="1" applyAlignment="1" applyProtection="1">
      <alignment horizontal="center" vertical="center" wrapText="1"/>
    </xf>
    <xf numFmtId="0" fontId="51" fillId="6" borderId="78" xfId="0" applyNumberFormat="1" applyFont="1" applyFill="1" applyBorder="1" applyAlignment="1" applyProtection="1">
      <alignment horizontal="center" vertical="center" wrapText="1"/>
    </xf>
    <xf numFmtId="0" fontId="51" fillId="6" borderId="79" xfId="0" applyNumberFormat="1" applyFont="1" applyFill="1" applyBorder="1" applyAlignment="1" applyProtection="1">
      <alignment horizontal="center" vertical="center" wrapText="1"/>
    </xf>
    <xf numFmtId="0" fontId="44" fillId="6" borderId="15" xfId="0" applyNumberFormat="1" applyFont="1" applyFill="1" applyBorder="1" applyAlignment="1" applyProtection="1">
      <alignment horizontal="center" vertical="center" wrapText="1"/>
    </xf>
    <xf numFmtId="0" fontId="51" fillId="6" borderId="2" xfId="0" applyNumberFormat="1" applyFont="1" applyFill="1" applyBorder="1" applyAlignment="1" applyProtection="1">
      <alignment horizontal="center" vertical="center" wrapText="1"/>
    </xf>
    <xf numFmtId="0" fontId="49" fillId="6" borderId="15" xfId="0" applyNumberFormat="1" applyFont="1" applyFill="1" applyBorder="1" applyAlignment="1" applyProtection="1">
      <alignment horizontal="center" vertical="center" wrapText="1"/>
    </xf>
    <xf numFmtId="0" fontId="51"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center" vertical="center" wrapText="1"/>
      <protection locked="0"/>
    </xf>
    <xf numFmtId="0" fontId="68" fillId="0" borderId="1" xfId="0" applyNumberFormat="1" applyFont="1" applyFill="1" applyBorder="1" applyAlignment="1" applyProtection="1">
      <alignment horizontal="left" vertical="center" wrapText="1"/>
      <protection locked="0"/>
    </xf>
    <xf numFmtId="0" fontId="68" fillId="0" borderId="24"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center" vertical="center" wrapText="1"/>
      <protection locked="0"/>
    </xf>
    <xf numFmtId="0" fontId="49" fillId="0" borderId="44" xfId="0" applyNumberFormat="1" applyFont="1" applyFill="1" applyBorder="1" applyAlignment="1" applyProtection="1">
      <alignment horizontal="left" vertical="center" wrapText="1"/>
      <protection locked="0"/>
    </xf>
    <xf numFmtId="0" fontId="49" fillId="0" borderId="45"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wrapText="1"/>
      <protection locked="0"/>
    </xf>
    <xf numFmtId="0" fontId="44" fillId="0" borderId="78" xfId="0" applyNumberFormat="1" applyFont="1" applyFill="1" applyBorder="1" applyAlignment="1" applyProtection="1">
      <alignment horizontal="center" vertical="center" wrapText="1"/>
      <protection locked="0"/>
    </xf>
    <xf numFmtId="9" fontId="49" fillId="0" borderId="0" xfId="0" applyNumberFormat="1" applyFont="1" applyFill="1" applyBorder="1" applyAlignment="1" applyProtection="1">
      <alignment horizontal="center" vertical="center"/>
      <protection locked="0"/>
    </xf>
    <xf numFmtId="0" fontId="49" fillId="0" borderId="78" xfId="0" applyNumberFormat="1" applyFont="1" applyFill="1" applyBorder="1" applyAlignment="1" applyProtection="1">
      <alignment horizontal="center" vertical="center" wrapText="1"/>
      <protection locked="0"/>
    </xf>
    <xf numFmtId="0" fontId="49" fillId="0" borderId="79"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center" vertical="center" wrapText="1"/>
      <protection locked="0"/>
    </xf>
    <xf numFmtId="0" fontId="49" fillId="0" borderId="2" xfId="0" applyNumberFormat="1" applyFont="1" applyFill="1" applyBorder="1" applyAlignment="1" applyProtection="1">
      <alignment horizontal="left" vertical="center" wrapText="1"/>
      <protection locked="0"/>
    </xf>
    <xf numFmtId="0" fontId="49" fillId="0" borderId="8" xfId="0" applyNumberFormat="1" applyFont="1" applyFill="1" applyBorder="1" applyAlignment="1" applyProtection="1">
      <alignment horizontal="center" vertical="center" wrapText="1"/>
      <protection locked="0"/>
    </xf>
    <xf numFmtId="0" fontId="49" fillId="0" borderId="0" xfId="0" applyFont="1" applyFill="1" applyBorder="1" applyAlignment="1" applyProtection="1">
      <alignment vertical="center" wrapText="1"/>
      <protection locked="0"/>
    </xf>
    <xf numFmtId="0" fontId="69" fillId="6" borderId="12" xfId="0" applyNumberFormat="1" applyFont="1" applyFill="1" applyBorder="1" applyAlignment="1" applyProtection="1">
      <alignment vertical="center" wrapText="1"/>
    </xf>
    <xf numFmtId="0" fontId="44" fillId="6" borderId="74" xfId="0" applyNumberFormat="1" applyFont="1" applyFill="1" applyBorder="1" applyAlignment="1" applyProtection="1">
      <alignment horizontal="center" vertical="center" wrapText="1"/>
    </xf>
    <xf numFmtId="0" fontId="44" fillId="0" borderId="32" xfId="0" applyNumberFormat="1" applyFont="1" applyFill="1" applyBorder="1" applyAlignment="1" applyProtection="1">
      <alignment horizontal="center" vertical="center" wrapText="1"/>
      <protection locked="0"/>
    </xf>
    <xf numFmtId="0" fontId="49" fillId="0" borderId="32" xfId="0" applyNumberFormat="1" applyFont="1" applyFill="1" applyBorder="1" applyAlignment="1" applyProtection="1">
      <alignment horizontal="center" vertical="center" wrapText="1"/>
      <protection locked="0"/>
    </xf>
    <xf numFmtId="0" fontId="49" fillId="0" borderId="49" xfId="0" applyNumberFormat="1" applyFont="1" applyFill="1" applyBorder="1" applyAlignment="1" applyProtection="1">
      <alignment horizontal="center" vertical="center" wrapText="1"/>
      <protection locked="0"/>
    </xf>
    <xf numFmtId="0" fontId="44"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center" vertical="center" wrapText="1"/>
    </xf>
    <xf numFmtId="0" fontId="68" fillId="6" borderId="9" xfId="0" applyNumberFormat="1" applyFont="1" applyFill="1" applyBorder="1" applyAlignment="1" applyProtection="1">
      <alignment horizontal="left" vertical="center" wrapText="1"/>
    </xf>
    <xf numFmtId="0" fontId="68" fillId="6" borderId="10" xfId="0" applyNumberFormat="1" applyFont="1" applyFill="1" applyBorder="1" applyAlignment="1" applyProtection="1">
      <alignment horizontal="center" vertical="center" wrapText="1"/>
    </xf>
    <xf numFmtId="0" fontId="44" fillId="0" borderId="0" xfId="0" applyFont="1" applyFill="1" applyBorder="1" applyAlignment="1" applyProtection="1">
      <alignment vertical="center" wrapText="1"/>
      <protection locked="0"/>
    </xf>
    <xf numFmtId="0" fontId="44" fillId="6" borderId="44" xfId="0" applyNumberFormat="1" applyFont="1" applyFill="1" applyBorder="1" applyAlignment="1" applyProtection="1">
      <alignment horizontal="center" vertical="center" wrapText="1"/>
    </xf>
    <xf numFmtId="0" fontId="46" fillId="6" borderId="14" xfId="0" applyNumberFormat="1" applyFont="1" applyFill="1" applyBorder="1" applyAlignment="1" applyProtection="1">
      <alignment vertical="center" wrapText="1"/>
    </xf>
    <xf numFmtId="0" fontId="44" fillId="0" borderId="44" xfId="0" applyNumberFormat="1" applyFont="1" applyFill="1" applyBorder="1" applyAlignment="1" applyProtection="1">
      <alignment horizontal="left" vertical="center" wrapText="1"/>
      <protection locked="0"/>
    </xf>
    <xf numFmtId="0" fontId="44" fillId="0" borderId="45" xfId="0" applyNumberFormat="1" applyFont="1" applyFill="1" applyBorder="1" applyAlignment="1" applyProtection="1">
      <alignment horizontal="center" vertical="center" wrapText="1"/>
      <protection locked="0"/>
    </xf>
    <xf numFmtId="0" fontId="44" fillId="6" borderId="78" xfId="0" applyNumberFormat="1" applyFont="1" applyFill="1" applyBorder="1" applyAlignment="1" applyProtection="1">
      <alignment horizontal="center" vertical="center" wrapText="1"/>
    </xf>
    <xf numFmtId="0" fontId="51"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center" vertical="center" wrapText="1"/>
      <protection locked="0"/>
    </xf>
    <xf numFmtId="0" fontId="68" fillId="0" borderId="44" xfId="0" applyNumberFormat="1" applyFont="1" applyFill="1" applyBorder="1" applyAlignment="1" applyProtection="1">
      <alignment horizontal="left" vertical="center" wrapText="1"/>
      <protection locked="0"/>
    </xf>
    <xf numFmtId="0" fontId="68" fillId="0" borderId="45" xfId="0" applyNumberFormat="1" applyFont="1" applyFill="1" applyBorder="1" applyAlignment="1" applyProtection="1">
      <alignment horizontal="center" vertical="center" wrapText="1"/>
      <protection locked="0"/>
    </xf>
    <xf numFmtId="0" fontId="51"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center" vertical="center" wrapText="1"/>
      <protection locked="0"/>
    </xf>
    <xf numFmtId="0" fontId="68" fillId="0" borderId="2" xfId="0" applyNumberFormat="1" applyFont="1" applyFill="1" applyBorder="1" applyAlignment="1" applyProtection="1">
      <alignment horizontal="left" vertical="center" wrapText="1"/>
      <protection locked="0"/>
    </xf>
    <xf numFmtId="0" fontId="68" fillId="0" borderId="8" xfId="0" applyNumberFormat="1" applyFont="1" applyFill="1" applyBorder="1" applyAlignment="1" applyProtection="1">
      <alignment horizontal="center" vertical="center" wrapText="1"/>
      <protection locked="0"/>
    </xf>
    <xf numFmtId="0" fontId="51" fillId="0" borderId="32" xfId="0" applyNumberFormat="1" applyFont="1" applyFill="1" applyBorder="1" applyAlignment="1" applyProtection="1">
      <alignment horizontal="center" vertical="center" wrapText="1"/>
      <protection locked="0"/>
    </xf>
    <xf numFmtId="0" fontId="51" fillId="0" borderId="49" xfId="0" applyNumberFormat="1" applyFont="1" applyFill="1" applyBorder="1" applyAlignment="1" applyProtection="1">
      <alignment horizontal="center" vertical="center" wrapText="1"/>
      <protection locked="0"/>
    </xf>
    <xf numFmtId="0" fontId="69" fillId="6" borderId="14" xfId="0" applyNumberFormat="1" applyFont="1" applyFill="1" applyBorder="1" applyAlignment="1" applyProtection="1">
      <alignment vertical="center" textRotation="255" wrapText="1"/>
    </xf>
    <xf numFmtId="0" fontId="44" fillId="6" borderId="58" xfId="0" applyNumberFormat="1" applyFont="1" applyFill="1" applyBorder="1" applyAlignment="1" applyProtection="1">
      <alignment horizontal="center" vertical="center"/>
    </xf>
    <xf numFmtId="0" fontId="44"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center" vertical="center" wrapText="1"/>
      <protection locked="0"/>
    </xf>
    <xf numFmtId="0" fontId="49" fillId="0" borderId="1" xfId="0" applyNumberFormat="1" applyFont="1" applyFill="1" applyBorder="1" applyAlignment="1" applyProtection="1">
      <alignment horizontal="left" vertical="center" wrapText="1"/>
      <protection locked="0"/>
    </xf>
    <xf numFmtId="0" fontId="49" fillId="0" borderId="24" xfId="0" applyNumberFormat="1" applyFont="1" applyFill="1" applyBorder="1" applyAlignment="1" applyProtection="1">
      <alignment horizontal="center" vertical="center" wrapText="1"/>
      <protection locked="0"/>
    </xf>
    <xf numFmtId="0" fontId="50" fillId="6" borderId="14" xfId="0" applyNumberFormat="1" applyFont="1" applyFill="1" applyBorder="1" applyAlignment="1" applyProtection="1">
      <alignment vertical="center" textRotation="255" wrapText="1"/>
    </xf>
    <xf numFmtId="0" fontId="49" fillId="6" borderId="44" xfId="0" applyNumberFormat="1" applyFont="1" applyFill="1" applyBorder="1" applyAlignment="1" applyProtection="1">
      <alignment horizontal="center" vertical="center" wrapText="1"/>
    </xf>
    <xf numFmtId="0" fontId="49" fillId="6" borderId="44" xfId="0" applyNumberFormat="1" applyFont="1" applyFill="1" applyBorder="1" applyAlignment="1" applyProtection="1">
      <alignment horizontal="left" vertical="center" wrapText="1"/>
    </xf>
    <xf numFmtId="0" fontId="49" fillId="6" borderId="45" xfId="0" applyNumberFormat="1" applyFont="1" applyFill="1" applyBorder="1" applyAlignment="1" applyProtection="1">
      <alignment horizontal="center" vertical="center" wrapText="1"/>
    </xf>
    <xf numFmtId="0" fontId="44"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center" vertical="center" wrapText="1"/>
    </xf>
    <xf numFmtId="0" fontId="49" fillId="6" borderId="1" xfId="0" applyNumberFormat="1" applyFont="1" applyFill="1" applyBorder="1" applyAlignment="1" applyProtection="1">
      <alignment horizontal="left" vertical="center" wrapText="1"/>
    </xf>
    <xf numFmtId="0" fontId="49" fillId="6" borderId="24" xfId="0" applyNumberFormat="1" applyFont="1" applyFill="1" applyBorder="1" applyAlignment="1" applyProtection="1">
      <alignment horizontal="center" vertical="center" wrapText="1"/>
    </xf>
    <xf numFmtId="0" fontId="49" fillId="6" borderId="78" xfId="0" applyNumberFormat="1" applyFont="1" applyFill="1" applyBorder="1" applyAlignment="1" applyProtection="1">
      <alignment horizontal="center" vertical="center" wrapText="1"/>
    </xf>
    <xf numFmtId="0" fontId="49" fillId="6" borderId="79" xfId="0" applyNumberFormat="1" applyFont="1" applyFill="1" applyBorder="1" applyAlignment="1" applyProtection="1">
      <alignment horizontal="center" vertical="center" wrapText="1"/>
    </xf>
    <xf numFmtId="185" fontId="57" fillId="6" borderId="13" xfId="0" applyNumberFormat="1" applyFont="1" applyFill="1" applyBorder="1" applyAlignment="1" applyProtection="1">
      <alignment horizontal="right" vertical="center"/>
    </xf>
    <xf numFmtId="188" fontId="44" fillId="6" borderId="3" xfId="0" applyNumberFormat="1" applyFont="1" applyFill="1" applyBorder="1" applyAlignment="1" applyProtection="1">
      <alignment horizontal="center" vertical="center" wrapText="1"/>
    </xf>
    <xf numFmtId="0" fontId="44" fillId="6" borderId="3" xfId="0" applyNumberFormat="1" applyFont="1" applyFill="1" applyBorder="1" applyAlignment="1" applyProtection="1">
      <alignment horizontal="center" vertical="center" wrapText="1"/>
    </xf>
    <xf numFmtId="0" fontId="58" fillId="0" borderId="3" xfId="0" applyNumberFormat="1" applyFont="1" applyFill="1" applyBorder="1" applyAlignment="1" applyProtection="1">
      <alignment horizontal="center" vertical="center" wrapText="1"/>
      <protection locked="0"/>
    </xf>
    <xf numFmtId="0" fontId="58" fillId="6" borderId="3" xfId="0" applyNumberFormat="1" applyFont="1" applyFill="1" applyBorder="1" applyAlignment="1" applyProtection="1">
      <alignment horizontal="center" vertical="center" wrapText="1"/>
    </xf>
    <xf numFmtId="0" fontId="58" fillId="0" borderId="11" xfId="0" applyNumberFormat="1" applyFont="1" applyFill="1" applyBorder="1" applyAlignment="1" applyProtection="1">
      <alignment horizontal="center" vertical="center" wrapText="1"/>
      <protection locked="0"/>
    </xf>
    <xf numFmtId="0" fontId="58" fillId="6" borderId="41" xfId="0" applyNumberFormat="1" applyFont="1" applyFill="1" applyBorder="1" applyAlignment="1" applyProtection="1">
      <alignment horizontal="center" vertical="center" wrapText="1"/>
    </xf>
    <xf numFmtId="0" fontId="51" fillId="2" borderId="37" xfId="0" applyNumberFormat="1" applyFont="1" applyFill="1" applyBorder="1" applyAlignment="1" applyProtection="1">
      <alignment horizontal="center" vertical="center" wrapText="1"/>
      <protection locked="0"/>
    </xf>
    <xf numFmtId="17" fontId="49" fillId="0" borderId="37" xfId="0" applyNumberFormat="1" applyFont="1" applyFill="1" applyBorder="1" applyAlignment="1" applyProtection="1">
      <alignment horizontal="center" vertical="center" wrapText="1"/>
      <protection locked="0"/>
    </xf>
    <xf numFmtId="0" fontId="49" fillId="0" borderId="37" xfId="0" applyNumberFormat="1" applyFont="1" applyFill="1" applyBorder="1" applyAlignment="1" applyProtection="1">
      <alignment horizontal="center" vertical="center" wrapText="1"/>
      <protection locked="0"/>
    </xf>
    <xf numFmtId="188" fontId="51" fillId="3" borderId="3" xfId="0" applyNumberFormat="1" applyFont="1" applyFill="1" applyBorder="1" applyAlignment="1" applyProtection="1">
      <alignment horizontal="center" vertical="center"/>
      <protection locked="0"/>
    </xf>
    <xf numFmtId="188" fontId="51" fillId="3" borderId="1" xfId="0" applyNumberFormat="1" applyFont="1" applyFill="1" applyBorder="1" applyAlignment="1" applyProtection="1">
      <alignment horizontal="center" vertical="center" wrapText="1"/>
      <protection locked="0"/>
    </xf>
    <xf numFmtId="0" fontId="44" fillId="6" borderId="45" xfId="0" applyNumberFormat="1" applyFont="1" applyFill="1" applyBorder="1" applyAlignment="1" applyProtection="1">
      <alignment horizontal="center" vertical="center" wrapText="1"/>
    </xf>
    <xf numFmtId="0" fontId="51"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center" vertical="center" wrapText="1"/>
      <protection locked="0"/>
    </xf>
    <xf numFmtId="0" fontId="68" fillId="0" borderId="15" xfId="0" applyNumberFormat="1" applyFont="1" applyFill="1" applyBorder="1" applyAlignment="1" applyProtection="1">
      <alignment horizontal="left" vertical="center" wrapText="1"/>
      <protection locked="0"/>
    </xf>
    <xf numFmtId="0" fontId="68" fillId="0" borderId="53" xfId="0" applyNumberFormat="1" applyFont="1" applyFill="1" applyBorder="1" applyAlignment="1" applyProtection="1">
      <alignment horizontal="center" vertical="center" wrapText="1"/>
      <protection locked="0"/>
    </xf>
    <xf numFmtId="0" fontId="98" fillId="0" borderId="44" xfId="0" applyNumberFormat="1" applyFont="1" applyFill="1" applyBorder="1" applyAlignment="1" applyProtection="1">
      <alignment horizontal="center" vertical="center" wrapText="1"/>
      <protection locked="0"/>
    </xf>
    <xf numFmtId="0" fontId="44" fillId="0" borderId="12" xfId="0" applyNumberFormat="1" applyFont="1" applyFill="1" applyBorder="1" applyAlignment="1" applyProtection="1">
      <alignment horizontal="center" vertical="center" wrapText="1"/>
      <protection locked="0"/>
    </xf>
    <xf numFmtId="0" fontId="44" fillId="6" borderId="62" xfId="0" applyFont="1" applyFill="1" applyBorder="1" applyAlignment="1" applyProtection="1">
      <alignment horizontal="center" vertical="center" wrapText="1"/>
    </xf>
    <xf numFmtId="0" fontId="51" fillId="6" borderId="56" xfId="0" applyFont="1" applyFill="1" applyBorder="1" applyAlignment="1" applyProtection="1">
      <alignment horizontal="center" vertical="center"/>
    </xf>
    <xf numFmtId="0" fontId="44" fillId="6" borderId="61" xfId="0" applyFont="1" applyFill="1" applyBorder="1" applyAlignment="1" applyProtection="1">
      <alignment horizontal="center" vertical="center" wrapText="1"/>
    </xf>
    <xf numFmtId="0" fontId="44" fillId="6" borderId="8" xfId="0" applyFont="1" applyFill="1" applyBorder="1" applyAlignment="1" applyProtection="1">
      <alignment horizontal="center" vertical="center" wrapText="1"/>
    </xf>
    <xf numFmtId="0" fontId="44" fillId="6" borderId="53" xfId="0" applyFont="1" applyFill="1" applyBorder="1" applyAlignment="1" applyProtection="1">
      <alignment horizontal="center" vertical="center" wrapText="1"/>
    </xf>
    <xf numFmtId="0" fontId="51" fillId="2" borderId="54" xfId="0" applyNumberFormat="1" applyFont="1" applyFill="1" applyBorder="1" applyAlignment="1" applyProtection="1">
      <alignment horizontal="center" vertical="center" wrapText="1"/>
      <protection locked="0"/>
    </xf>
    <xf numFmtId="0" fontId="44" fillId="0" borderId="49" xfId="0" applyFont="1" applyFill="1" applyBorder="1" applyAlignment="1" applyProtection="1">
      <alignment horizontal="center" vertical="center" wrapText="1"/>
      <protection locked="0"/>
    </xf>
    <xf numFmtId="0" fontId="51" fillId="6" borderId="57" xfId="0" applyNumberFormat="1" applyFont="1" applyFill="1" applyBorder="1" applyAlignment="1" applyProtection="1">
      <alignment horizontal="center" vertical="center" wrapText="1"/>
    </xf>
    <xf numFmtId="0" fontId="51" fillId="0" borderId="0" xfId="0" applyFont="1" applyFill="1" applyBorder="1" applyAlignment="1" applyProtection="1">
      <alignment horizontal="center" vertical="center" wrapText="1"/>
      <protection locked="0"/>
    </xf>
    <xf numFmtId="9" fontId="51" fillId="0" borderId="0" xfId="0" applyNumberFormat="1" applyFont="1" applyFill="1" applyBorder="1" applyAlignment="1" applyProtection="1">
      <alignment horizontal="center" vertical="center" wrapText="1"/>
      <protection locked="0"/>
    </xf>
    <xf numFmtId="0" fontId="44" fillId="6" borderId="22" xfId="0" applyNumberFormat="1" applyFont="1" applyFill="1" applyBorder="1" applyAlignment="1" applyProtection="1">
      <alignment horizontal="center" vertical="center" wrapText="1"/>
    </xf>
    <xf numFmtId="0" fontId="44" fillId="6" borderId="20" xfId="0" applyFont="1" applyFill="1" applyBorder="1" applyAlignment="1" applyProtection="1">
      <alignment horizontal="center" vertical="center" wrapText="1"/>
    </xf>
    <xf numFmtId="0" fontId="66" fillId="6" borderId="80" xfId="0" applyFont="1" applyFill="1" applyBorder="1" applyAlignment="1" applyProtection="1">
      <alignment vertical="center" wrapText="1"/>
    </xf>
    <xf numFmtId="0" fontId="44" fillId="6" borderId="54" xfId="0" applyFont="1" applyFill="1" applyBorder="1" applyAlignment="1" applyProtection="1">
      <alignment horizontal="center" vertical="center" wrapText="1"/>
    </xf>
    <xf numFmtId="0" fontId="50" fillId="6" borderId="80" xfId="0" applyFont="1" applyFill="1" applyBorder="1" applyAlignment="1" applyProtection="1">
      <alignment vertical="center" wrapText="1"/>
    </xf>
    <xf numFmtId="0" fontId="44" fillId="0" borderId="36" xfId="0" applyFont="1" applyFill="1" applyBorder="1" applyAlignment="1" applyProtection="1">
      <alignment horizontal="center" vertical="center" wrapText="1"/>
      <protection locked="0"/>
    </xf>
    <xf numFmtId="0" fontId="46" fillId="6" borderId="80" xfId="0" applyFont="1" applyFill="1" applyBorder="1" applyAlignment="1" applyProtection="1">
      <alignment vertical="center" wrapText="1"/>
    </xf>
    <xf numFmtId="0" fontId="50" fillId="6" borderId="81" xfId="0" applyFont="1" applyFill="1" applyBorder="1" applyAlignment="1" applyProtection="1">
      <alignment vertical="center" wrapText="1"/>
    </xf>
    <xf numFmtId="0" fontId="51" fillId="6" borderId="53" xfId="0" applyFont="1" applyFill="1" applyBorder="1" applyAlignment="1" applyProtection="1">
      <alignment horizontal="center" vertical="center"/>
    </xf>
    <xf numFmtId="0" fontId="44" fillId="0" borderId="61" xfId="0"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wrapText="1"/>
    </xf>
    <xf numFmtId="0" fontId="44" fillId="6" borderId="76" xfId="0" applyNumberFormat="1" applyFont="1" applyFill="1" applyBorder="1" applyAlignment="1" applyProtection="1">
      <alignment horizontal="center" vertical="center" wrapText="1"/>
    </xf>
    <xf numFmtId="0" fontId="44" fillId="6" borderId="75" xfId="0" applyNumberFormat="1" applyFont="1" applyFill="1" applyBorder="1" applyAlignment="1" applyProtection="1">
      <alignment horizontal="center" vertical="center" wrapText="1"/>
    </xf>
    <xf numFmtId="0" fontId="50" fillId="6" borderId="16" xfId="0" applyFont="1" applyFill="1" applyBorder="1" applyAlignment="1" applyProtection="1">
      <alignment vertical="center" textRotation="255" wrapText="1"/>
    </xf>
    <xf numFmtId="0" fontId="69" fillId="6" borderId="18" xfId="0" applyFont="1" applyFill="1" applyBorder="1" applyAlignment="1" applyProtection="1">
      <alignment vertical="center" textRotation="255" wrapText="1"/>
    </xf>
    <xf numFmtId="0" fontId="44" fillId="6" borderId="24" xfId="0" applyFont="1" applyFill="1" applyBorder="1" applyAlignment="1" applyProtection="1">
      <alignment horizontal="center" vertical="center" wrapText="1"/>
    </xf>
    <xf numFmtId="49" fontId="44" fillId="0" borderId="37" xfId="0" applyNumberFormat="1" applyFont="1" applyFill="1" applyBorder="1" applyAlignment="1" applyProtection="1">
      <alignment horizontal="center" vertical="center" wrapText="1"/>
      <protection locked="0"/>
    </xf>
    <xf numFmtId="0" fontId="50" fillId="6" borderId="18" xfId="0" applyFont="1" applyFill="1" applyBorder="1" applyAlignment="1" applyProtection="1">
      <alignment vertical="center" textRotation="255" wrapText="1"/>
    </xf>
    <xf numFmtId="0" fontId="44" fillId="2" borderId="37" xfId="0" applyNumberFormat="1" applyFont="1" applyFill="1" applyBorder="1" applyAlignment="1" applyProtection="1">
      <alignment horizontal="center" vertical="center" wrapText="1"/>
      <protection locked="0"/>
    </xf>
    <xf numFmtId="0" fontId="46" fillId="6" borderId="18" xfId="0" applyFont="1" applyFill="1" applyBorder="1" applyAlignment="1" applyProtection="1">
      <alignment vertical="center" textRotation="255" wrapText="1"/>
    </xf>
    <xf numFmtId="0" fontId="50" fillId="6" borderId="42" xfId="0" applyFont="1" applyFill="1" applyBorder="1" applyAlignment="1" applyProtection="1">
      <alignment vertical="center" textRotation="255" wrapText="1"/>
    </xf>
    <xf numFmtId="0" fontId="51" fillId="6" borderId="15" xfId="0" applyNumberFormat="1" applyFont="1" applyFill="1" applyBorder="1" applyAlignment="1" applyProtection="1">
      <alignment horizontal="center" vertical="center" wrapText="1"/>
    </xf>
    <xf numFmtId="49" fontId="51"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center" vertical="center" wrapText="1"/>
      <protection locked="0"/>
    </xf>
    <xf numFmtId="49" fontId="68" fillId="0" borderId="9" xfId="0" applyNumberFormat="1" applyFont="1" applyFill="1" applyBorder="1" applyAlignment="1" applyProtection="1">
      <alignment horizontal="left" vertical="center" wrapText="1"/>
      <protection locked="0"/>
    </xf>
    <xf numFmtId="49" fontId="68" fillId="0" borderId="10" xfId="0" applyNumberFormat="1" applyFont="1" applyFill="1" applyBorder="1" applyAlignment="1" applyProtection="1">
      <alignment horizontal="center" vertical="center" wrapText="1"/>
      <protection locked="0"/>
    </xf>
    <xf numFmtId="0" fontId="44" fillId="6" borderId="53" xfId="0" applyNumberFormat="1" applyFont="1" applyFill="1" applyBorder="1" applyAlignment="1" applyProtection="1">
      <alignment horizontal="center" vertical="center" wrapText="1"/>
    </xf>
    <xf numFmtId="0" fontId="44" fillId="6" borderId="58" xfId="0" applyNumberFormat="1" applyFont="1" applyFill="1" applyBorder="1" applyAlignment="1" applyProtection="1">
      <alignment horizontal="center" vertical="center" wrapText="1"/>
    </xf>
    <xf numFmtId="0" fontId="51" fillId="6" borderId="28"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center" vertical="center" wrapText="1"/>
    </xf>
    <xf numFmtId="0" fontId="68" fillId="6" borderId="15" xfId="0" applyNumberFormat="1" applyFont="1" applyFill="1" applyBorder="1" applyAlignment="1" applyProtection="1">
      <alignment horizontal="left" vertical="center" wrapText="1"/>
    </xf>
    <xf numFmtId="0" fontId="68" fillId="6" borderId="53" xfId="0" applyNumberFormat="1" applyFont="1" applyFill="1" applyBorder="1" applyAlignment="1" applyProtection="1">
      <alignment horizontal="center" vertical="center" wrapText="1"/>
    </xf>
    <xf numFmtId="177" fontId="57" fillId="6" borderId="1" xfId="0" applyNumberFormat="1" applyFont="1" applyFill="1" applyBorder="1" applyAlignment="1" applyProtection="1">
      <alignment horizontal="right" vertical="center"/>
    </xf>
    <xf numFmtId="0" fontId="61" fillId="6" borderId="3" xfId="0" applyNumberFormat="1" applyFont="1" applyFill="1" applyBorder="1" applyAlignment="1" applyProtection="1">
      <alignment horizontal="center" vertical="center" wrapText="1"/>
    </xf>
    <xf numFmtId="0" fontId="61" fillId="0" borderId="3" xfId="0" applyNumberFormat="1" applyFont="1" applyFill="1" applyBorder="1" applyAlignment="1" applyProtection="1">
      <alignment horizontal="center" vertical="center" wrapText="1"/>
      <protection locked="0"/>
    </xf>
    <xf numFmtId="0" fontId="51" fillId="0" borderId="23" xfId="0" applyNumberFormat="1" applyFont="1" applyFill="1" applyBorder="1" applyAlignment="1" applyProtection="1">
      <alignment horizontal="center" vertical="center" wrapText="1"/>
      <protection locked="0"/>
    </xf>
    <xf numFmtId="0" fontId="51" fillId="6" borderId="18" xfId="0" applyFont="1" applyFill="1" applyBorder="1" applyAlignment="1" applyProtection="1">
      <alignment horizontal="center" vertical="center"/>
    </xf>
    <xf numFmtId="0" fontId="69" fillId="6" borderId="42" xfId="0" applyFont="1" applyFill="1" applyBorder="1" applyAlignment="1" applyProtection="1">
      <alignment vertical="center" textRotation="255" wrapText="1"/>
    </xf>
    <xf numFmtId="0" fontId="51" fillId="0" borderId="13" xfId="0" applyNumberFormat="1" applyFont="1" applyFill="1" applyBorder="1" applyAlignment="1" applyProtection="1">
      <alignment horizontal="center" vertical="center" wrapText="1"/>
      <protection locked="0"/>
    </xf>
    <xf numFmtId="0" fontId="51" fillId="0" borderId="25" xfId="0" applyNumberFormat="1" applyFont="1" applyFill="1" applyBorder="1" applyAlignment="1" applyProtection="1">
      <alignment horizontal="center" vertical="center" wrapText="1"/>
      <protection locked="0"/>
    </xf>
    <xf numFmtId="0" fontId="51" fillId="0" borderId="6" xfId="0" applyNumberFormat="1" applyFont="1" applyFill="1" applyBorder="1" applyAlignment="1" applyProtection="1">
      <alignment horizontal="center" vertical="center" wrapText="1"/>
      <protection locked="0"/>
    </xf>
    <xf numFmtId="0" fontId="49" fillId="6" borderId="49" xfId="0" applyNumberFormat="1" applyFont="1" applyFill="1" applyBorder="1" applyAlignment="1" applyProtection="1">
      <alignment horizontal="center" vertical="center" wrapText="1"/>
    </xf>
    <xf numFmtId="0" fontId="71" fillId="6" borderId="3" xfId="0" applyNumberFormat="1" applyFont="1" applyFill="1" applyBorder="1" applyAlignment="1" applyProtection="1">
      <alignment horizontal="center" vertical="center" wrapText="1"/>
    </xf>
    <xf numFmtId="0" fontId="50" fillId="6" borderId="20" xfId="0" applyFont="1" applyFill="1" applyBorder="1" applyAlignment="1" applyProtection="1">
      <alignment horizontal="right" vertical="center" wrapText="1"/>
    </xf>
    <xf numFmtId="49" fontId="50" fillId="6" borderId="68" xfId="0" applyNumberFormat="1" applyFont="1" applyFill="1" applyBorder="1" applyAlignment="1" applyProtection="1">
      <alignment vertical="center"/>
    </xf>
    <xf numFmtId="14" fontId="51" fillId="6" borderId="6" xfId="0" applyNumberFormat="1" applyFont="1" applyFill="1" applyBorder="1" applyAlignment="1" applyProtection="1">
      <alignment horizontal="left" vertical="center"/>
    </xf>
    <xf numFmtId="176" fontId="51" fillId="6" borderId="9"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51" fillId="6" borderId="10" xfId="0" applyFont="1" applyFill="1" applyBorder="1" applyAlignment="1" applyProtection="1">
      <alignment horizontal="center" vertical="center"/>
    </xf>
    <xf numFmtId="0" fontId="53" fillId="6" borderId="23" xfId="0" applyFont="1" applyFill="1" applyBorder="1" applyAlignment="1" applyProtection="1"/>
    <xf numFmtId="185" fontId="53" fillId="6" borderId="1" xfId="1" applyNumberFormat="1" applyFont="1" applyFill="1" applyBorder="1" applyAlignment="1" applyProtection="1">
      <alignment horizontal="center"/>
    </xf>
    <xf numFmtId="0" fontId="53" fillId="6" borderId="1" xfId="0" applyFont="1" applyFill="1" applyBorder="1" applyAlignment="1" applyProtection="1">
      <alignment horizontal="center"/>
    </xf>
    <xf numFmtId="177" fontId="53" fillId="6" borderId="24" xfId="1" applyNumberFormat="1" applyFont="1" applyFill="1" applyBorder="1" applyAlignment="1" applyProtection="1">
      <alignment horizontal="center"/>
    </xf>
    <xf numFmtId="0" fontId="72" fillId="0" borderId="0" xfId="0" applyFont="1" applyFill="1" applyAlignment="1" applyProtection="1">
      <alignment horizontal="center" vertical="center"/>
      <protection locked="0"/>
    </xf>
    <xf numFmtId="0" fontId="53" fillId="6" borderId="23" xfId="1" applyFont="1" applyFill="1" applyBorder="1" applyAlignment="1" applyProtection="1"/>
    <xf numFmtId="179" fontId="53" fillId="0" borderId="1" xfId="1" applyNumberFormat="1" applyFont="1" applyFill="1" applyBorder="1" applyAlignment="1" applyProtection="1">
      <alignment horizontal="center"/>
      <protection locked="0"/>
    </xf>
    <xf numFmtId="0" fontId="54" fillId="6" borderId="25" xfId="1" applyFont="1" applyFill="1" applyBorder="1" applyAlignment="1" applyProtection="1"/>
    <xf numFmtId="0" fontId="53" fillId="6" borderId="32" xfId="0" applyFont="1" applyFill="1" applyBorder="1" applyAlignment="1" applyProtection="1">
      <alignment horizontal="center"/>
    </xf>
    <xf numFmtId="177" fontId="54" fillId="6" borderId="49" xfId="0" applyNumberFormat="1" applyFont="1" applyFill="1" applyBorder="1" applyAlignment="1" applyProtection="1">
      <alignment horizontal="center"/>
    </xf>
    <xf numFmtId="0" fontId="44" fillId="6" borderId="44" xfId="0" applyNumberFormat="1" applyFont="1" applyFill="1" applyBorder="1" applyAlignment="1" applyProtection="1">
      <alignment horizontal="left" vertical="center" wrapText="1"/>
    </xf>
    <xf numFmtId="0" fontId="51" fillId="0" borderId="61" xfId="0" applyNumberFormat="1" applyFont="1" applyFill="1" applyBorder="1" applyAlignment="1" applyProtection="1">
      <alignment horizontal="center" vertical="center" wrapText="1"/>
      <protection locked="0"/>
    </xf>
    <xf numFmtId="0" fontId="49" fillId="6" borderId="74" xfId="0" applyNumberFormat="1" applyFont="1" applyFill="1" applyBorder="1" applyAlignment="1" applyProtection="1">
      <alignment horizontal="center" vertical="center" wrapText="1"/>
    </xf>
    <xf numFmtId="0" fontId="51" fillId="0" borderId="66" xfId="0" applyNumberFormat="1" applyFont="1" applyFill="1" applyBorder="1" applyAlignment="1" applyProtection="1">
      <alignment horizontal="center" vertical="center" wrapText="1"/>
      <protection locked="0"/>
    </xf>
    <xf numFmtId="0" fontId="47" fillId="0" borderId="0" xfId="0" applyNumberFormat="1" applyFont="1" applyAlignment="1" applyProtection="1">
      <alignment horizontal="center" vertical="center"/>
      <protection locked="0"/>
    </xf>
    <xf numFmtId="0" fontId="47" fillId="6" borderId="16" xfId="0" applyNumberFormat="1" applyFont="1" applyFill="1" applyBorder="1" applyAlignment="1" applyProtection="1">
      <alignment horizontal="center" vertical="center" wrapText="1"/>
    </xf>
    <xf numFmtId="0" fontId="47" fillId="6" borderId="6" xfId="0" applyNumberFormat="1" applyFont="1" applyFill="1" applyBorder="1" applyAlignment="1" applyProtection="1">
      <alignment horizontal="center" vertical="center" wrapText="1"/>
    </xf>
    <xf numFmtId="0" fontId="47" fillId="6" borderId="9" xfId="0" applyNumberFormat="1" applyFont="1" applyFill="1" applyBorder="1" applyAlignment="1" applyProtection="1">
      <alignment horizontal="center" vertical="center" wrapText="1"/>
    </xf>
    <xf numFmtId="0" fontId="47" fillId="6" borderId="31" xfId="0" applyNumberFormat="1" applyFont="1" applyFill="1" applyBorder="1" applyAlignment="1" applyProtection="1">
      <alignment horizontal="center" vertical="center" wrapText="1"/>
    </xf>
    <xf numFmtId="0" fontId="53" fillId="0" borderId="0" xfId="0" applyFont="1" applyFill="1" applyAlignment="1" applyProtection="1">
      <alignment horizontal="center" vertical="center"/>
      <protection locked="0"/>
    </xf>
    <xf numFmtId="0" fontId="47" fillId="6" borderId="18" xfId="0" applyNumberFormat="1" applyFont="1" applyFill="1" applyBorder="1" applyAlignment="1" applyProtection="1">
      <alignment horizontal="center" vertical="center"/>
    </xf>
    <xf numFmtId="0" fontId="47" fillId="0" borderId="23" xfId="0" applyNumberFormat="1" applyFont="1" applyFill="1" applyBorder="1" applyAlignment="1" applyProtection="1">
      <alignment horizontal="center" vertical="center" wrapText="1"/>
      <protection locked="0"/>
    </xf>
    <xf numFmtId="0" fontId="47" fillId="0" borderId="1" xfId="0" applyNumberFormat="1" applyFont="1" applyFill="1" applyBorder="1" applyAlignment="1" applyProtection="1">
      <alignment horizontal="center" vertical="center" wrapText="1"/>
      <protection locked="0"/>
    </xf>
    <xf numFmtId="0" fontId="48" fillId="6" borderId="59" xfId="0" applyNumberFormat="1" applyFont="1" applyFill="1" applyBorder="1" applyAlignment="1" applyProtection="1">
      <alignment horizontal="center" vertical="center" wrapText="1"/>
    </xf>
    <xf numFmtId="0" fontId="48" fillId="0" borderId="0" xfId="0" applyFont="1" applyFill="1" applyAlignment="1" applyProtection="1">
      <alignment horizontal="center" vertical="center"/>
      <protection locked="0"/>
    </xf>
    <xf numFmtId="0" fontId="47" fillId="0" borderId="56" xfId="0" applyNumberFormat="1" applyFont="1" applyFill="1" applyBorder="1" applyAlignment="1" applyProtection="1">
      <alignment horizontal="center" vertical="center" wrapText="1"/>
      <protection locked="0"/>
    </xf>
    <xf numFmtId="0" fontId="45" fillId="6" borderId="1" xfId="0" applyFont="1" applyFill="1" applyBorder="1" applyProtection="1">
      <alignment vertical="center"/>
    </xf>
    <xf numFmtId="0" fontId="47" fillId="6" borderId="1" xfId="0" applyNumberFormat="1" applyFont="1" applyFill="1" applyBorder="1" applyAlignment="1" applyProtection="1">
      <alignment horizontal="center" vertical="center"/>
    </xf>
    <xf numFmtId="0" fontId="47" fillId="6" borderId="1" xfId="0" applyNumberFormat="1" applyFont="1" applyFill="1" applyBorder="1" applyAlignment="1" applyProtection="1">
      <alignment horizontal="center" vertical="center" wrapText="1"/>
    </xf>
    <xf numFmtId="0" fontId="60" fillId="0" borderId="1" xfId="0" applyFont="1" applyFill="1" applyBorder="1" applyAlignment="1" applyProtection="1">
      <alignment horizontal="center" vertical="center"/>
      <protection locked="0"/>
    </xf>
    <xf numFmtId="0" fontId="60" fillId="6" borderId="1" xfId="0" applyFont="1" applyFill="1" applyBorder="1" applyAlignment="1" applyProtection="1">
      <alignment horizontal="center" vertical="center"/>
    </xf>
    <xf numFmtId="0" fontId="60" fillId="2" borderId="1" xfId="0" applyFont="1" applyFill="1" applyBorder="1" applyAlignment="1" applyProtection="1">
      <alignment horizontal="center" vertical="center"/>
      <protection locked="0"/>
    </xf>
    <xf numFmtId="0" fontId="60" fillId="0" borderId="1" xfId="0" applyNumberFormat="1" applyFont="1" applyBorder="1" applyAlignment="1" applyProtection="1">
      <alignment horizontal="center" vertical="center"/>
      <protection locked="0"/>
    </xf>
    <xf numFmtId="0" fontId="60" fillId="0" borderId="0" xfId="0" applyFont="1" applyProtection="1">
      <alignment vertical="center"/>
      <protection locked="0"/>
    </xf>
    <xf numFmtId="0" fontId="44" fillId="6" borderId="23" xfId="0" applyFont="1" applyFill="1" applyBorder="1" applyAlignment="1" applyProtection="1">
      <alignment vertical="center"/>
    </xf>
    <xf numFmtId="0" fontId="53" fillId="0" borderId="8" xfId="1" applyNumberFormat="1" applyFont="1" applyFill="1" applyBorder="1" applyAlignment="1" applyProtection="1">
      <alignment horizontal="center" vertical="center"/>
      <protection locked="0"/>
    </xf>
    <xf numFmtId="0" fontId="53" fillId="0" borderId="61" xfId="1" applyNumberFormat="1" applyFont="1" applyFill="1" applyBorder="1" applyAlignment="1" applyProtection="1">
      <alignment horizontal="center" vertical="center"/>
      <protection locked="0"/>
    </xf>
    <xf numFmtId="181" fontId="47" fillId="0" borderId="10" xfId="0" applyNumberFormat="1" applyFont="1" applyFill="1" applyBorder="1" applyAlignment="1" applyProtection="1">
      <alignment horizontal="center" vertical="center"/>
      <protection locked="0"/>
    </xf>
    <xf numFmtId="0" fontId="46" fillId="0" borderId="32" xfId="0" applyFont="1" applyFill="1" applyBorder="1" applyAlignment="1" applyProtection="1">
      <alignment horizontal="center" vertical="center"/>
      <protection locked="0"/>
    </xf>
    <xf numFmtId="0" fontId="98" fillId="0" borderId="0" xfId="0" applyFont="1" applyProtection="1">
      <alignment vertical="center"/>
    </xf>
    <xf numFmtId="179" fontId="46" fillId="6" borderId="66" xfId="0" applyNumberFormat="1" applyFont="1" applyFill="1" applyBorder="1" applyAlignment="1" applyProtection="1">
      <alignment vertical="center"/>
    </xf>
    <xf numFmtId="179" fontId="46" fillId="6" borderId="32" xfId="0" applyNumberFormat="1" applyFont="1" applyFill="1" applyBorder="1" applyAlignment="1" applyProtection="1">
      <alignment vertical="center"/>
    </xf>
    <xf numFmtId="179" fontId="46" fillId="6" borderId="49" xfId="0" applyNumberFormat="1" applyFont="1" applyFill="1" applyBorder="1" applyAlignment="1" applyProtection="1">
      <alignment vertical="center"/>
    </xf>
    <xf numFmtId="0" fontId="47" fillId="6" borderId="0" xfId="0" applyFont="1" applyFill="1" applyAlignment="1" applyProtection="1">
      <alignment vertical="center"/>
    </xf>
    <xf numFmtId="0" fontId="98" fillId="6" borderId="0" xfId="0" applyFont="1" applyFill="1" applyAlignment="1" applyProtection="1">
      <alignment vertical="center"/>
    </xf>
    <xf numFmtId="0" fontId="98" fillId="6" borderId="0" xfId="0" applyFont="1" applyFill="1" applyAlignment="1" applyProtection="1">
      <alignment horizontal="left" vertical="center"/>
    </xf>
    <xf numFmtId="0" fontId="98" fillId="6" borderId="0" xfId="2" applyFont="1" applyFill="1" applyAlignment="1" applyProtection="1">
      <alignment horizontal="left"/>
    </xf>
    <xf numFmtId="49" fontId="57" fillId="6" borderId="0" xfId="0" applyNumberFormat="1" applyFont="1" applyFill="1" applyBorder="1" applyAlignment="1" applyProtection="1">
      <alignment horizontal="center"/>
    </xf>
    <xf numFmtId="0" fontId="47" fillId="6" borderId="0" xfId="0" applyFont="1" applyFill="1" applyBorder="1" applyAlignment="1" applyProtection="1">
      <alignment vertical="center"/>
    </xf>
    <xf numFmtId="0" fontId="65" fillId="6" borderId="36" xfId="0" applyFont="1" applyFill="1" applyBorder="1" applyAlignment="1" applyProtection="1">
      <alignment vertical="center"/>
    </xf>
    <xf numFmtId="0" fontId="62" fillId="6" borderId="36" xfId="0" applyFont="1" applyFill="1" applyBorder="1" applyAlignment="1" applyProtection="1">
      <alignment vertical="center"/>
    </xf>
    <xf numFmtId="188" fontId="62" fillId="6" borderId="36" xfId="0" applyNumberFormat="1" applyFont="1" applyFill="1" applyBorder="1" applyAlignment="1" applyProtection="1">
      <alignment horizontal="center" vertical="center"/>
    </xf>
    <xf numFmtId="181" fontId="62" fillId="6" borderId="36" xfId="0" applyNumberFormat="1" applyFont="1" applyFill="1" applyBorder="1" applyAlignment="1" applyProtection="1">
      <alignment vertical="center"/>
    </xf>
    <xf numFmtId="0" fontId="62" fillId="6" borderId="36" xfId="0" applyFont="1" applyFill="1" applyBorder="1" applyAlignment="1" applyProtection="1">
      <alignment horizontal="center" vertical="center"/>
    </xf>
    <xf numFmtId="0" fontId="51" fillId="6" borderId="0" xfId="0" applyFont="1" applyFill="1" applyAlignment="1" applyProtection="1">
      <alignment horizontal="center" vertical="center"/>
    </xf>
    <xf numFmtId="0" fontId="68" fillId="6" borderId="0" xfId="0" applyFont="1" applyFill="1" applyAlignment="1" applyProtection="1">
      <alignment horizontal="center" vertical="center"/>
    </xf>
    <xf numFmtId="14" fontId="51" fillId="6" borderId="0" xfId="0" applyNumberFormat="1" applyFont="1" applyFill="1" applyAlignment="1" applyProtection="1">
      <alignment horizontal="center" vertical="center"/>
    </xf>
    <xf numFmtId="176" fontId="51" fillId="6" borderId="0" xfId="0" applyNumberFormat="1" applyFont="1" applyFill="1" applyAlignment="1" applyProtection="1">
      <alignment horizontal="center" vertical="center"/>
    </xf>
    <xf numFmtId="0" fontId="56" fillId="6" borderId="0" xfId="0" applyFont="1" applyFill="1" applyBorder="1" applyAlignment="1" applyProtection="1"/>
    <xf numFmtId="0" fontId="51" fillId="6" borderId="0" xfId="0" applyFont="1" applyFill="1" applyBorder="1" applyAlignment="1" applyProtection="1"/>
    <xf numFmtId="0" fontId="51" fillId="6" borderId="0" xfId="0" applyFont="1" applyFill="1" applyBorder="1" applyAlignment="1" applyProtection="1">
      <alignment horizontal="center"/>
    </xf>
    <xf numFmtId="188" fontId="51" fillId="6" borderId="0" xfId="0" applyNumberFormat="1" applyFont="1" applyFill="1" applyBorder="1" applyAlignment="1" applyProtection="1">
      <alignment horizontal="center"/>
    </xf>
    <xf numFmtId="181" fontId="51" fillId="6" borderId="0" xfId="0" applyNumberFormat="1" applyFont="1" applyFill="1" applyBorder="1" applyAlignment="1" applyProtection="1"/>
    <xf numFmtId="0" fontId="62" fillId="6" borderId="0" xfId="0" applyFont="1" applyFill="1" applyBorder="1" applyAlignment="1" applyProtection="1">
      <alignment horizontal="center" vertical="center"/>
    </xf>
    <xf numFmtId="0" fontId="63" fillId="6" borderId="0" xfId="0" applyFont="1" applyFill="1" applyBorder="1" applyAlignment="1" applyProtection="1">
      <alignment horizontal="center" vertical="center"/>
    </xf>
    <xf numFmtId="187" fontId="44" fillId="6" borderId="5" xfId="0" applyNumberFormat="1" applyFont="1" applyFill="1" applyBorder="1" applyAlignment="1" applyProtection="1">
      <alignment horizontal="center" vertical="center"/>
    </xf>
    <xf numFmtId="49" fontId="44" fillId="6" borderId="3" xfId="0" applyNumberFormat="1" applyFont="1" applyFill="1" applyBorder="1" applyAlignment="1" applyProtection="1">
      <alignment horizontal="center" vertical="center"/>
    </xf>
    <xf numFmtId="0" fontId="44" fillId="6" borderId="15" xfId="0" applyFont="1" applyFill="1" applyBorder="1" applyAlignment="1" applyProtection="1">
      <alignment horizontal="center" vertical="center"/>
    </xf>
    <xf numFmtId="0" fontId="44" fillId="6" borderId="1" xfId="0" applyNumberFormat="1" applyFont="1" applyFill="1" applyBorder="1" applyAlignment="1" applyProtection="1">
      <alignment horizontal="center" vertical="center"/>
    </xf>
    <xf numFmtId="187" fontId="51" fillId="6" borderId="5" xfId="0" applyNumberFormat="1" applyFont="1" applyFill="1" applyBorder="1" applyAlignment="1" applyProtection="1">
      <alignment horizontal="center" vertical="center"/>
    </xf>
    <xf numFmtId="49" fontId="51" fillId="6" borderId="3" xfId="0" applyNumberFormat="1" applyFont="1" applyFill="1" applyBorder="1" applyAlignment="1" applyProtection="1">
      <alignment horizontal="center" vertical="center"/>
    </xf>
    <xf numFmtId="0" fontId="49" fillId="6" borderId="1" xfId="0" applyFont="1" applyFill="1" applyBorder="1" applyAlignment="1" applyProtection="1">
      <alignment horizontal="center" vertical="center" wrapText="1"/>
    </xf>
    <xf numFmtId="187" fontId="49" fillId="6" borderId="5" xfId="0" applyNumberFormat="1" applyFont="1" applyFill="1" applyBorder="1" applyAlignment="1" applyProtection="1">
      <alignment horizontal="center" vertical="center"/>
    </xf>
    <xf numFmtId="49" fontId="49" fillId="6" borderId="3" xfId="0" applyNumberFormat="1" applyFont="1" applyFill="1" applyBorder="1" applyAlignment="1" applyProtection="1">
      <alignment horizontal="center" vertical="center"/>
    </xf>
    <xf numFmtId="0" fontId="49" fillId="6" borderId="15" xfId="0" applyFont="1" applyFill="1" applyBorder="1" applyAlignment="1" applyProtection="1">
      <alignment horizontal="center" vertical="center"/>
    </xf>
    <xf numFmtId="0" fontId="49" fillId="6" borderId="1" xfId="0" applyFont="1" applyFill="1" applyBorder="1" applyAlignment="1" applyProtection="1">
      <alignment horizontal="center" vertical="center"/>
    </xf>
    <xf numFmtId="0" fontId="51" fillId="6" borderId="2" xfId="0" applyFont="1" applyFill="1" applyBorder="1" applyAlignment="1" applyProtection="1">
      <alignment vertical="center" textRotation="255" wrapText="1"/>
    </xf>
    <xf numFmtId="0" fontId="63" fillId="6" borderId="0" xfId="0" applyFont="1" applyFill="1" applyAlignment="1" applyProtection="1">
      <alignment horizontal="center" vertical="center"/>
    </xf>
    <xf numFmtId="188" fontId="51" fillId="6" borderId="3" xfId="0" applyNumberFormat="1" applyFont="1" applyFill="1" applyBorder="1" applyAlignment="1" applyProtection="1">
      <alignment horizontal="center" vertical="center"/>
    </xf>
    <xf numFmtId="188" fontId="51" fillId="6" borderId="1" xfId="0" applyNumberFormat="1" applyFont="1" applyFill="1" applyBorder="1" applyAlignment="1" applyProtection="1">
      <alignment horizontal="center" vertical="center" wrapText="1"/>
    </xf>
    <xf numFmtId="0" fontId="62" fillId="6" borderId="60" xfId="0" applyFont="1" applyFill="1" applyBorder="1" applyAlignment="1" applyProtection="1">
      <alignment horizontal="center" vertical="center"/>
    </xf>
    <xf numFmtId="0" fontId="53" fillId="6" borderId="0" xfId="0" applyFont="1" applyFill="1" applyAlignment="1" applyProtection="1"/>
    <xf numFmtId="0" fontId="47" fillId="6" borderId="0" xfId="0" applyNumberFormat="1" applyFont="1" applyFill="1" applyAlignment="1" applyProtection="1">
      <alignment horizontal="center" vertical="center"/>
      <protection locked="0"/>
    </xf>
    <xf numFmtId="0" fontId="44" fillId="6" borderId="32" xfId="0" applyFont="1" applyFill="1" applyBorder="1" applyAlignment="1" applyProtection="1">
      <alignment horizontal="center" vertical="center"/>
    </xf>
    <xf numFmtId="0" fontId="44" fillId="6" borderId="49" xfId="0" applyFont="1" applyFill="1" applyBorder="1" applyAlignment="1" applyProtection="1">
      <alignment horizontal="center" vertical="center"/>
    </xf>
    <xf numFmtId="181" fontId="105" fillId="6" borderId="65" xfId="0" applyNumberFormat="1" applyFont="1" applyFill="1" applyBorder="1" applyAlignment="1" applyProtection="1">
      <alignment horizontal="center" vertical="center"/>
    </xf>
    <xf numFmtId="179" fontId="53" fillId="7" borderId="0" xfId="0" applyNumberFormat="1" applyFont="1" applyFill="1" applyBorder="1" applyAlignment="1" applyProtection="1">
      <alignment horizontal="center" vertical="center"/>
      <protection locked="0"/>
    </xf>
    <xf numFmtId="49" fontId="54" fillId="7" borderId="0" xfId="0" applyNumberFormat="1" applyFont="1" applyFill="1" applyBorder="1" applyAlignment="1" applyProtection="1">
      <alignment horizontal="left" vertical="center"/>
      <protection locked="0"/>
    </xf>
    <xf numFmtId="0" fontId="63" fillId="7" borderId="0" xfId="0" applyFont="1" applyFill="1" applyAlignment="1" applyProtection="1">
      <alignment vertical="center"/>
      <protection locked="0"/>
    </xf>
    <xf numFmtId="0" fontId="47" fillId="7" borderId="0" xfId="0" applyFont="1" applyFill="1" applyProtection="1">
      <alignment vertical="center"/>
      <protection locked="0"/>
    </xf>
    <xf numFmtId="0" fontId="53" fillId="7" borderId="0" xfId="0" applyFont="1" applyFill="1" applyAlignment="1" applyProtection="1">
      <alignment horizontal="center" vertical="center"/>
      <protection locked="0"/>
    </xf>
    <xf numFmtId="0" fontId="48"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protection locked="0"/>
    </xf>
    <xf numFmtId="0" fontId="47" fillId="7" borderId="0" xfId="0" applyFont="1" applyFill="1" applyAlignment="1" applyProtection="1">
      <alignment horizontal="center" vertical="center" wrapText="1"/>
      <protection locked="0"/>
    </xf>
    <xf numFmtId="0" fontId="60" fillId="7" borderId="0" xfId="0" applyFont="1" applyFill="1" applyProtection="1">
      <alignment vertical="center"/>
      <protection locked="0"/>
    </xf>
    <xf numFmtId="10" fontId="47" fillId="0" borderId="1" xfId="1" applyNumberFormat="1" applyFont="1" applyFill="1" applyBorder="1" applyAlignment="1" applyProtection="1">
      <alignment horizontal="center" vertical="center"/>
      <protection locked="0"/>
    </xf>
    <xf numFmtId="181" fontId="99" fillId="0" borderId="1" xfId="0" applyNumberFormat="1" applyFont="1" applyFill="1" applyBorder="1" applyAlignment="1" applyProtection="1">
      <alignment horizontal="center" vertical="center"/>
      <protection locked="0"/>
    </xf>
    <xf numFmtId="177" fontId="47" fillId="0" borderId="1" xfId="1" applyNumberFormat="1" applyFont="1" applyFill="1" applyBorder="1" applyAlignment="1" applyProtection="1">
      <alignment horizontal="center" vertical="center"/>
      <protection locked="0"/>
    </xf>
    <xf numFmtId="9" fontId="47" fillId="0" borderId="5" xfId="0" applyNumberFormat="1" applyFont="1" applyFill="1" applyBorder="1" applyAlignment="1" applyProtection="1">
      <alignment horizontal="center" vertical="center"/>
      <protection locked="0"/>
    </xf>
    <xf numFmtId="181" fontId="47" fillId="0" borderId="1" xfId="0" applyNumberFormat="1" applyFont="1" applyBorder="1" applyAlignment="1" applyProtection="1">
      <alignment vertical="center"/>
      <protection locked="0"/>
    </xf>
    <xf numFmtId="0" fontId="47" fillId="0" borderId="23" xfId="0" applyFont="1" applyBorder="1" applyAlignment="1" applyProtection="1">
      <alignment horizontal="center" vertical="center"/>
      <protection locked="0"/>
    </xf>
    <xf numFmtId="10" fontId="47" fillId="0" borderId="1" xfId="0" applyNumberFormat="1" applyFont="1" applyBorder="1" applyAlignment="1" applyProtection="1">
      <alignment horizontal="center" vertical="center"/>
      <protection locked="0"/>
    </xf>
    <xf numFmtId="182" fontId="47" fillId="0" borderId="1" xfId="0" applyNumberFormat="1" applyFont="1" applyBorder="1" applyAlignment="1" applyProtection="1">
      <alignment horizontal="center" vertical="center"/>
      <protection locked="0"/>
    </xf>
    <xf numFmtId="181" fontId="47" fillId="0" borderId="24" xfId="0" applyNumberFormat="1" applyFont="1" applyBorder="1" applyAlignment="1" applyProtection="1">
      <alignment horizontal="center" vertical="center"/>
      <protection locked="0"/>
    </xf>
    <xf numFmtId="0" fontId="61" fillId="6" borderId="3" xfId="0" applyNumberFormat="1" applyFont="1" applyFill="1" applyBorder="1" applyAlignment="1" applyProtection="1">
      <alignment horizontal="center" vertical="center" wrapText="1"/>
      <protection locked="0"/>
    </xf>
    <xf numFmtId="0" fontId="108" fillId="6" borderId="20" xfId="0" applyFont="1" applyFill="1" applyBorder="1" applyAlignment="1" applyProtection="1">
      <alignment vertical="center"/>
    </xf>
    <xf numFmtId="0" fontId="108" fillId="6" borderId="21" xfId="0" applyFont="1" applyFill="1" applyBorder="1" applyAlignment="1" applyProtection="1">
      <alignment horizontal="center" vertical="center"/>
    </xf>
    <xf numFmtId="0" fontId="53" fillId="6" borderId="24" xfId="0" applyFont="1" applyFill="1" applyBorder="1" applyAlignment="1" applyProtection="1">
      <alignment horizontal="center" vertical="center" wrapText="1"/>
    </xf>
    <xf numFmtId="10" fontId="53" fillId="6" borderId="61" xfId="0" applyNumberFormat="1" applyFont="1" applyFill="1" applyBorder="1" applyAlignment="1" applyProtection="1">
      <alignment horizontal="center" vertical="center" wrapText="1"/>
    </xf>
    <xf numFmtId="10" fontId="53" fillId="6" borderId="53" xfId="0" applyNumberFormat="1" applyFont="1" applyFill="1" applyBorder="1" applyAlignment="1" applyProtection="1">
      <alignment vertical="center" wrapText="1"/>
    </xf>
    <xf numFmtId="10" fontId="53" fillId="6" borderId="76" xfId="0" applyNumberFormat="1" applyFont="1" applyFill="1" applyBorder="1" applyAlignment="1" applyProtection="1">
      <alignment vertical="center" wrapText="1"/>
    </xf>
    <xf numFmtId="10" fontId="53" fillId="6" borderId="53" xfId="0" applyNumberFormat="1" applyFont="1" applyFill="1" applyBorder="1" applyAlignment="1" applyProtection="1">
      <alignment horizontal="center" vertical="center" wrapText="1"/>
    </xf>
    <xf numFmtId="10" fontId="53" fillId="6" borderId="76" xfId="0" applyNumberFormat="1" applyFont="1" applyFill="1" applyBorder="1" applyAlignment="1" applyProtection="1">
      <alignment horizontal="center" vertical="center" wrapText="1"/>
    </xf>
    <xf numFmtId="0" fontId="78" fillId="0" borderId="60" xfId="3" applyNumberFormat="1" applyFont="1" applyBorder="1" applyAlignment="1" applyProtection="1">
      <alignment vertical="center"/>
    </xf>
    <xf numFmtId="0" fontId="0" fillId="0" borderId="0" xfId="0" applyNumberFormat="1" applyProtection="1">
      <alignment vertical="center"/>
    </xf>
    <xf numFmtId="0" fontId="0" fillId="0" borderId="0" xfId="0" applyNumberFormat="1" applyFont="1" applyProtection="1">
      <alignment vertical="center"/>
    </xf>
    <xf numFmtId="179" fontId="51" fillId="6" borderId="1" xfId="0" applyNumberFormat="1" applyFont="1" applyFill="1" applyBorder="1" applyAlignment="1" applyProtection="1">
      <alignment horizontal="center" vertical="center" wrapText="1"/>
    </xf>
    <xf numFmtId="0" fontId="50" fillId="6" borderId="36" xfId="0" applyFont="1" applyFill="1" applyBorder="1" applyAlignment="1" applyProtection="1">
      <alignment horizontal="center" vertical="center"/>
    </xf>
    <xf numFmtId="0" fontId="54" fillId="6" borderId="34" xfId="0" applyFont="1" applyFill="1" applyBorder="1" applyAlignment="1" applyProtection="1">
      <alignment horizontal="center" vertical="center"/>
    </xf>
    <xf numFmtId="0" fontId="54" fillId="6" borderId="28" xfId="0" applyNumberFormat="1" applyFont="1" applyFill="1" applyBorder="1" applyAlignment="1" applyProtection="1">
      <alignment horizontal="center" vertical="center" wrapText="1"/>
    </xf>
    <xf numFmtId="0" fontId="53" fillId="6" borderId="2" xfId="0" applyFont="1" applyFill="1" applyBorder="1" applyAlignment="1" applyProtection="1">
      <alignment horizontal="center" vertical="center" wrapText="1"/>
    </xf>
    <xf numFmtId="0" fontId="53" fillId="6" borderId="4" xfId="0" applyFont="1" applyFill="1" applyBorder="1" applyAlignment="1" applyProtection="1">
      <alignment horizontal="center" vertical="center" wrapText="1"/>
    </xf>
    <xf numFmtId="9" fontId="53" fillId="6" borderId="1" xfId="0" applyNumberFormat="1" applyFont="1" applyFill="1" applyBorder="1" applyAlignment="1" applyProtection="1">
      <alignment horizontal="center" vertical="center" wrapText="1"/>
    </xf>
    <xf numFmtId="0" fontId="53" fillId="6" borderId="13" xfId="0" applyFont="1" applyFill="1" applyBorder="1" applyAlignment="1" applyProtection="1">
      <alignment horizontal="center" vertical="center" wrapText="1"/>
    </xf>
    <xf numFmtId="186" fontId="50" fillId="6" borderId="84" xfId="0" applyNumberFormat="1" applyFont="1" applyFill="1" applyBorder="1" applyAlignment="1" applyProtection="1">
      <alignment horizontal="center" vertical="center" wrapText="1"/>
    </xf>
    <xf numFmtId="14" fontId="51" fillId="6" borderId="84" xfId="0" applyNumberFormat="1" applyFont="1" applyFill="1" applyBorder="1" applyAlignment="1" applyProtection="1">
      <alignment horizontal="center" vertical="center" wrapText="1"/>
    </xf>
    <xf numFmtId="14" fontId="51" fillId="6" borderId="64" xfId="0" applyNumberFormat="1" applyFont="1" applyFill="1" applyBorder="1" applyAlignment="1" applyProtection="1">
      <alignment horizontal="center" vertical="center" wrapText="1"/>
    </xf>
    <xf numFmtId="0" fontId="99" fillId="6" borderId="67" xfId="0" applyFont="1" applyFill="1" applyBorder="1" applyAlignment="1" applyProtection="1">
      <alignment horizontal="center" vertical="center" wrapText="1"/>
    </xf>
    <xf numFmtId="186" fontId="50" fillId="6" borderId="17" xfId="0" applyNumberFormat="1" applyFont="1" applyFill="1" applyBorder="1" applyAlignment="1" applyProtection="1">
      <alignment horizontal="center" vertical="center" wrapText="1"/>
    </xf>
    <xf numFmtId="0" fontId="54" fillId="6" borderId="20" xfId="0" applyFont="1" applyFill="1" applyBorder="1" applyAlignment="1" applyProtection="1">
      <alignment horizontal="center" vertical="center" wrapText="1"/>
    </xf>
    <xf numFmtId="0" fontId="54" fillId="6" borderId="15" xfId="0" applyFont="1" applyFill="1" applyBorder="1" applyAlignment="1" applyProtection="1">
      <alignment horizontal="center" vertical="center" wrapText="1"/>
    </xf>
    <xf numFmtId="0" fontId="54" fillId="6" borderId="32" xfId="0" applyFont="1" applyFill="1" applyBorder="1" applyAlignment="1" applyProtection="1">
      <alignment horizontal="center" vertical="center" wrapText="1"/>
    </xf>
    <xf numFmtId="181" fontId="99" fillId="6" borderId="17" xfId="0" applyNumberFormat="1" applyFont="1" applyFill="1" applyBorder="1" applyAlignment="1" applyProtection="1">
      <alignment horizontal="center" vertical="center" wrapText="1"/>
    </xf>
    <xf numFmtId="0" fontId="53" fillId="6" borderId="29" xfId="0" applyFont="1" applyFill="1" applyBorder="1" applyAlignment="1" applyProtection="1">
      <alignment horizontal="center" vertical="center" wrapText="1"/>
    </xf>
    <xf numFmtId="0" fontId="53" fillId="6" borderId="62" xfId="0" applyFont="1" applyFill="1" applyBorder="1" applyAlignment="1" applyProtection="1">
      <alignment horizontal="center" vertical="center" wrapText="1"/>
    </xf>
    <xf numFmtId="0" fontId="51" fillId="6" borderId="9" xfId="0" applyFont="1" applyFill="1" applyBorder="1" applyAlignment="1" applyProtection="1">
      <alignment horizontal="center" vertical="center" wrapText="1"/>
    </xf>
    <xf numFmtId="0" fontId="51" fillId="6" borderId="24"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xf>
    <xf numFmtId="0" fontId="99" fillId="0" borderId="1" xfId="0" applyFont="1" applyFill="1" applyBorder="1" applyAlignment="1" applyProtection="1">
      <alignment horizontal="center" vertical="center"/>
      <protection locked="0"/>
    </xf>
    <xf numFmtId="177" fontId="51" fillId="0" borderId="1" xfId="0" applyNumberFormat="1" applyFont="1" applyFill="1" applyBorder="1" applyAlignment="1" applyProtection="1">
      <alignment horizontal="center" vertical="center" wrapText="1"/>
      <protection locked="0"/>
    </xf>
    <xf numFmtId="0" fontId="53" fillId="0" borderId="9" xfId="0" applyFont="1" applyFill="1" applyBorder="1" applyAlignment="1" applyProtection="1">
      <alignment horizontal="center" vertical="center" wrapText="1"/>
      <protection locked="0"/>
    </xf>
    <xf numFmtId="49" fontId="80" fillId="6" borderId="23" xfId="1" applyNumberFormat="1" applyFont="1" applyFill="1" applyBorder="1" applyAlignment="1" applyProtection="1">
      <alignment horizontal="left"/>
    </xf>
    <xf numFmtId="49" fontId="53" fillId="6" borderId="23" xfId="1" applyNumberFormat="1" applyFont="1" applyFill="1" applyBorder="1" applyAlignment="1" applyProtection="1">
      <alignment horizontal="center"/>
    </xf>
    <xf numFmtId="0" fontId="59" fillId="6" borderId="23" xfId="1" applyFont="1" applyFill="1" applyBorder="1" applyAlignment="1" applyProtection="1">
      <alignment horizontal="right"/>
    </xf>
    <xf numFmtId="0" fontId="53" fillId="6" borderId="23" xfId="0" applyFont="1" applyFill="1" applyBorder="1" applyAlignment="1" applyProtection="1">
      <alignment horizontal="center" vertical="center"/>
    </xf>
    <xf numFmtId="0" fontId="47" fillId="3" borderId="0" xfId="0" applyFont="1" applyFill="1" applyAlignment="1" applyProtection="1">
      <alignment vertical="center"/>
      <protection locked="0"/>
    </xf>
    <xf numFmtId="0" fontId="45" fillId="6" borderId="51" xfId="0" applyFont="1" applyFill="1" applyBorder="1" applyAlignment="1" applyProtection="1">
      <alignment vertical="center"/>
    </xf>
    <xf numFmtId="0" fontId="45" fillId="6" borderId="20" xfId="0" applyFont="1" applyFill="1" applyBorder="1" applyAlignment="1" applyProtection="1">
      <alignment vertical="center"/>
    </xf>
    <xf numFmtId="0" fontId="45" fillId="6" borderId="21" xfId="0" applyFont="1" applyFill="1" applyBorder="1" applyAlignment="1" applyProtection="1">
      <alignment vertical="center"/>
    </xf>
    <xf numFmtId="0" fontId="61" fillId="7" borderId="0" xfId="0" applyFont="1" applyFill="1" applyAlignment="1" applyProtection="1">
      <alignment vertical="center"/>
      <protection locked="0"/>
    </xf>
    <xf numFmtId="0" fontId="46" fillId="6" borderId="23" xfId="0" applyFont="1" applyFill="1" applyBorder="1" applyAlignment="1" applyProtection="1">
      <alignment horizontal="center" vertical="center"/>
    </xf>
    <xf numFmtId="0" fontId="46" fillId="6" borderId="46" xfId="0" applyFont="1" applyFill="1" applyBorder="1" applyAlignment="1" applyProtection="1">
      <alignment vertical="center"/>
    </xf>
    <xf numFmtId="0" fontId="46" fillId="7" borderId="0" xfId="0" applyFont="1" applyFill="1" applyAlignment="1" applyProtection="1">
      <alignment vertical="center"/>
      <protection locked="0"/>
    </xf>
    <xf numFmtId="0" fontId="46" fillId="0" borderId="0" xfId="0" applyFont="1" applyFill="1" applyAlignment="1" applyProtection="1">
      <alignment vertical="center"/>
      <protection locked="0"/>
    </xf>
    <xf numFmtId="49" fontId="47" fillId="6" borderId="23" xfId="0" applyNumberFormat="1" applyFont="1" applyFill="1" applyBorder="1" applyAlignment="1" applyProtection="1">
      <alignment horizontal="center" vertical="center"/>
    </xf>
    <xf numFmtId="185" fontId="47" fillId="0" borderId="1" xfId="0" applyNumberFormat="1" applyFont="1" applyFill="1" applyBorder="1" applyAlignment="1" applyProtection="1">
      <alignment horizontal="center" vertical="center"/>
      <protection locked="0"/>
    </xf>
    <xf numFmtId="185" fontId="47" fillId="0" borderId="24" xfId="0" applyNumberFormat="1" applyFont="1" applyFill="1" applyBorder="1" applyAlignment="1" applyProtection="1">
      <alignment horizontal="center" vertical="center"/>
      <protection locked="0"/>
    </xf>
    <xf numFmtId="0" fontId="47" fillId="7" borderId="0" xfId="0" applyFont="1" applyFill="1" applyAlignment="1" applyProtection="1">
      <alignment vertical="center"/>
      <protection locked="0"/>
    </xf>
    <xf numFmtId="0" fontId="47" fillId="0" borderId="0" xfId="0" applyFont="1" applyFill="1" applyAlignment="1" applyProtection="1">
      <alignment vertical="center"/>
      <protection locked="0"/>
    </xf>
    <xf numFmtId="185" fontId="46" fillId="6" borderId="1" xfId="0" applyNumberFormat="1"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54" xfId="0" applyFont="1" applyFill="1" applyBorder="1" applyAlignment="1" applyProtection="1">
      <alignment vertical="center"/>
    </xf>
    <xf numFmtId="0" fontId="46" fillId="6" borderId="48" xfId="0" applyFont="1" applyFill="1" applyBorder="1" applyAlignment="1" applyProtection="1">
      <alignment vertical="center"/>
    </xf>
    <xf numFmtId="0" fontId="44" fillId="7" borderId="0" xfId="0" applyFont="1" applyFill="1" applyAlignment="1" applyProtection="1">
      <alignment vertical="center"/>
      <protection locked="0"/>
    </xf>
    <xf numFmtId="0" fontId="47" fillId="6" borderId="23" xfId="1" applyFont="1" applyFill="1" applyBorder="1" applyAlignment="1" applyProtection="1">
      <alignment horizontal="right" vertical="center"/>
    </xf>
    <xf numFmtId="0" fontId="47" fillId="6" borderId="5" xfId="1" applyFont="1" applyFill="1" applyBorder="1" applyAlignment="1" applyProtection="1">
      <alignment vertical="center"/>
    </xf>
    <xf numFmtId="179" fontId="47" fillId="6" borderId="1" xfId="1" applyNumberFormat="1" applyFont="1" applyFill="1" applyBorder="1" applyAlignment="1" applyProtection="1">
      <alignment horizontal="center" vertical="center"/>
    </xf>
    <xf numFmtId="0" fontId="49" fillId="7" borderId="0" xfId="0" applyFont="1" applyFill="1" applyAlignment="1" applyProtection="1">
      <alignment vertical="center"/>
      <protection locked="0"/>
    </xf>
    <xf numFmtId="9" fontId="47" fillId="6" borderId="1" xfId="1" applyNumberFormat="1" applyFont="1" applyFill="1" applyBorder="1" applyAlignment="1" applyProtection="1">
      <alignment horizontal="center" vertical="center"/>
    </xf>
    <xf numFmtId="0" fontId="49" fillId="0" borderId="0" xfId="0" applyFont="1" applyFill="1" applyAlignment="1" applyProtection="1">
      <alignment vertical="center"/>
      <protection locked="0"/>
    </xf>
    <xf numFmtId="177" fontId="47" fillId="6" borderId="1" xfId="1" applyNumberFormat="1" applyFont="1" applyFill="1" applyBorder="1" applyAlignment="1" applyProtection="1">
      <alignment vertical="center"/>
    </xf>
    <xf numFmtId="0" fontId="47" fillId="6" borderId="54" xfId="0" applyFont="1" applyFill="1" applyBorder="1" applyAlignment="1" applyProtection="1">
      <alignment vertical="center"/>
    </xf>
    <xf numFmtId="0" fontId="47" fillId="6" borderId="48" xfId="0" applyFont="1" applyFill="1" applyBorder="1" applyAlignment="1" applyProtection="1">
      <alignment vertical="center"/>
    </xf>
    <xf numFmtId="0" fontId="47" fillId="6" borderId="54" xfId="0" applyFont="1" applyFill="1" applyBorder="1" applyAlignment="1" applyProtection="1">
      <alignment horizontal="left" vertical="center"/>
    </xf>
    <xf numFmtId="0" fontId="47" fillId="6" borderId="48" xfId="0" applyFont="1" applyFill="1" applyBorder="1" applyAlignment="1" applyProtection="1">
      <alignment horizontal="left" vertical="center"/>
    </xf>
    <xf numFmtId="177" fontId="47" fillId="6" borderId="1" xfId="1" applyNumberFormat="1" applyFont="1" applyFill="1" applyBorder="1" applyAlignment="1" applyProtection="1">
      <alignment horizontal="center" vertical="center"/>
    </xf>
    <xf numFmtId="10" fontId="47" fillId="6" borderId="1" xfId="1" applyNumberFormat="1" applyFont="1" applyFill="1" applyBorder="1" applyAlignment="1" applyProtection="1">
      <alignment horizontal="center" vertical="center"/>
    </xf>
    <xf numFmtId="0" fontId="46" fillId="6" borderId="5" xfId="1" applyFont="1" applyFill="1" applyBorder="1" applyAlignment="1" applyProtection="1">
      <alignment vertical="center"/>
    </xf>
    <xf numFmtId="177" fontId="46" fillId="6" borderId="1" xfId="1" applyNumberFormat="1" applyFont="1" applyFill="1" applyBorder="1" applyAlignment="1" applyProtection="1">
      <alignment horizontal="center" vertical="center"/>
    </xf>
    <xf numFmtId="0" fontId="46" fillId="6" borderId="1" xfId="1" applyFont="1" applyFill="1" applyBorder="1" applyAlignment="1" applyProtection="1">
      <alignment vertical="center"/>
    </xf>
    <xf numFmtId="10" fontId="46" fillId="6" borderId="1" xfId="1" applyNumberFormat="1" applyFont="1" applyFill="1" applyBorder="1" applyAlignment="1" applyProtection="1">
      <alignment horizontal="center" vertical="center"/>
    </xf>
    <xf numFmtId="0" fontId="44" fillId="6" borderId="5" xfId="0" applyFont="1" applyFill="1" applyBorder="1" applyAlignment="1" applyProtection="1">
      <alignment vertical="center"/>
    </xf>
    <xf numFmtId="0" fontId="44" fillId="6" borderId="54" xfId="0" applyFont="1" applyFill="1" applyBorder="1" applyAlignment="1" applyProtection="1">
      <alignment vertical="center"/>
    </xf>
    <xf numFmtId="0" fontId="44" fillId="6" borderId="48" xfId="0" applyFont="1" applyFill="1" applyBorder="1" applyAlignment="1" applyProtection="1">
      <alignment vertical="center"/>
    </xf>
    <xf numFmtId="0" fontId="47" fillId="6" borderId="1" xfId="1" applyFont="1" applyFill="1" applyBorder="1" applyAlignment="1" applyProtection="1">
      <alignment horizontal="left" vertical="center"/>
    </xf>
    <xf numFmtId="0" fontId="48" fillId="3" borderId="0" xfId="0" applyFont="1" applyFill="1" applyAlignment="1" applyProtection="1">
      <alignment vertical="center"/>
      <protection locked="0"/>
    </xf>
    <xf numFmtId="0" fontId="47" fillId="6" borderId="5" xfId="1" applyFont="1" applyFill="1" applyBorder="1" applyAlignment="1" applyProtection="1">
      <alignment horizontal="left" vertical="center"/>
    </xf>
    <xf numFmtId="185" fontId="47" fillId="3" borderId="0" xfId="0" applyNumberFormat="1" applyFont="1" applyFill="1" applyAlignment="1" applyProtection="1">
      <alignment horizontal="center" vertical="center"/>
      <protection locked="0"/>
    </xf>
    <xf numFmtId="185" fontId="46" fillId="6" borderId="28" xfId="0" applyNumberFormat="1" applyFont="1" applyFill="1" applyBorder="1" applyAlignment="1" applyProtection="1">
      <alignment horizontal="center" vertical="center"/>
    </xf>
    <xf numFmtId="185" fontId="99" fillId="0" borderId="13" xfId="0" applyNumberFormat="1" applyFont="1" applyFill="1" applyBorder="1" applyAlignment="1" applyProtection="1">
      <alignment horizontal="center" vertical="center"/>
      <protection locked="0"/>
    </xf>
    <xf numFmtId="185" fontId="47" fillId="0" borderId="13" xfId="0" applyNumberFormat="1" applyFont="1" applyFill="1" applyBorder="1" applyAlignment="1" applyProtection="1">
      <alignment horizontal="center" vertical="center"/>
      <protection locked="0"/>
    </xf>
    <xf numFmtId="185" fontId="47" fillId="0" borderId="61" xfId="0" applyNumberFormat="1" applyFont="1" applyFill="1" applyBorder="1" applyAlignment="1" applyProtection="1">
      <alignment horizontal="center" vertical="center"/>
      <protection locked="0"/>
    </xf>
    <xf numFmtId="0" fontId="46" fillId="6" borderId="42" xfId="0" applyFont="1" applyFill="1" applyBorder="1" applyAlignment="1" applyProtection="1">
      <alignment vertical="center"/>
    </xf>
    <xf numFmtId="0" fontId="46" fillId="6" borderId="47" xfId="0" applyFont="1" applyFill="1" applyBorder="1" applyAlignment="1" applyProtection="1">
      <alignment vertical="center"/>
    </xf>
    <xf numFmtId="185" fontId="45" fillId="6" borderId="74" xfId="0" applyNumberFormat="1" applyFont="1" applyFill="1" applyBorder="1" applyAlignment="1" applyProtection="1">
      <alignment horizontal="center" vertical="center"/>
    </xf>
    <xf numFmtId="0" fontId="45" fillId="6" borderId="75" xfId="0" applyFont="1" applyFill="1" applyBorder="1" applyAlignment="1" applyProtection="1">
      <alignment vertical="center"/>
    </xf>
    <xf numFmtId="0" fontId="46" fillId="6" borderId="43" xfId="0" applyFont="1" applyFill="1" applyBorder="1" applyAlignment="1" applyProtection="1">
      <alignment vertical="center"/>
    </xf>
    <xf numFmtId="0" fontId="46" fillId="6" borderId="33" xfId="1" applyFont="1" applyFill="1" applyBorder="1" applyAlignment="1" applyProtection="1">
      <alignment vertical="center"/>
    </xf>
    <xf numFmtId="177" fontId="46" fillId="6" borderId="32" xfId="0" applyNumberFormat="1" applyFont="1" applyFill="1" applyBorder="1" applyAlignment="1" applyProtection="1">
      <alignment horizontal="center" vertical="center"/>
    </xf>
    <xf numFmtId="0" fontId="46" fillId="6" borderId="32" xfId="0" applyFont="1" applyFill="1" applyBorder="1" applyAlignment="1" applyProtection="1">
      <alignment vertical="center"/>
    </xf>
    <xf numFmtId="177" fontId="46" fillId="6" borderId="32" xfId="0" applyNumberFormat="1" applyFont="1" applyFill="1" applyBorder="1" applyAlignment="1" applyProtection="1">
      <alignment vertical="center"/>
    </xf>
    <xf numFmtId="10" fontId="46" fillId="6" borderId="32" xfId="0" applyNumberFormat="1" applyFont="1" applyFill="1" applyBorder="1" applyAlignment="1" applyProtection="1">
      <alignment horizontal="center" vertical="center"/>
    </xf>
    <xf numFmtId="177" fontId="46" fillId="6" borderId="33" xfId="0" applyNumberFormat="1" applyFont="1" applyFill="1" applyBorder="1" applyAlignment="1" applyProtection="1">
      <alignment vertical="center"/>
    </xf>
    <xf numFmtId="177" fontId="46" fillId="6" borderId="52" xfId="0" applyNumberFormat="1" applyFont="1" applyFill="1" applyBorder="1" applyAlignment="1" applyProtection="1">
      <alignment vertical="center"/>
    </xf>
    <xf numFmtId="177" fontId="46" fillId="6" borderId="68" xfId="0" applyNumberFormat="1" applyFont="1" applyFill="1" applyBorder="1" applyAlignment="1" applyProtection="1">
      <alignment vertical="center"/>
    </xf>
    <xf numFmtId="0" fontId="50" fillId="6" borderId="15" xfId="0" applyFont="1" applyFill="1" applyBorder="1" applyAlignment="1" applyProtection="1">
      <alignment horizontal="center" vertical="center" wrapText="1"/>
    </xf>
    <xf numFmtId="0" fontId="114" fillId="0" borderId="0" xfId="5" applyFont="1">
      <alignment vertical="center"/>
    </xf>
    <xf numFmtId="0" fontId="95" fillId="0" borderId="0" xfId="5">
      <alignment vertical="center"/>
    </xf>
    <xf numFmtId="0" fontId="114" fillId="0" borderId="0" xfId="5" applyFont="1" applyAlignment="1">
      <alignment vertical="top" wrapText="1"/>
    </xf>
    <xf numFmtId="0" fontId="59" fillId="6" borderId="1" xfId="1" applyNumberFormat="1" applyFont="1" applyFill="1" applyBorder="1" applyAlignment="1" applyProtection="1"/>
    <xf numFmtId="0" fontId="47" fillId="6" borderId="1" xfId="1" applyNumberFormat="1" applyFont="1" applyFill="1" applyBorder="1" applyAlignment="1" applyProtection="1">
      <alignment horizontal="center" vertical="center"/>
    </xf>
    <xf numFmtId="0" fontId="53" fillId="6" borderId="1" xfId="1" applyNumberFormat="1" applyFont="1" applyFill="1" applyBorder="1" applyAlignment="1" applyProtection="1">
      <alignment horizontal="center"/>
    </xf>
    <xf numFmtId="0" fontId="53" fillId="6" borderId="1" xfId="0" applyNumberFormat="1" applyFont="1" applyFill="1" applyBorder="1" applyProtection="1">
      <alignment vertical="center"/>
    </xf>
    <xf numFmtId="0" fontId="54" fillId="6" borderId="1" xfId="1" applyNumberFormat="1" applyFont="1" applyFill="1" applyBorder="1" applyAlignment="1" applyProtection="1">
      <alignment horizontal="center"/>
    </xf>
    <xf numFmtId="0" fontId="45" fillId="0" borderId="2" xfId="7" applyFont="1" applyFill="1" applyBorder="1" applyAlignment="1" applyProtection="1">
      <alignment horizontal="center" vertical="center" wrapText="1"/>
    </xf>
    <xf numFmtId="0" fontId="45" fillId="0" borderId="1" xfId="7" applyFont="1" applyFill="1" applyBorder="1" applyAlignment="1" applyProtection="1">
      <alignment horizontal="center" vertical="center" wrapText="1"/>
    </xf>
    <xf numFmtId="0" fontId="61" fillId="0" borderId="1" xfId="7" applyFont="1" applyFill="1" applyBorder="1" applyAlignment="1" applyProtection="1">
      <alignment horizontal="center" vertical="center" wrapText="1"/>
    </xf>
    <xf numFmtId="0" fontId="45" fillId="0" borderId="3" xfId="7"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44" fillId="6" borderId="24" xfId="0" applyFont="1" applyFill="1" applyBorder="1" applyAlignment="1" applyProtection="1">
      <alignment horizontal="center" vertical="center"/>
    </xf>
    <xf numFmtId="183" fontId="47" fillId="0" borderId="1" xfId="0" applyNumberFormat="1" applyFont="1" applyFill="1" applyBorder="1" applyAlignment="1" applyProtection="1">
      <alignment horizontal="center" vertical="center" shrinkToFit="1"/>
      <protection locked="0"/>
    </xf>
    <xf numFmtId="183" fontId="47" fillId="6" borderId="1" xfId="0" applyNumberFormat="1" applyFont="1" applyFill="1" applyBorder="1" applyAlignment="1" applyProtection="1">
      <alignment horizontal="center" vertical="center"/>
    </xf>
    <xf numFmtId="177" fontId="47" fillId="6" borderId="23" xfId="1" applyNumberFormat="1" applyFont="1" applyFill="1" applyBorder="1" applyAlignment="1" applyProtection="1">
      <alignment horizontal="center" vertical="center"/>
    </xf>
    <xf numFmtId="0" fontId="61" fillId="0" borderId="3" xfId="7" applyFont="1" applyFill="1" applyBorder="1" applyAlignment="1" applyProtection="1">
      <alignment horizontal="center" vertical="center" wrapText="1"/>
    </xf>
    <xf numFmtId="0" fontId="61" fillId="0" borderId="78" xfId="7" applyFont="1" applyFill="1" applyBorder="1" applyAlignment="1" applyProtection="1">
      <alignment horizontal="center" vertical="center" wrapText="1"/>
    </xf>
    <xf numFmtId="181" fontId="44" fillId="6" borderId="8" xfId="0" applyNumberFormat="1" applyFont="1" applyFill="1" applyBorder="1" applyProtection="1">
      <alignment vertical="center"/>
    </xf>
    <xf numFmtId="181" fontId="52" fillId="6" borderId="59" xfId="0" applyNumberFormat="1" applyFont="1" applyFill="1" applyBorder="1" applyAlignment="1" applyProtection="1">
      <alignment horizontal="center" vertical="center"/>
    </xf>
    <xf numFmtId="0" fontId="98" fillId="6" borderId="28" xfId="0" applyNumberFormat="1" applyFont="1" applyFill="1" applyBorder="1" applyProtection="1">
      <alignment vertical="center"/>
    </xf>
    <xf numFmtId="0" fontId="98" fillId="6" borderId="5" xfId="0" applyNumberFormat="1" applyFont="1" applyFill="1" applyBorder="1" applyProtection="1">
      <alignment vertical="center"/>
    </xf>
    <xf numFmtId="0" fontId="98" fillId="6" borderId="33" xfId="0" applyNumberFormat="1" applyFont="1" applyFill="1" applyBorder="1" applyProtection="1">
      <alignment vertical="center"/>
    </xf>
    <xf numFmtId="10" fontId="53" fillId="6" borderId="1" xfId="0" applyNumberFormat="1" applyFont="1" applyFill="1" applyBorder="1" applyAlignment="1" applyProtection="1">
      <alignment vertical="center" wrapText="1"/>
    </xf>
    <xf numFmtId="0" fontId="58" fillId="6" borderId="41" xfId="0" applyFont="1" applyFill="1" applyBorder="1" applyAlignment="1" applyProtection="1">
      <alignment horizontal="center" vertical="center"/>
    </xf>
    <xf numFmtId="0" fontId="58" fillId="0" borderId="2" xfId="0" applyFont="1" applyBorder="1" applyAlignment="1" applyProtection="1">
      <alignment horizontal="center" vertical="center"/>
      <protection locked="0"/>
    </xf>
    <xf numFmtId="0" fontId="58" fillId="0" borderId="4" xfId="0" applyFont="1" applyBorder="1" applyAlignment="1" applyProtection="1">
      <alignment horizontal="center" vertical="center"/>
      <protection locked="0"/>
    </xf>
    <xf numFmtId="0" fontId="58" fillId="0" borderId="93" xfId="0" applyFont="1" applyFill="1" applyBorder="1" applyAlignment="1" applyProtection="1">
      <alignment horizontal="center" vertical="center"/>
      <protection locked="0"/>
    </xf>
    <xf numFmtId="0" fontId="58" fillId="0" borderId="8" xfId="0" applyFont="1" applyBorder="1" applyAlignment="1" applyProtection="1">
      <alignment horizontal="center" vertical="center"/>
      <protection locked="0"/>
    </xf>
    <xf numFmtId="186" fontId="58" fillId="6" borderId="8" xfId="0" applyNumberFormat="1" applyFont="1" applyFill="1" applyBorder="1" applyAlignment="1" applyProtection="1">
      <alignment horizontal="center" vertical="center"/>
    </xf>
    <xf numFmtId="0" fontId="58" fillId="6" borderId="23" xfId="0" applyFont="1" applyFill="1" applyBorder="1" applyAlignment="1" applyProtection="1">
      <alignment horizontal="center" vertical="center"/>
    </xf>
    <xf numFmtId="0" fontId="58" fillId="0" borderId="1" xfId="0" applyFont="1" applyBorder="1" applyAlignment="1" applyProtection="1">
      <alignment horizontal="center" vertical="center"/>
      <protection locked="0"/>
    </xf>
    <xf numFmtId="0" fontId="58" fillId="0" borderId="5" xfId="0" applyFont="1" applyBorder="1" applyAlignment="1" applyProtection="1">
      <alignment horizontal="center" vertical="center"/>
      <protection locked="0"/>
    </xf>
    <xf numFmtId="0" fontId="58" fillId="0" borderId="92" xfId="0" applyFont="1" applyFill="1" applyBorder="1" applyAlignment="1" applyProtection="1">
      <alignment horizontal="center" vertical="center"/>
      <protection locked="0"/>
    </xf>
    <xf numFmtId="0" fontId="58" fillId="0" borderId="24" xfId="0" applyFont="1" applyBorder="1" applyAlignment="1" applyProtection="1">
      <alignment horizontal="center" vertical="center"/>
      <protection locked="0"/>
    </xf>
    <xf numFmtId="0" fontId="58" fillId="6" borderId="24" xfId="0" applyFont="1" applyFill="1" applyBorder="1" applyAlignment="1" applyProtection="1">
      <alignment horizontal="center" vertical="center"/>
    </xf>
    <xf numFmtId="178" fontId="58" fillId="6" borderId="24" xfId="0" applyNumberFormat="1" applyFont="1" applyFill="1" applyBorder="1" applyAlignment="1" applyProtection="1">
      <alignment horizontal="center" vertical="center"/>
    </xf>
    <xf numFmtId="178" fontId="58" fillId="0" borderId="24" xfId="0" applyNumberFormat="1" applyFont="1" applyBorder="1" applyAlignment="1" applyProtection="1">
      <alignment horizontal="center" vertical="center"/>
      <protection locked="0"/>
    </xf>
    <xf numFmtId="0" fontId="98" fillId="0" borderId="92" xfId="0" applyFont="1" applyFill="1" applyBorder="1" applyAlignment="1" applyProtection="1">
      <alignment horizontal="center" vertical="center"/>
      <protection locked="0"/>
    </xf>
    <xf numFmtId="0" fontId="58" fillId="6" borderId="32" xfId="0" applyFont="1" applyFill="1" applyBorder="1" applyAlignment="1" applyProtection="1">
      <alignment horizontal="center" vertical="center"/>
    </xf>
    <xf numFmtId="0" fontId="58" fillId="6" borderId="47" xfId="0" applyFont="1" applyFill="1" applyBorder="1" applyAlignment="1" applyProtection="1">
      <alignment horizontal="center" vertical="center"/>
    </xf>
    <xf numFmtId="0" fontId="58" fillId="0" borderId="32" xfId="0" applyFont="1" applyBorder="1" applyAlignment="1" applyProtection="1">
      <alignment horizontal="center" vertical="center"/>
      <protection locked="0"/>
    </xf>
    <xf numFmtId="178" fontId="58" fillId="6" borderId="49" xfId="0" applyNumberFormat="1" applyFont="1" applyFill="1" applyBorder="1" applyAlignment="1" applyProtection="1">
      <alignment horizontal="center" vertical="center"/>
    </xf>
    <xf numFmtId="177" fontId="53" fillId="6" borderId="5" xfId="1" applyNumberFormat="1" applyFont="1" applyFill="1" applyBorder="1" applyAlignment="1" applyProtection="1">
      <alignment horizontal="center"/>
    </xf>
    <xf numFmtId="0" fontId="72" fillId="6" borderId="1" xfId="0" applyFont="1" applyFill="1" applyBorder="1" applyAlignment="1" applyProtection="1">
      <alignment horizontal="center" vertical="center"/>
    </xf>
    <xf numFmtId="188" fontId="51" fillId="6" borderId="0" xfId="0" applyNumberFormat="1" applyFont="1" applyFill="1" applyAlignment="1" applyProtection="1">
      <alignment horizontal="center" vertical="center"/>
      <protection locked="0"/>
    </xf>
    <xf numFmtId="181" fontId="51" fillId="6" borderId="0" xfId="0" applyNumberFormat="1" applyFont="1" applyFill="1" applyAlignment="1" applyProtection="1">
      <alignment horizontal="center" vertical="center"/>
      <protection locked="0"/>
    </xf>
    <xf numFmtId="0" fontId="51" fillId="6" borderId="28" xfId="0" applyFont="1" applyFill="1" applyBorder="1" applyAlignment="1" applyProtection="1">
      <alignment horizontal="center" vertical="center"/>
    </xf>
    <xf numFmtId="0" fontId="99" fillId="6" borderId="24" xfId="0" applyFont="1" applyFill="1" applyBorder="1" applyAlignment="1" applyProtection="1">
      <alignment horizontal="center" vertical="center"/>
    </xf>
    <xf numFmtId="0" fontId="72" fillId="5" borderId="23" xfId="0" applyFont="1" applyFill="1" applyBorder="1" applyAlignment="1" applyProtection="1">
      <alignment horizontal="center" vertical="center"/>
      <protection locked="0"/>
    </xf>
    <xf numFmtId="0" fontId="99" fillId="6" borderId="49" xfId="0" applyFont="1" applyFill="1" applyBorder="1" applyAlignment="1" applyProtection="1">
      <alignment horizontal="center" vertical="center"/>
    </xf>
    <xf numFmtId="0" fontId="99" fillId="6" borderId="86" xfId="0" applyFont="1" applyFill="1" applyBorder="1" applyAlignment="1" applyProtection="1">
      <alignment horizontal="center" vertical="center"/>
    </xf>
    <xf numFmtId="0" fontId="99" fillId="0" borderId="86" xfId="0" applyFont="1" applyFill="1" applyBorder="1" applyAlignment="1" applyProtection="1">
      <alignment horizontal="center" vertical="center"/>
      <protection locked="0"/>
    </xf>
    <xf numFmtId="0" fontId="99" fillId="0" borderId="96" xfId="0" applyFont="1" applyFill="1" applyBorder="1" applyAlignment="1" applyProtection="1">
      <alignment horizontal="center" vertical="center"/>
      <protection locked="0"/>
    </xf>
    <xf numFmtId="0" fontId="72" fillId="6" borderId="32" xfId="0" applyFont="1" applyFill="1" applyBorder="1" applyAlignment="1" applyProtection="1">
      <alignment horizontal="center" vertical="center"/>
    </xf>
    <xf numFmtId="0" fontId="47" fillId="0" borderId="2" xfId="0" applyNumberFormat="1" applyFont="1" applyFill="1" applyBorder="1" applyAlignment="1" applyProtection="1">
      <alignment horizontal="center" vertical="center" wrapText="1"/>
      <protection locked="0"/>
    </xf>
    <xf numFmtId="0" fontId="47" fillId="6" borderId="97" xfId="0" applyNumberFormat="1" applyFont="1" applyFill="1" applyBorder="1" applyAlignment="1" applyProtection="1">
      <alignment horizontal="center" vertical="center" wrapText="1"/>
    </xf>
    <xf numFmtId="0" fontId="53" fillId="0" borderId="98" xfId="0" applyNumberFormat="1" applyFont="1" applyFill="1" applyBorder="1" applyAlignment="1" applyProtection="1">
      <alignment horizontal="center" vertical="center" wrapText="1"/>
      <protection locked="0"/>
    </xf>
    <xf numFmtId="0" fontId="53" fillId="6" borderId="99" xfId="0" applyNumberFormat="1" applyFont="1" applyFill="1" applyBorder="1" applyAlignment="1" applyProtection="1">
      <alignment horizontal="center" vertical="center" wrapText="1"/>
    </xf>
    <xf numFmtId="0" fontId="53" fillId="6" borderId="98" xfId="0" applyNumberFormat="1" applyFont="1" applyFill="1" applyBorder="1" applyAlignment="1" applyProtection="1">
      <alignment horizontal="center" vertical="center" wrapText="1"/>
    </xf>
    <xf numFmtId="0" fontId="47" fillId="0" borderId="100" xfId="0" applyNumberFormat="1" applyFont="1" applyFill="1" applyBorder="1" applyAlignment="1" applyProtection="1">
      <alignment horizontal="center" vertical="center" wrapText="1"/>
      <protection locked="0"/>
    </xf>
    <xf numFmtId="0" fontId="47" fillId="0" borderId="41" xfId="0" applyNumberFormat="1" applyFont="1" applyFill="1" applyBorder="1" applyAlignment="1" applyProtection="1">
      <alignment horizontal="center" vertical="center" wrapText="1"/>
      <protection locked="0"/>
    </xf>
    <xf numFmtId="0" fontId="47" fillId="6" borderId="100" xfId="0" applyNumberFormat="1" applyFont="1" applyFill="1" applyBorder="1" applyAlignment="1" applyProtection="1">
      <alignment horizontal="center" vertical="center" wrapText="1"/>
    </xf>
    <xf numFmtId="0" fontId="51" fillId="0" borderId="58" xfId="0" applyFont="1" applyFill="1" applyBorder="1" applyAlignment="1" applyProtection="1">
      <alignment horizontal="center" vertical="center"/>
      <protection locked="0"/>
    </xf>
    <xf numFmtId="0" fontId="57" fillId="6" borderId="0" xfId="0" applyFont="1" applyFill="1" applyBorder="1" applyAlignment="1" applyProtection="1">
      <alignment vertical="center"/>
      <protection locked="0"/>
    </xf>
    <xf numFmtId="0" fontId="62" fillId="6" borderId="0" xfId="0" applyFont="1" applyFill="1" applyBorder="1" applyAlignment="1" applyProtection="1">
      <alignment vertical="center"/>
      <protection locked="0"/>
    </xf>
    <xf numFmtId="0" fontId="65" fillId="6" borderId="0" xfId="0" applyFont="1" applyFill="1" applyBorder="1" applyAlignment="1" applyProtection="1">
      <alignment vertical="center"/>
      <protection locked="0"/>
    </xf>
    <xf numFmtId="188" fontId="62" fillId="6" borderId="0" xfId="0" applyNumberFormat="1" applyFont="1" applyFill="1" applyBorder="1" applyAlignment="1" applyProtection="1">
      <alignment horizontal="center" vertical="center"/>
      <protection locked="0"/>
    </xf>
    <xf numFmtId="181" fontId="62" fillId="6" borderId="0" xfId="0" applyNumberFormat="1" applyFont="1" applyFill="1" applyBorder="1" applyAlignment="1" applyProtection="1">
      <alignment vertical="center"/>
      <protection locked="0"/>
    </xf>
    <xf numFmtId="0" fontId="62"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vertical="center" wrapText="1"/>
      <protection locked="0"/>
    </xf>
    <xf numFmtId="0" fontId="51" fillId="6" borderId="0" xfId="0" applyFont="1" applyFill="1" applyBorder="1" applyAlignment="1" applyProtection="1">
      <alignment horizontal="center" vertical="center"/>
      <protection locked="0"/>
    </xf>
    <xf numFmtId="181" fontId="44" fillId="6" borderId="0" xfId="0" applyNumberFormat="1" applyFont="1" applyFill="1" applyBorder="1" applyAlignment="1" applyProtection="1">
      <alignment horizontal="center" vertical="center" wrapText="1"/>
      <protection locked="0"/>
    </xf>
    <xf numFmtId="0" fontId="44" fillId="6" borderId="0" xfId="0" applyFont="1" applyFill="1" applyBorder="1" applyAlignment="1" applyProtection="1">
      <alignment horizontal="center" vertical="center"/>
      <protection locked="0"/>
    </xf>
    <xf numFmtId="0" fontId="44" fillId="6" borderId="35" xfId="0" applyFont="1" applyFill="1" applyBorder="1" applyAlignment="1" applyProtection="1">
      <alignment horizontal="center" vertical="center"/>
      <protection locked="0"/>
    </xf>
    <xf numFmtId="181" fontId="67" fillId="6" borderId="0" xfId="0" applyNumberFormat="1" applyFont="1" applyFill="1" applyBorder="1" applyAlignment="1" applyProtection="1">
      <alignment horizontal="center" vertical="center" wrapText="1"/>
      <protection locked="0"/>
    </xf>
    <xf numFmtId="0" fontId="67" fillId="6" borderId="0" xfId="0" applyFont="1" applyFill="1" applyBorder="1" applyAlignment="1" applyProtection="1">
      <alignment horizontal="center" vertical="center"/>
      <protection locked="0"/>
    </xf>
    <xf numFmtId="0" fontId="67" fillId="6" borderId="35" xfId="0" applyFont="1" applyFill="1" applyBorder="1" applyAlignment="1" applyProtection="1">
      <alignment horizontal="center" vertical="center"/>
      <protection locked="0"/>
    </xf>
    <xf numFmtId="181" fontId="49" fillId="6" borderId="0" xfId="0" applyNumberFormat="1" applyFont="1" applyFill="1" applyBorder="1" applyAlignment="1" applyProtection="1">
      <alignment horizontal="center" vertical="center" wrapText="1"/>
      <protection locked="0"/>
    </xf>
    <xf numFmtId="0" fontId="51" fillId="6" borderId="35" xfId="0" applyFont="1" applyFill="1" applyBorder="1" applyAlignment="1" applyProtection="1">
      <alignment horizontal="center" vertical="center"/>
      <protection locked="0"/>
    </xf>
    <xf numFmtId="181" fontId="68" fillId="6" borderId="0" xfId="0" applyNumberFormat="1" applyFont="1" applyFill="1" applyBorder="1" applyAlignment="1" applyProtection="1">
      <alignment horizontal="center" vertical="center" wrapText="1"/>
      <protection locked="0"/>
    </xf>
    <xf numFmtId="0" fontId="49" fillId="6" borderId="0" xfId="0" applyFont="1" applyFill="1" applyBorder="1" applyAlignment="1" applyProtection="1">
      <alignment horizontal="center" vertical="center"/>
      <protection locked="0"/>
    </xf>
    <xf numFmtId="0" fontId="49" fillId="6" borderId="35" xfId="0" applyFont="1" applyFill="1" applyBorder="1" applyAlignment="1" applyProtection="1">
      <alignment horizontal="center" vertical="center"/>
      <protection locked="0"/>
    </xf>
    <xf numFmtId="181" fontId="51" fillId="6" borderId="0" xfId="0" applyNumberFormat="1" applyFont="1" applyFill="1" applyBorder="1" applyAlignment="1" applyProtection="1">
      <alignment vertical="center" wrapText="1"/>
      <protection locked="0"/>
    </xf>
    <xf numFmtId="0" fontId="51" fillId="6" borderId="0" xfId="0" applyFont="1" applyFill="1" applyAlignment="1" applyProtection="1">
      <alignment horizontal="center" vertical="center"/>
      <protection locked="0"/>
    </xf>
    <xf numFmtId="0" fontId="68" fillId="6" borderId="0" xfId="0" applyFont="1" applyFill="1" applyAlignment="1" applyProtection="1">
      <alignment horizontal="center" vertical="center"/>
      <protection locked="0"/>
    </xf>
    <xf numFmtId="14" fontId="51" fillId="6" borderId="0" xfId="0" applyNumberFormat="1" applyFont="1" applyFill="1" applyAlignment="1" applyProtection="1">
      <alignment horizontal="center" vertical="center"/>
      <protection locked="0"/>
    </xf>
    <xf numFmtId="181" fontId="68" fillId="6" borderId="0" xfId="0" applyNumberFormat="1" applyFont="1" applyFill="1" applyAlignment="1" applyProtection="1">
      <alignment horizontal="center" vertical="center"/>
      <protection locked="0"/>
    </xf>
    <xf numFmtId="176" fontId="51" fillId="6" borderId="0" xfId="0" applyNumberFormat="1" applyFont="1" applyFill="1" applyAlignment="1" applyProtection="1">
      <alignment horizontal="center" vertical="center"/>
      <protection locked="0"/>
    </xf>
    <xf numFmtId="0" fontId="44" fillId="6" borderId="0" xfId="0" applyNumberFormat="1" applyFont="1" applyFill="1" applyBorder="1" applyAlignment="1" applyProtection="1">
      <alignment horizontal="center" vertical="center" wrapText="1"/>
      <protection locked="0"/>
    </xf>
    <xf numFmtId="0" fontId="68" fillId="6" borderId="0" xfId="0" applyNumberFormat="1" applyFont="1" applyFill="1" applyBorder="1" applyAlignment="1" applyProtection="1">
      <alignment horizontal="center" vertical="center" wrapText="1"/>
      <protection locked="0"/>
    </xf>
    <xf numFmtId="0" fontId="51" fillId="6" borderId="0" xfId="0" applyNumberFormat="1" applyFont="1" applyFill="1" applyBorder="1" applyAlignment="1" applyProtection="1">
      <alignment horizontal="center" vertical="center" wrapText="1"/>
      <protection locked="0"/>
    </xf>
    <xf numFmtId="0" fontId="49" fillId="6" borderId="0" xfId="0" applyNumberFormat="1" applyFont="1" applyFill="1" applyBorder="1" applyAlignment="1" applyProtection="1">
      <alignment horizontal="center" vertical="center" wrapText="1"/>
      <protection locked="0"/>
    </xf>
    <xf numFmtId="0" fontId="51" fillId="0" borderId="0" xfId="0" applyFont="1" applyFill="1" applyAlignment="1" applyProtection="1">
      <alignment horizontal="center" vertical="center"/>
    </xf>
    <xf numFmtId="188" fontId="51" fillId="0" borderId="0" xfId="0" applyNumberFormat="1" applyFont="1" applyFill="1" applyAlignment="1" applyProtection="1">
      <alignment horizontal="center" vertical="center"/>
    </xf>
    <xf numFmtId="181" fontId="51" fillId="0" borderId="0" xfId="0" applyNumberFormat="1" applyFont="1" applyFill="1" applyAlignment="1" applyProtection="1">
      <alignment horizontal="center" vertical="center"/>
    </xf>
    <xf numFmtId="0" fontId="53" fillId="6" borderId="0" xfId="0" applyFont="1" applyFill="1" applyAlignment="1" applyProtection="1">
      <protection locked="0"/>
    </xf>
    <xf numFmtId="0" fontId="51" fillId="6" borderId="0" xfId="0" applyFont="1" applyFill="1" applyBorder="1" applyAlignment="1" applyProtection="1">
      <protection locked="0"/>
    </xf>
    <xf numFmtId="188" fontId="51" fillId="6" borderId="0" xfId="0" applyNumberFormat="1" applyFont="1" applyFill="1" applyBorder="1" applyAlignment="1" applyProtection="1">
      <alignment horizontal="center"/>
      <protection locked="0"/>
    </xf>
    <xf numFmtId="181" fontId="51" fillId="6" borderId="0" xfId="0" applyNumberFormat="1" applyFont="1" applyFill="1" applyBorder="1" applyAlignment="1" applyProtection="1">
      <protection locked="0"/>
    </xf>
    <xf numFmtId="0" fontId="44" fillId="0" borderId="43" xfId="0" applyNumberFormat="1" applyFont="1" applyFill="1" applyBorder="1" applyAlignment="1" applyProtection="1">
      <alignment horizontal="center" vertical="center" wrapText="1"/>
      <protection locked="0"/>
    </xf>
    <xf numFmtId="0" fontId="72" fillId="6" borderId="1" xfId="0" applyFont="1" applyFill="1" applyBorder="1" applyAlignment="1" applyProtection="1">
      <alignment horizontal="center" vertical="center"/>
      <protection locked="0"/>
    </xf>
    <xf numFmtId="9" fontId="72" fillId="5" borderId="1" xfId="0" applyNumberFormat="1" applyFont="1" applyFill="1" applyBorder="1" applyAlignment="1" applyProtection="1">
      <alignment horizontal="center" vertical="center"/>
      <protection locked="0"/>
    </xf>
    <xf numFmtId="49" fontId="47" fillId="6" borderId="6" xfId="0" applyNumberFormat="1" applyFont="1" applyFill="1" applyBorder="1" applyAlignment="1" applyProtection="1">
      <alignment horizontal="center" vertical="center"/>
      <protection locked="0"/>
    </xf>
    <xf numFmtId="49" fontId="52" fillId="6" borderId="11" xfId="0" applyNumberFormat="1" applyFont="1" applyFill="1" applyBorder="1" applyAlignment="1" applyProtection="1">
      <alignment vertical="center"/>
      <protection locked="0"/>
    </xf>
    <xf numFmtId="0" fontId="52" fillId="6" borderId="13" xfId="0" applyFont="1" applyFill="1" applyBorder="1" applyAlignment="1" applyProtection="1">
      <alignment vertical="center" wrapText="1"/>
      <protection locked="0"/>
    </xf>
    <xf numFmtId="0" fontId="47" fillId="6" borderId="13" xfId="0" applyFont="1" applyFill="1" applyBorder="1" applyAlignment="1" applyProtection="1">
      <alignment vertical="center"/>
      <protection locked="0"/>
    </xf>
    <xf numFmtId="0" fontId="47" fillId="6" borderId="1" xfId="0" applyFont="1" applyFill="1" applyBorder="1" applyAlignment="1" applyProtection="1">
      <alignment horizontal="left" vertical="center"/>
      <protection locked="0"/>
    </xf>
    <xf numFmtId="49" fontId="52" fillId="6" borderId="14" xfId="0" applyNumberFormat="1" applyFont="1" applyFill="1" applyBorder="1" applyAlignment="1" applyProtection="1">
      <alignment vertical="center"/>
      <protection locked="0"/>
    </xf>
    <xf numFmtId="0" fontId="52" fillId="6" borderId="15" xfId="0" applyFont="1" applyFill="1" applyBorder="1" applyAlignment="1" applyProtection="1">
      <alignment vertical="center" wrapText="1"/>
      <protection locked="0"/>
    </xf>
    <xf numFmtId="0" fontId="47" fillId="6" borderId="15" xfId="0" applyFont="1" applyFill="1" applyBorder="1" applyAlignment="1" applyProtection="1">
      <alignment vertical="center"/>
      <protection locked="0"/>
    </xf>
    <xf numFmtId="49" fontId="52" fillId="6" borderId="41" xfId="0" applyNumberFormat="1" applyFont="1" applyFill="1" applyBorder="1" applyAlignment="1" applyProtection="1">
      <alignment vertical="center"/>
      <protection locked="0"/>
    </xf>
    <xf numFmtId="0" fontId="52" fillId="6" borderId="2" xfId="0" applyFont="1" applyFill="1" applyBorder="1" applyAlignment="1" applyProtection="1">
      <alignment vertical="center" wrapText="1"/>
      <protection locked="0"/>
    </xf>
    <xf numFmtId="0" fontId="47" fillId="6" borderId="2" xfId="0" applyFont="1" applyFill="1" applyBorder="1" applyAlignment="1" applyProtection="1">
      <alignment vertical="center"/>
      <protection locked="0"/>
    </xf>
    <xf numFmtId="49" fontId="52" fillId="6" borderId="23" xfId="0" applyNumberFormat="1" applyFont="1" applyFill="1" applyBorder="1" applyAlignment="1" applyProtection="1">
      <alignment horizontal="left" vertical="center"/>
      <protection locked="0"/>
    </xf>
    <xf numFmtId="0" fontId="52" fillId="6" borderId="1" xfId="0" applyFont="1" applyFill="1" applyBorder="1" applyAlignment="1" applyProtection="1">
      <alignment horizontal="left" vertical="center"/>
      <protection locked="0"/>
    </xf>
    <xf numFmtId="0" fontId="52" fillId="6" borderId="1"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protection locked="0"/>
    </xf>
    <xf numFmtId="0" fontId="47" fillId="6" borderId="54" xfId="0" applyFont="1" applyFill="1" applyBorder="1" applyAlignment="1" applyProtection="1">
      <alignment horizontal="center" vertical="center"/>
      <protection locked="0"/>
    </xf>
    <xf numFmtId="0" fontId="47" fillId="6" borderId="48" xfId="0" applyFont="1" applyFill="1" applyBorder="1" applyAlignment="1" applyProtection="1">
      <alignment horizontal="center" vertical="center"/>
      <protection locked="0"/>
    </xf>
    <xf numFmtId="0" fontId="47" fillId="6" borderId="5" xfId="0" applyFont="1" applyFill="1" applyBorder="1" applyAlignment="1" applyProtection="1">
      <alignment horizontal="left" vertical="center" wrapText="1"/>
      <protection locked="0"/>
    </xf>
    <xf numFmtId="0" fontId="47" fillId="6" borderId="1" xfId="0" applyFont="1" applyFill="1" applyBorder="1" applyAlignment="1" applyProtection="1">
      <alignment horizontal="left" vertical="center" wrapText="1"/>
      <protection locked="0"/>
    </xf>
    <xf numFmtId="0" fontId="47" fillId="6" borderId="13" xfId="0" applyFont="1" applyFill="1" applyBorder="1" applyAlignment="1" applyProtection="1">
      <alignment horizontal="left" vertical="center" wrapText="1"/>
      <protection locked="0"/>
    </xf>
    <xf numFmtId="0" fontId="47" fillId="6" borderId="2" xfId="0" applyFont="1" applyFill="1" applyBorder="1" applyAlignment="1" applyProtection="1">
      <alignment horizontal="left" vertical="center" wrapText="1"/>
      <protection locked="0"/>
    </xf>
    <xf numFmtId="0" fontId="52" fillId="6" borderId="1" xfId="0" applyFont="1" applyFill="1" applyBorder="1" applyAlignment="1" applyProtection="1">
      <alignment horizontal="left" vertical="center" wrapText="1"/>
      <protection locked="0"/>
    </xf>
    <xf numFmtId="0" fontId="47" fillId="6" borderId="54" xfId="0" applyFont="1" applyFill="1" applyBorder="1" applyAlignment="1" applyProtection="1">
      <alignment horizontal="center" vertical="center" wrapText="1"/>
      <protection locked="0"/>
    </xf>
    <xf numFmtId="0" fontId="47" fillId="6" borderId="48" xfId="0" applyFont="1" applyFill="1" applyBorder="1" applyAlignment="1" applyProtection="1">
      <alignment horizontal="center" vertical="center" wrapText="1"/>
      <protection locked="0"/>
    </xf>
    <xf numFmtId="0" fontId="47" fillId="6" borderId="15" xfId="0" applyFont="1" applyFill="1" applyBorder="1" applyAlignment="1" applyProtection="1">
      <alignment horizontal="left" vertical="center" wrapText="1"/>
      <protection locked="0"/>
    </xf>
    <xf numFmtId="49" fontId="52" fillId="6" borderId="25" xfId="0" applyNumberFormat="1" applyFont="1" applyFill="1" applyBorder="1" applyAlignment="1" applyProtection="1">
      <alignment horizontal="left" vertical="center"/>
      <protection locked="0"/>
    </xf>
    <xf numFmtId="0" fontId="52" fillId="6" borderId="32" xfId="0" applyFont="1" applyFill="1" applyBorder="1" applyAlignment="1" applyProtection="1">
      <alignment horizontal="left" vertical="center"/>
      <protection locked="0"/>
    </xf>
    <xf numFmtId="0" fontId="47" fillId="6" borderId="32" xfId="0" applyFont="1" applyFill="1" applyBorder="1" applyAlignment="1" applyProtection="1">
      <alignment vertical="center"/>
      <protection locked="0"/>
    </xf>
    <xf numFmtId="0" fontId="47" fillId="6" borderId="32" xfId="0" applyFont="1" applyFill="1" applyBorder="1" applyAlignment="1" applyProtection="1">
      <alignment horizontal="left" vertical="center"/>
      <protection locked="0"/>
    </xf>
    <xf numFmtId="49" fontId="52" fillId="6" borderId="55" xfId="0" applyNumberFormat="1" applyFont="1" applyFill="1" applyBorder="1" applyAlignment="1" applyProtection="1">
      <alignment horizontal="left" vertical="center"/>
      <protection locked="0"/>
    </xf>
    <xf numFmtId="49" fontId="52" fillId="6" borderId="18" xfId="0" applyNumberFormat="1"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protection locked="0"/>
    </xf>
    <xf numFmtId="0" fontId="47" fillId="6" borderId="17" xfId="0" applyFont="1" applyFill="1" applyBorder="1" applyAlignment="1" applyProtection="1">
      <alignment horizontal="center" vertical="center"/>
      <protection locked="0"/>
    </xf>
    <xf numFmtId="0" fontId="52" fillId="6" borderId="58" xfId="0" applyFont="1" applyFill="1" applyBorder="1" applyAlignment="1" applyProtection="1">
      <alignment vertical="center" wrapText="1"/>
      <protection locked="0"/>
    </xf>
    <xf numFmtId="0" fontId="52" fillId="6" borderId="58" xfId="0" applyFont="1" applyFill="1" applyBorder="1" applyAlignment="1" applyProtection="1">
      <alignment horizontal="center" vertical="center"/>
      <protection locked="0"/>
    </xf>
    <xf numFmtId="0" fontId="47" fillId="6" borderId="3" xfId="0" applyFont="1" applyFill="1" applyBorder="1" applyAlignment="1" applyProtection="1">
      <alignment horizontal="left" vertical="center"/>
      <protection locked="0"/>
    </xf>
    <xf numFmtId="49" fontId="47" fillId="6" borderId="23" xfId="0" applyNumberFormat="1" applyFont="1" applyFill="1" applyBorder="1" applyAlignment="1" applyProtection="1">
      <alignment horizontal="left" vertical="center"/>
    </xf>
    <xf numFmtId="0" fontId="47" fillId="6" borderId="32" xfId="0" applyFont="1" applyFill="1" applyBorder="1" applyAlignment="1" applyProtection="1">
      <alignment horizontal="center" vertical="center"/>
    </xf>
    <xf numFmtId="0" fontId="54" fillId="6" borderId="46" xfId="0" applyNumberFormat="1" applyFont="1" applyFill="1" applyBorder="1" applyAlignment="1" applyProtection="1">
      <alignment vertical="center" wrapText="1"/>
      <protection locked="0"/>
    </xf>
    <xf numFmtId="0" fontId="47" fillId="6" borderId="21" xfId="0" applyNumberFormat="1" applyFont="1" applyFill="1" applyBorder="1" applyAlignment="1" applyProtection="1">
      <alignment horizontal="center" vertical="center" wrapText="1"/>
    </xf>
    <xf numFmtId="0" fontId="60" fillId="6" borderId="58" xfId="0" applyNumberFormat="1" applyFont="1" applyFill="1" applyBorder="1" applyAlignment="1" applyProtection="1">
      <alignment vertical="center" textRotation="255" wrapText="1"/>
      <protection locked="0"/>
    </xf>
    <xf numFmtId="0" fontId="60" fillId="6" borderId="58" xfId="0" applyNumberFormat="1" applyFont="1" applyFill="1" applyBorder="1" applyAlignment="1" applyProtection="1">
      <alignment vertical="center" wrapText="1"/>
      <protection locked="0"/>
    </xf>
    <xf numFmtId="0" fontId="47" fillId="6" borderId="18" xfId="0" applyNumberFormat="1" applyFont="1" applyFill="1" applyBorder="1" applyAlignment="1" applyProtection="1">
      <alignment horizontal="center" vertical="center" wrapText="1"/>
    </xf>
    <xf numFmtId="0" fontId="47" fillId="0" borderId="11" xfId="0" applyNumberFormat="1" applyFont="1" applyFill="1" applyBorder="1" applyAlignment="1" applyProtection="1">
      <alignment horizontal="center" vertical="center" wrapText="1"/>
      <protection locked="0"/>
    </xf>
    <xf numFmtId="0" fontId="53" fillId="0" borderId="13" xfId="0" applyNumberFormat="1" applyFont="1" applyFill="1" applyBorder="1" applyAlignment="1" applyProtection="1">
      <alignment horizontal="center" vertical="center" wrapText="1"/>
      <protection locked="0"/>
    </xf>
    <xf numFmtId="0" fontId="53" fillId="0" borderId="46" xfId="0" applyNumberFormat="1" applyFont="1" applyFill="1" applyBorder="1" applyAlignment="1" applyProtection="1">
      <alignment horizontal="center" vertical="center" wrapText="1"/>
      <protection locked="0"/>
    </xf>
    <xf numFmtId="0" fontId="53" fillId="0" borderId="59" xfId="0" applyNumberFormat="1" applyFont="1" applyFill="1" applyBorder="1" applyAlignment="1" applyProtection="1">
      <alignment horizontal="center" vertical="center" wrapText="1"/>
      <protection locked="0"/>
    </xf>
    <xf numFmtId="0" fontId="53" fillId="6" borderId="56" xfId="0" applyNumberFormat="1" applyFont="1" applyFill="1" applyBorder="1" applyAlignment="1" applyProtection="1">
      <alignment horizontal="center" vertical="center" wrapText="1"/>
    </xf>
    <xf numFmtId="0" fontId="52" fillId="6" borderId="58" xfId="0" applyNumberFormat="1" applyFont="1" applyFill="1" applyBorder="1" applyAlignment="1" applyProtection="1">
      <alignment vertical="center" wrapText="1"/>
      <protection locked="0"/>
    </xf>
    <xf numFmtId="0" fontId="47" fillId="0" borderId="109" xfId="0" applyNumberFormat="1" applyFont="1" applyFill="1" applyBorder="1" applyAlignment="1" applyProtection="1">
      <alignment horizontal="center" vertical="center" wrapText="1"/>
      <protection locked="0"/>
    </xf>
    <xf numFmtId="0" fontId="47" fillId="0" borderId="110" xfId="0" applyNumberFormat="1" applyFont="1" applyFill="1" applyBorder="1" applyAlignment="1" applyProtection="1">
      <alignment horizontal="center" vertical="center" wrapText="1"/>
      <protection locked="0"/>
    </xf>
    <xf numFmtId="0" fontId="47" fillId="0" borderId="111" xfId="0" applyNumberFormat="1" applyFont="1" applyFill="1" applyBorder="1" applyAlignment="1" applyProtection="1">
      <alignment horizontal="center" vertical="center" wrapText="1"/>
      <protection locked="0"/>
    </xf>
    <xf numFmtId="0" fontId="47" fillId="0" borderId="113" xfId="0" applyNumberFormat="1" applyFont="1" applyFill="1" applyBorder="1" applyAlignment="1" applyProtection="1">
      <alignment horizontal="center" vertical="center" wrapText="1"/>
      <protection locked="0"/>
    </xf>
    <xf numFmtId="0" fontId="47" fillId="6" borderId="11" xfId="0" applyNumberFormat="1" applyFont="1" applyFill="1" applyBorder="1" applyAlignment="1" applyProtection="1">
      <alignment horizontal="center" vertical="center" wrapText="1"/>
    </xf>
    <xf numFmtId="0" fontId="53" fillId="6" borderId="13" xfId="0" applyNumberFormat="1" applyFont="1" applyFill="1" applyBorder="1" applyAlignment="1" applyProtection="1">
      <alignment horizontal="center" vertical="center" wrapText="1"/>
    </xf>
    <xf numFmtId="0" fontId="47" fillId="0" borderId="116" xfId="0" applyFont="1" applyFill="1" applyBorder="1" applyAlignment="1" applyProtection="1">
      <alignment horizontal="center" vertical="center"/>
      <protection locked="0"/>
    </xf>
    <xf numFmtId="0"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wrapText="1"/>
      <protection locked="0"/>
    </xf>
    <xf numFmtId="9" fontId="47" fillId="0" borderId="117" xfId="0" applyNumberFormat="1" applyFont="1" applyFill="1" applyBorder="1" applyAlignment="1" applyProtection="1">
      <alignment horizontal="center" vertical="center" wrapText="1"/>
      <protection locked="0"/>
    </xf>
    <xf numFmtId="0" fontId="47" fillId="0" borderId="117" xfId="0" applyFont="1" applyFill="1" applyBorder="1" applyAlignment="1" applyProtection="1">
      <alignment horizontal="center" vertical="center"/>
      <protection locked="0"/>
    </xf>
    <xf numFmtId="0" fontId="47" fillId="0" borderId="113" xfId="0" applyFont="1" applyFill="1" applyBorder="1" applyAlignment="1" applyProtection="1">
      <alignment horizontal="center" vertical="center"/>
      <protection locked="0"/>
    </xf>
    <xf numFmtId="0" fontId="47" fillId="6" borderId="113" xfId="0" applyNumberFormat="1" applyFont="1" applyFill="1" applyBorder="1" applyAlignment="1" applyProtection="1">
      <alignment horizontal="center" vertical="center" wrapText="1"/>
    </xf>
    <xf numFmtId="0" fontId="53" fillId="0" borderId="114" xfId="0" applyNumberFormat="1" applyFont="1" applyFill="1" applyBorder="1" applyAlignment="1" applyProtection="1">
      <alignment horizontal="center" vertical="center" wrapText="1"/>
      <protection locked="0"/>
    </xf>
    <xf numFmtId="0" fontId="53" fillId="0" borderId="115" xfId="0" applyNumberFormat="1" applyFont="1" applyFill="1" applyBorder="1" applyAlignment="1" applyProtection="1">
      <alignment horizontal="center" vertical="center" wrapText="1"/>
      <protection locked="0"/>
    </xf>
    <xf numFmtId="0" fontId="47" fillId="10" borderId="6"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center" vertical="center" wrapText="1"/>
      <protection locked="0"/>
    </xf>
    <xf numFmtId="0" fontId="47" fillId="10" borderId="9" xfId="0" applyNumberFormat="1" applyFont="1" applyFill="1" applyBorder="1" applyAlignment="1" applyProtection="1">
      <alignment horizontal="left" vertical="center" wrapText="1"/>
      <protection locked="0"/>
    </xf>
    <xf numFmtId="0" fontId="47" fillId="10" borderId="28" xfId="0" applyNumberFormat="1" applyFont="1" applyFill="1" applyBorder="1" applyAlignment="1" applyProtection="1">
      <alignment horizontal="center" vertical="center" wrapText="1"/>
      <protection locked="0"/>
    </xf>
    <xf numFmtId="0" fontId="47" fillId="10" borderId="29" xfId="0" applyFont="1" applyFill="1" applyBorder="1" applyAlignment="1" applyProtection="1">
      <alignment horizontal="center" vertical="center"/>
      <protection locked="0"/>
    </xf>
    <xf numFmtId="0"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wrapText="1"/>
      <protection locked="0"/>
    </xf>
    <xf numFmtId="9" fontId="47" fillId="10" borderId="17" xfId="0" applyNumberFormat="1" applyFont="1" applyFill="1" applyBorder="1" applyAlignment="1" applyProtection="1">
      <alignment horizontal="center" vertical="center" wrapText="1"/>
      <protection locked="0"/>
    </xf>
    <xf numFmtId="0" fontId="47" fillId="10" borderId="17" xfId="0" applyFont="1" applyFill="1" applyBorder="1" applyAlignment="1" applyProtection="1">
      <alignment horizontal="center" vertical="center"/>
      <protection locked="0"/>
    </xf>
    <xf numFmtId="0" fontId="47" fillId="10" borderId="31" xfId="0" applyFont="1" applyFill="1" applyBorder="1" applyAlignment="1" applyProtection="1">
      <alignment horizontal="center" vertical="center"/>
      <protection locked="0"/>
    </xf>
    <xf numFmtId="0" fontId="52" fillId="10" borderId="96" xfId="0" applyNumberFormat="1" applyFont="1" applyFill="1" applyBorder="1" applyAlignment="1" applyProtection="1">
      <alignment vertical="center" wrapText="1"/>
      <protection locked="0"/>
    </xf>
    <xf numFmtId="0" fontId="47" fillId="10" borderId="42" xfId="0" applyNumberFormat="1" applyFont="1" applyFill="1" applyBorder="1" applyAlignment="1" applyProtection="1">
      <alignment horizontal="center" vertical="center" wrapText="1"/>
    </xf>
    <xf numFmtId="0" fontId="47" fillId="10" borderId="25" xfId="0" applyNumberFormat="1" applyFont="1" applyFill="1" applyBorder="1" applyAlignment="1" applyProtection="1">
      <alignment horizontal="center" vertical="center" wrapText="1"/>
      <protection locked="0"/>
    </xf>
    <xf numFmtId="0" fontId="53" fillId="10" borderId="32" xfId="0" applyNumberFormat="1" applyFont="1" applyFill="1" applyBorder="1" applyAlignment="1" applyProtection="1">
      <alignment horizontal="center" vertical="center" wrapText="1"/>
      <protection locked="0"/>
    </xf>
    <xf numFmtId="0" fontId="53" fillId="10" borderId="33" xfId="0" applyNumberFormat="1" applyFont="1" applyFill="1" applyBorder="1" applyAlignment="1" applyProtection="1">
      <alignment horizontal="center" vertical="center" wrapText="1"/>
      <protection locked="0"/>
    </xf>
    <xf numFmtId="0" fontId="53" fillId="10" borderId="68" xfId="0" applyNumberFormat="1" applyFont="1" applyFill="1" applyBorder="1" applyAlignment="1" applyProtection="1">
      <alignment horizontal="center" vertical="center" wrapText="1"/>
      <protection locked="0"/>
    </xf>
    <xf numFmtId="0" fontId="44" fillId="6" borderId="1" xfId="0" applyFont="1" applyFill="1" applyBorder="1" applyProtection="1">
      <alignment vertical="center"/>
    </xf>
    <xf numFmtId="176" fontId="44" fillId="6" borderId="1" xfId="0" applyNumberFormat="1" applyFont="1" applyFill="1" applyBorder="1" applyProtection="1">
      <alignment vertical="center"/>
    </xf>
    <xf numFmtId="0" fontId="44" fillId="6" borderId="1" xfId="0" applyFont="1" applyFill="1" applyBorder="1" applyAlignment="1" applyProtection="1">
      <alignment horizontal="right" vertical="center" wrapText="1"/>
    </xf>
    <xf numFmtId="181" fontId="49" fillId="6" borderId="1" xfId="0" applyNumberFormat="1" applyFont="1" applyFill="1" applyBorder="1" applyAlignment="1" applyProtection="1">
      <alignment horizontal="center" vertical="center"/>
      <protection locked="0"/>
    </xf>
    <xf numFmtId="179" fontId="47" fillId="6" borderId="23" xfId="1" applyNumberFormat="1" applyFont="1" applyFill="1" applyBorder="1" applyAlignment="1" applyProtection="1">
      <alignment horizontal="center" vertical="center"/>
    </xf>
    <xf numFmtId="177" fontId="44" fillId="6" borderId="1" xfId="1" applyNumberFormat="1" applyFont="1" applyFill="1" applyBorder="1" applyAlignment="1" applyProtection="1">
      <alignment horizontal="center" vertical="center"/>
    </xf>
    <xf numFmtId="10" fontId="44" fillId="6" borderId="1" xfId="1" applyNumberFormat="1" applyFont="1" applyFill="1" applyBorder="1" applyAlignment="1" applyProtection="1">
      <alignment horizontal="center" vertical="center"/>
    </xf>
    <xf numFmtId="9" fontId="44" fillId="6" borderId="5" xfId="0" applyNumberFormat="1" applyFont="1" applyFill="1" applyBorder="1" applyAlignment="1" applyProtection="1">
      <alignment horizontal="center" vertical="center"/>
    </xf>
    <xf numFmtId="179" fontId="44" fillId="6" borderId="25" xfId="1" applyNumberFormat="1" applyFont="1" applyFill="1" applyBorder="1" applyAlignment="1" applyProtection="1">
      <alignment horizontal="center" vertical="center"/>
    </xf>
    <xf numFmtId="181" fontId="44" fillId="6" borderId="1" xfId="0" applyNumberFormat="1" applyFont="1" applyFill="1" applyBorder="1" applyAlignment="1" applyProtection="1">
      <alignment vertical="center"/>
    </xf>
    <xf numFmtId="181" fontId="44" fillId="6" borderId="5" xfId="0" applyNumberFormat="1" applyFont="1" applyFill="1" applyBorder="1" applyAlignment="1" applyProtection="1">
      <alignment vertical="center"/>
    </xf>
    <xf numFmtId="181" fontId="44" fillId="6" borderId="24" xfId="0" applyNumberFormat="1" applyFont="1" applyFill="1" applyBorder="1" applyAlignment="1" applyProtection="1">
      <alignment vertical="center"/>
    </xf>
    <xf numFmtId="0" fontId="44" fillId="6" borderId="3" xfId="0" applyFont="1" applyFill="1" applyBorder="1" applyAlignment="1" applyProtection="1">
      <alignment vertical="center"/>
    </xf>
    <xf numFmtId="181" fontId="44" fillId="6" borderId="1" xfId="0" applyNumberFormat="1" applyFont="1" applyFill="1" applyBorder="1" applyAlignment="1" applyProtection="1">
      <alignment horizontal="center" vertical="center"/>
    </xf>
    <xf numFmtId="181" fontId="44" fillId="6" borderId="5" xfId="0" applyNumberFormat="1" applyFont="1" applyFill="1" applyBorder="1" applyAlignment="1" applyProtection="1">
      <alignment horizontal="center" vertical="center"/>
    </xf>
    <xf numFmtId="0" fontId="44" fillId="6" borderId="23" xfId="0" applyFont="1" applyFill="1" applyBorder="1" applyAlignment="1" applyProtection="1">
      <alignment horizontal="center" vertical="center"/>
    </xf>
    <xf numFmtId="10" fontId="44" fillId="6" borderId="1" xfId="0" applyNumberFormat="1" applyFont="1" applyFill="1" applyBorder="1" applyAlignment="1" applyProtection="1">
      <alignment horizontal="center" vertical="center"/>
    </xf>
    <xf numFmtId="182" fontId="44" fillId="6" borderId="1" xfId="0" applyNumberFormat="1" applyFont="1" applyFill="1" applyBorder="1" applyAlignment="1" applyProtection="1">
      <alignment horizontal="center" vertical="center"/>
    </xf>
    <xf numFmtId="181" fontId="44" fillId="6" borderId="24" xfId="0" applyNumberFormat="1" applyFont="1" applyFill="1" applyBorder="1" applyAlignment="1" applyProtection="1">
      <alignment horizontal="center" vertical="center"/>
    </xf>
    <xf numFmtId="14" fontId="44" fillId="6" borderId="67" xfId="0" applyNumberFormat="1" applyFont="1" applyFill="1" applyBorder="1" applyAlignment="1" applyProtection="1">
      <alignment horizontal="center" vertical="center"/>
    </xf>
    <xf numFmtId="0" fontId="44" fillId="6" borderId="6" xfId="0" applyFont="1" applyFill="1" applyBorder="1" applyAlignment="1" applyProtection="1">
      <alignment horizontal="center" vertical="center" wrapText="1"/>
    </xf>
    <xf numFmtId="0" fontId="44" fillId="6" borderId="9" xfId="0" applyFont="1" applyFill="1" applyBorder="1" applyAlignment="1" applyProtection="1">
      <alignment horizontal="center" vertical="center" wrapText="1"/>
    </xf>
    <xf numFmtId="0" fontId="47" fillId="6" borderId="46" xfId="0" applyFont="1" applyFill="1" applyBorder="1" applyAlignment="1" applyProtection="1">
      <alignment horizontal="center" vertical="center" wrapText="1"/>
    </xf>
    <xf numFmtId="0" fontId="99" fillId="6" borderId="1" xfId="0" applyFont="1" applyFill="1" applyBorder="1" applyAlignment="1" applyProtection="1">
      <alignment horizontal="left" vertical="center" wrapText="1"/>
      <protection locked="0"/>
    </xf>
    <xf numFmtId="0" fontId="47" fillId="3" borderId="5" xfId="0" applyFont="1" applyFill="1" applyBorder="1" applyAlignment="1" applyProtection="1">
      <alignment horizontal="center" vertical="center" wrapText="1"/>
      <protection locked="0"/>
    </xf>
    <xf numFmtId="0" fontId="47" fillId="0" borderId="1" xfId="0" applyFont="1" applyBorder="1" applyAlignment="1" applyProtection="1">
      <alignment horizontal="center" vertical="center" wrapText="1"/>
      <protection locked="0"/>
    </xf>
    <xf numFmtId="176" fontId="47" fillId="0" borderId="1" xfId="0" applyNumberFormat="1" applyFont="1" applyFill="1" applyBorder="1" applyAlignment="1" applyProtection="1">
      <alignment horizontal="center" vertical="center" wrapText="1"/>
      <protection locked="0"/>
    </xf>
    <xf numFmtId="179" fontId="44" fillId="6" borderId="2" xfId="0" applyNumberFormat="1" applyFont="1" applyFill="1" applyBorder="1" applyProtection="1">
      <alignment vertical="center"/>
    </xf>
    <xf numFmtId="181" fontId="52" fillId="0" borderId="24" xfId="0" applyNumberFormat="1" applyFont="1" applyFill="1" applyBorder="1" applyAlignment="1" applyProtection="1">
      <alignment horizontal="center" vertical="center"/>
      <protection locked="0"/>
    </xf>
    <xf numFmtId="0" fontId="47" fillId="6" borderId="46" xfId="0" applyFont="1" applyFill="1" applyBorder="1" applyAlignment="1" applyProtection="1">
      <alignment vertical="center"/>
      <protection locked="0"/>
    </xf>
    <xf numFmtId="0" fontId="47" fillId="6" borderId="7" xfId="0" applyFont="1" applyFill="1" applyBorder="1" applyAlignment="1" applyProtection="1">
      <alignment horizontal="left" vertical="center"/>
      <protection locked="0"/>
    </xf>
    <xf numFmtId="0" fontId="52" fillId="6" borderId="8" xfId="0" applyFont="1" applyFill="1" applyBorder="1" applyAlignment="1" applyProtection="1">
      <alignment horizontal="center" vertical="center"/>
    </xf>
    <xf numFmtId="0" fontId="47" fillId="6" borderId="29" xfId="0" applyFont="1" applyFill="1" applyBorder="1" applyAlignment="1" applyProtection="1">
      <alignment horizontal="right" vertical="center"/>
      <protection locked="0"/>
    </xf>
    <xf numFmtId="0" fontId="47" fillId="6" borderId="31" xfId="0" applyFont="1" applyFill="1" applyBorder="1" applyAlignment="1" applyProtection="1">
      <alignment horizontal="center" vertical="center"/>
      <protection locked="0"/>
    </xf>
    <xf numFmtId="0" fontId="54" fillId="7" borderId="24" xfId="0" applyFont="1" applyFill="1" applyBorder="1" applyAlignment="1" applyProtection="1">
      <alignment horizontal="center" vertical="center"/>
      <protection locked="0"/>
    </xf>
    <xf numFmtId="0" fontId="58" fillId="6" borderId="0" xfId="0" applyFont="1" applyFill="1" applyAlignment="1" applyProtection="1">
      <alignment horizontal="center" vertical="center"/>
    </xf>
    <xf numFmtId="0" fontId="58" fillId="6" borderId="0" xfId="0" applyNumberFormat="1" applyFont="1" applyFill="1" applyBorder="1" applyAlignment="1" applyProtection="1">
      <alignment horizontal="center"/>
    </xf>
    <xf numFmtId="10" fontId="98" fillId="0" borderId="1" xfId="0" applyNumberFormat="1" applyFont="1" applyBorder="1" applyAlignment="1" applyProtection="1">
      <alignment horizontal="center" vertical="center"/>
      <protection locked="0"/>
    </xf>
    <xf numFmtId="10" fontId="51" fillId="6" borderId="1" xfId="0" applyNumberFormat="1" applyFont="1" applyFill="1" applyBorder="1" applyAlignment="1" applyProtection="1">
      <alignment horizontal="center" vertical="center" wrapText="1"/>
    </xf>
    <xf numFmtId="10" fontId="99" fillId="6" borderId="1" xfId="0" applyNumberFormat="1" applyFont="1" applyFill="1" applyBorder="1" applyAlignment="1" applyProtection="1">
      <alignment horizontal="center" vertical="center" wrapText="1"/>
    </xf>
    <xf numFmtId="10" fontId="98" fillId="6" borderId="1" xfId="0" applyNumberFormat="1" applyFont="1" applyFill="1" applyBorder="1" applyAlignment="1" applyProtection="1">
      <alignment horizontal="center" vertical="center"/>
    </xf>
    <xf numFmtId="0" fontId="12" fillId="6" borderId="24" xfId="0" applyFont="1" applyFill="1" applyBorder="1" applyAlignment="1" applyProtection="1">
      <alignment vertical="center"/>
    </xf>
    <xf numFmtId="0" fontId="52" fillId="6" borderId="4" xfId="0" applyFont="1" applyFill="1" applyBorder="1" applyAlignment="1" applyProtection="1">
      <alignment horizontal="center" vertical="center"/>
    </xf>
    <xf numFmtId="49" fontId="47" fillId="6" borderId="11" xfId="0" applyNumberFormat="1" applyFont="1" applyFill="1" applyBorder="1" applyAlignment="1" applyProtection="1">
      <alignment horizontal="left" vertical="center"/>
    </xf>
    <xf numFmtId="0" fontId="47" fillId="6" borderId="15" xfId="0" applyFont="1" applyFill="1" applyBorder="1" applyAlignment="1" applyProtection="1">
      <alignment horizontal="center" vertical="center"/>
    </xf>
    <xf numFmtId="0" fontId="47" fillId="6" borderId="4" xfId="0" applyFont="1" applyFill="1" applyBorder="1" applyAlignment="1" applyProtection="1">
      <alignment horizontal="right" vertical="center"/>
    </xf>
    <xf numFmtId="0" fontId="47" fillId="6" borderId="71" xfId="0" applyFont="1" applyFill="1" applyBorder="1" applyAlignment="1" applyProtection="1">
      <alignment horizontal="center" vertical="center"/>
    </xf>
    <xf numFmtId="49" fontId="47" fillId="6" borderId="35" xfId="0" applyNumberFormat="1" applyFont="1" applyFill="1" applyBorder="1" applyAlignment="1" applyProtection="1">
      <alignment horizontal="left" vertical="center"/>
    </xf>
    <xf numFmtId="0" fontId="52" fillId="6" borderId="22" xfId="0" applyFont="1" applyFill="1" applyBorder="1" applyAlignment="1" applyProtection="1">
      <alignment horizontal="center" vertical="center"/>
    </xf>
    <xf numFmtId="0" fontId="52" fillId="6" borderId="0" xfId="0" applyFont="1" applyFill="1" applyBorder="1" applyAlignment="1" applyProtection="1">
      <alignment horizontal="center" vertical="center"/>
    </xf>
    <xf numFmtId="0" fontId="47" fillId="6" borderId="3" xfId="0" applyFont="1" applyFill="1" applyBorder="1" applyAlignment="1" applyProtection="1">
      <alignment horizontal="left" vertical="center"/>
    </xf>
    <xf numFmtId="49" fontId="52" fillId="6" borderId="69" xfId="0" applyNumberFormat="1" applyFont="1" applyFill="1" applyBorder="1" applyAlignment="1" applyProtection="1">
      <alignment vertical="center"/>
    </xf>
    <xf numFmtId="10" fontId="47" fillId="6" borderId="61" xfId="0" applyNumberFormat="1" applyFont="1" applyFill="1" applyBorder="1" applyAlignment="1" applyProtection="1">
      <alignment horizontal="center" vertical="center"/>
    </xf>
    <xf numFmtId="49" fontId="52" fillId="6" borderId="41" xfId="0" applyNumberFormat="1" applyFont="1" applyFill="1" applyBorder="1" applyAlignment="1" applyProtection="1">
      <alignment horizontal="left" vertical="center"/>
    </xf>
    <xf numFmtId="0" fontId="52" fillId="6" borderId="2" xfId="0" applyFont="1" applyFill="1" applyBorder="1" applyAlignment="1" applyProtection="1">
      <alignment horizontal="left" vertical="center"/>
    </xf>
    <xf numFmtId="0" fontId="47" fillId="6" borderId="15" xfId="0" applyFont="1" applyFill="1" applyBorder="1" applyAlignment="1" applyProtection="1">
      <alignment horizontal="left" vertical="center"/>
    </xf>
    <xf numFmtId="181" fontId="47" fillId="6" borderId="53" xfId="0" applyNumberFormat="1" applyFont="1" applyFill="1" applyBorder="1" applyAlignment="1" applyProtection="1">
      <alignment horizontal="center" vertical="center"/>
    </xf>
    <xf numFmtId="49" fontId="47" fillId="6" borderId="91" xfId="0" applyNumberFormat="1" applyFont="1" applyFill="1" applyBorder="1" applyAlignment="1" applyProtection="1">
      <alignment vertical="center"/>
    </xf>
    <xf numFmtId="0" fontId="52" fillId="0" borderId="78" xfId="0" applyFont="1" applyFill="1" applyBorder="1" applyAlignment="1" applyProtection="1">
      <alignment horizontal="center" vertical="center"/>
      <protection locked="0"/>
    </xf>
    <xf numFmtId="0" fontId="47" fillId="6" borderId="78" xfId="0" applyFont="1" applyFill="1" applyBorder="1" applyAlignment="1" applyProtection="1">
      <alignment vertical="center"/>
    </xf>
    <xf numFmtId="181" fontId="52" fillId="6" borderId="79" xfId="0" applyNumberFormat="1" applyFont="1" applyFill="1" applyBorder="1" applyAlignment="1" applyProtection="1">
      <alignment horizontal="center" vertical="center"/>
    </xf>
    <xf numFmtId="0" fontId="47" fillId="6" borderId="4" xfId="0" applyFont="1" applyFill="1" applyBorder="1" applyAlignment="1" applyProtection="1">
      <alignment horizontal="left" vertical="center"/>
    </xf>
    <xf numFmtId="0" fontId="47" fillId="6" borderId="60" xfId="0" applyFont="1" applyFill="1" applyBorder="1" applyAlignment="1" applyProtection="1">
      <alignment horizontal="center" vertical="center"/>
    </xf>
    <xf numFmtId="49" fontId="47" fillId="6" borderId="91" xfId="0" applyNumberFormat="1" applyFont="1" applyFill="1" applyBorder="1" applyAlignment="1" applyProtection="1">
      <alignment horizontal="left" vertical="center"/>
    </xf>
    <xf numFmtId="0" fontId="47" fillId="6" borderId="78" xfId="0" applyFont="1" applyFill="1" applyBorder="1" applyAlignment="1" applyProtection="1">
      <alignment horizontal="left" vertical="center"/>
    </xf>
    <xf numFmtId="0" fontId="47" fillId="6" borderId="78" xfId="0" applyFont="1" applyFill="1" applyBorder="1" applyAlignment="1" applyProtection="1">
      <alignment horizontal="center" vertical="center"/>
    </xf>
    <xf numFmtId="0" fontId="47" fillId="6" borderId="78" xfId="0" applyFont="1" applyFill="1" applyBorder="1" applyAlignment="1" applyProtection="1">
      <alignment horizontal="left" vertical="center" wrapText="1"/>
    </xf>
    <xf numFmtId="181" fontId="47" fillId="6" borderId="79" xfId="0" applyNumberFormat="1" applyFont="1" applyFill="1" applyBorder="1" applyAlignment="1" applyProtection="1">
      <alignment horizontal="center" vertical="center"/>
    </xf>
    <xf numFmtId="0" fontId="52" fillId="6" borderId="2" xfId="0" applyFont="1" applyFill="1" applyBorder="1" applyAlignment="1" applyProtection="1">
      <alignment horizontal="left" vertical="center" wrapText="1"/>
    </xf>
    <xf numFmtId="0" fontId="47" fillId="6" borderId="4" xfId="0" applyFont="1" applyFill="1" applyBorder="1" applyAlignment="1" applyProtection="1">
      <alignment horizontal="left" vertical="center" wrapText="1"/>
    </xf>
    <xf numFmtId="0" fontId="47" fillId="6" borderId="60" xfId="0" applyFont="1" applyFill="1" applyBorder="1" applyAlignment="1" applyProtection="1">
      <alignment horizontal="center" vertical="center" wrapText="1"/>
    </xf>
    <xf numFmtId="0" fontId="47" fillId="6" borderId="71" xfId="0" applyFont="1" applyFill="1" applyBorder="1" applyAlignment="1" applyProtection="1">
      <alignment horizontal="center" vertical="center" wrapText="1"/>
    </xf>
    <xf numFmtId="0" fontId="47" fillId="6" borderId="85" xfId="0" applyFont="1" applyFill="1" applyBorder="1" applyAlignment="1" applyProtection="1">
      <alignment vertical="center"/>
    </xf>
    <xf numFmtId="181" fontId="52" fillId="6" borderId="78" xfId="0" applyNumberFormat="1" applyFont="1" applyFill="1" applyBorder="1" applyAlignment="1" applyProtection="1">
      <alignment horizontal="center" vertical="center"/>
    </xf>
    <xf numFmtId="0" fontId="47" fillId="6" borderId="85" xfId="0" applyFont="1" applyFill="1" applyBorder="1" applyAlignment="1" applyProtection="1">
      <alignment horizontal="left" vertical="center"/>
    </xf>
    <xf numFmtId="0" fontId="47" fillId="6" borderId="7" xfId="0" applyFont="1" applyFill="1" applyBorder="1" applyAlignment="1" applyProtection="1">
      <alignment vertical="center"/>
    </xf>
    <xf numFmtId="49" fontId="47" fillId="6" borderId="41" xfId="0" applyNumberFormat="1" applyFont="1" applyFill="1" applyBorder="1" applyAlignment="1" applyProtection="1">
      <alignment horizontal="left" vertical="center"/>
    </xf>
    <xf numFmtId="49" fontId="47" fillId="6" borderId="7" xfId="0" applyNumberFormat="1" applyFont="1" applyFill="1" applyBorder="1" applyAlignment="1" applyProtection="1">
      <alignment vertical="center"/>
    </xf>
    <xf numFmtId="178" fontId="54" fillId="6" borderId="1" xfId="0" applyNumberFormat="1" applyFont="1" applyFill="1" applyBorder="1" applyAlignment="1" applyProtection="1">
      <alignment horizontal="center" vertical="center"/>
    </xf>
    <xf numFmtId="178" fontId="53" fillId="6" borderId="1" xfId="0" applyNumberFormat="1" applyFont="1" applyFill="1" applyBorder="1" applyAlignment="1" applyProtection="1">
      <alignment horizontal="center" vertical="center"/>
    </xf>
    <xf numFmtId="177" fontId="46" fillId="6" borderId="0" xfId="0" applyNumberFormat="1" applyFont="1" applyFill="1" applyBorder="1" applyAlignment="1" applyProtection="1">
      <alignment horizontal="center" vertical="center"/>
    </xf>
    <xf numFmtId="186" fontId="47" fillId="6" borderId="3" xfId="0" applyNumberFormat="1" applyFont="1" applyFill="1" applyBorder="1" applyAlignment="1" applyProtection="1">
      <alignment horizontal="center" vertical="center"/>
    </xf>
    <xf numFmtId="177" fontId="47" fillId="6" borderId="0" xfId="0" applyNumberFormat="1" applyFont="1" applyFill="1" applyBorder="1" applyAlignment="1" applyProtection="1">
      <alignment horizontal="center" vertical="center"/>
    </xf>
    <xf numFmtId="0" fontId="46" fillId="6" borderId="39" xfId="0" applyNumberFormat="1" applyFont="1" applyFill="1" applyBorder="1" applyAlignment="1" applyProtection="1">
      <alignment vertical="center"/>
    </xf>
    <xf numFmtId="49" fontId="47" fillId="6" borderId="18" xfId="0" applyNumberFormat="1" applyFont="1" applyFill="1" applyBorder="1" applyAlignment="1" applyProtection="1">
      <alignment horizontal="center" vertical="center"/>
      <protection locked="0"/>
    </xf>
    <xf numFmtId="49" fontId="52" fillId="6" borderId="37" xfId="0" applyNumberFormat="1" applyFont="1" applyFill="1" applyBorder="1" applyAlignment="1" applyProtection="1">
      <alignment horizontal="left" vertical="center"/>
      <protection locked="0"/>
    </xf>
    <xf numFmtId="0" fontId="47" fillId="6" borderId="5" xfId="0" applyFont="1" applyFill="1" applyBorder="1" applyAlignment="1" applyProtection="1">
      <alignment horizontal="center" vertical="center"/>
      <protection locked="0"/>
    </xf>
    <xf numFmtId="0" fontId="47" fillId="6" borderId="5" xfId="0" applyFont="1" applyFill="1" applyBorder="1" applyAlignment="1" applyProtection="1">
      <alignment horizontal="right" vertical="center"/>
      <protection locked="0"/>
    </xf>
    <xf numFmtId="0" fontId="52" fillId="6" borderId="46" xfId="0" applyFont="1" applyFill="1" applyBorder="1" applyAlignment="1" applyProtection="1">
      <alignment horizontal="center" vertical="center"/>
    </xf>
    <xf numFmtId="0" fontId="57" fillId="6" borderId="0" xfId="0" applyFont="1" applyFill="1" applyBorder="1" applyAlignment="1" applyProtection="1">
      <alignment vertical="center"/>
    </xf>
    <xf numFmtId="181" fontId="52" fillId="5" borderId="61" xfId="0" applyNumberFormat="1" applyFont="1" applyFill="1" applyBorder="1" applyAlignment="1" applyProtection="1">
      <alignment horizontal="center" vertical="center"/>
      <protection locked="0"/>
    </xf>
    <xf numFmtId="0" fontId="47" fillId="6" borderId="17" xfId="0" applyFont="1" applyFill="1" applyBorder="1" applyAlignment="1" applyProtection="1">
      <alignment horizontal="center" vertical="center"/>
    </xf>
    <xf numFmtId="0" fontId="52" fillId="6" borderId="58" xfId="0" applyFont="1" applyFill="1" applyBorder="1" applyAlignment="1" applyProtection="1">
      <alignment horizontal="center" vertical="center"/>
    </xf>
    <xf numFmtId="0" fontId="53" fillId="7" borderId="0" xfId="0" applyFont="1" applyFill="1" applyAlignment="1" applyProtection="1">
      <alignment vertical="center" wrapText="1"/>
      <protection locked="0"/>
    </xf>
    <xf numFmtId="0" fontId="53" fillId="7" borderId="0" xfId="0" applyFont="1" applyFill="1" applyAlignment="1" applyProtection="1">
      <alignment horizontal="center" vertical="center" wrapText="1"/>
      <protection locked="0"/>
    </xf>
    <xf numFmtId="0" fontId="53" fillId="7" borderId="0" xfId="0" applyFont="1" applyFill="1" applyAlignment="1" applyProtection="1">
      <alignment horizontal="center" vertical="center" wrapText="1"/>
    </xf>
    <xf numFmtId="0" fontId="53" fillId="7" borderId="0" xfId="0" applyNumberFormat="1" applyFont="1" applyFill="1" applyAlignment="1" applyProtection="1">
      <alignment horizontal="center" vertical="center" wrapText="1"/>
      <protection locked="0"/>
    </xf>
    <xf numFmtId="14" fontId="53" fillId="7" borderId="0" xfId="0" applyNumberFormat="1" applyFont="1" applyFill="1" applyAlignment="1" applyProtection="1">
      <alignment horizontal="center" vertical="center" wrapText="1"/>
      <protection locked="0"/>
    </xf>
    <xf numFmtId="10" fontId="53" fillId="7" borderId="0" xfId="0" applyNumberFormat="1" applyFont="1" applyFill="1" applyAlignment="1" applyProtection="1">
      <alignment horizontal="center" vertical="center" wrapText="1"/>
      <protection locked="0"/>
    </xf>
    <xf numFmtId="0" fontId="51" fillId="7" borderId="0" xfId="0" applyFont="1" applyFill="1" applyAlignment="1" applyProtection="1">
      <alignment vertical="center" wrapText="1"/>
      <protection locked="0"/>
    </xf>
    <xf numFmtId="49" fontId="57" fillId="6" borderId="0" xfId="1" applyNumberFormat="1" applyFont="1" applyFill="1" applyBorder="1" applyAlignment="1" applyProtection="1">
      <alignment horizontal="right" vertical="center"/>
    </xf>
    <xf numFmtId="0" fontId="54" fillId="6" borderId="1" xfId="0" applyNumberFormat="1" applyFont="1" applyFill="1" applyBorder="1" applyAlignment="1" applyProtection="1">
      <alignment horizontal="center" vertical="center"/>
    </xf>
    <xf numFmtId="0" fontId="53" fillId="6" borderId="1" xfId="0" applyNumberFormat="1" applyFont="1" applyFill="1" applyBorder="1" applyAlignment="1" applyProtection="1">
      <alignment horizontal="center" vertical="center"/>
    </xf>
    <xf numFmtId="0" fontId="51" fillId="6" borderId="45" xfId="0" applyNumberFormat="1" applyFont="1" applyFill="1" applyBorder="1" applyAlignment="1" applyProtection="1">
      <alignment horizontal="center" vertical="center" wrapText="1"/>
    </xf>
    <xf numFmtId="0" fontId="58" fillId="6" borderId="14" xfId="0" applyNumberFormat="1" applyFont="1" applyFill="1" applyBorder="1" applyAlignment="1" applyProtection="1">
      <alignment horizontal="center" vertical="center" wrapText="1"/>
    </xf>
    <xf numFmtId="0" fontId="44" fillId="6" borderId="58" xfId="0" applyFont="1" applyFill="1" applyBorder="1" applyAlignment="1" applyProtection="1">
      <alignment horizontal="center" vertical="center" wrapText="1"/>
    </xf>
    <xf numFmtId="0" fontId="49" fillId="6" borderId="53" xfId="0" applyNumberFormat="1" applyFont="1" applyFill="1" applyBorder="1" applyAlignment="1" applyProtection="1">
      <alignment horizontal="center" vertical="center" wrapText="1"/>
    </xf>
    <xf numFmtId="0" fontId="44" fillId="0" borderId="5" xfId="0" applyFont="1" applyFill="1" applyBorder="1" applyAlignment="1" applyProtection="1">
      <alignment horizontal="center" vertical="center" wrapText="1"/>
      <protection locked="0"/>
    </xf>
    <xf numFmtId="0" fontId="51" fillId="0" borderId="5" xfId="0" applyFont="1" applyFill="1" applyBorder="1" applyAlignment="1" applyProtection="1">
      <alignment horizontal="center" vertical="center"/>
      <protection locked="0"/>
    </xf>
    <xf numFmtId="0" fontId="49" fillId="0" borderId="33" xfId="0" applyFont="1" applyFill="1" applyBorder="1" applyAlignment="1" applyProtection="1">
      <alignment horizontal="center" vertical="center"/>
      <protection locked="0"/>
    </xf>
    <xf numFmtId="0" fontId="51" fillId="6" borderId="37" xfId="0" applyNumberFormat="1" applyFont="1" applyFill="1" applyBorder="1" applyAlignment="1" applyProtection="1">
      <alignment horizontal="center" vertical="center" wrapText="1"/>
    </xf>
    <xf numFmtId="0" fontId="138" fillId="3" borderId="3" xfId="0" applyFont="1" applyFill="1" applyBorder="1" applyAlignment="1" applyProtection="1">
      <alignment vertical="center"/>
      <protection locked="0"/>
    </xf>
    <xf numFmtId="0" fontId="44" fillId="6" borderId="23" xfId="0" applyFont="1" applyFill="1" applyBorder="1" applyProtection="1">
      <alignment vertical="center"/>
    </xf>
    <xf numFmtId="0" fontId="44" fillId="6" borderId="0" xfId="0" applyFont="1" applyFill="1" applyProtection="1">
      <alignment vertical="center"/>
      <protection locked="0"/>
    </xf>
    <xf numFmtId="176" fontId="46" fillId="6" borderId="1" xfId="0" applyNumberFormat="1" applyFont="1" applyFill="1" applyBorder="1" applyAlignment="1" applyProtection="1">
      <alignment vertical="center"/>
    </xf>
    <xf numFmtId="176" fontId="46" fillId="6" borderId="1" xfId="0" applyNumberFormat="1" applyFont="1" applyFill="1" applyBorder="1" applyAlignment="1" applyProtection="1">
      <alignment horizontal="center" vertical="center"/>
    </xf>
    <xf numFmtId="176" fontId="46" fillId="6" borderId="24" xfId="0" applyNumberFormat="1" applyFont="1" applyFill="1" applyBorder="1" applyAlignment="1" applyProtection="1">
      <alignment vertical="center"/>
    </xf>
    <xf numFmtId="176" fontId="46" fillId="6" borderId="25" xfId="0" applyNumberFormat="1" applyFont="1" applyFill="1" applyBorder="1" applyAlignment="1" applyProtection="1">
      <alignment vertical="center"/>
    </xf>
    <xf numFmtId="176" fontId="46" fillId="6" borderId="76" xfId="0" applyNumberFormat="1" applyFont="1" applyFill="1" applyBorder="1" applyAlignment="1" applyProtection="1">
      <alignment vertical="center"/>
    </xf>
    <xf numFmtId="0" fontId="44" fillId="6" borderId="11" xfId="0" applyFont="1" applyFill="1" applyBorder="1" applyProtection="1">
      <alignment vertical="center"/>
    </xf>
    <xf numFmtId="0" fontId="44" fillId="6" borderId="13" xfId="0" applyFont="1" applyFill="1" applyBorder="1" applyProtection="1">
      <alignment vertical="center"/>
    </xf>
    <xf numFmtId="0" fontId="46" fillId="6" borderId="25" xfId="0" applyFont="1" applyFill="1" applyBorder="1" applyProtection="1">
      <alignment vertical="center"/>
    </xf>
    <xf numFmtId="0" fontId="46" fillId="6" borderId="32" xfId="0" applyFont="1" applyFill="1" applyBorder="1" applyProtection="1">
      <alignment vertical="center"/>
    </xf>
    <xf numFmtId="0" fontId="44" fillId="6" borderId="49" xfId="0" applyFont="1" applyFill="1" applyBorder="1" applyProtection="1">
      <alignment vertical="center"/>
    </xf>
    <xf numFmtId="0" fontId="44" fillId="6" borderId="24" xfId="0" applyFont="1" applyFill="1" applyBorder="1" applyProtection="1">
      <alignment vertical="center"/>
    </xf>
    <xf numFmtId="0" fontId="46" fillId="6" borderId="49" xfId="0" applyFont="1" applyFill="1" applyBorder="1" applyProtection="1">
      <alignment vertical="center"/>
    </xf>
    <xf numFmtId="49" fontId="52" fillId="6" borderId="22" xfId="0" applyNumberFormat="1" applyFont="1" applyFill="1" applyBorder="1" applyAlignment="1" applyProtection="1">
      <alignment horizontal="left" vertical="center"/>
      <protection locked="0"/>
    </xf>
    <xf numFmtId="49" fontId="52" fillId="6" borderId="41" xfId="0" applyNumberFormat="1" applyFont="1" applyFill="1" applyBorder="1" applyAlignment="1" applyProtection="1">
      <alignment horizontal="left" vertical="center"/>
      <protection locked="0"/>
    </xf>
    <xf numFmtId="0" fontId="50" fillId="6" borderId="51" xfId="0" applyNumberFormat="1" applyFont="1" applyFill="1" applyBorder="1" applyAlignment="1" applyProtection="1">
      <alignment horizontal="right" vertical="center" wrapText="1"/>
    </xf>
    <xf numFmtId="0" fontId="50" fillId="6" borderId="21" xfId="0" applyNumberFormat="1" applyFont="1" applyFill="1" applyBorder="1" applyAlignment="1" applyProtection="1">
      <alignment vertical="center" wrapText="1"/>
    </xf>
    <xf numFmtId="0" fontId="70" fillId="3" borderId="20" xfId="0" applyNumberFormat="1" applyFont="1" applyFill="1" applyBorder="1" applyAlignment="1" applyProtection="1">
      <alignment vertical="center" wrapText="1"/>
      <protection locked="0"/>
    </xf>
    <xf numFmtId="0" fontId="70" fillId="6" borderId="20" xfId="0" applyNumberFormat="1" applyFont="1" applyFill="1" applyBorder="1" applyAlignment="1" applyProtection="1">
      <alignment vertical="center" wrapText="1"/>
    </xf>
    <xf numFmtId="0" fontId="70" fillId="3" borderId="51" xfId="0" applyNumberFormat="1" applyFont="1" applyFill="1" applyBorder="1" applyAlignment="1" applyProtection="1">
      <alignment vertical="center" wrapText="1"/>
      <protection locked="0"/>
    </xf>
    <xf numFmtId="0" fontId="70" fillId="6" borderId="21" xfId="0" applyNumberFormat="1" applyFont="1" applyFill="1" applyBorder="1" applyAlignment="1" applyProtection="1">
      <alignment vertical="center" wrapText="1"/>
    </xf>
    <xf numFmtId="0" fontId="50" fillId="6" borderId="38" xfId="0" applyNumberFormat="1" applyFont="1" applyFill="1" applyBorder="1" applyAlignment="1" applyProtection="1">
      <alignment vertical="center" wrapText="1"/>
    </xf>
    <xf numFmtId="0" fontId="50" fillId="6" borderId="52" xfId="0" applyNumberFormat="1" applyFont="1" applyFill="1" applyBorder="1" applyAlignment="1" applyProtection="1">
      <alignment vertical="center" wrapText="1"/>
    </xf>
    <xf numFmtId="0" fontId="50" fillId="6" borderId="47" xfId="0" applyNumberFormat="1" applyFont="1" applyFill="1" applyBorder="1" applyAlignment="1" applyProtection="1">
      <alignment vertical="center" wrapText="1"/>
      <protection locked="0"/>
    </xf>
    <xf numFmtId="0" fontId="50" fillId="6" borderId="47" xfId="0" applyNumberFormat="1" applyFont="1" applyFill="1" applyBorder="1" applyAlignment="1" applyProtection="1">
      <alignment vertical="center" wrapText="1"/>
    </xf>
    <xf numFmtId="0" fontId="57" fillId="6" borderId="2" xfId="0" applyFont="1" applyFill="1" applyBorder="1" applyAlignment="1" applyProtection="1">
      <alignment horizontal="right" vertical="center"/>
    </xf>
    <xf numFmtId="0" fontId="62" fillId="6" borderId="58" xfId="0" applyFont="1" applyFill="1" applyBorder="1" applyAlignment="1" applyProtection="1">
      <alignment horizontal="center" vertical="center"/>
    </xf>
    <xf numFmtId="0" fontId="56" fillId="6" borderId="0" xfId="0" applyFont="1" applyFill="1" applyBorder="1" applyAlignment="1" applyProtection="1">
      <protection locked="0"/>
    </xf>
    <xf numFmtId="0" fontId="51" fillId="6" borderId="0" xfId="0" applyFont="1" applyFill="1" applyBorder="1" applyAlignment="1" applyProtection="1">
      <alignment horizontal="center"/>
      <protection locked="0"/>
    </xf>
    <xf numFmtId="0" fontId="44" fillId="6" borderId="0" xfId="0" applyFont="1" applyFill="1" applyAlignment="1" applyProtection="1">
      <alignment horizontal="center" vertical="center"/>
      <protection locked="0"/>
    </xf>
    <xf numFmtId="0" fontId="57" fillId="6" borderId="5" xfId="1" applyFont="1" applyFill="1" applyBorder="1" applyAlignment="1" applyProtection="1">
      <alignment horizontal="right" vertical="center"/>
    </xf>
    <xf numFmtId="0" fontId="46" fillId="6" borderId="33" xfId="0" applyFont="1" applyFill="1" applyBorder="1" applyAlignment="1" applyProtection="1">
      <alignment horizontal="center" vertical="center"/>
    </xf>
    <xf numFmtId="181" fontId="44" fillId="6" borderId="49" xfId="0" applyNumberFormat="1" applyFont="1" applyFill="1" applyBorder="1" applyProtection="1">
      <alignment vertical="center"/>
    </xf>
    <xf numFmtId="0" fontId="44" fillId="6" borderId="24" xfId="1" applyNumberFormat="1" applyFont="1" applyFill="1" applyBorder="1" applyAlignment="1" applyProtection="1">
      <alignment horizontal="center" vertical="center"/>
    </xf>
    <xf numFmtId="10" fontId="51" fillId="0" borderId="3" xfId="8" applyNumberFormat="1" applyFont="1" applyFill="1" applyBorder="1" applyAlignment="1" applyProtection="1">
      <alignment horizontal="center" vertical="center" wrapText="1"/>
      <protection locked="0"/>
    </xf>
    <xf numFmtId="10" fontId="53" fillId="6" borderId="24" xfId="8" applyNumberFormat="1" applyFont="1" applyFill="1" applyBorder="1" applyAlignment="1" applyProtection="1">
      <alignment horizontal="center" vertical="center" wrapText="1"/>
    </xf>
    <xf numFmtId="10" fontId="51" fillId="0" borderId="66" xfId="8" applyNumberFormat="1" applyFont="1" applyFill="1" applyBorder="1" applyAlignment="1" applyProtection="1">
      <alignment horizontal="center" vertical="center" wrapText="1"/>
      <protection locked="0"/>
    </xf>
    <xf numFmtId="10" fontId="53" fillId="6" borderId="49" xfId="8" applyNumberFormat="1" applyFont="1" applyFill="1" applyBorder="1" applyAlignment="1" applyProtection="1">
      <alignment horizontal="center" vertical="center" wrapText="1"/>
    </xf>
    <xf numFmtId="0" fontId="44" fillId="6" borderId="22" xfId="0" applyNumberFormat="1" applyFont="1" applyFill="1" applyBorder="1" applyAlignment="1" applyProtection="1">
      <alignment horizontal="center" vertical="center" wrapText="1"/>
      <protection locked="0"/>
    </xf>
    <xf numFmtId="0" fontId="44" fillId="0" borderId="5" xfId="0" applyNumberFormat="1" applyFont="1" applyFill="1" applyBorder="1" applyAlignment="1" applyProtection="1">
      <alignment horizontal="center" vertical="center" wrapText="1"/>
      <protection locked="0"/>
    </xf>
    <xf numFmtId="0" fontId="44" fillId="0" borderId="48" xfId="0" applyNumberFormat="1" applyFont="1" applyFill="1" applyBorder="1" applyAlignment="1" applyProtection="1">
      <alignment horizontal="center" vertical="center" wrapText="1"/>
      <protection locked="0"/>
    </xf>
    <xf numFmtId="49" fontId="44" fillId="0" borderId="18" xfId="0" applyNumberFormat="1" applyFont="1" applyFill="1" applyBorder="1" applyAlignment="1" applyProtection="1">
      <alignment horizontal="center" vertical="center"/>
      <protection locked="0"/>
    </xf>
    <xf numFmtId="0" fontId="44" fillId="6" borderId="30" xfId="0" applyNumberFormat="1" applyFont="1" applyFill="1" applyBorder="1" applyAlignment="1" applyProtection="1">
      <alignment horizontal="center" vertical="center" wrapText="1"/>
    </xf>
    <xf numFmtId="0" fontId="51" fillId="6" borderId="13" xfId="0" applyNumberFormat="1" applyFont="1" applyFill="1" applyBorder="1" applyAlignment="1" applyProtection="1">
      <alignment horizontal="center" vertical="center" wrapText="1"/>
      <protection locked="0"/>
    </xf>
    <xf numFmtId="189" fontId="44" fillId="6" borderId="30" xfId="0" applyNumberFormat="1" applyFont="1" applyFill="1" applyBorder="1" applyAlignment="1" applyProtection="1">
      <alignment horizontal="center" vertical="center" wrapText="1"/>
    </xf>
    <xf numFmtId="189" fontId="44" fillId="6" borderId="9" xfId="0" applyNumberFormat="1" applyFont="1" applyFill="1" applyBorder="1" applyAlignment="1" applyProtection="1">
      <alignment horizontal="center" vertical="center" wrapText="1"/>
    </xf>
    <xf numFmtId="189" fontId="44" fillId="6" borderId="39" xfId="0" applyNumberFormat="1" applyFont="1" applyFill="1" applyBorder="1" applyAlignment="1" applyProtection="1">
      <alignment horizontal="center" vertical="center" wrapText="1"/>
    </xf>
    <xf numFmtId="0" fontId="47" fillId="0" borderId="54" xfId="0" applyFont="1" applyFill="1" applyBorder="1" applyAlignment="1" applyProtection="1">
      <alignment vertical="center"/>
      <protection locked="0"/>
    </xf>
    <xf numFmtId="0" fontId="47" fillId="6" borderId="36" xfId="0" applyFont="1" applyFill="1" applyBorder="1" applyAlignment="1" applyProtection="1">
      <alignment vertical="center"/>
    </xf>
    <xf numFmtId="0" fontId="47" fillId="6" borderId="60" xfId="0" applyFont="1" applyFill="1" applyBorder="1" applyAlignment="1" applyProtection="1">
      <alignment horizontal="left" vertical="center"/>
    </xf>
    <xf numFmtId="0" fontId="45" fillId="5" borderId="3" xfId="1" applyFont="1" applyFill="1" applyBorder="1" applyAlignment="1" applyProtection="1">
      <alignment vertical="center"/>
    </xf>
    <xf numFmtId="0" fontId="47" fillId="6" borderId="0" xfId="0" applyFont="1" applyFill="1" applyAlignment="1" applyProtection="1">
      <alignment vertical="center"/>
      <protection locked="0"/>
    </xf>
    <xf numFmtId="0" fontId="45" fillId="5" borderId="5" xfId="1" applyFont="1" applyFill="1" applyBorder="1" applyAlignment="1" applyProtection="1">
      <alignment horizontal="left" vertical="center"/>
      <protection locked="0"/>
    </xf>
    <xf numFmtId="0" fontId="62" fillId="0" borderId="32" xfId="0" applyFont="1" applyFill="1" applyBorder="1" applyAlignment="1" applyProtection="1">
      <alignment vertical="center"/>
      <protection locked="0"/>
    </xf>
    <xf numFmtId="0" fontId="146" fillId="0" borderId="0" xfId="11" applyFont="1" applyBorder="1" applyAlignment="1" applyProtection="1">
      <alignment vertical="center" wrapText="1"/>
    </xf>
    <xf numFmtId="0" fontId="123" fillId="0" borderId="78" xfId="0" applyFont="1" applyBorder="1" applyAlignment="1" applyProtection="1">
      <alignment horizontal="left" vertical="center"/>
    </xf>
    <xf numFmtId="0" fontId="146" fillId="0" borderId="78" xfId="11" applyFont="1" applyBorder="1" applyAlignment="1" applyProtection="1">
      <alignment horizontal="left" vertical="center" wrapText="1"/>
    </xf>
    <xf numFmtId="0" fontId="146" fillId="0" borderId="87" xfId="0" applyFont="1" applyBorder="1" applyProtection="1">
      <alignment vertical="center"/>
    </xf>
    <xf numFmtId="0" fontId="146" fillId="0" borderId="44" xfId="11" applyFont="1" applyBorder="1" applyAlignment="1" applyProtection="1">
      <alignment vertical="center" wrapText="1"/>
    </xf>
    <xf numFmtId="0" fontId="146" fillId="0" borderId="44" xfId="0" applyFont="1" applyBorder="1" applyAlignment="1" applyProtection="1">
      <alignment horizontal="left" vertical="center"/>
    </xf>
    <xf numFmtId="0" fontId="146" fillId="0" borderId="83" xfId="0" applyFont="1" applyBorder="1" applyProtection="1">
      <alignment vertical="center"/>
    </xf>
    <xf numFmtId="0" fontId="146" fillId="0" borderId="1" xfId="11" applyFont="1" applyBorder="1" applyAlignment="1" applyProtection="1">
      <alignment vertical="center" wrapText="1"/>
    </xf>
    <xf numFmtId="0" fontId="146" fillId="0" borderId="1" xfId="0" applyFont="1" applyBorder="1" applyAlignment="1" applyProtection="1">
      <alignment horizontal="left" vertical="center"/>
    </xf>
    <xf numFmtId="0" fontId="146" fillId="0" borderId="0" xfId="0" applyFont="1" applyBorder="1" applyProtection="1">
      <alignment vertical="center"/>
    </xf>
    <xf numFmtId="0" fontId="146" fillId="0" borderId="78" xfId="11" applyFont="1" applyBorder="1" applyAlignment="1" applyProtection="1">
      <alignment vertical="center" wrapText="1"/>
    </xf>
    <xf numFmtId="0" fontId="146" fillId="0" borderId="78" xfId="0" applyFont="1" applyBorder="1" applyAlignment="1" applyProtection="1">
      <alignment horizontal="left" vertical="center"/>
    </xf>
    <xf numFmtId="192" fontId="146" fillId="0" borderId="78" xfId="0" applyNumberFormat="1" applyFont="1" applyBorder="1" applyAlignment="1" applyProtection="1">
      <alignment horizontal="left" vertical="center"/>
    </xf>
    <xf numFmtId="0" fontId="146" fillId="0" borderId="2" xfId="11" applyFont="1" applyBorder="1" applyAlignment="1" applyProtection="1">
      <alignment vertical="center" wrapText="1"/>
    </xf>
    <xf numFmtId="14" fontId="146" fillId="0" borderId="2" xfId="0" applyNumberFormat="1" applyFont="1" applyBorder="1" applyAlignment="1" applyProtection="1">
      <alignment horizontal="left" vertical="center"/>
    </xf>
    <xf numFmtId="0" fontId="146" fillId="0" borderId="0" xfId="0" applyFont="1" applyProtection="1">
      <alignment vertical="center"/>
    </xf>
    <xf numFmtId="14" fontId="146" fillId="0" borderId="1" xfId="0" applyNumberFormat="1" applyFont="1" applyBorder="1" applyAlignment="1" applyProtection="1">
      <alignment horizontal="left" vertical="center"/>
    </xf>
    <xf numFmtId="0" fontId="146" fillId="0" borderId="0" xfId="0" applyFont="1" applyAlignment="1" applyProtection="1">
      <alignment horizontal="left" vertical="center"/>
    </xf>
    <xf numFmtId="0" fontId="58" fillId="6" borderId="1" xfId="8" applyFont="1" applyFill="1" applyBorder="1" applyAlignment="1" applyProtection="1">
      <alignment horizontal="center" vertical="center" wrapText="1"/>
    </xf>
    <xf numFmtId="0" fontId="58" fillId="0" borderId="1" xfId="8" applyFont="1" applyFill="1" applyBorder="1" applyAlignment="1" applyProtection="1">
      <alignment horizontal="center" vertical="center" wrapText="1"/>
      <protection locked="0"/>
    </xf>
    <xf numFmtId="0" fontId="53" fillId="6" borderId="1" xfId="8" applyFont="1" applyFill="1" applyBorder="1" applyAlignment="1" applyProtection="1">
      <alignment horizontal="center" vertical="center" wrapText="1"/>
      <protection locked="0"/>
    </xf>
    <xf numFmtId="179" fontId="53" fillId="6" borderId="1" xfId="8" applyNumberFormat="1" applyFont="1" applyFill="1" applyBorder="1" applyAlignment="1" applyProtection="1">
      <alignment horizontal="center" vertical="center" wrapText="1"/>
      <protection locked="0"/>
    </xf>
    <xf numFmtId="0" fontId="53" fillId="6" borderId="0" xfId="8" applyFont="1" applyFill="1" applyAlignment="1" applyProtection="1">
      <alignment vertical="center" wrapText="1"/>
      <protection locked="0"/>
    </xf>
    <xf numFmtId="0" fontId="53" fillId="6" borderId="0" xfId="8" applyFont="1" applyFill="1" applyAlignment="1" applyProtection="1">
      <alignment horizontal="center" vertical="center" wrapText="1"/>
      <protection locked="0"/>
    </xf>
    <xf numFmtId="0" fontId="53" fillId="7" borderId="0" xfId="8" applyFont="1" applyFill="1" applyAlignment="1" applyProtection="1">
      <alignment horizontal="center" vertical="center" wrapText="1"/>
    </xf>
    <xf numFmtId="0" fontId="53" fillId="0" borderId="0" xfId="8" applyFont="1" applyAlignment="1" applyProtection="1">
      <alignment horizontal="center" vertical="center" wrapText="1"/>
    </xf>
    <xf numFmtId="0" fontId="99" fillId="6" borderId="1" xfId="8" applyFont="1" applyFill="1" applyBorder="1" applyAlignment="1" applyProtection="1">
      <alignment horizontal="center" vertical="center"/>
    </xf>
    <xf numFmtId="0" fontId="57" fillId="6" borderId="2" xfId="1" applyFont="1" applyFill="1" applyBorder="1" applyAlignment="1" applyProtection="1">
      <alignment vertical="center"/>
    </xf>
    <xf numFmtId="0" fontId="101" fillId="6" borderId="85" xfId="0" applyFont="1" applyFill="1" applyBorder="1" applyAlignment="1" applyProtection="1">
      <alignment vertical="center"/>
    </xf>
    <xf numFmtId="0" fontId="62" fillId="2" borderId="88" xfId="0" applyFont="1" applyFill="1" applyBorder="1" applyAlignment="1" applyProtection="1">
      <alignment horizontal="right" vertical="center"/>
      <protection locked="0"/>
    </xf>
    <xf numFmtId="0" fontId="62" fillId="6" borderId="87" xfId="0" applyFont="1" applyFill="1" applyBorder="1" applyAlignment="1" applyProtection="1">
      <alignment horizontal="center" vertical="center"/>
    </xf>
    <xf numFmtId="0" fontId="62" fillId="2" borderId="88" xfId="0" applyFont="1" applyFill="1" applyBorder="1" applyAlignment="1" applyProtection="1">
      <alignment vertical="center"/>
      <protection locked="0"/>
    </xf>
    <xf numFmtId="0" fontId="62" fillId="6" borderId="88" xfId="0" applyFont="1" applyFill="1" applyBorder="1" applyAlignment="1" applyProtection="1">
      <alignment vertical="center"/>
      <protection locked="0"/>
    </xf>
    <xf numFmtId="0" fontId="65" fillId="6" borderId="88" xfId="0" applyFont="1" applyFill="1" applyBorder="1" applyAlignment="1" applyProtection="1">
      <alignment vertical="center"/>
      <protection locked="0"/>
    </xf>
    <xf numFmtId="188" fontId="62" fillId="6" borderId="88" xfId="0" applyNumberFormat="1" applyFont="1" applyFill="1" applyBorder="1" applyAlignment="1" applyProtection="1">
      <alignment horizontal="center" vertical="center"/>
      <protection locked="0"/>
    </xf>
    <xf numFmtId="181" fontId="62" fillId="6" borderId="88" xfId="0" applyNumberFormat="1" applyFont="1" applyFill="1" applyBorder="1" applyAlignment="1" applyProtection="1">
      <alignment vertical="center"/>
      <protection locked="0"/>
    </xf>
    <xf numFmtId="0" fontId="62" fillId="6" borderId="88" xfId="0" applyFont="1" applyFill="1" applyBorder="1" applyAlignment="1" applyProtection="1">
      <alignment horizontal="center" vertical="center"/>
      <protection locked="0"/>
    </xf>
    <xf numFmtId="0" fontId="62" fillId="6" borderId="103" xfId="0" applyFont="1" applyFill="1" applyBorder="1" applyAlignment="1" applyProtection="1">
      <alignment horizontal="center" vertical="center"/>
    </xf>
    <xf numFmtId="0" fontId="63" fillId="6" borderId="87" xfId="0" applyFont="1" applyFill="1" applyBorder="1" applyAlignment="1" applyProtection="1">
      <alignment horizontal="center" vertical="center"/>
    </xf>
    <xf numFmtId="0" fontId="63" fillId="0" borderId="87" xfId="0" applyFont="1" applyFill="1" applyBorder="1" applyAlignment="1" applyProtection="1">
      <alignment horizontal="center" vertical="center"/>
      <protection locked="0"/>
    </xf>
    <xf numFmtId="0" fontId="62" fillId="6" borderId="88" xfId="0" applyFont="1" applyFill="1" applyBorder="1" applyAlignment="1" applyProtection="1">
      <alignment vertical="center"/>
    </xf>
    <xf numFmtId="0" fontId="65" fillId="6" borderId="88" xfId="0" applyFont="1" applyFill="1" applyBorder="1" applyAlignment="1" applyProtection="1">
      <alignment vertical="center"/>
    </xf>
    <xf numFmtId="188" fontId="62" fillId="6" borderId="88" xfId="0" applyNumberFormat="1" applyFont="1" applyFill="1" applyBorder="1" applyAlignment="1" applyProtection="1">
      <alignment horizontal="center" vertical="center"/>
    </xf>
    <xf numFmtId="181" fontId="62" fillId="6" borderId="88" xfId="0" applyNumberFormat="1" applyFont="1" applyFill="1" applyBorder="1" applyAlignment="1" applyProtection="1">
      <alignment vertical="center"/>
    </xf>
    <xf numFmtId="0" fontId="62" fillId="6" borderId="88" xfId="0" applyFont="1" applyFill="1" applyBorder="1" applyAlignment="1" applyProtection="1">
      <alignment horizontal="center" vertical="center"/>
    </xf>
    <xf numFmtId="0" fontId="0" fillId="0" borderId="0" xfId="0" applyAlignment="1"/>
    <xf numFmtId="0" fontId="96" fillId="6" borderId="0" xfId="0" applyFont="1" applyFill="1" applyAlignment="1"/>
    <xf numFmtId="0" fontId="80" fillId="6" borderId="0" xfId="2" applyFont="1" applyFill="1"/>
    <xf numFmtId="0" fontId="19" fillId="6" borderId="0" xfId="2" applyFont="1" applyFill="1"/>
    <xf numFmtId="0" fontId="19" fillId="6" borderId="6" xfId="2" applyFont="1" applyFill="1" applyBorder="1"/>
    <xf numFmtId="0" fontId="121" fillId="6" borderId="9" xfId="2" applyFont="1" applyFill="1" applyBorder="1" applyAlignment="1">
      <alignment horizontal="center" vertical="center" wrapText="1"/>
    </xf>
    <xf numFmtId="0" fontId="19" fillId="6" borderId="10" xfId="2" applyFont="1" applyFill="1" applyBorder="1" applyAlignment="1">
      <alignment horizontal="center"/>
    </xf>
    <xf numFmtId="0" fontId="121" fillId="6" borderId="6" xfId="2" applyFont="1" applyFill="1" applyBorder="1" applyAlignment="1">
      <alignment horizontal="center" vertical="center" wrapText="1"/>
    </xf>
    <xf numFmtId="0" fontId="19" fillId="6" borderId="9" xfId="2" applyNumberFormat="1" applyFont="1" applyFill="1" applyBorder="1" applyAlignment="1">
      <alignment horizontal="center"/>
    </xf>
    <xf numFmtId="0" fontId="19" fillId="0" borderId="0" xfId="2" applyFont="1"/>
    <xf numFmtId="0" fontId="19" fillId="6" borderId="23" xfId="2" applyFont="1" applyFill="1" applyBorder="1"/>
    <xf numFmtId="0" fontId="121" fillId="6" borderId="1" xfId="2" applyFont="1" applyFill="1" applyBorder="1" applyAlignment="1">
      <alignment horizontal="center" vertical="center" wrapText="1"/>
    </xf>
    <xf numFmtId="0" fontId="19" fillId="6" borderId="24" xfId="2" applyFont="1" applyFill="1" applyBorder="1" applyAlignment="1">
      <alignment horizontal="center"/>
    </xf>
    <xf numFmtId="0" fontId="121" fillId="6" borderId="23" xfId="2" applyFont="1" applyFill="1" applyBorder="1" applyAlignment="1">
      <alignment horizontal="center" vertical="center" wrapText="1"/>
    </xf>
    <xf numFmtId="0" fontId="19" fillId="6" borderId="1" xfId="2" applyNumberFormat="1" applyFont="1" applyFill="1" applyBorder="1" applyAlignment="1">
      <alignment horizontal="center"/>
    </xf>
    <xf numFmtId="0" fontId="19" fillId="6" borderId="25" xfId="2" applyFont="1" applyFill="1" applyBorder="1"/>
    <xf numFmtId="0" fontId="121" fillId="6" borderId="32" xfId="2" applyFont="1" applyFill="1" applyBorder="1" applyAlignment="1">
      <alignment horizontal="center" vertical="center" wrapText="1"/>
    </xf>
    <xf numFmtId="0" fontId="19" fillId="6" borderId="49" xfId="2" applyFont="1" applyFill="1" applyBorder="1" applyAlignment="1">
      <alignment horizontal="center"/>
    </xf>
    <xf numFmtId="0" fontId="121" fillId="6" borderId="25" xfId="2" applyFont="1" applyFill="1" applyBorder="1" applyAlignment="1">
      <alignment horizontal="center" vertical="center" wrapText="1"/>
    </xf>
    <xf numFmtId="0" fontId="19" fillId="6" borderId="32" xfId="2" applyNumberFormat="1" applyFont="1" applyFill="1" applyBorder="1" applyAlignment="1">
      <alignment horizontal="center"/>
    </xf>
    <xf numFmtId="0" fontId="19" fillId="6" borderId="0" xfId="2" applyNumberFormat="1" applyFont="1" applyFill="1" applyAlignment="1">
      <alignment horizontal="center"/>
    </xf>
    <xf numFmtId="0" fontId="19" fillId="6" borderId="0" xfId="2" applyFont="1" applyFill="1" applyAlignment="1">
      <alignment horizontal="right"/>
    </xf>
    <xf numFmtId="14" fontId="19" fillId="6" borderId="0" xfId="2" applyNumberFormat="1" applyFont="1" applyFill="1" applyAlignment="1">
      <alignment horizontal="center"/>
    </xf>
    <xf numFmtId="0" fontId="151" fillId="6" borderId="0" xfId="2" applyNumberFormat="1" applyFont="1" applyFill="1" applyAlignment="1">
      <alignment horizontal="center"/>
    </xf>
    <xf numFmtId="0" fontId="152" fillId="6" borderId="0" xfId="2" applyFont="1" applyFill="1" applyAlignment="1">
      <alignment horizontal="left"/>
    </xf>
    <xf numFmtId="14" fontId="151" fillId="6" borderId="0" xfId="2" applyNumberFormat="1" applyFont="1" applyFill="1" applyAlignment="1">
      <alignment horizontal="center"/>
    </xf>
    <xf numFmtId="0" fontId="151" fillId="6" borderId="0" xfId="2" applyFont="1" applyFill="1"/>
    <xf numFmtId="0" fontId="151" fillId="0" borderId="0" xfId="2" applyFont="1"/>
    <xf numFmtId="0" fontId="151" fillId="0" borderId="0" xfId="0" applyFont="1" applyAlignment="1"/>
    <xf numFmtId="0" fontId="153" fillId="6" borderId="0" xfId="2" applyFont="1" applyFill="1"/>
    <xf numFmtId="0" fontId="154" fillId="6" borderId="0" xfId="2" applyFont="1" applyFill="1"/>
    <xf numFmtId="0" fontId="153" fillId="0" borderId="0" xfId="2" applyFont="1"/>
    <xf numFmtId="0" fontId="121" fillId="6" borderId="0" xfId="2" applyFont="1" applyFill="1" applyAlignment="1"/>
    <xf numFmtId="0" fontId="135" fillId="6" borderId="13" xfId="2" applyFont="1" applyFill="1" applyBorder="1" applyAlignment="1">
      <alignment horizontal="center" vertical="center"/>
    </xf>
    <xf numFmtId="0" fontId="135" fillId="6" borderId="13" xfId="2" applyFont="1" applyFill="1" applyBorder="1" applyAlignment="1">
      <alignment vertical="center"/>
    </xf>
    <xf numFmtId="0" fontId="135" fillId="6" borderId="5" xfId="2" applyFont="1" applyFill="1" applyBorder="1" applyAlignment="1">
      <alignment vertical="center"/>
    </xf>
    <xf numFmtId="0" fontId="135" fillId="6" borderId="3" xfId="2" applyFont="1" applyFill="1" applyBorder="1" applyAlignment="1">
      <alignment vertical="center"/>
    </xf>
    <xf numFmtId="0" fontId="135" fillId="6" borderId="54" xfId="2" applyFont="1" applyFill="1" applyBorder="1" applyAlignment="1">
      <alignment vertical="center"/>
    </xf>
    <xf numFmtId="0" fontId="121" fillId="0" borderId="0" xfId="2" applyFont="1" applyAlignment="1"/>
    <xf numFmtId="0" fontId="121" fillId="6" borderId="0" xfId="2" applyFont="1" applyFill="1"/>
    <xf numFmtId="0" fontId="135" fillId="6" borderId="2" xfId="2" applyFont="1" applyFill="1" applyBorder="1" applyAlignment="1">
      <alignment horizontal="center" vertical="center" wrapText="1"/>
    </xf>
    <xf numFmtId="0" fontId="135" fillId="6" borderId="2" xfId="2" applyFont="1" applyFill="1" applyBorder="1" applyAlignment="1">
      <alignment vertical="center" wrapText="1"/>
    </xf>
    <xf numFmtId="0" fontId="19" fillId="6" borderId="1" xfId="2" applyFont="1" applyFill="1" applyBorder="1"/>
    <xf numFmtId="0" fontId="135" fillId="6" borderId="1" xfId="2" applyFont="1" applyFill="1" applyBorder="1" applyAlignment="1">
      <alignment horizontal="center" vertical="center" wrapText="1"/>
    </xf>
    <xf numFmtId="0" fontId="121" fillId="0" borderId="0" xfId="2" applyFont="1"/>
    <xf numFmtId="0" fontId="156" fillId="6" borderId="0" xfId="2" applyFont="1" applyFill="1" applyAlignment="1">
      <alignment vertical="center"/>
    </xf>
    <xf numFmtId="0" fontId="156" fillId="6" borderId="1" xfId="2" applyFont="1" applyFill="1" applyBorder="1" applyAlignment="1">
      <alignment horizontal="left" vertical="center" wrapText="1"/>
    </xf>
    <xf numFmtId="0" fontId="156" fillId="6" borderId="1" xfId="2" applyFont="1" applyFill="1" applyBorder="1" applyAlignment="1">
      <alignment horizontal="center" vertical="center" wrapText="1"/>
    </xf>
    <xf numFmtId="14" fontId="156" fillId="6" borderId="1" xfId="2" applyNumberFormat="1" applyFont="1" applyFill="1" applyBorder="1" applyAlignment="1">
      <alignment horizontal="center" vertical="center" wrapText="1"/>
    </xf>
    <xf numFmtId="0" fontId="156" fillId="5" borderId="0" xfId="2" applyFont="1" applyFill="1" applyAlignment="1">
      <alignment vertical="center"/>
    </xf>
    <xf numFmtId="0" fontId="157" fillId="0" borderId="0" xfId="0" applyFont="1" applyAlignment="1"/>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9" fillId="6" borderId="0" xfId="2" applyFont="1" applyFill="1" applyBorder="1" applyAlignment="1">
      <alignment horizontal="center" wrapText="1"/>
    </xf>
    <xf numFmtId="14" fontId="19" fillId="6" borderId="0" xfId="2" applyNumberFormat="1" applyFont="1" applyFill="1" applyBorder="1" applyAlignment="1">
      <alignment horizontal="center" wrapText="1"/>
    </xf>
    <xf numFmtId="0" fontId="137" fillId="6" borderId="87" xfId="2" applyFont="1" applyFill="1" applyBorder="1"/>
    <xf numFmtId="14" fontId="137" fillId="6" borderId="78" xfId="2" applyNumberFormat="1" applyFont="1" applyFill="1" applyBorder="1" applyAlignment="1" applyProtection="1">
      <alignment horizontal="center"/>
    </xf>
    <xf numFmtId="0" fontId="137" fillId="6" borderId="78" xfId="2" applyFont="1" applyFill="1" applyBorder="1" applyAlignment="1" applyProtection="1">
      <alignment horizontal="center"/>
    </xf>
    <xf numFmtId="10" fontId="137" fillId="6" borderId="78" xfId="2" applyNumberFormat="1" applyFont="1" applyFill="1" applyBorder="1" applyAlignment="1">
      <alignment horizontal="center"/>
    </xf>
    <xf numFmtId="0" fontId="137" fillId="0" borderId="87" xfId="2" applyFont="1" applyBorder="1"/>
    <xf numFmtId="0" fontId="107" fillId="0" borderId="87" xfId="0" applyFont="1" applyBorder="1" applyAlignment="1"/>
    <xf numFmtId="0" fontId="107" fillId="0" borderId="0" xfId="0" applyFont="1" applyAlignment="1"/>
    <xf numFmtId="0" fontId="135" fillId="6" borderId="78" xfId="2" applyFont="1" applyFill="1" applyBorder="1" applyAlignment="1">
      <alignment horizontal="center"/>
    </xf>
    <xf numFmtId="177" fontId="135" fillId="6" borderId="87" xfId="2" applyNumberFormat="1" applyFont="1" applyFill="1" applyBorder="1" applyAlignment="1">
      <alignment horizontal="center"/>
    </xf>
    <xf numFmtId="0" fontId="117" fillId="0" borderId="1" xfId="5" applyFont="1" applyFill="1" applyBorder="1" applyAlignment="1">
      <alignment horizontal="left" vertical="center"/>
    </xf>
    <xf numFmtId="0" fontId="99" fillId="0" borderId="1" xfId="0" applyNumberFormat="1" applyFont="1" applyFill="1" applyBorder="1" applyAlignment="1" applyProtection="1">
      <alignment horizontal="center" vertical="center" wrapText="1"/>
      <protection locked="0"/>
    </xf>
    <xf numFmtId="0" fontId="99" fillId="0" borderId="1" xfId="0" applyNumberFormat="1" applyFont="1" applyFill="1" applyBorder="1" applyAlignment="1" applyProtection="1">
      <alignment horizontal="left" vertical="center" wrapText="1"/>
      <protection locked="0"/>
    </xf>
    <xf numFmtId="0" fontId="99" fillId="0" borderId="5" xfId="0" applyNumberFormat="1" applyFont="1" applyFill="1" applyBorder="1" applyAlignment="1" applyProtection="1">
      <alignment horizontal="center" vertical="center" wrapText="1"/>
      <protection locked="0"/>
    </xf>
    <xf numFmtId="0" fontId="99" fillId="0" borderId="48" xfId="0" applyNumberFormat="1" applyFont="1" applyFill="1" applyBorder="1" applyAlignment="1" applyProtection="1">
      <alignment horizontal="center" vertical="center" wrapText="1"/>
      <protection locked="0"/>
    </xf>
    <xf numFmtId="0" fontId="99" fillId="0" borderId="13" xfId="0" applyNumberFormat="1" applyFont="1" applyFill="1" applyBorder="1" applyAlignment="1" applyProtection="1">
      <alignment horizontal="center" vertical="center" wrapText="1"/>
      <protection locked="0"/>
    </xf>
    <xf numFmtId="0" fontId="99" fillId="0" borderId="46" xfId="0" applyNumberFormat="1" applyFont="1" applyFill="1" applyBorder="1" applyAlignment="1" applyProtection="1">
      <alignment horizontal="center" vertical="center" wrapText="1"/>
      <protection locked="0"/>
    </xf>
    <xf numFmtId="0" fontId="99" fillId="0" borderId="59"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center" vertical="center" wrapText="1"/>
      <protection locked="0"/>
    </xf>
    <xf numFmtId="0" fontId="99" fillId="0" borderId="110" xfId="0" applyNumberFormat="1" applyFont="1" applyFill="1" applyBorder="1" applyAlignment="1" applyProtection="1">
      <alignment horizontal="left" vertical="center" wrapText="1"/>
      <protection locked="0"/>
    </xf>
    <xf numFmtId="0" fontId="99" fillId="0" borderId="111" xfId="0" applyNumberFormat="1" applyFont="1" applyFill="1" applyBorder="1" applyAlignment="1" applyProtection="1">
      <alignment horizontal="center" vertical="center" wrapText="1"/>
      <protection locked="0"/>
    </xf>
    <xf numFmtId="0" fontId="99" fillId="0" borderId="112" xfId="0" applyNumberFormat="1" applyFont="1" applyFill="1" applyBorder="1" applyAlignment="1" applyProtection="1">
      <alignment horizontal="center" vertical="center" wrapText="1"/>
      <protection locked="0"/>
    </xf>
    <xf numFmtId="0" fontId="99" fillId="6" borderId="98" xfId="0" applyNumberFormat="1" applyFont="1" applyFill="1" applyBorder="1" applyAlignment="1" applyProtection="1">
      <alignment horizontal="center" vertical="center" wrapText="1"/>
    </xf>
    <xf numFmtId="0" fontId="99" fillId="0" borderId="2" xfId="0" applyNumberFormat="1" applyFont="1" applyFill="1" applyBorder="1" applyAlignment="1" applyProtection="1">
      <alignment horizontal="center" vertical="center" wrapText="1"/>
      <protection locked="0"/>
    </xf>
    <xf numFmtId="0" fontId="99" fillId="0" borderId="4" xfId="0" applyNumberFormat="1" applyFont="1" applyFill="1" applyBorder="1" applyAlignment="1" applyProtection="1">
      <alignment horizontal="center" vertical="center" wrapText="1"/>
      <protection locked="0"/>
    </xf>
    <xf numFmtId="0" fontId="99" fillId="0" borderId="58" xfId="0" applyFont="1" applyFill="1" applyBorder="1" applyAlignment="1" applyProtection="1">
      <alignment horizontal="center" vertical="center"/>
      <protection locked="0"/>
    </xf>
    <xf numFmtId="0"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wrapText="1"/>
      <protection locked="0"/>
    </xf>
    <xf numFmtId="9" fontId="99" fillId="0" borderId="15" xfId="0" applyNumberFormat="1" applyFont="1" applyFill="1" applyBorder="1" applyAlignment="1" applyProtection="1">
      <alignment horizontal="center" vertical="center" wrapText="1"/>
      <protection locked="0"/>
    </xf>
    <xf numFmtId="0" fontId="99" fillId="0" borderId="15" xfId="0" applyFont="1" applyFill="1" applyBorder="1" applyAlignment="1" applyProtection="1">
      <alignment horizontal="center" vertical="center"/>
      <protection locked="0"/>
    </xf>
    <xf numFmtId="0" fontId="99" fillId="0" borderId="56" xfId="0" applyFont="1" applyFill="1" applyBorder="1" applyAlignment="1" applyProtection="1">
      <alignment horizontal="center" vertical="center"/>
      <protection locked="0"/>
    </xf>
    <xf numFmtId="0" fontId="99" fillId="0" borderId="2" xfId="0" applyNumberFormat="1" applyFont="1" applyFill="1" applyBorder="1" applyAlignment="1" applyProtection="1">
      <alignment horizontal="left" vertical="center" wrapText="1"/>
      <protection locked="0"/>
    </xf>
    <xf numFmtId="0" fontId="99" fillId="6" borderId="13" xfId="0" applyNumberFormat="1" applyFont="1" applyFill="1" applyBorder="1" applyAlignment="1" applyProtection="1">
      <alignment horizontal="center" vertical="center" wrapText="1"/>
    </xf>
    <xf numFmtId="0" fontId="54" fillId="6" borderId="1" xfId="0" applyNumberFormat="1" applyFont="1" applyFill="1" applyBorder="1" applyAlignment="1" applyProtection="1">
      <alignment horizontal="right" vertical="center"/>
    </xf>
    <xf numFmtId="0" fontId="58" fillId="6" borderId="10" xfId="0" applyFont="1" applyFill="1" applyBorder="1" applyAlignment="1" applyProtection="1">
      <alignment horizontal="center" vertical="center" wrapText="1"/>
    </xf>
    <xf numFmtId="0" fontId="58" fillId="6" borderId="49" xfId="0" applyFont="1" applyFill="1" applyBorder="1" applyAlignment="1" applyProtection="1">
      <alignment horizontal="center" vertical="center" wrapText="1"/>
    </xf>
    <xf numFmtId="0" fontId="47" fillId="0" borderId="24" xfId="0" applyFont="1" applyBorder="1" applyProtection="1">
      <alignment vertical="center"/>
      <protection locked="0"/>
    </xf>
    <xf numFmtId="0" fontId="159" fillId="0" borderId="1" xfId="12" applyFont="1" applyBorder="1" applyAlignment="1" applyProtection="1">
      <alignment horizontal="left" vertical="center" wrapText="1"/>
      <protection locked="0"/>
    </xf>
    <xf numFmtId="0" fontId="163" fillId="6" borderId="1" xfId="0" applyFont="1" applyFill="1" applyBorder="1" applyAlignment="1">
      <alignment horizontal="left" vertical="center" wrapText="1"/>
    </xf>
    <xf numFmtId="0" fontId="98" fillId="6" borderId="9" xfId="0" applyNumberFormat="1" applyFont="1" applyFill="1" applyBorder="1" applyAlignment="1" applyProtection="1">
      <alignment horizontal="center" vertical="center" wrapText="1"/>
    </xf>
    <xf numFmtId="0" fontId="98" fillId="6" borderId="10" xfId="0" applyNumberFormat="1" applyFont="1" applyFill="1" applyBorder="1" applyAlignment="1" applyProtection="1">
      <alignment horizontal="center" vertical="center" wrapText="1"/>
    </xf>
    <xf numFmtId="10" fontId="53" fillId="6" borderId="17" xfId="0" applyNumberFormat="1" applyFont="1" applyFill="1" applyBorder="1" applyAlignment="1" applyProtection="1">
      <alignment horizontal="center" vertical="center" wrapText="1"/>
    </xf>
    <xf numFmtId="0" fontId="167" fillId="0" borderId="108" xfId="0" applyNumberFormat="1" applyFont="1" applyFill="1" applyBorder="1" applyAlignment="1" applyProtection="1">
      <alignment horizontal="center" vertical="center" wrapText="1"/>
      <protection locked="0"/>
    </xf>
    <xf numFmtId="0" fontId="167" fillId="0" borderId="18" xfId="0" applyNumberFormat="1" applyFont="1" applyFill="1" applyBorder="1" applyAlignment="1" applyProtection="1">
      <alignment horizontal="center" vertical="center" wrapText="1"/>
      <protection locked="0"/>
    </xf>
    <xf numFmtId="0" fontId="112" fillId="6" borderId="24" xfId="0" applyFont="1" applyFill="1" applyBorder="1" applyAlignment="1" applyProtection="1">
      <alignment horizontal="left" vertical="center"/>
    </xf>
    <xf numFmtId="0" fontId="168" fillId="6" borderId="32" xfId="0" applyFont="1" applyFill="1" applyBorder="1" applyAlignment="1" applyProtection="1">
      <alignment horizontal="center" vertical="center"/>
    </xf>
    <xf numFmtId="0" fontId="47" fillId="6" borderId="19" xfId="0" applyFont="1" applyFill="1" applyBorder="1" applyAlignment="1" applyProtection="1">
      <alignment horizontal="center" vertical="center"/>
      <protection locked="0"/>
    </xf>
    <xf numFmtId="0" fontId="47" fillId="5" borderId="66" xfId="0" applyFont="1" applyFill="1" applyBorder="1" applyAlignment="1" applyProtection="1">
      <alignment horizontal="center" vertical="center"/>
      <protection locked="0"/>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4" fillId="0" borderId="1" xfId="0" applyFont="1" applyBorder="1" applyAlignment="1" applyProtection="1">
      <alignment horizontal="center" vertical="center"/>
      <protection locked="0"/>
    </xf>
    <xf numFmtId="0" fontId="47"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center" vertical="center" wrapText="1"/>
    </xf>
    <xf numFmtId="0" fontId="99" fillId="6" borderId="1" xfId="0" applyFont="1" applyFill="1" applyBorder="1" applyAlignment="1" applyProtection="1">
      <alignment horizontal="center" vertical="center" wrapText="1"/>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5"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53" fillId="6" borderId="3" xfId="8" applyFont="1" applyFill="1" applyBorder="1" applyAlignment="1" applyProtection="1">
      <alignment horizontal="center" vertical="center" wrapText="1"/>
      <protection locked="0"/>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58" fillId="5" borderId="0" xfId="0" applyFont="1" applyFill="1" applyAlignment="1" applyProtection="1">
      <alignment horizontal="right" vertical="center"/>
      <protection locked="0"/>
    </xf>
    <xf numFmtId="49" fontId="58" fillId="6" borderId="0" xfId="0" applyNumberFormat="1" applyFont="1" applyFill="1" applyBorder="1" applyAlignment="1" applyProtection="1">
      <alignment horizontal="center"/>
    </xf>
    <xf numFmtId="0" fontId="53" fillId="6" borderId="13" xfId="0" applyFont="1" applyFill="1" applyBorder="1" applyAlignment="1" applyProtection="1">
      <alignment vertical="center"/>
    </xf>
    <xf numFmtId="0" fontId="47" fillId="6" borderId="22" xfId="0" applyFont="1" applyFill="1" applyBorder="1" applyAlignment="1" applyProtection="1">
      <alignment vertical="center" wrapText="1"/>
    </xf>
    <xf numFmtId="0" fontId="47" fillId="6" borderId="22" xfId="0" applyFont="1" applyFill="1" applyBorder="1" applyAlignment="1" applyProtection="1">
      <alignment vertical="center"/>
    </xf>
    <xf numFmtId="0" fontId="170" fillId="6" borderId="1" xfId="0" applyFont="1" applyFill="1" applyBorder="1" applyAlignment="1" applyProtection="1">
      <alignment horizontal="right" vertical="center" wrapText="1"/>
    </xf>
    <xf numFmtId="0" fontId="112" fillId="6" borderId="15" xfId="0" applyFont="1" applyFill="1" applyBorder="1" applyAlignment="1" applyProtection="1">
      <alignment vertical="center"/>
    </xf>
    <xf numFmtId="0" fontId="47" fillId="6" borderId="118" xfId="0" applyFont="1" applyFill="1" applyBorder="1" applyAlignment="1" applyProtection="1">
      <alignment vertical="center" wrapText="1"/>
    </xf>
    <xf numFmtId="0" fontId="47" fillId="2" borderId="1" xfId="0" applyFont="1" applyFill="1" applyBorder="1" applyAlignment="1" applyProtection="1">
      <alignment horizontal="left" vertical="center" wrapText="1"/>
      <protection locked="0"/>
    </xf>
    <xf numFmtId="0" fontId="52" fillId="6" borderId="46" xfId="0" applyFont="1" applyFill="1" applyBorder="1" applyAlignment="1" applyProtection="1">
      <alignment vertical="center" wrapText="1"/>
      <protection locked="0"/>
    </xf>
    <xf numFmtId="0" fontId="47" fillId="6" borderId="1" xfId="0" applyFont="1" applyFill="1" applyBorder="1" applyAlignment="1" applyProtection="1">
      <protection locked="0"/>
    </xf>
    <xf numFmtId="0" fontId="47" fillId="6" borderId="3" xfId="0" applyFont="1" applyFill="1" applyBorder="1" applyAlignment="1" applyProtection="1">
      <alignment vertical="center" wrapText="1"/>
    </xf>
    <xf numFmtId="0" fontId="47" fillId="6" borderId="36" xfId="0" applyFont="1" applyFill="1" applyBorder="1" applyAlignment="1" applyProtection="1">
      <alignment horizontal="left" vertical="center"/>
    </xf>
    <xf numFmtId="49" fontId="64" fillId="6" borderId="60" xfId="0" applyNumberFormat="1" applyFont="1" applyFill="1" applyBorder="1" applyAlignment="1" applyProtection="1"/>
    <xf numFmtId="0" fontId="77" fillId="6" borderId="13" xfId="0" applyFont="1" applyFill="1" applyBorder="1" applyAlignment="1" applyProtection="1">
      <alignment vertical="center"/>
    </xf>
    <xf numFmtId="0" fontId="77" fillId="6" borderId="22" xfId="0" applyFont="1" applyFill="1" applyBorder="1" applyAlignment="1" applyProtection="1">
      <alignment vertical="center"/>
    </xf>
    <xf numFmtId="177" fontId="57" fillId="6" borderId="60" xfId="0" applyNumberFormat="1" applyFont="1" applyFill="1" applyBorder="1" applyAlignment="1" applyProtection="1"/>
    <xf numFmtId="49" fontId="57" fillId="2" borderId="27" xfId="0" applyNumberFormat="1" applyFont="1" applyFill="1" applyBorder="1" applyAlignment="1" applyProtection="1">
      <alignment horizontal="right"/>
      <protection locked="0"/>
    </xf>
    <xf numFmtId="0" fontId="53" fillId="6" borderId="0" xfId="0" applyFont="1" applyFill="1" applyAlignment="1" applyProtection="1">
      <alignment horizontal="center" vertical="center"/>
    </xf>
    <xf numFmtId="0" fontId="53" fillId="6" borderId="0" xfId="0" applyFont="1" applyFill="1" applyAlignment="1" applyProtection="1">
      <alignment vertical="center"/>
    </xf>
    <xf numFmtId="49" fontId="54" fillId="6" borderId="0" xfId="0" applyNumberFormat="1" applyFont="1" applyFill="1" applyBorder="1" applyAlignment="1" applyProtection="1">
      <alignment horizontal="center"/>
    </xf>
    <xf numFmtId="49" fontId="54" fillId="6" borderId="0" xfId="0" applyNumberFormat="1" applyFont="1" applyFill="1" applyBorder="1" applyAlignment="1" applyProtection="1">
      <alignment horizontal="left"/>
    </xf>
    <xf numFmtId="0" fontId="53" fillId="7" borderId="0" xfId="0" applyFont="1" applyFill="1" applyAlignment="1" applyProtection="1">
      <alignment vertical="center"/>
      <protection locked="0"/>
    </xf>
    <xf numFmtId="0" fontId="54" fillId="6" borderId="1" xfId="1" applyFont="1" applyFill="1" applyBorder="1" applyAlignment="1" applyProtection="1">
      <alignment vertical="center"/>
    </xf>
    <xf numFmtId="0" fontId="52" fillId="6" borderId="1" xfId="0" applyFont="1" applyFill="1" applyBorder="1" applyAlignment="1" applyProtection="1">
      <alignment horizontal="right" vertical="center"/>
    </xf>
    <xf numFmtId="0" fontId="53" fillId="6" borderId="0" xfId="0" applyFont="1" applyFill="1" applyBorder="1" applyAlignment="1" applyProtection="1">
      <alignment vertical="center"/>
    </xf>
    <xf numFmtId="49" fontId="53" fillId="6" borderId="0" xfId="0" applyNumberFormat="1" applyFont="1" applyFill="1" applyBorder="1" applyAlignment="1" applyProtection="1"/>
    <xf numFmtId="49" fontId="54" fillId="6" borderId="0" xfId="0" applyNumberFormat="1" applyFont="1" applyFill="1" applyBorder="1" applyAlignment="1" applyProtection="1"/>
    <xf numFmtId="0" fontId="54" fillId="6" borderId="32" xfId="1" applyFont="1" applyFill="1" applyBorder="1" applyAlignment="1" applyProtection="1">
      <alignment vertical="center"/>
    </xf>
    <xf numFmtId="0" fontId="52" fillId="6" borderId="32" xfId="0" applyFont="1" applyFill="1" applyBorder="1" applyAlignment="1" applyProtection="1">
      <alignment horizontal="right" vertical="center"/>
    </xf>
    <xf numFmtId="0" fontId="47" fillId="6" borderId="60" xfId="0" applyFont="1" applyFill="1" applyBorder="1" applyAlignment="1" applyProtection="1">
      <alignment vertical="center"/>
    </xf>
    <xf numFmtId="0" fontId="47" fillId="6" borderId="71" xfId="0" applyFont="1" applyFill="1" applyBorder="1" applyAlignment="1" applyProtection="1">
      <alignment vertical="center"/>
    </xf>
    <xf numFmtId="0" fontId="47" fillId="6" borderId="88" xfId="0" applyFont="1" applyFill="1" applyBorder="1" applyAlignment="1" applyProtection="1">
      <alignment vertical="center"/>
    </xf>
    <xf numFmtId="0" fontId="47" fillId="6" borderId="90" xfId="0" applyFont="1" applyFill="1" applyBorder="1" applyAlignment="1" applyProtection="1">
      <alignment vertical="center"/>
    </xf>
    <xf numFmtId="0" fontId="48" fillId="7" borderId="0" xfId="0" applyFont="1" applyFill="1" applyAlignment="1" applyProtection="1">
      <alignment vertical="center"/>
      <protection locked="0"/>
    </xf>
    <xf numFmtId="0" fontId="48" fillId="0" borderId="0" xfId="0" applyFont="1" applyFill="1" applyAlignment="1" applyProtection="1">
      <alignment vertical="center"/>
      <protection locked="0"/>
    </xf>
    <xf numFmtId="0" fontId="54" fillId="6" borderId="0" xfId="0" applyFont="1" applyFill="1" applyBorder="1" applyAlignment="1" applyProtection="1">
      <alignment horizontal="left" vertical="center"/>
      <protection locked="0"/>
    </xf>
    <xf numFmtId="0" fontId="60" fillId="6" borderId="0" xfId="0" applyFont="1" applyFill="1" applyBorder="1" applyAlignment="1" applyProtection="1">
      <alignment horizontal="center" vertical="center"/>
      <protection locked="0"/>
    </xf>
    <xf numFmtId="0" fontId="47" fillId="7" borderId="0" xfId="0" applyFont="1" applyFill="1" applyAlignment="1" applyProtection="1">
      <protection locked="0"/>
    </xf>
    <xf numFmtId="0" fontId="47" fillId="7" borderId="0" xfId="0" applyFont="1" applyFill="1" applyAlignment="1" applyProtection="1">
      <alignment horizontal="center"/>
      <protection locked="0"/>
    </xf>
    <xf numFmtId="0" fontId="53" fillId="7" borderId="0" xfId="0" applyFont="1" applyFill="1" applyAlignment="1" applyProtection="1">
      <alignment horizontal="left" vertical="center"/>
      <protection locked="0"/>
    </xf>
    <xf numFmtId="0" fontId="138" fillId="6" borderId="0" xfId="0" applyFont="1" applyFill="1" applyAlignment="1" applyProtection="1">
      <alignment vertical="center"/>
    </xf>
    <xf numFmtId="0" fontId="138" fillId="7" borderId="0" xfId="0" applyFont="1" applyFill="1" applyAlignment="1" applyProtection="1">
      <protection locked="0"/>
    </xf>
    <xf numFmtId="0" fontId="53" fillId="6" borderId="16" xfId="0" applyFont="1" applyFill="1" applyBorder="1" applyAlignment="1" applyProtection="1">
      <alignment horizontal="center" vertical="center"/>
    </xf>
    <xf numFmtId="0" fontId="47" fillId="6" borderId="31" xfId="0" applyFont="1" applyFill="1" applyBorder="1" applyAlignment="1" applyProtection="1"/>
    <xf numFmtId="0" fontId="138" fillId="7" borderId="63" xfId="0" applyFont="1" applyFill="1" applyBorder="1" applyAlignment="1" applyProtection="1">
      <alignment vertical="center"/>
      <protection locked="0"/>
    </xf>
    <xf numFmtId="0" fontId="53" fillId="7" borderId="64" xfId="0" applyFont="1" applyFill="1" applyBorder="1" applyAlignment="1" applyProtection="1">
      <alignment vertical="center"/>
      <protection locked="0"/>
    </xf>
    <xf numFmtId="0" fontId="53" fillId="7" borderId="65" xfId="0" applyFont="1" applyFill="1" applyBorder="1" applyAlignment="1" applyProtection="1">
      <alignment horizontal="left" vertical="center"/>
      <protection locked="0"/>
    </xf>
    <xf numFmtId="0" fontId="102" fillId="6" borderId="82" xfId="0" applyFont="1" applyFill="1" applyBorder="1" applyAlignment="1" applyProtection="1">
      <alignment horizontal="center" vertical="center"/>
    </xf>
    <xf numFmtId="0" fontId="99" fillId="6" borderId="82" xfId="0" applyFont="1" applyFill="1" applyBorder="1" applyAlignment="1" applyProtection="1">
      <alignment vertical="center" wrapText="1"/>
    </xf>
    <xf numFmtId="0" fontId="99" fillId="6" borderId="65" xfId="0" applyFont="1" applyFill="1" applyBorder="1" applyAlignment="1" applyProtection="1">
      <alignment vertical="center"/>
    </xf>
    <xf numFmtId="0" fontId="99" fillId="6" borderId="65" xfId="0" applyFont="1" applyFill="1" applyBorder="1" applyAlignment="1" applyProtection="1">
      <alignment vertical="center" wrapText="1"/>
    </xf>
    <xf numFmtId="0" fontId="53" fillId="6" borderId="6" xfId="0" applyFont="1" applyFill="1" applyBorder="1" applyAlignment="1" applyProtection="1">
      <alignment vertical="center"/>
    </xf>
    <xf numFmtId="0" fontId="53" fillId="5" borderId="10" xfId="0" applyFont="1" applyFill="1" applyBorder="1" applyAlignment="1" applyProtection="1">
      <alignment horizontal="center" vertical="center"/>
      <protection locked="0"/>
    </xf>
    <xf numFmtId="0" fontId="53" fillId="6" borderId="6" xfId="0" applyFont="1" applyFill="1" applyBorder="1" applyAlignment="1" applyProtection="1">
      <alignment horizontal="left" vertical="center"/>
      <protection locked="0"/>
    </xf>
    <xf numFmtId="0" fontId="53" fillId="6" borderId="10" xfId="0" applyFont="1" applyFill="1" applyBorder="1" applyAlignment="1" applyProtection="1">
      <alignment horizontal="center" vertical="center"/>
    </xf>
    <xf numFmtId="0" fontId="99" fillId="6" borderId="81" xfId="0" applyFont="1" applyFill="1" applyBorder="1" applyAlignment="1" applyProtection="1">
      <alignment vertical="center" wrapText="1"/>
    </xf>
    <xf numFmtId="0" fontId="99" fillId="6" borderId="43" xfId="0" applyFont="1" applyFill="1" applyBorder="1" applyAlignment="1" applyProtection="1">
      <alignment vertical="center"/>
    </xf>
    <xf numFmtId="0" fontId="99" fillId="6" borderId="43" xfId="0" applyFont="1" applyFill="1" applyBorder="1" applyAlignment="1" applyProtection="1">
      <alignment vertical="center" wrapText="1"/>
    </xf>
    <xf numFmtId="0" fontId="53" fillId="6" borderId="23" xfId="0" applyFont="1" applyFill="1" applyBorder="1" applyAlignment="1" applyProtection="1">
      <alignment vertical="center"/>
    </xf>
    <xf numFmtId="0" fontId="99" fillId="5" borderId="24" xfId="0" applyFont="1" applyFill="1" applyBorder="1" applyAlignment="1" applyProtection="1">
      <alignment horizontal="center"/>
      <protection locked="0"/>
    </xf>
    <xf numFmtId="0" fontId="99" fillId="6" borderId="23" xfId="0" applyFont="1" applyFill="1" applyBorder="1" applyAlignment="1" applyProtection="1">
      <alignment horizontal="left"/>
      <protection locked="0"/>
    </xf>
    <xf numFmtId="0" fontId="53" fillId="6" borderId="24" xfId="0" applyFont="1" applyFill="1" applyBorder="1" applyAlignment="1" applyProtection="1">
      <alignment horizontal="center" vertical="center"/>
    </xf>
    <xf numFmtId="0" fontId="53" fillId="7" borderId="0" xfId="0" applyFont="1" applyFill="1" applyBorder="1" applyAlignment="1" applyProtection="1">
      <alignment vertical="center"/>
      <protection locked="0"/>
    </xf>
    <xf numFmtId="0" fontId="53" fillId="7" borderId="24" xfId="0" applyFont="1" applyFill="1" applyBorder="1" applyAlignment="1" applyProtection="1">
      <alignment horizontal="center" vertical="center"/>
      <protection locked="0"/>
    </xf>
    <xf numFmtId="0" fontId="53" fillId="0" borderId="24" xfId="0" applyFont="1" applyFill="1" applyBorder="1" applyAlignment="1" applyProtection="1">
      <alignment horizontal="center" vertical="center"/>
      <protection locked="0"/>
    </xf>
    <xf numFmtId="0" fontId="99" fillId="6" borderId="81" xfId="0" applyFont="1" applyFill="1" applyBorder="1" applyAlignment="1" applyProtection="1">
      <alignment horizontal="right" vertical="center" wrapText="1"/>
    </xf>
    <xf numFmtId="0" fontId="99" fillId="6" borderId="24" xfId="0" applyFont="1" applyFill="1" applyBorder="1" applyAlignment="1" applyProtection="1">
      <alignment horizontal="center"/>
    </xf>
    <xf numFmtId="0" fontId="53" fillId="7" borderId="35" xfId="0" applyFont="1" applyFill="1" applyBorder="1" applyAlignment="1" applyProtection="1">
      <alignment vertical="center" wrapText="1"/>
      <protection locked="0"/>
    </xf>
    <xf numFmtId="10" fontId="99" fillId="6" borderId="43" xfId="0" applyNumberFormat="1" applyFont="1" applyFill="1" applyBorder="1" applyAlignment="1" applyProtection="1">
      <alignment vertical="center" wrapText="1"/>
    </xf>
    <xf numFmtId="49" fontId="53" fillId="6" borderId="23" xfId="0" applyNumberFormat="1" applyFont="1" applyFill="1" applyBorder="1" applyAlignment="1" applyProtection="1">
      <alignment horizontal="left" vertical="center"/>
    </xf>
    <xf numFmtId="0" fontId="53" fillId="6" borderId="24" xfId="0" applyNumberFormat="1" applyFont="1" applyFill="1" applyBorder="1" applyAlignment="1" applyProtection="1">
      <alignment horizontal="center" vertical="center"/>
    </xf>
    <xf numFmtId="0" fontId="53" fillId="6" borderId="23" xfId="0" applyFont="1" applyFill="1" applyBorder="1" applyAlignment="1" applyProtection="1">
      <alignment vertical="center"/>
      <protection locked="0"/>
    </xf>
    <xf numFmtId="193" fontId="53" fillId="6" borderId="24" xfId="0" applyNumberFormat="1" applyFont="1" applyFill="1" applyBorder="1" applyAlignment="1" applyProtection="1">
      <alignment horizontal="center" vertical="center"/>
    </xf>
    <xf numFmtId="0" fontId="53" fillId="7" borderId="7" xfId="0" applyFont="1" applyFill="1" applyBorder="1" applyAlignment="1" applyProtection="1">
      <alignment vertical="center" wrapText="1"/>
      <protection locked="0"/>
    </xf>
    <xf numFmtId="0" fontId="53" fillId="6" borderId="25" xfId="0" applyFont="1" applyFill="1" applyBorder="1" applyAlignment="1" applyProtection="1">
      <alignment vertical="center"/>
    </xf>
    <xf numFmtId="10" fontId="53" fillId="0" borderId="49" xfId="0" applyNumberFormat="1" applyFont="1" applyFill="1" applyBorder="1" applyAlignment="1" applyProtection="1">
      <alignment horizontal="center" vertical="center"/>
      <protection locked="0"/>
    </xf>
    <xf numFmtId="0" fontId="53" fillId="6" borderId="26" xfId="0" applyFont="1" applyFill="1" applyBorder="1" applyAlignment="1" applyProtection="1">
      <alignment vertical="center" wrapText="1"/>
    </xf>
    <xf numFmtId="0" fontId="53" fillId="6" borderId="48" xfId="0" applyFont="1" applyFill="1" applyBorder="1" applyAlignment="1" applyProtection="1">
      <alignment vertical="center"/>
      <protection locked="0"/>
    </xf>
    <xf numFmtId="0" fontId="112" fillId="6" borderId="0" xfId="0" applyFont="1" applyFill="1" applyAlignment="1" applyProtection="1">
      <alignment vertical="center"/>
      <protection locked="0"/>
    </xf>
    <xf numFmtId="0" fontId="112" fillId="6" borderId="47" xfId="0" applyFont="1" applyFill="1" applyBorder="1" applyAlignment="1" applyProtection="1">
      <alignment vertical="center" wrapText="1"/>
    </xf>
    <xf numFmtId="0" fontId="54" fillId="6" borderId="51" xfId="0" applyFont="1" applyFill="1" applyBorder="1" applyAlignment="1" applyProtection="1">
      <alignment horizontal="left" vertical="center" wrapText="1"/>
    </xf>
    <xf numFmtId="181" fontId="53" fillId="6" borderId="9" xfId="0" applyNumberFormat="1" applyFont="1" applyFill="1" applyBorder="1" applyAlignment="1" applyProtection="1">
      <alignment horizontal="center" vertical="center"/>
    </xf>
    <xf numFmtId="0" fontId="54" fillId="6" borderId="16" xfId="0" applyFont="1" applyFill="1" applyBorder="1" applyAlignment="1" applyProtection="1">
      <alignment horizontal="center" vertical="center"/>
    </xf>
    <xf numFmtId="0" fontId="53" fillId="5" borderId="21" xfId="0" applyFont="1" applyFill="1" applyBorder="1" applyAlignment="1" applyProtection="1">
      <alignment horizontal="center" vertical="center"/>
      <protection locked="0"/>
    </xf>
    <xf numFmtId="0" fontId="53" fillId="6" borderId="1" xfId="0" applyFont="1" applyFill="1" applyBorder="1" applyAlignment="1" applyProtection="1">
      <alignment vertical="center"/>
      <protection locked="0"/>
    </xf>
    <xf numFmtId="0" fontId="53" fillId="6" borderId="54" xfId="0" applyFont="1" applyFill="1" applyBorder="1" applyAlignment="1" applyProtection="1">
      <alignment vertical="center"/>
      <protection locked="0"/>
    </xf>
    <xf numFmtId="0" fontId="53" fillId="6" borderId="41" xfId="0" applyFont="1" applyFill="1" applyBorder="1" applyAlignment="1" applyProtection="1">
      <alignment vertical="center" wrapText="1"/>
    </xf>
    <xf numFmtId="0" fontId="53" fillId="5" borderId="0" xfId="0" applyFont="1" applyFill="1" applyBorder="1" applyAlignment="1" applyProtection="1">
      <alignment horizontal="center" vertical="center"/>
      <protection locked="0"/>
    </xf>
    <xf numFmtId="0" fontId="53" fillId="6" borderId="18" xfId="0" applyFont="1" applyFill="1" applyBorder="1" applyAlignment="1" applyProtection="1">
      <alignment vertical="center"/>
      <protection locked="0"/>
    </xf>
    <xf numFmtId="0" fontId="53" fillId="6" borderId="4" xfId="0" applyFont="1" applyFill="1" applyBorder="1" applyAlignment="1" applyProtection="1">
      <alignment vertical="center"/>
      <protection locked="0"/>
    </xf>
    <xf numFmtId="0" fontId="53" fillId="6" borderId="60" xfId="0" applyFont="1" applyFill="1" applyBorder="1" applyAlignment="1" applyProtection="1">
      <alignment vertical="center"/>
      <protection locked="0"/>
    </xf>
    <xf numFmtId="0" fontId="53" fillId="6" borderId="71" xfId="0" applyFont="1" applyFill="1" applyBorder="1" applyAlignment="1" applyProtection="1">
      <alignment vertical="center"/>
      <protection locked="0"/>
    </xf>
    <xf numFmtId="0" fontId="53" fillId="6" borderId="23" xfId="0" applyFont="1" applyFill="1" applyBorder="1" applyAlignment="1" applyProtection="1">
      <alignment vertical="center" wrapText="1"/>
    </xf>
    <xf numFmtId="0" fontId="53" fillId="6" borderId="5" xfId="0" applyFont="1" applyFill="1" applyBorder="1" applyAlignment="1" applyProtection="1">
      <alignment horizontal="center" vertical="center"/>
    </xf>
    <xf numFmtId="181" fontId="53" fillId="6" borderId="5" xfId="0" applyNumberFormat="1" applyFont="1" applyFill="1" applyBorder="1" applyAlignment="1" applyProtection="1">
      <alignment horizontal="center" vertical="center"/>
    </xf>
    <xf numFmtId="49" fontId="54" fillId="6" borderId="25" xfId="0" applyNumberFormat="1" applyFont="1" applyFill="1" applyBorder="1" applyAlignment="1" applyProtection="1">
      <alignment horizontal="left" vertical="center"/>
    </xf>
    <xf numFmtId="0" fontId="53" fillId="6" borderId="49" xfId="0" applyFont="1" applyFill="1" applyBorder="1" applyAlignment="1" applyProtection="1">
      <alignment horizontal="center" vertical="center"/>
    </xf>
    <xf numFmtId="0" fontId="54" fillId="6" borderId="25" xfId="0" applyFont="1" applyFill="1" applyBorder="1" applyAlignment="1" applyProtection="1">
      <alignment horizontal="center" vertical="center"/>
    </xf>
    <xf numFmtId="0" fontId="53" fillId="6" borderId="0" xfId="0" applyFont="1" applyFill="1" applyAlignment="1" applyProtection="1">
      <alignment vertical="center"/>
      <protection locked="0"/>
    </xf>
    <xf numFmtId="0" fontId="53" fillId="6" borderId="1" xfId="0" applyFont="1" applyFill="1" applyBorder="1" applyAlignment="1"/>
    <xf numFmtId="0" fontId="53" fillId="6" borderId="1" xfId="0" applyFont="1" applyFill="1" applyBorder="1" applyAlignment="1">
      <alignment horizontal="center"/>
    </xf>
    <xf numFmtId="0" fontId="53" fillId="6" borderId="1" xfId="0" applyFont="1" applyFill="1" applyBorder="1" applyAlignment="1" applyProtection="1">
      <alignment horizontal="center" vertical="center"/>
      <protection locked="0"/>
    </xf>
    <xf numFmtId="9" fontId="53" fillId="6" borderId="1" xfId="0" applyNumberFormat="1" applyFont="1" applyFill="1" applyBorder="1" applyAlignment="1" applyProtection="1">
      <alignment horizontal="center" vertical="center"/>
      <protection locked="0"/>
    </xf>
    <xf numFmtId="193" fontId="99" fillId="6" borderId="43" xfId="0" applyNumberFormat="1" applyFont="1" applyFill="1" applyBorder="1" applyAlignment="1" applyProtection="1">
      <alignment vertical="center" wrapText="1"/>
    </xf>
    <xf numFmtId="0" fontId="163" fillId="6" borderId="43" xfId="0" applyFont="1" applyFill="1" applyBorder="1" applyAlignment="1" applyProtection="1">
      <alignment vertical="center"/>
    </xf>
    <xf numFmtId="0" fontId="53" fillId="0" borderId="0" xfId="0" applyFont="1" applyFill="1" applyAlignment="1" applyProtection="1">
      <alignment horizontal="left" vertical="center"/>
      <protection locked="0"/>
    </xf>
    <xf numFmtId="0" fontId="47" fillId="6" borderId="1" xfId="0" applyFont="1" applyFill="1" applyBorder="1" applyAlignment="1" applyProtection="1">
      <alignment horizontal="center"/>
    </xf>
    <xf numFmtId="49" fontId="62" fillId="2" borderId="27" xfId="0" applyNumberFormat="1" applyFont="1" applyFill="1" applyBorder="1" applyAlignment="1" applyProtection="1">
      <alignment horizontal="right"/>
      <protection locked="0"/>
    </xf>
    <xf numFmtId="0" fontId="54" fillId="6" borderId="0" xfId="0" applyFont="1" applyFill="1" applyBorder="1" applyAlignment="1" applyProtection="1">
      <alignment vertical="center"/>
    </xf>
    <xf numFmtId="0" fontId="47" fillId="6" borderId="0" xfId="0" applyFont="1" applyFill="1" applyAlignment="1" applyProtection="1"/>
    <xf numFmtId="0" fontId="170" fillId="6" borderId="3" xfId="0" applyFont="1" applyFill="1" applyBorder="1" applyAlignment="1" applyProtection="1">
      <alignment horizontal="right" vertical="center" wrapText="1"/>
    </xf>
    <xf numFmtId="0" fontId="185" fillId="0" borderId="0" xfId="5" applyFont="1">
      <alignment vertical="center"/>
    </xf>
    <xf numFmtId="0" fontId="95" fillId="0" borderId="0" xfId="0" applyFont="1" applyProtection="1">
      <alignment vertical="center"/>
      <protection locked="0"/>
    </xf>
    <xf numFmtId="0" fontId="194" fillId="0" borderId="0" xfId="0" applyFont="1" applyBorder="1" applyAlignment="1">
      <alignment horizontal="center" vertical="center"/>
    </xf>
    <xf numFmtId="0" fontId="98" fillId="0" borderId="0" xfId="0" applyFont="1">
      <alignment vertical="center"/>
    </xf>
    <xf numFmtId="0" fontId="98" fillId="0" borderId="0" xfId="0" applyFont="1" applyBorder="1">
      <alignment vertical="center"/>
    </xf>
    <xf numFmtId="0" fontId="195" fillId="0" borderId="0" xfId="0" applyFont="1" applyAlignment="1">
      <alignment vertical="center"/>
    </xf>
    <xf numFmtId="0" fontId="129" fillId="0" borderId="0" xfId="0" applyFont="1" applyAlignment="1">
      <alignment vertical="center" wrapText="1"/>
    </xf>
    <xf numFmtId="0" fontId="196" fillId="0" borderId="0" xfId="0" applyFont="1">
      <alignment vertical="center"/>
    </xf>
    <xf numFmtId="0" fontId="197" fillId="0" borderId="0" xfId="0" applyFont="1">
      <alignment vertical="center"/>
    </xf>
    <xf numFmtId="0" fontId="198" fillId="0" borderId="0" xfId="0" applyFont="1" applyAlignment="1" applyProtection="1">
      <alignment vertical="center" wrapText="1"/>
      <protection locked="0"/>
    </xf>
    <xf numFmtId="0" fontId="129" fillId="0" borderId="0" xfId="0" applyFont="1" applyFill="1" applyAlignment="1">
      <alignment vertical="center" wrapText="1"/>
    </xf>
    <xf numFmtId="0" fontId="195" fillId="0" borderId="0" xfId="0" applyFont="1">
      <alignment vertical="center"/>
    </xf>
    <xf numFmtId="183" fontId="129" fillId="0" borderId="0" xfId="0" applyNumberFormat="1" applyFont="1" applyAlignment="1">
      <alignment horizontal="left" vertical="center"/>
    </xf>
    <xf numFmtId="0" fontId="129" fillId="0" borderId="0" xfId="0" applyFont="1">
      <alignment vertical="center"/>
    </xf>
    <xf numFmtId="0" fontId="199" fillId="5" borderId="0" xfId="0" applyFont="1" applyFill="1" applyProtection="1">
      <alignment vertical="center"/>
      <protection locked="0"/>
    </xf>
    <xf numFmtId="0" fontId="98" fillId="0" borderId="0" xfId="0" applyFont="1" applyProtection="1">
      <alignment vertical="center"/>
      <protection locked="0"/>
    </xf>
    <xf numFmtId="0" fontId="195" fillId="0" borderId="0" xfId="7" applyFont="1" applyProtection="1">
      <alignment vertical="center"/>
    </xf>
    <xf numFmtId="0" fontId="98" fillId="0" borderId="0" xfId="7" applyFont="1" applyProtection="1">
      <alignment vertical="center"/>
    </xf>
    <xf numFmtId="0" fontId="98" fillId="0" borderId="0" xfId="7" applyFont="1">
      <alignment vertical="center"/>
    </xf>
    <xf numFmtId="0" fontId="195" fillId="0" borderId="0" xfId="7" applyFont="1" applyAlignment="1" applyProtection="1">
      <alignment horizontal="center" vertical="center"/>
    </xf>
    <xf numFmtId="0" fontId="123" fillId="0" borderId="2" xfId="7" applyFont="1" applyFill="1" applyBorder="1" applyAlignment="1" applyProtection="1">
      <alignment horizontal="left" vertical="center" wrapText="1"/>
    </xf>
    <xf numFmtId="0" fontId="124" fillId="0" borderId="1" xfId="7" applyFont="1" applyFill="1" applyBorder="1" applyAlignment="1" applyProtection="1">
      <alignment horizontal="left" vertical="center" wrapText="1"/>
    </xf>
    <xf numFmtId="0" fontId="202" fillId="0" borderId="1" xfId="7" applyFont="1" applyFill="1" applyBorder="1" applyAlignment="1" applyProtection="1">
      <alignment horizontal="left" vertical="center" wrapText="1"/>
    </xf>
    <xf numFmtId="0" fontId="61" fillId="0" borderId="5" xfId="7" applyFont="1" applyFill="1" applyBorder="1" applyAlignment="1" applyProtection="1">
      <alignment vertical="center" wrapText="1"/>
    </xf>
    <xf numFmtId="0" fontId="104" fillId="0" borderId="1" xfId="7" applyFont="1" applyFill="1" applyBorder="1" applyAlignment="1" applyProtection="1">
      <alignment horizontal="left" vertical="center" wrapText="1"/>
    </xf>
    <xf numFmtId="0" fontId="123" fillId="0" borderId="1" xfId="7" applyFont="1" applyFill="1" applyBorder="1" applyAlignment="1" applyProtection="1">
      <alignment horizontal="left" vertical="center" wrapText="1"/>
    </xf>
    <xf numFmtId="0" fontId="203" fillId="0" borderId="1" xfId="7" applyFont="1" applyBorder="1" applyAlignment="1">
      <alignment horizontal="center" vertical="center"/>
    </xf>
    <xf numFmtId="0" fontId="124" fillId="0" borderId="78" xfId="7" applyFont="1" applyFill="1" applyBorder="1" applyAlignment="1" applyProtection="1">
      <alignment horizontal="left" vertical="center" wrapText="1"/>
    </xf>
    <xf numFmtId="0" fontId="99" fillId="0" borderId="0" xfId="7" applyFont="1" applyProtection="1">
      <alignment vertical="center"/>
    </xf>
    <xf numFmtId="0" fontId="98" fillId="0" borderId="0" xfId="7" applyFont="1" applyProtection="1">
      <alignment vertical="center"/>
      <protection locked="0"/>
    </xf>
    <xf numFmtId="0" fontId="129" fillId="0" borderId="0" xfId="7" applyFont="1" applyProtection="1">
      <alignment vertical="center"/>
      <protection locked="0"/>
    </xf>
    <xf numFmtId="0" fontId="61" fillId="0" borderId="1" xfId="0" applyFont="1" applyFill="1" applyBorder="1" applyAlignment="1" applyProtection="1">
      <alignment horizontal="left" vertical="center" wrapText="1"/>
    </xf>
    <xf numFmtId="0" fontId="129" fillId="0" borderId="0" xfId="0" applyFont="1" applyProtection="1">
      <alignment vertical="center"/>
      <protection locked="0"/>
    </xf>
    <xf numFmtId="0" fontId="95" fillId="0" borderId="0" xfId="0" applyFont="1" applyProtection="1">
      <alignment vertical="center"/>
    </xf>
    <xf numFmtId="0" fontId="192" fillId="0" borderId="0" xfId="0" applyFont="1" applyBorder="1" applyAlignment="1" applyProtection="1">
      <alignment horizontal="left" vertical="center"/>
    </xf>
    <xf numFmtId="0" fontId="210" fillId="0" borderId="0" xfId="0" applyFont="1" applyBorder="1" applyAlignment="1" applyProtection="1">
      <alignment horizontal="center" vertical="center" wrapText="1"/>
    </xf>
    <xf numFmtId="14" fontId="129" fillId="0" borderId="0" xfId="0" applyNumberFormat="1" applyFont="1" applyFill="1" applyBorder="1" applyAlignment="1" applyProtection="1">
      <alignment horizontal="center" vertical="center" wrapText="1"/>
    </xf>
    <xf numFmtId="0" fontId="129" fillId="0" borderId="0" xfId="0" applyFont="1" applyBorder="1" applyAlignment="1" applyProtection="1">
      <alignment horizontal="center" vertical="center" wrapText="1"/>
    </xf>
    <xf numFmtId="0" fontId="210" fillId="0" borderId="60" xfId="0" applyFont="1" applyBorder="1" applyAlignment="1" applyProtection="1">
      <alignment horizontal="justify" vertical="center" wrapText="1"/>
    </xf>
    <xf numFmtId="0" fontId="210" fillId="0" borderId="0" xfId="0" applyFont="1" applyBorder="1" applyAlignment="1" applyProtection="1">
      <alignment horizontal="right" vertical="center" wrapText="1"/>
    </xf>
    <xf numFmtId="0" fontId="210" fillId="0" borderId="54" xfId="0" applyFont="1" applyBorder="1" applyAlignment="1" applyProtection="1">
      <alignment horizontal="justify" vertical="center" wrapText="1"/>
    </xf>
    <xf numFmtId="0" fontId="211" fillId="0" borderId="0" xfId="0" applyFont="1" applyBorder="1" applyAlignment="1" applyProtection="1">
      <alignment horizontal="center" vertical="center" wrapText="1"/>
      <protection locked="0"/>
    </xf>
    <xf numFmtId="0" fontId="195" fillId="0" borderId="0" xfId="0" applyFont="1" applyBorder="1" applyAlignment="1" applyProtection="1">
      <alignment horizontal="left" vertical="center"/>
    </xf>
    <xf numFmtId="0" fontId="98" fillId="0" borderId="0" xfId="0" applyFont="1" applyAlignment="1" applyProtection="1">
      <alignment vertical="center" wrapText="1"/>
      <protection locked="0"/>
    </xf>
    <xf numFmtId="0" fontId="129" fillId="0" borderId="0" xfId="0" applyFont="1" applyAlignment="1">
      <alignment horizontal="right" vertical="center"/>
    </xf>
    <xf numFmtId="0" fontId="95" fillId="0" borderId="0" xfId="0" applyFont="1" applyBorder="1" applyProtection="1">
      <alignment vertical="center"/>
      <protection locked="0"/>
    </xf>
    <xf numFmtId="0" fontId="193" fillId="0" borderId="0" xfId="0" applyFont="1" applyBorder="1" applyProtection="1">
      <alignment vertical="center"/>
      <protection locked="0"/>
    </xf>
    <xf numFmtId="0" fontId="214" fillId="0" borderId="0" xfId="0" applyFont="1" applyProtection="1">
      <alignment vertical="center"/>
    </xf>
    <xf numFmtId="0" fontId="193" fillId="0" borderId="0" xfId="0" applyFont="1" applyProtection="1">
      <alignment vertical="center"/>
    </xf>
    <xf numFmtId="0" fontId="201" fillId="0" borderId="1" xfId="0" applyFont="1" applyBorder="1" applyAlignment="1" applyProtection="1">
      <alignment horizontal="center" vertical="center" wrapText="1"/>
    </xf>
    <xf numFmtId="0" fontId="95" fillId="0" borderId="0" xfId="0" applyFont="1" applyAlignment="1" applyProtection="1">
      <alignment horizontal="left" vertical="center"/>
    </xf>
    <xf numFmtId="0" fontId="201" fillId="0" borderId="0" xfId="0" applyFont="1" applyProtection="1">
      <alignment vertical="center"/>
    </xf>
    <xf numFmtId="0" fontId="201" fillId="2" borderId="1" xfId="0" applyFont="1" applyFill="1" applyBorder="1" applyAlignment="1" applyProtection="1">
      <alignment horizontal="center" vertical="center" wrapText="1"/>
    </xf>
    <xf numFmtId="0" fontId="201" fillId="6" borderId="1" xfId="0" applyFont="1" applyFill="1" applyBorder="1" applyAlignment="1" applyProtection="1">
      <alignment horizontal="center" vertical="center" wrapText="1"/>
    </xf>
    <xf numFmtId="0" fontId="217" fillId="4" borderId="1" xfId="0" applyFont="1" applyFill="1" applyBorder="1" applyAlignment="1" applyProtection="1">
      <alignment horizontal="center" vertical="center"/>
    </xf>
    <xf numFmtId="0" fontId="218" fillId="0" borderId="1" xfId="0" applyFont="1" applyFill="1" applyBorder="1" applyAlignment="1" applyProtection="1">
      <alignment horizontal="center" vertical="center"/>
    </xf>
    <xf numFmtId="0" fontId="216" fillId="0" borderId="0" xfId="0" applyFont="1" applyProtection="1">
      <alignment vertical="center"/>
    </xf>
    <xf numFmtId="0" fontId="115" fillId="0" borderId="1" xfId="0" applyFont="1" applyBorder="1" applyAlignment="1" applyProtection="1">
      <alignment horizontal="center" vertical="center"/>
    </xf>
    <xf numFmtId="0" fontId="95" fillId="0" borderId="1" xfId="0" applyFont="1" applyBorder="1" applyAlignment="1" applyProtection="1">
      <alignment horizontal="left" vertical="center"/>
    </xf>
    <xf numFmtId="0" fontId="95" fillId="8" borderId="5" xfId="0" applyFont="1" applyFill="1" applyBorder="1" applyAlignment="1" applyProtection="1">
      <alignment vertical="center"/>
    </xf>
    <xf numFmtId="0" fontId="95" fillId="7" borderId="54" xfId="0" applyFont="1" applyFill="1" applyBorder="1" applyAlignment="1" applyProtection="1">
      <alignment vertical="center"/>
    </xf>
    <xf numFmtId="0" fontId="95" fillId="7" borderId="3" xfId="0" applyFont="1" applyFill="1" applyBorder="1" applyAlignment="1" applyProtection="1">
      <alignment vertical="center"/>
    </xf>
    <xf numFmtId="0" fontId="219" fillId="0" borderId="0" xfId="0" applyFont="1" applyProtection="1">
      <alignment vertical="center"/>
    </xf>
    <xf numFmtId="0" fontId="216" fillId="0" borderId="0" xfId="0" applyFont="1" applyAlignment="1" applyProtection="1">
      <alignment horizontal="left" vertical="center"/>
    </xf>
    <xf numFmtId="176" fontId="216" fillId="0" borderId="0" xfId="0" applyNumberFormat="1" applyFont="1" applyAlignment="1" applyProtection="1">
      <alignment horizontal="left" vertical="center"/>
    </xf>
    <xf numFmtId="0" fontId="216" fillId="6" borderId="35" xfId="0" applyFont="1" applyFill="1" applyBorder="1" applyAlignment="1" applyProtection="1">
      <alignment horizontal="center" vertical="center" wrapText="1"/>
    </xf>
    <xf numFmtId="0" fontId="95" fillId="6" borderId="15" xfId="0" applyFont="1" applyFill="1" applyBorder="1" applyAlignment="1" applyProtection="1">
      <alignment horizontal="center" vertical="center" wrapText="1"/>
    </xf>
    <xf numFmtId="0" fontId="95" fillId="6" borderId="0" xfId="0" applyFont="1" applyFill="1" applyBorder="1" applyAlignment="1" applyProtection="1">
      <alignment horizontal="center" vertical="center" wrapText="1"/>
    </xf>
    <xf numFmtId="0" fontId="95" fillId="6" borderId="0" xfId="0" applyFont="1" applyFill="1" applyAlignment="1" applyProtection="1">
      <alignment horizontal="center" vertical="center" wrapText="1"/>
    </xf>
    <xf numFmtId="0" fontId="216" fillId="6" borderId="0" xfId="0" applyFont="1" applyFill="1" applyAlignment="1" applyProtection="1">
      <alignment horizontal="center" vertical="center" wrapText="1"/>
    </xf>
    <xf numFmtId="0" fontId="216" fillId="6" borderId="0" xfId="0" applyNumberFormat="1" applyFont="1" applyFill="1" applyBorder="1" applyAlignment="1" applyProtection="1">
      <alignment horizontal="center" vertical="center" wrapText="1"/>
    </xf>
    <xf numFmtId="0" fontId="95" fillId="0" borderId="0" xfId="0" applyFont="1" applyAlignment="1" applyProtection="1">
      <alignment horizontal="center" vertical="center" wrapText="1"/>
    </xf>
    <xf numFmtId="0" fontId="95" fillId="0" borderId="1" xfId="0" applyFont="1" applyBorder="1" applyAlignment="1" applyProtection="1">
      <alignment horizontal="left" vertical="center"/>
      <protection locked="0"/>
    </xf>
    <xf numFmtId="0" fontId="95" fillId="6" borderId="0" xfId="0" applyFont="1" applyFill="1" applyBorder="1" applyAlignment="1" applyProtection="1">
      <alignment horizontal="center" vertical="center"/>
      <protection locked="0"/>
    </xf>
    <xf numFmtId="0" fontId="95" fillId="6" borderId="0" xfId="0" applyFont="1" applyFill="1" applyAlignment="1" applyProtection="1">
      <alignment horizontal="center" vertical="center"/>
    </xf>
    <xf numFmtId="0" fontId="216" fillId="0" borderId="1" xfId="0" applyFont="1" applyBorder="1" applyAlignment="1" applyProtection="1">
      <alignment horizontal="left" vertical="center"/>
      <protection locked="0"/>
    </xf>
    <xf numFmtId="0" fontId="95" fillId="6" borderId="0" xfId="0" applyFont="1" applyFill="1" applyAlignment="1" applyProtection="1">
      <alignment horizontal="center" vertical="center"/>
      <protection locked="0"/>
    </xf>
    <xf numFmtId="0" fontId="95" fillId="6" borderId="0" xfId="0" applyFont="1" applyFill="1" applyProtection="1">
      <alignment vertical="center"/>
    </xf>
    <xf numFmtId="0" fontId="216" fillId="6" borderId="0" xfId="0" applyFont="1" applyFill="1" applyBorder="1" applyAlignment="1" applyProtection="1">
      <alignment horizontal="center" vertical="center"/>
      <protection locked="0"/>
    </xf>
    <xf numFmtId="0" fontId="95" fillId="6" borderId="0" xfId="0" applyFont="1" applyFill="1" applyBorder="1" applyAlignment="1" applyProtection="1">
      <alignment horizontal="left" vertical="center"/>
    </xf>
    <xf numFmtId="0" fontId="95" fillId="6" borderId="0" xfId="0" applyFont="1" applyFill="1" applyAlignment="1" applyProtection="1">
      <alignment horizontal="left" vertical="center"/>
    </xf>
    <xf numFmtId="0" fontId="95" fillId="6" borderId="0" xfId="0" applyFont="1" applyFill="1" applyBorder="1" applyAlignment="1" applyProtection="1">
      <alignment horizontal="center" vertical="center"/>
    </xf>
    <xf numFmtId="0" fontId="95" fillId="0" borderId="0" xfId="0" applyFont="1" applyBorder="1" applyAlignment="1" applyProtection="1">
      <alignment horizontal="center" vertical="center"/>
    </xf>
    <xf numFmtId="0" fontId="44" fillId="6" borderId="0" xfId="0" applyFont="1" applyFill="1" applyAlignment="1" applyProtection="1">
      <alignment vertical="center" wrapText="1"/>
    </xf>
    <xf numFmtId="0" fontId="44" fillId="6" borderId="0" xfId="0" applyFont="1" applyFill="1" applyAlignment="1" applyProtection="1">
      <alignment horizontal="center" vertical="center" wrapText="1"/>
    </xf>
    <xf numFmtId="0" fontId="44" fillId="0" borderId="0" xfId="0" applyFont="1" applyAlignment="1" applyProtection="1">
      <alignment vertical="center"/>
    </xf>
    <xf numFmtId="0" fontId="44" fillId="0" borderId="0" xfId="0" applyFont="1" applyAlignment="1" applyProtection="1">
      <alignment vertical="center" wrapText="1"/>
    </xf>
    <xf numFmtId="0" fontId="61" fillId="5" borderId="13" xfId="0" applyFont="1" applyFill="1" applyBorder="1" applyAlignment="1" applyProtection="1">
      <alignment horizontal="center" vertical="center" wrapText="1"/>
      <protection locked="0"/>
    </xf>
    <xf numFmtId="0" fontId="44" fillId="6" borderId="1" xfId="0" applyFont="1" applyFill="1" applyBorder="1" applyAlignment="1" applyProtection="1">
      <alignment vertical="center" wrapText="1"/>
    </xf>
    <xf numFmtId="0" fontId="47" fillId="5" borderId="15" xfId="0" applyFont="1" applyFill="1" applyBorder="1" applyAlignment="1" applyProtection="1">
      <alignment horizontal="center" vertical="center" wrapText="1"/>
      <protection locked="0"/>
    </xf>
    <xf numFmtId="0" fontId="47" fillId="6" borderId="74" xfId="0" applyFont="1" applyFill="1" applyBorder="1" applyAlignment="1" applyProtection="1">
      <alignment horizontal="center" vertical="center" wrapText="1"/>
    </xf>
    <xf numFmtId="0" fontId="47" fillId="5" borderId="74" xfId="0" applyFont="1" applyFill="1" applyBorder="1" applyAlignment="1" applyProtection="1">
      <alignment horizontal="center" vertical="center" wrapText="1"/>
      <protection locked="0"/>
    </xf>
    <xf numFmtId="0" fontId="112" fillId="6" borderId="74" xfId="0" applyFont="1" applyFill="1" applyBorder="1" applyAlignment="1" applyProtection="1">
      <alignment vertical="center" wrapText="1"/>
    </xf>
    <xf numFmtId="0" fontId="47" fillId="5" borderId="76" xfId="0" applyFont="1" applyFill="1" applyBorder="1" applyAlignment="1" applyProtection="1">
      <alignment horizontal="center" vertical="center" wrapText="1"/>
      <protection locked="0"/>
    </xf>
    <xf numFmtId="0" fontId="167" fillId="0" borderId="23" xfId="0" applyFont="1" applyBorder="1" applyAlignment="1" applyProtection="1">
      <alignment vertical="center" wrapText="1"/>
      <protection locked="0"/>
    </xf>
    <xf numFmtId="0" fontId="47" fillId="6" borderId="58" xfId="0" applyFont="1" applyFill="1" applyBorder="1" applyAlignment="1" applyProtection="1">
      <alignment horizontal="center" vertical="center" wrapText="1"/>
    </xf>
    <xf numFmtId="0" fontId="47" fillId="0" borderId="1" xfId="0" applyFont="1" applyBorder="1" applyAlignment="1" applyProtection="1">
      <alignment vertical="center" wrapText="1"/>
      <protection locked="0"/>
    </xf>
    <xf numFmtId="0" fontId="44" fillId="0" borderId="5" xfId="0" applyFont="1" applyBorder="1" applyAlignment="1" applyProtection="1">
      <alignment horizontal="center" vertical="center" wrapText="1"/>
      <protection locked="0"/>
    </xf>
    <xf numFmtId="0" fontId="44" fillId="0" borderId="0" xfId="0" applyFont="1" applyAlignment="1" applyProtection="1">
      <alignment vertical="center" wrapText="1"/>
      <protection locked="0"/>
    </xf>
    <xf numFmtId="0" fontId="44" fillId="0" borderId="0" xfId="0" applyFont="1" applyAlignment="1" applyProtection="1">
      <alignment horizontal="center" vertical="center" wrapText="1"/>
    </xf>
    <xf numFmtId="0" fontId="103" fillId="6" borderId="0" xfId="0" applyFont="1" applyFill="1" applyAlignment="1" applyProtection="1">
      <alignment horizontal="left" vertical="center"/>
    </xf>
    <xf numFmtId="0" fontId="101" fillId="6" borderId="0" xfId="0" applyFont="1" applyFill="1" applyAlignment="1" applyProtection="1">
      <alignment horizontal="left" vertical="center"/>
    </xf>
    <xf numFmtId="0" fontId="47" fillId="6" borderId="0" xfId="0" applyFont="1" applyFill="1" applyAlignment="1" applyProtection="1">
      <alignment horizontal="center" vertical="center" wrapText="1"/>
    </xf>
    <xf numFmtId="0" fontId="47" fillId="6" borderId="0" xfId="0" applyFont="1" applyFill="1" applyBorder="1" applyAlignment="1" applyProtection="1">
      <alignment horizontal="center" vertical="center"/>
    </xf>
    <xf numFmtId="0" fontId="47" fillId="6" borderId="0" xfId="0" applyFont="1" applyFill="1" applyBorder="1" applyAlignment="1" applyProtection="1">
      <alignment horizontal="center" vertical="center" wrapText="1"/>
    </xf>
    <xf numFmtId="0" fontId="47" fillId="0" borderId="0" xfId="0" applyFont="1" applyAlignment="1" applyProtection="1">
      <alignment horizontal="center" vertical="center" wrapText="1"/>
    </xf>
    <xf numFmtId="0" fontId="47" fillId="2" borderId="1" xfId="0" applyFont="1" applyFill="1" applyBorder="1" applyAlignment="1" applyProtection="1">
      <alignment horizontal="center" vertical="center" wrapText="1"/>
      <protection locked="0"/>
    </xf>
    <xf numFmtId="0" fontId="48" fillId="6" borderId="4" xfId="0" applyFont="1" applyFill="1" applyBorder="1" applyAlignment="1" applyProtection="1">
      <alignment horizontal="left" vertical="center"/>
    </xf>
    <xf numFmtId="179" fontId="47" fillId="6" borderId="0" xfId="0" applyNumberFormat="1" applyFont="1" applyFill="1" applyBorder="1" applyAlignment="1" applyProtection="1">
      <alignment horizontal="center" vertical="center" wrapText="1"/>
    </xf>
    <xf numFmtId="179" fontId="48" fillId="6" borderId="0" xfId="0" applyNumberFormat="1" applyFont="1" applyFill="1" applyBorder="1" applyAlignment="1" applyProtection="1">
      <alignment horizontal="center" vertical="center" wrapText="1"/>
    </xf>
    <xf numFmtId="176" fontId="47" fillId="6" borderId="0" xfId="0" applyNumberFormat="1" applyFont="1" applyFill="1" applyAlignment="1" applyProtection="1">
      <alignment horizontal="center" vertical="center" wrapText="1"/>
    </xf>
    <xf numFmtId="0" fontId="47" fillId="0" borderId="0" xfId="0" applyFont="1" applyFill="1" applyAlignment="1" applyProtection="1">
      <alignment horizontal="center" vertical="center" wrapText="1"/>
    </xf>
    <xf numFmtId="176" fontId="47" fillId="6" borderId="54" xfId="0" applyNumberFormat="1" applyFont="1" applyFill="1" applyBorder="1" applyAlignment="1" applyProtection="1">
      <alignment horizontal="center" vertical="center" wrapText="1"/>
    </xf>
    <xf numFmtId="176" fontId="47" fillId="6" borderId="3" xfId="0" applyNumberFormat="1" applyFont="1" applyFill="1" applyBorder="1" applyAlignment="1" applyProtection="1">
      <alignment horizontal="center" vertical="center" wrapText="1"/>
    </xf>
    <xf numFmtId="176" fontId="47" fillId="6" borderId="5" xfId="0" applyNumberFormat="1" applyFont="1" applyFill="1" applyBorder="1" applyAlignment="1" applyProtection="1">
      <alignment horizontal="center" vertical="center" wrapText="1"/>
    </xf>
    <xf numFmtId="176" fontId="47" fillId="0" borderId="0" xfId="0" applyNumberFormat="1" applyFont="1" applyAlignment="1" applyProtection="1">
      <alignment horizontal="center" vertical="center" wrapText="1"/>
    </xf>
    <xf numFmtId="0" fontId="47" fillId="6" borderId="46" xfId="0" applyFont="1" applyFill="1" applyBorder="1" applyAlignment="1" applyProtection="1">
      <alignment horizontal="left" vertical="center"/>
    </xf>
    <xf numFmtId="0" fontId="47" fillId="6" borderId="36" xfId="0" applyFont="1" applyFill="1" applyBorder="1" applyAlignment="1" applyProtection="1">
      <alignment horizontal="center" vertical="center" wrapText="1"/>
    </xf>
    <xf numFmtId="0" fontId="47" fillId="6" borderId="36" xfId="0" applyFont="1" applyFill="1" applyBorder="1" applyAlignment="1" applyProtection="1">
      <alignment horizontal="center" vertical="center"/>
    </xf>
    <xf numFmtId="0" fontId="47" fillId="6" borderId="59"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xf>
    <xf numFmtId="0" fontId="47" fillId="6" borderId="46" xfId="0" applyFont="1" applyFill="1" applyBorder="1" applyAlignment="1" applyProtection="1">
      <alignment horizontal="center" vertical="center"/>
    </xf>
    <xf numFmtId="179" fontId="47" fillId="6" borderId="5" xfId="0" applyNumberFormat="1" applyFont="1" applyFill="1" applyBorder="1" applyAlignment="1" applyProtection="1">
      <alignment horizontal="left" vertical="center"/>
    </xf>
    <xf numFmtId="0" fontId="48" fillId="6" borderId="54" xfId="0" applyFont="1" applyFill="1" applyBorder="1" applyAlignment="1" applyProtection="1">
      <alignment horizontal="center" vertical="center"/>
    </xf>
    <xf numFmtId="179" fontId="47" fillId="6" borderId="54" xfId="0" applyNumberFormat="1" applyFont="1" applyFill="1" applyBorder="1" applyAlignment="1" applyProtection="1">
      <alignment horizontal="center" vertical="center"/>
    </xf>
    <xf numFmtId="179" fontId="47" fillId="6" borderId="3" xfId="0" applyNumberFormat="1" applyFont="1" applyFill="1" applyBorder="1" applyAlignment="1" applyProtection="1">
      <alignment horizontal="center" vertical="center"/>
    </xf>
    <xf numFmtId="0" fontId="48" fillId="6" borderId="36" xfId="0" applyFont="1" applyFill="1" applyBorder="1" applyAlignment="1" applyProtection="1">
      <alignment horizontal="center" vertical="center"/>
    </xf>
    <xf numFmtId="0" fontId="47" fillId="0" borderId="0" xfId="0" applyFont="1" applyAlignment="1" applyProtection="1">
      <alignment horizontal="center" vertical="center"/>
    </xf>
    <xf numFmtId="179" fontId="47" fillId="6" borderId="0" xfId="0" applyNumberFormat="1" applyFont="1" applyFill="1" applyBorder="1" applyAlignment="1" applyProtection="1">
      <alignment horizontal="center" vertical="center"/>
    </xf>
    <xf numFmtId="0" fontId="47" fillId="2" borderId="4" xfId="0" applyFont="1" applyFill="1" applyBorder="1" applyAlignment="1" applyProtection="1">
      <alignment horizontal="left" vertical="center"/>
      <protection locked="0"/>
    </xf>
    <xf numFmtId="0" fontId="48" fillId="6" borderId="54" xfId="0" applyFont="1" applyFill="1" applyBorder="1" applyAlignment="1" applyProtection="1">
      <alignment horizontal="left" vertical="center"/>
    </xf>
    <xf numFmtId="0" fontId="47" fillId="6" borderId="7" xfId="0" applyFont="1" applyFill="1" applyBorder="1" applyAlignment="1" applyProtection="1">
      <alignment horizontal="left" vertical="center"/>
    </xf>
    <xf numFmtId="179" fontId="47" fillId="6" borderId="4" xfId="0" applyNumberFormat="1" applyFont="1" applyFill="1" applyBorder="1" applyAlignment="1" applyProtection="1">
      <alignment horizontal="center" vertical="center"/>
    </xf>
    <xf numFmtId="0" fontId="48" fillId="6" borderId="60" xfId="0" applyFont="1" applyFill="1" applyBorder="1" applyAlignment="1" applyProtection="1">
      <alignment horizontal="center" vertical="center"/>
    </xf>
    <xf numFmtId="179" fontId="47" fillId="6" borderId="7" xfId="0" applyNumberFormat="1" applyFont="1" applyFill="1" applyBorder="1" applyAlignment="1" applyProtection="1">
      <alignment horizontal="center" vertical="center"/>
    </xf>
    <xf numFmtId="0" fontId="47" fillId="2" borderId="5" xfId="0" applyFont="1" applyFill="1" applyBorder="1" applyAlignment="1" applyProtection="1">
      <alignment horizontal="left" vertical="center"/>
      <protection locked="0"/>
    </xf>
    <xf numFmtId="0" fontId="47" fillId="6" borderId="3" xfId="0" applyFont="1" applyFill="1" applyBorder="1" applyAlignment="1" applyProtection="1">
      <alignment horizontal="right" vertical="center"/>
    </xf>
    <xf numFmtId="179" fontId="47" fillId="6" borderId="35" xfId="0" applyNumberFormat="1" applyFont="1" applyFill="1" applyBorder="1" applyAlignment="1" applyProtection="1">
      <alignment horizontal="center" vertical="center"/>
    </xf>
    <xf numFmtId="0" fontId="47" fillId="6" borderId="7" xfId="0" applyFont="1" applyFill="1" applyBorder="1" applyAlignment="1" applyProtection="1">
      <alignment horizontal="center" vertical="center"/>
    </xf>
    <xf numFmtId="0" fontId="47" fillId="6" borderId="8" xfId="0" applyFont="1" applyFill="1" applyBorder="1" applyAlignment="1" applyProtection="1">
      <alignment horizontal="center" vertical="center"/>
    </xf>
    <xf numFmtId="0" fontId="47" fillId="2" borderId="54" xfId="0" applyFont="1" applyFill="1" applyBorder="1" applyAlignment="1" applyProtection="1">
      <alignment horizontal="left" vertical="center"/>
      <protection locked="0"/>
    </xf>
    <xf numFmtId="0" fontId="48" fillId="6" borderId="3" xfId="0" applyFont="1" applyFill="1" applyBorder="1" applyAlignment="1" applyProtection="1">
      <alignment horizontal="left" vertical="center"/>
    </xf>
    <xf numFmtId="0" fontId="112" fillId="6" borderId="5" xfId="0" applyFont="1" applyFill="1" applyBorder="1" applyAlignment="1" applyProtection="1">
      <alignment horizontal="left" vertical="center"/>
    </xf>
    <xf numFmtId="0" fontId="222" fillId="6" borderId="3" xfId="0" applyFont="1" applyFill="1" applyBorder="1" applyAlignment="1" applyProtection="1">
      <alignment horizontal="right" vertical="center"/>
    </xf>
    <xf numFmtId="0" fontId="47" fillId="6" borderId="61" xfId="0" applyFont="1" applyFill="1" applyBorder="1" applyAlignment="1" applyProtection="1">
      <alignment horizontal="center" vertical="center"/>
    </xf>
    <xf numFmtId="0" fontId="47" fillId="6" borderId="4" xfId="0" applyFont="1" applyFill="1" applyBorder="1" applyAlignment="1" applyProtection="1">
      <alignment horizontal="center" vertical="center" wrapText="1"/>
    </xf>
    <xf numFmtId="179" fontId="47" fillId="6" borderId="7" xfId="0" applyNumberFormat="1" applyFont="1" applyFill="1" applyBorder="1" applyAlignment="1" applyProtection="1">
      <alignment horizontal="center" vertical="center" wrapText="1"/>
    </xf>
    <xf numFmtId="179" fontId="47" fillId="6" borderId="2" xfId="0" applyNumberFormat="1" applyFont="1" applyFill="1" applyBorder="1" applyAlignment="1" applyProtection="1">
      <alignment horizontal="center" vertical="center" wrapText="1"/>
    </xf>
    <xf numFmtId="179" fontId="47" fillId="6" borderId="4" xfId="0" applyNumberFormat="1" applyFont="1" applyFill="1" applyBorder="1" applyAlignment="1" applyProtection="1">
      <alignment horizontal="center" vertical="center" wrapText="1"/>
    </xf>
    <xf numFmtId="0" fontId="47" fillId="6" borderId="35" xfId="0" applyFont="1" applyFill="1" applyBorder="1" applyAlignment="1" applyProtection="1">
      <alignment horizontal="center" vertical="center" wrapText="1"/>
    </xf>
    <xf numFmtId="179" fontId="47" fillId="6" borderId="1" xfId="0" applyNumberFormat="1" applyFont="1" applyFill="1" applyBorder="1" applyAlignment="1" applyProtection="1">
      <alignment horizontal="center" vertical="center"/>
    </xf>
    <xf numFmtId="0" fontId="47" fillId="2" borderId="2" xfId="0" applyFont="1" applyFill="1" applyBorder="1" applyAlignment="1" applyProtection="1">
      <alignment horizontal="center" vertical="center" wrapText="1"/>
      <protection locked="0"/>
    </xf>
    <xf numFmtId="176" fontId="47" fillId="0" borderId="1" xfId="0" applyNumberFormat="1" applyFont="1" applyBorder="1" applyAlignment="1" applyProtection="1">
      <alignment vertical="center" wrapText="1"/>
      <protection locked="0"/>
    </xf>
    <xf numFmtId="176" fontId="47" fillId="0" borderId="1" xfId="0" applyNumberFormat="1" applyFont="1" applyBorder="1" applyAlignment="1" applyProtection="1">
      <alignment horizontal="center" vertical="center" wrapText="1"/>
      <protection locked="0"/>
    </xf>
    <xf numFmtId="176" fontId="47" fillId="0" borderId="2" xfId="0" applyNumberFormat="1" applyFont="1" applyBorder="1" applyAlignment="1" applyProtection="1">
      <alignment horizontal="center" vertical="center" wrapText="1"/>
      <protection locked="0"/>
    </xf>
    <xf numFmtId="0" fontId="47" fillId="0" borderId="4" xfId="0" applyFont="1" applyBorder="1" applyAlignment="1" applyProtection="1">
      <alignment horizontal="center" vertical="center" wrapText="1"/>
      <protection locked="0"/>
    </xf>
    <xf numFmtId="0" fontId="44" fillId="5" borderId="2" xfId="0" applyFont="1" applyFill="1" applyBorder="1" applyAlignment="1" applyProtection="1">
      <alignment horizontal="center" vertical="center" wrapText="1"/>
      <protection locked="0"/>
    </xf>
    <xf numFmtId="0" fontId="44" fillId="0" borderId="4" xfId="0" applyFont="1" applyBorder="1" applyAlignment="1" applyProtection="1">
      <alignment horizontal="center" vertical="center" wrapText="1"/>
      <protection locked="0"/>
    </xf>
    <xf numFmtId="0" fontId="44" fillId="0" borderId="0" xfId="0" applyFont="1" applyFill="1" applyBorder="1" applyAlignment="1" applyProtection="1">
      <alignment horizontal="center" vertical="center" wrapText="1"/>
    </xf>
    <xf numFmtId="176" fontId="44" fillId="0" borderId="0" xfId="0" applyNumberFormat="1" applyFont="1" applyFill="1" applyBorder="1" applyAlignment="1" applyProtection="1">
      <alignment horizontal="center" vertical="center" wrapText="1"/>
    </xf>
    <xf numFmtId="0" fontId="44" fillId="0" borderId="0" xfId="0" applyFont="1" applyFill="1" applyAlignment="1" applyProtection="1">
      <alignment horizontal="center" vertical="center" wrapText="1"/>
    </xf>
    <xf numFmtId="0" fontId="49" fillId="0" borderId="0" xfId="0" applyFont="1" applyAlignment="1" applyProtection="1">
      <alignment horizontal="center" vertical="center" wrapText="1"/>
    </xf>
    <xf numFmtId="0" fontId="49" fillId="0" borderId="0" xfId="0" applyFont="1" applyAlignment="1" applyProtection="1">
      <alignment horizontal="center" vertical="center"/>
    </xf>
    <xf numFmtId="0" fontId="103" fillId="6" borderId="0" xfId="0" applyFont="1" applyFill="1" applyProtection="1">
      <alignment vertical="center"/>
    </xf>
    <xf numFmtId="0" fontId="44" fillId="0" borderId="0" xfId="0" applyFont="1" applyProtection="1">
      <alignment vertical="center"/>
      <protection locked="0"/>
    </xf>
    <xf numFmtId="176" fontId="50" fillId="6" borderId="1" xfId="1" applyNumberFormat="1" applyFont="1" applyFill="1" applyBorder="1" applyAlignment="1" applyProtection="1">
      <alignment horizontal="center" vertical="center"/>
    </xf>
    <xf numFmtId="0" fontId="44" fillId="6" borderId="5" xfId="0" applyFont="1" applyFill="1" applyBorder="1" applyProtection="1">
      <alignment vertical="center"/>
    </xf>
    <xf numFmtId="0" fontId="46" fillId="6" borderId="9" xfId="0" applyFont="1" applyFill="1" applyBorder="1" applyAlignment="1" applyProtection="1">
      <alignment horizontal="center" vertical="center"/>
    </xf>
    <xf numFmtId="176" fontId="50" fillId="6" borderId="10" xfId="1" applyNumberFormat="1" applyFont="1" applyFill="1" applyBorder="1" applyAlignment="1" applyProtection="1">
      <alignment horizontal="center" vertical="center"/>
    </xf>
    <xf numFmtId="0" fontId="44" fillId="6" borderId="2" xfId="0" applyFont="1" applyFill="1" applyBorder="1" applyProtection="1">
      <alignment vertical="center"/>
    </xf>
    <xf numFmtId="0" fontId="44" fillId="6" borderId="12" xfId="0" applyFont="1" applyFill="1" applyBorder="1" applyAlignment="1" applyProtection="1">
      <alignment vertical="center"/>
    </xf>
    <xf numFmtId="176" fontId="46" fillId="6" borderId="10" xfId="1" applyNumberFormat="1" applyFont="1" applyFill="1" applyBorder="1" applyAlignment="1" applyProtection="1">
      <alignment horizontal="center" vertical="center"/>
    </xf>
    <xf numFmtId="0" fontId="44" fillId="6" borderId="14" xfId="0" applyFont="1" applyFill="1" applyBorder="1" applyAlignment="1" applyProtection="1">
      <alignment vertical="center"/>
    </xf>
    <xf numFmtId="0" fontId="44" fillId="6" borderId="15" xfId="0" applyFont="1" applyFill="1" applyBorder="1" applyAlignment="1" applyProtection="1">
      <alignment vertical="center"/>
    </xf>
    <xf numFmtId="0" fontId="46" fillId="6" borderId="51" xfId="0" applyFont="1" applyFill="1" applyBorder="1" applyProtection="1">
      <alignment vertical="center"/>
    </xf>
    <xf numFmtId="0" fontId="44" fillId="6" borderId="21" xfId="0" applyFont="1" applyFill="1" applyBorder="1" applyProtection="1">
      <alignment vertical="center"/>
    </xf>
    <xf numFmtId="0" fontId="44" fillId="6" borderId="16" xfId="0" applyFont="1" applyFill="1" applyBorder="1" applyAlignment="1" applyProtection="1">
      <alignment vertical="center"/>
    </xf>
    <xf numFmtId="0" fontId="44" fillId="6" borderId="17" xfId="0" applyFont="1" applyFill="1" applyBorder="1" applyProtection="1">
      <alignment vertical="center"/>
    </xf>
    <xf numFmtId="0" fontId="44" fillId="6" borderId="19" xfId="0" applyFont="1" applyFill="1" applyBorder="1" applyAlignment="1" applyProtection="1">
      <alignment vertical="center"/>
    </xf>
    <xf numFmtId="0" fontId="46" fillId="6" borderId="17" xfId="0" applyFont="1" applyFill="1" applyBorder="1" applyAlignment="1" applyProtection="1">
      <alignment horizontal="center" vertical="center"/>
    </xf>
    <xf numFmtId="176" fontId="50" fillId="6" borderId="29" xfId="1" applyNumberFormat="1" applyFont="1" applyFill="1" applyBorder="1" applyAlignment="1" applyProtection="1">
      <alignment horizontal="center" vertical="center"/>
    </xf>
    <xf numFmtId="176" fontId="50" fillId="6" borderId="20" xfId="1" applyNumberFormat="1" applyFont="1" applyFill="1" applyBorder="1" applyAlignment="1" applyProtection="1">
      <alignment horizontal="center" vertical="center"/>
    </xf>
    <xf numFmtId="176" fontId="50" fillId="6" borderId="21" xfId="1" applyNumberFormat="1" applyFont="1" applyFill="1" applyBorder="1" applyAlignment="1" applyProtection="1">
      <alignment horizontal="center" vertical="center"/>
    </xf>
    <xf numFmtId="0" fontId="46" fillId="6" borderId="55" xfId="0" applyFont="1" applyFill="1" applyBorder="1" applyAlignment="1" applyProtection="1">
      <alignment horizontal="right" vertical="center"/>
    </xf>
    <xf numFmtId="179" fontId="46" fillId="2" borderId="24" xfId="0" applyNumberFormat="1" applyFont="1" applyFill="1" applyBorder="1" applyAlignment="1" applyProtection="1">
      <alignment horizontal="center" vertical="center"/>
      <protection locked="0"/>
    </xf>
    <xf numFmtId="0" fontId="44" fillId="6" borderId="2" xfId="0" applyFont="1" applyFill="1" applyBorder="1" applyAlignment="1" applyProtection="1">
      <alignment vertical="center"/>
    </xf>
    <xf numFmtId="0" fontId="44" fillId="6" borderId="0" xfId="0" applyFont="1" applyFill="1" applyBorder="1" applyAlignment="1" applyProtection="1">
      <alignment vertical="center"/>
    </xf>
    <xf numFmtId="0" fontId="46" fillId="6" borderId="2" xfId="0" applyFont="1" applyFill="1" applyBorder="1" applyAlignment="1" applyProtection="1">
      <alignment horizontal="center" vertical="center"/>
    </xf>
    <xf numFmtId="176" fontId="51" fillId="6" borderId="2" xfId="1" applyNumberFormat="1" applyFont="1" applyFill="1" applyBorder="1" applyAlignment="1" applyProtection="1">
      <alignment horizontal="center" vertical="center"/>
    </xf>
    <xf numFmtId="0" fontId="44" fillId="6" borderId="7" xfId="0" applyFont="1" applyFill="1" applyBorder="1" applyAlignment="1" applyProtection="1">
      <alignment horizontal="center" vertical="center"/>
    </xf>
    <xf numFmtId="0" fontId="44" fillId="6" borderId="8" xfId="0" applyFont="1" applyFill="1" applyBorder="1" applyAlignment="1" applyProtection="1">
      <alignment horizontal="center" vertical="center"/>
    </xf>
    <xf numFmtId="179" fontId="44" fillId="6" borderId="24" xfId="0" applyNumberFormat="1" applyFont="1" applyFill="1" applyBorder="1" applyAlignment="1" applyProtection="1">
      <alignment horizontal="center" vertical="center"/>
    </xf>
    <xf numFmtId="0" fontId="44" fillId="6" borderId="1" xfId="0" applyFont="1" applyFill="1" applyBorder="1" applyAlignment="1" applyProtection="1">
      <alignment horizontal="left" vertical="center"/>
    </xf>
    <xf numFmtId="0" fontId="44" fillId="6" borderId="18" xfId="0" applyFont="1" applyFill="1" applyBorder="1" applyProtection="1">
      <alignment vertical="center"/>
    </xf>
    <xf numFmtId="0" fontId="44" fillId="0" borderId="23" xfId="0" applyFont="1" applyBorder="1" applyProtection="1">
      <alignment vertical="center"/>
      <protection locked="0"/>
    </xf>
    <xf numFmtId="0" fontId="44" fillId="0" borderId="1" xfId="0" applyFont="1" applyBorder="1" applyProtection="1">
      <alignment vertical="center"/>
      <protection locked="0"/>
    </xf>
    <xf numFmtId="0" fontId="44" fillId="6" borderId="18" xfId="0" applyFont="1" applyFill="1" applyBorder="1" applyAlignment="1" applyProtection="1">
      <alignment vertical="center"/>
    </xf>
    <xf numFmtId="0" fontId="44" fillId="0" borderId="11" xfId="0" applyFont="1" applyBorder="1" applyProtection="1">
      <alignment vertical="center"/>
      <protection locked="0"/>
    </xf>
    <xf numFmtId="0" fontId="44" fillId="0" borderId="13" xfId="0" applyFont="1" applyBorder="1" applyProtection="1">
      <alignment vertical="center"/>
      <protection locked="0"/>
    </xf>
    <xf numFmtId="0" fontId="46" fillId="6" borderId="3" xfId="0" applyFont="1" applyFill="1" applyBorder="1" applyAlignment="1" applyProtection="1">
      <alignment horizontal="left" vertical="center"/>
    </xf>
    <xf numFmtId="0" fontId="44" fillId="6" borderId="3" xfId="0" applyFont="1" applyFill="1" applyBorder="1" applyAlignment="1" applyProtection="1">
      <alignment horizontal="left" vertical="center"/>
    </xf>
    <xf numFmtId="0" fontId="46" fillId="6" borderId="22" xfId="0" applyFont="1" applyFill="1" applyBorder="1" applyAlignment="1" applyProtection="1">
      <alignment horizontal="left" vertical="center"/>
    </xf>
    <xf numFmtId="0" fontId="44" fillId="6" borderId="42" xfId="0" applyFont="1" applyFill="1" applyBorder="1" applyAlignment="1" applyProtection="1">
      <alignment vertical="center"/>
    </xf>
    <xf numFmtId="0" fontId="44" fillId="6" borderId="33" xfId="0" applyFont="1" applyFill="1" applyBorder="1" applyProtection="1">
      <alignment vertical="center"/>
    </xf>
    <xf numFmtId="176" fontId="44" fillId="0" borderId="0" xfId="0" applyNumberFormat="1" applyFont="1" applyProtection="1">
      <alignment vertical="center"/>
      <protection locked="0"/>
    </xf>
    <xf numFmtId="0" fontId="103" fillId="6" borderId="0" xfId="0" applyFont="1" applyFill="1" applyAlignment="1" applyProtection="1">
      <alignment vertical="center" wrapText="1"/>
    </xf>
    <xf numFmtId="179" fontId="47" fillId="6" borderId="0" xfId="0" applyNumberFormat="1" applyFont="1" applyFill="1" applyAlignment="1" applyProtection="1">
      <alignment vertical="center"/>
      <protection locked="0"/>
    </xf>
    <xf numFmtId="0" fontId="47" fillId="0" borderId="0" xfId="0" applyFont="1" applyAlignment="1" applyProtection="1">
      <alignment vertical="center"/>
      <protection locked="0"/>
    </xf>
    <xf numFmtId="0" fontId="47" fillId="0" borderId="0" xfId="0" applyFont="1" applyAlignment="1" applyProtection="1">
      <alignment vertical="center"/>
    </xf>
    <xf numFmtId="0" fontId="46" fillId="6" borderId="26" xfId="0" applyFont="1" applyFill="1" applyBorder="1" applyAlignment="1" applyProtection="1">
      <alignment vertical="center" wrapText="1"/>
    </xf>
    <xf numFmtId="0" fontId="44" fillId="6" borderId="0" xfId="0" applyFont="1" applyFill="1" applyAlignment="1" applyProtection="1">
      <alignment vertical="center"/>
      <protection locked="0"/>
    </xf>
    <xf numFmtId="179" fontId="44" fillId="6" borderId="0" xfId="0" applyNumberFormat="1" applyFont="1" applyFill="1" applyAlignment="1" applyProtection="1">
      <alignment vertical="center"/>
      <protection locked="0"/>
    </xf>
    <xf numFmtId="0" fontId="44" fillId="0" borderId="0" xfId="0" applyFont="1" applyAlignment="1" applyProtection="1">
      <alignment vertical="center"/>
      <protection locked="0"/>
    </xf>
    <xf numFmtId="0" fontId="44" fillId="6" borderId="0" xfId="0" applyFont="1" applyFill="1" applyAlignment="1" applyProtection="1">
      <alignment vertical="center"/>
    </xf>
    <xf numFmtId="0" fontId="44" fillId="6" borderId="63" xfId="0" applyFont="1" applyFill="1" applyBorder="1" applyAlignment="1" applyProtection="1">
      <alignment vertical="center"/>
    </xf>
    <xf numFmtId="0" fontId="44" fillId="6" borderId="64" xfId="0" applyFont="1" applyFill="1" applyBorder="1" applyAlignment="1" applyProtection="1">
      <alignment vertical="center"/>
    </xf>
    <xf numFmtId="179" fontId="44" fillId="6" borderId="64" xfId="0" applyNumberFormat="1" applyFont="1" applyFill="1" applyBorder="1" applyAlignment="1" applyProtection="1">
      <alignment vertical="center"/>
    </xf>
    <xf numFmtId="0" fontId="44" fillId="6" borderId="65" xfId="0" applyFont="1" applyFill="1" applyBorder="1" applyAlignment="1" applyProtection="1">
      <alignment vertical="center"/>
    </xf>
    <xf numFmtId="0" fontId="44" fillId="6" borderId="63" xfId="0" applyFont="1" applyFill="1" applyBorder="1" applyAlignment="1" applyProtection="1">
      <alignment horizontal="center" vertical="center"/>
    </xf>
    <xf numFmtId="0" fontId="44" fillId="6" borderId="64" xfId="0" applyFont="1" applyFill="1" applyBorder="1" applyAlignment="1" applyProtection="1">
      <alignment horizontal="center" vertical="center"/>
    </xf>
    <xf numFmtId="0" fontId="44" fillId="6" borderId="31" xfId="0" applyFont="1" applyFill="1" applyBorder="1" applyAlignment="1" applyProtection="1">
      <alignment vertical="center"/>
    </xf>
    <xf numFmtId="0" fontId="44" fillId="6" borderId="6" xfId="1" applyFont="1" applyFill="1" applyBorder="1" applyAlignment="1" applyProtection="1">
      <alignment vertical="center" wrapText="1"/>
    </xf>
    <xf numFmtId="0" fontId="44" fillId="6" borderId="9" xfId="1" applyFont="1" applyFill="1" applyBorder="1" applyAlignment="1" applyProtection="1">
      <alignment vertical="center" wrapText="1"/>
    </xf>
    <xf numFmtId="0" fontId="44" fillId="6" borderId="28" xfId="1" applyFont="1" applyFill="1" applyBorder="1" applyAlignment="1" applyProtection="1">
      <alignment vertical="center" wrapText="1"/>
    </xf>
    <xf numFmtId="180" fontId="51" fillId="6" borderId="6" xfId="1" applyNumberFormat="1" applyFont="1" applyFill="1" applyBorder="1" applyAlignment="1" applyProtection="1">
      <alignment horizontal="center" vertical="center" wrapText="1"/>
    </xf>
    <xf numFmtId="179" fontId="44" fillId="6" borderId="9" xfId="0" applyNumberFormat="1" applyFont="1" applyFill="1" applyBorder="1" applyAlignment="1" applyProtection="1">
      <alignment horizontal="center" vertical="center" wrapText="1"/>
    </xf>
    <xf numFmtId="0" fontId="98" fillId="6" borderId="10" xfId="0" applyFont="1" applyFill="1" applyBorder="1" applyAlignment="1" applyProtection="1">
      <alignment horizontal="center" vertical="center" wrapText="1"/>
    </xf>
    <xf numFmtId="177" fontId="44" fillId="6" borderId="6" xfId="1" applyNumberFormat="1" applyFont="1" applyFill="1" applyBorder="1" applyAlignment="1" applyProtection="1">
      <alignment horizontal="center" vertical="center" wrapText="1"/>
    </xf>
    <xf numFmtId="0" fontId="44" fillId="6" borderId="9" xfId="1" applyFont="1" applyFill="1" applyBorder="1" applyAlignment="1" applyProtection="1">
      <alignment horizontal="center" vertical="center" wrapText="1"/>
    </xf>
    <xf numFmtId="179" fontId="44" fillId="6" borderId="9" xfId="1" applyNumberFormat="1" applyFont="1" applyFill="1" applyBorder="1" applyAlignment="1" applyProtection="1">
      <alignment horizontal="center" vertical="center" wrapText="1"/>
    </xf>
    <xf numFmtId="0" fontId="44" fillId="5" borderId="9" xfId="1" applyFont="1" applyFill="1" applyBorder="1" applyAlignment="1" applyProtection="1">
      <alignment horizontal="center" vertical="center" wrapText="1"/>
      <protection locked="0"/>
    </xf>
    <xf numFmtId="0" fontId="44" fillId="6" borderId="28" xfId="1" applyFont="1" applyFill="1" applyBorder="1" applyAlignment="1" applyProtection="1">
      <alignment horizontal="center" vertical="center" wrapText="1"/>
    </xf>
    <xf numFmtId="0" fontId="44" fillId="6" borderId="6" xfId="1" applyFont="1" applyFill="1" applyBorder="1" applyAlignment="1" applyProtection="1">
      <alignment horizontal="center" vertical="center" wrapText="1"/>
    </xf>
    <xf numFmtId="0" fontId="44" fillId="6" borderId="19" xfId="1" applyFont="1" applyFill="1" applyBorder="1" applyAlignment="1" applyProtection="1">
      <alignment horizontal="center" vertical="center" wrapText="1"/>
    </xf>
    <xf numFmtId="0" fontId="44" fillId="6" borderId="62" xfId="1" applyFont="1" applyFill="1" applyBorder="1" applyAlignment="1" applyProtection="1">
      <alignment horizontal="center" vertical="center" wrapText="1"/>
    </xf>
    <xf numFmtId="0" fontId="44" fillId="6" borderId="30" xfId="0" applyFont="1" applyFill="1" applyBorder="1" applyAlignment="1" applyProtection="1">
      <alignment horizontal="center" vertical="center" wrapText="1"/>
    </xf>
    <xf numFmtId="0" fontId="44" fillId="6" borderId="3" xfId="0" applyFont="1" applyFill="1" applyBorder="1" applyAlignment="1" applyProtection="1">
      <alignment horizontal="center" vertical="center" wrapText="1"/>
      <protection locked="0"/>
    </xf>
    <xf numFmtId="0" fontId="44" fillId="6" borderId="1" xfId="1" applyFont="1" applyFill="1" applyBorder="1" applyAlignment="1" applyProtection="1">
      <alignment horizontal="center" vertical="center" wrapText="1"/>
    </xf>
    <xf numFmtId="177" fontId="47" fillId="6" borderId="23" xfId="1" applyNumberFormat="1" applyFont="1" applyFill="1" applyBorder="1" applyAlignment="1" applyProtection="1">
      <alignment horizontal="left" vertical="center"/>
    </xf>
    <xf numFmtId="177" fontId="44" fillId="6" borderId="1" xfId="1" applyNumberFormat="1" applyFont="1" applyFill="1" applyBorder="1" applyAlignment="1" applyProtection="1">
      <alignment vertical="center"/>
    </xf>
    <xf numFmtId="177" fontId="44" fillId="2" borderId="5" xfId="1" applyNumberFormat="1" applyFont="1" applyFill="1" applyBorder="1" applyAlignment="1" applyProtection="1">
      <alignment vertical="center"/>
      <protection locked="0"/>
    </xf>
    <xf numFmtId="0" fontId="98" fillId="2" borderId="3" xfId="0" applyFont="1" applyFill="1" applyBorder="1" applyAlignment="1" applyProtection="1">
      <alignment horizontal="center" vertical="center"/>
      <protection locked="0"/>
    </xf>
    <xf numFmtId="0" fontId="44" fillId="6" borderId="1" xfId="0" applyFont="1" applyFill="1" applyBorder="1" applyAlignment="1" applyProtection="1">
      <alignment horizontal="right" vertical="center"/>
    </xf>
    <xf numFmtId="177" fontId="44" fillId="6" borderId="23" xfId="1" applyNumberFormat="1" applyFont="1" applyFill="1" applyBorder="1" applyAlignment="1" applyProtection="1">
      <alignment horizontal="left" vertical="center" wrapText="1"/>
      <protection locked="0"/>
    </xf>
    <xf numFmtId="177" fontId="44" fillId="6" borderId="5" xfId="1" applyNumberFormat="1" applyFont="1" applyFill="1" applyBorder="1" applyAlignment="1" applyProtection="1">
      <alignment vertical="center"/>
    </xf>
    <xf numFmtId="0" fontId="46" fillId="6" borderId="25" xfId="1" applyFont="1" applyFill="1" applyBorder="1" applyAlignment="1" applyProtection="1">
      <alignment vertical="center" wrapText="1"/>
    </xf>
    <xf numFmtId="0" fontId="46" fillId="6" borderId="25" xfId="1" applyFont="1" applyFill="1" applyBorder="1" applyAlignment="1" applyProtection="1">
      <alignment vertical="center"/>
    </xf>
    <xf numFmtId="0" fontId="52" fillId="6" borderId="0" xfId="0" applyFont="1" applyFill="1" applyAlignment="1" applyProtection="1">
      <alignment vertical="center" wrapText="1"/>
    </xf>
    <xf numFmtId="176" fontId="51" fillId="6" borderId="6" xfId="1" applyNumberFormat="1" applyFont="1" applyFill="1" applyBorder="1" applyAlignment="1" applyProtection="1">
      <alignment vertical="center" wrapText="1"/>
    </xf>
    <xf numFmtId="176" fontId="51" fillId="6" borderId="23" xfId="1" applyNumberFormat="1" applyFont="1" applyFill="1" applyBorder="1" applyAlignment="1" applyProtection="1">
      <alignment vertical="center" wrapText="1"/>
    </xf>
    <xf numFmtId="176" fontId="44" fillId="6" borderId="23" xfId="1" applyNumberFormat="1" applyFont="1" applyFill="1" applyBorder="1" applyAlignment="1" applyProtection="1">
      <alignment vertical="center" wrapText="1"/>
    </xf>
    <xf numFmtId="176" fontId="51" fillId="6" borderId="25" xfId="1" applyNumberFormat="1" applyFont="1" applyFill="1" applyBorder="1" applyAlignment="1" applyProtection="1">
      <alignment vertical="center" wrapText="1"/>
    </xf>
    <xf numFmtId="0" fontId="44" fillId="6" borderId="34" xfId="0" applyFont="1" applyFill="1" applyBorder="1" applyAlignment="1" applyProtection="1">
      <alignment horizontal="center" vertical="center"/>
    </xf>
    <xf numFmtId="0" fontId="44" fillId="6" borderId="6" xfId="0" applyFont="1" applyFill="1" applyBorder="1" applyAlignment="1" applyProtection="1">
      <alignment vertical="center" wrapText="1"/>
    </xf>
    <xf numFmtId="0" fontId="47" fillId="0" borderId="0" xfId="0" applyFont="1" applyFill="1" applyAlignment="1" applyProtection="1">
      <alignment vertical="center"/>
    </xf>
    <xf numFmtId="0" fontId="44" fillId="6" borderId="23" xfId="0" applyFont="1" applyFill="1" applyBorder="1" applyAlignment="1" applyProtection="1">
      <alignment vertical="center" wrapText="1"/>
    </xf>
    <xf numFmtId="0" fontId="44" fillId="6" borderId="25" xfId="0" applyFont="1" applyFill="1" applyBorder="1" applyAlignment="1" applyProtection="1">
      <alignment vertical="center" wrapText="1"/>
    </xf>
    <xf numFmtId="0" fontId="44" fillId="6" borderId="41" xfId="0" applyFont="1" applyFill="1" applyBorder="1" applyAlignment="1" applyProtection="1">
      <alignment vertical="center" wrapText="1"/>
    </xf>
    <xf numFmtId="0" fontId="44" fillId="6" borderId="11" xfId="0" applyFont="1" applyFill="1" applyBorder="1" applyAlignment="1" applyProtection="1">
      <alignment vertical="center" wrapText="1"/>
    </xf>
    <xf numFmtId="0" fontId="44" fillId="6" borderId="11" xfId="0" applyFont="1" applyFill="1" applyBorder="1" applyAlignment="1" applyProtection="1">
      <alignment horizontal="left" vertical="center" wrapText="1"/>
    </xf>
    <xf numFmtId="0" fontId="44" fillId="6" borderId="11" xfId="0" applyFont="1" applyFill="1" applyBorder="1" applyAlignment="1" applyProtection="1">
      <alignment horizontal="right" vertical="center" wrapText="1"/>
    </xf>
    <xf numFmtId="0" fontId="44" fillId="6" borderId="25" xfId="0" applyFont="1" applyFill="1" applyBorder="1" applyAlignment="1" applyProtection="1">
      <alignment horizontal="right" vertical="center" wrapText="1"/>
    </xf>
    <xf numFmtId="0" fontId="44" fillId="6" borderId="14" xfId="0" applyFont="1" applyFill="1" applyBorder="1" applyAlignment="1" applyProtection="1">
      <alignment vertical="center" wrapText="1"/>
    </xf>
    <xf numFmtId="0" fontId="44" fillId="6" borderId="40" xfId="0" applyFont="1" applyFill="1" applyBorder="1" applyAlignment="1" applyProtection="1">
      <alignment vertical="center" wrapText="1"/>
    </xf>
    <xf numFmtId="0" fontId="44" fillId="2" borderId="24" xfId="0" applyFont="1" applyFill="1" applyBorder="1" applyAlignment="1" applyProtection="1">
      <alignment horizontal="center" vertical="center"/>
      <protection locked="0"/>
    </xf>
    <xf numFmtId="0" fontId="44" fillId="0" borderId="23" xfId="0" applyFont="1" applyBorder="1" applyAlignment="1" applyProtection="1">
      <alignment horizontal="right" vertical="center" wrapText="1"/>
      <protection locked="0"/>
    </xf>
    <xf numFmtId="0" fontId="44" fillId="0" borderId="25" xfId="0" applyFont="1" applyBorder="1" applyAlignment="1" applyProtection="1">
      <alignment horizontal="right" vertical="center" wrapText="1"/>
      <protection locked="0"/>
    </xf>
    <xf numFmtId="0" fontId="47" fillId="7" borderId="0" xfId="0" applyFont="1" applyFill="1" applyAlignment="1" applyProtection="1">
      <alignment vertical="center" wrapText="1"/>
      <protection locked="0"/>
    </xf>
    <xf numFmtId="179" fontId="47" fillId="7" borderId="0" xfId="0" applyNumberFormat="1" applyFont="1" applyFill="1" applyAlignment="1" applyProtection="1">
      <alignment vertical="center"/>
      <protection locked="0"/>
    </xf>
    <xf numFmtId="0" fontId="47" fillId="0" borderId="0" xfId="0" applyFont="1" applyAlignment="1" applyProtection="1">
      <alignment vertical="center" wrapText="1"/>
      <protection locked="0"/>
    </xf>
    <xf numFmtId="179" fontId="47" fillId="0" borderId="0" xfId="0" applyNumberFormat="1" applyFont="1" applyAlignment="1" applyProtection="1">
      <alignment vertical="center"/>
      <protection locked="0"/>
    </xf>
    <xf numFmtId="0" fontId="47" fillId="0" borderId="0" xfId="0" applyFont="1" applyAlignment="1" applyProtection="1">
      <alignment vertical="center" wrapText="1"/>
    </xf>
    <xf numFmtId="179" fontId="47" fillId="0" borderId="0" xfId="0" applyNumberFormat="1" applyFont="1" applyAlignment="1" applyProtection="1">
      <alignment vertical="center"/>
    </xf>
    <xf numFmtId="0" fontId="47" fillId="6" borderId="0" xfId="0" applyFont="1" applyFill="1" applyProtection="1">
      <alignment vertical="center"/>
    </xf>
    <xf numFmtId="0" fontId="47" fillId="5" borderId="0" xfId="0" applyFont="1" applyFill="1" applyProtection="1">
      <alignment vertical="center"/>
      <protection locked="0"/>
    </xf>
    <xf numFmtId="0" fontId="61" fillId="6" borderId="13" xfId="0" applyFont="1" applyFill="1" applyBorder="1" applyProtection="1">
      <alignment vertical="center"/>
    </xf>
    <xf numFmtId="0" fontId="61" fillId="6" borderId="13" xfId="0" applyNumberFormat="1" applyFont="1" applyFill="1" applyBorder="1" applyProtection="1">
      <alignment vertical="center"/>
    </xf>
    <xf numFmtId="0" fontId="61" fillId="5" borderId="13" xfId="0" applyFont="1" applyFill="1" applyBorder="1" applyAlignment="1" applyProtection="1">
      <alignment horizontal="center" vertical="center"/>
      <protection locked="0"/>
    </xf>
    <xf numFmtId="0" fontId="47" fillId="7" borderId="0" xfId="0" applyFont="1" applyFill="1" applyProtection="1">
      <alignment vertical="center"/>
    </xf>
    <xf numFmtId="0" fontId="47" fillId="0" borderId="0" xfId="0" applyFont="1" applyProtection="1">
      <alignment vertical="center"/>
    </xf>
    <xf numFmtId="0" fontId="44" fillId="6" borderId="13" xfId="0" applyFont="1" applyFill="1" applyBorder="1" applyAlignment="1" applyProtection="1">
      <alignment vertical="center" wrapText="1"/>
    </xf>
    <xf numFmtId="0" fontId="44" fillId="6" borderId="13" xfId="0" applyFont="1" applyFill="1" applyBorder="1" applyAlignment="1" applyProtection="1">
      <alignment horizontal="center" vertical="center" wrapText="1"/>
    </xf>
    <xf numFmtId="0" fontId="98" fillId="2" borderId="13" xfId="0" applyFont="1" applyFill="1" applyBorder="1" applyAlignment="1" applyProtection="1">
      <alignment horizontal="center" vertical="center"/>
      <protection locked="0"/>
    </xf>
    <xf numFmtId="0" fontId="47" fillId="6" borderId="54" xfId="0" applyFont="1" applyFill="1" applyBorder="1" applyAlignment="1" applyProtection="1">
      <alignment vertical="center" wrapText="1"/>
    </xf>
    <xf numFmtId="0" fontId="46" fillId="6" borderId="5" xfId="0" applyFont="1" applyFill="1" applyBorder="1" applyAlignment="1" applyProtection="1">
      <alignment horizontal="right" vertical="center"/>
    </xf>
    <xf numFmtId="0" fontId="46" fillId="6" borderId="58" xfId="0" applyFont="1" applyFill="1" applyBorder="1" applyAlignment="1" applyProtection="1">
      <alignment horizontal="right" vertical="center"/>
    </xf>
    <xf numFmtId="0" fontId="44" fillId="6" borderId="0" xfId="0" applyFont="1" applyFill="1" applyProtection="1">
      <alignment vertical="center"/>
    </xf>
    <xf numFmtId="0" fontId="46" fillId="6" borderId="16" xfId="0" applyFont="1" applyFill="1" applyBorder="1" applyAlignment="1" applyProtection="1">
      <alignment vertical="center"/>
    </xf>
    <xf numFmtId="0" fontId="44" fillId="6" borderId="9" xfId="0" applyFont="1" applyFill="1" applyBorder="1" applyAlignment="1" applyProtection="1">
      <alignment vertical="center"/>
    </xf>
    <xf numFmtId="0" fontId="47" fillId="6" borderId="21" xfId="0" applyFont="1" applyFill="1" applyBorder="1" applyAlignment="1" applyProtection="1">
      <alignment vertical="center"/>
    </xf>
    <xf numFmtId="0" fontId="46" fillId="6" borderId="18" xfId="0" applyFont="1" applyFill="1" applyBorder="1" applyAlignment="1" applyProtection="1">
      <alignment vertical="center"/>
    </xf>
    <xf numFmtId="0" fontId="44" fillId="6" borderId="32" xfId="0" applyFont="1" applyFill="1" applyBorder="1" applyProtection="1">
      <alignment vertical="center"/>
    </xf>
    <xf numFmtId="0" fontId="47" fillId="6" borderId="68" xfId="0" applyFont="1" applyFill="1" applyBorder="1" applyAlignment="1" applyProtection="1">
      <alignment vertical="center"/>
    </xf>
    <xf numFmtId="0" fontId="44" fillId="6" borderId="70" xfId="0" applyFont="1" applyFill="1" applyBorder="1" applyProtection="1">
      <alignment vertical="center"/>
    </xf>
    <xf numFmtId="0" fontId="44" fillId="6" borderId="34" xfId="0" applyFont="1" applyFill="1" applyBorder="1" applyProtection="1">
      <alignment vertical="center"/>
    </xf>
    <xf numFmtId="0" fontId="44" fillId="6" borderId="21" xfId="0" applyFont="1" applyFill="1" applyBorder="1" applyAlignment="1" applyProtection="1">
      <alignment horizontal="center" vertical="center"/>
    </xf>
    <xf numFmtId="0" fontId="44" fillId="6" borderId="48" xfId="0" applyFont="1" applyFill="1" applyBorder="1" applyAlignment="1" applyProtection="1">
      <alignment horizontal="center" vertical="center"/>
    </xf>
    <xf numFmtId="0" fontId="100" fillId="0" borderId="23" xfId="0" applyFont="1" applyBorder="1" applyAlignment="1" applyProtection="1">
      <alignment horizontal="center" vertical="center"/>
      <protection locked="0"/>
    </xf>
    <xf numFmtId="0" fontId="47" fillId="0" borderId="0" xfId="0" applyFont="1" applyFill="1" applyProtection="1">
      <alignment vertical="center"/>
    </xf>
    <xf numFmtId="0" fontId="46" fillId="6" borderId="16" xfId="0" applyFont="1" applyFill="1" applyBorder="1" applyAlignment="1" applyProtection="1">
      <alignment horizontal="left" vertical="center"/>
    </xf>
    <xf numFmtId="0" fontId="44" fillId="6" borderId="19" xfId="0" applyFont="1" applyFill="1" applyBorder="1" applyProtection="1">
      <alignment vertical="center"/>
    </xf>
    <xf numFmtId="0" fontId="46" fillId="5" borderId="62" xfId="0" applyFont="1" applyFill="1" applyBorder="1" applyAlignment="1" applyProtection="1">
      <alignment horizontal="right" vertical="center"/>
      <protection locked="0"/>
    </xf>
    <xf numFmtId="0" fontId="47" fillId="6" borderId="5" xfId="0" applyFont="1" applyFill="1" applyBorder="1" applyProtection="1">
      <alignment vertical="center"/>
    </xf>
    <xf numFmtId="0" fontId="46" fillId="5" borderId="1" xfId="0" applyFont="1" applyFill="1" applyBorder="1" applyAlignment="1" applyProtection="1">
      <alignment horizontal="center" vertical="center"/>
      <protection locked="0"/>
    </xf>
    <xf numFmtId="0" fontId="203" fillId="2" borderId="24" xfId="0" applyFont="1" applyFill="1" applyBorder="1" applyAlignment="1" applyProtection="1">
      <alignment horizontal="center" vertical="center"/>
      <protection locked="0"/>
    </xf>
    <xf numFmtId="0" fontId="47" fillId="6" borderId="30" xfId="0" applyFont="1" applyFill="1" applyBorder="1" applyProtection="1">
      <alignment vertical="center"/>
    </xf>
    <xf numFmtId="0" fontId="47" fillId="6" borderId="10" xfId="0" applyFont="1" applyFill="1" applyBorder="1" applyAlignment="1" applyProtection="1">
      <alignment horizontal="center" vertical="center"/>
    </xf>
    <xf numFmtId="0" fontId="46" fillId="6" borderId="69" xfId="0" applyFont="1" applyFill="1" applyBorder="1" applyAlignment="1" applyProtection="1">
      <alignment horizontal="left" vertical="center"/>
    </xf>
    <xf numFmtId="0" fontId="44" fillId="6" borderId="7" xfId="0" applyFont="1" applyFill="1" applyBorder="1" applyAlignment="1" applyProtection="1">
      <alignment horizontal="right" vertical="center"/>
    </xf>
    <xf numFmtId="0" fontId="47" fillId="6" borderId="3" xfId="0" applyFont="1" applyFill="1" applyBorder="1" applyProtection="1">
      <alignment vertical="center"/>
    </xf>
    <xf numFmtId="0" fontId="46" fillId="6" borderId="38" xfId="0" applyFont="1" applyFill="1" applyBorder="1" applyAlignment="1" applyProtection="1">
      <alignment horizontal="left" vertical="center"/>
    </xf>
    <xf numFmtId="0" fontId="44" fillId="6" borderId="66" xfId="0" applyFont="1" applyFill="1" applyBorder="1" applyAlignment="1" applyProtection="1">
      <alignment horizontal="right" vertical="center"/>
    </xf>
    <xf numFmtId="0" fontId="47" fillId="6" borderId="66" xfId="0" applyFont="1" applyFill="1" applyBorder="1" applyProtection="1">
      <alignment vertical="center"/>
    </xf>
    <xf numFmtId="0" fontId="44" fillId="6" borderId="30" xfId="0" applyFont="1" applyFill="1" applyBorder="1" applyAlignment="1" applyProtection="1">
      <alignment horizontal="left" vertical="center"/>
    </xf>
    <xf numFmtId="0" fontId="44" fillId="5" borderId="63" xfId="0" applyFont="1" applyFill="1" applyBorder="1" applyProtection="1">
      <alignment vertical="center"/>
      <protection locked="0"/>
    </xf>
    <xf numFmtId="0" fontId="44" fillId="6" borderId="65" xfId="0" applyFont="1" applyFill="1" applyBorder="1" applyProtection="1">
      <alignment vertical="center"/>
    </xf>
    <xf numFmtId="0" fontId="44" fillId="6" borderId="0" xfId="0" applyFont="1" applyFill="1" applyBorder="1" applyAlignment="1" applyProtection="1">
      <alignment horizontal="left" vertical="center"/>
      <protection locked="0"/>
    </xf>
    <xf numFmtId="0" fontId="44" fillId="6" borderId="66" xfId="0" applyFont="1" applyFill="1" applyBorder="1" applyAlignment="1" applyProtection="1">
      <alignment horizontal="left" vertical="center"/>
    </xf>
    <xf numFmtId="0" fontId="44" fillId="0" borderId="65" xfId="0" applyFont="1" applyFill="1" applyBorder="1" applyProtection="1">
      <alignment vertical="center"/>
      <protection locked="0"/>
    </xf>
    <xf numFmtId="0" fontId="100" fillId="0" borderId="6" xfId="0" applyFont="1" applyFill="1" applyBorder="1" applyAlignment="1" applyProtection="1">
      <alignment horizontal="center" vertical="center"/>
      <protection locked="0"/>
    </xf>
    <xf numFmtId="0" fontId="100" fillId="0" borderId="9" xfId="0" applyFont="1" applyFill="1" applyBorder="1" applyAlignment="1" applyProtection="1">
      <alignment horizontal="center" vertical="center"/>
      <protection locked="0"/>
    </xf>
    <xf numFmtId="0" fontId="100" fillId="0" borderId="10" xfId="0" applyFont="1" applyFill="1" applyBorder="1" applyAlignment="1" applyProtection="1">
      <alignment horizontal="center" vertical="center"/>
      <protection locked="0"/>
    </xf>
    <xf numFmtId="0" fontId="47" fillId="6" borderId="18" xfId="0" applyFont="1" applyFill="1" applyBorder="1" applyProtection="1">
      <alignment vertical="center"/>
    </xf>
    <xf numFmtId="0" fontId="47" fillId="6" borderId="42" xfId="0" applyFont="1" applyFill="1" applyBorder="1" applyProtection="1">
      <alignment vertical="center"/>
    </xf>
    <xf numFmtId="0" fontId="112" fillId="6" borderId="0" xfId="0" applyFont="1" applyFill="1" applyBorder="1" applyAlignment="1" applyProtection="1">
      <alignment horizontal="center" vertical="center"/>
    </xf>
    <xf numFmtId="0" fontId="112" fillId="6" borderId="0" xfId="0" applyFont="1" applyFill="1" applyProtection="1">
      <alignment vertical="center"/>
    </xf>
    <xf numFmtId="0" fontId="103" fillId="6" borderId="0" xfId="0" applyFont="1" applyFill="1" applyBorder="1" applyAlignment="1" applyProtection="1">
      <alignment horizontal="left" vertical="center"/>
    </xf>
    <xf numFmtId="0" fontId="204" fillId="6" borderId="0" xfId="0" applyFont="1" applyFill="1" applyBorder="1" applyAlignment="1" applyProtection="1">
      <alignment horizontal="left" vertical="center"/>
    </xf>
    <xf numFmtId="0" fontId="224" fillId="6" borderId="0" xfId="0" applyFont="1" applyFill="1" applyBorder="1" applyAlignment="1" applyProtection="1">
      <alignment vertical="center"/>
    </xf>
    <xf numFmtId="0" fontId="224" fillId="6" borderId="0" xfId="0" applyFont="1" applyFill="1" applyBorder="1" applyAlignment="1" applyProtection="1">
      <alignment horizontal="center" vertical="center"/>
    </xf>
    <xf numFmtId="0" fontId="102" fillId="6" borderId="0" xfId="0" applyFont="1" applyFill="1" applyBorder="1" applyAlignment="1" applyProtection="1">
      <alignment horizontal="left" vertical="center"/>
    </xf>
    <xf numFmtId="0" fontId="98" fillId="6" borderId="0" xfId="0" applyFont="1" applyFill="1" applyBorder="1" applyProtection="1">
      <alignment vertical="center"/>
    </xf>
    <xf numFmtId="9" fontId="47" fillId="6" borderId="0" xfId="0" applyNumberFormat="1" applyFont="1" applyFill="1" applyAlignment="1" applyProtection="1">
      <alignment horizontal="center" vertical="center"/>
      <protection locked="0"/>
    </xf>
    <xf numFmtId="10" fontId="47" fillId="6" borderId="0" xfId="0" applyNumberFormat="1" applyFont="1" applyFill="1" applyAlignment="1" applyProtection="1">
      <alignment horizontal="center" vertical="center"/>
      <protection locked="0"/>
    </xf>
    <xf numFmtId="0" fontId="47" fillId="6" borderId="0" xfId="0" applyFont="1" applyFill="1" applyBorder="1" applyAlignment="1" applyProtection="1">
      <alignment horizontal="center" vertical="center" wrapText="1"/>
      <protection locked="0"/>
    </xf>
    <xf numFmtId="0" fontId="47" fillId="6" borderId="0" xfId="0" applyFont="1" applyFill="1" applyBorder="1" applyAlignment="1" applyProtection="1">
      <alignment horizontal="left" vertical="center" wrapText="1"/>
    </xf>
    <xf numFmtId="0" fontId="47" fillId="6" borderId="0" xfId="0" applyFont="1" applyFill="1" applyBorder="1" applyAlignment="1" applyProtection="1">
      <alignment horizontal="center" vertical="center"/>
      <protection locked="0"/>
    </xf>
    <xf numFmtId="49" fontId="52" fillId="6" borderId="18" xfId="0" applyNumberFormat="1" applyFont="1" applyFill="1" applyBorder="1" applyAlignment="1" applyProtection="1">
      <alignment horizontal="left" vertical="center" wrapText="1"/>
    </xf>
    <xf numFmtId="0" fontId="54" fillId="6" borderId="0" xfId="0" applyFont="1" applyFill="1" applyBorder="1" applyAlignment="1" applyProtection="1">
      <alignment horizontal="left" vertical="center" wrapText="1"/>
    </xf>
    <xf numFmtId="177" fontId="54" fillId="6" borderId="0" xfId="0" applyNumberFormat="1" applyFont="1" applyFill="1" applyBorder="1" applyAlignment="1" applyProtection="1">
      <alignment horizontal="center" vertical="center" wrapText="1"/>
    </xf>
    <xf numFmtId="10" fontId="53" fillId="6" borderId="0" xfId="0" applyNumberFormat="1" applyFont="1" applyFill="1" applyBorder="1" applyAlignment="1" applyProtection="1">
      <alignment horizontal="center" vertical="center" wrapText="1"/>
    </xf>
    <xf numFmtId="0" fontId="47" fillId="6" borderId="0" xfId="0" applyFont="1" applyFill="1" applyBorder="1" applyAlignment="1" applyProtection="1">
      <alignment horizontal="left" vertical="center"/>
    </xf>
    <xf numFmtId="0" fontId="47" fillId="6" borderId="0" xfId="2" applyFont="1" applyFill="1" applyBorder="1" applyAlignment="1" applyProtection="1">
      <alignment horizontal="left" vertical="center" wrapText="1"/>
    </xf>
    <xf numFmtId="0" fontId="98" fillId="0" borderId="0" xfId="0" applyFont="1" applyFill="1" applyProtection="1">
      <alignment vertical="center"/>
    </xf>
    <xf numFmtId="0" fontId="98" fillId="7" borderId="0" xfId="0" applyFont="1" applyFill="1" applyProtection="1">
      <alignment vertical="center"/>
      <protection locked="0"/>
    </xf>
    <xf numFmtId="0" fontId="98" fillId="7" borderId="0" xfId="0" applyFont="1" applyFill="1" applyProtection="1">
      <alignment vertical="center"/>
    </xf>
    <xf numFmtId="0" fontId="98" fillId="6" borderId="0" xfId="2" applyFont="1" applyFill="1" applyAlignment="1" applyProtection="1">
      <alignment vertical="center" wrapText="1"/>
      <protection locked="0"/>
    </xf>
    <xf numFmtId="0" fontId="98" fillId="6" borderId="0" xfId="0" applyFont="1" applyFill="1" applyProtection="1">
      <alignment vertical="center"/>
      <protection locked="0"/>
    </xf>
    <xf numFmtId="0" fontId="47" fillId="2" borderId="54" xfId="0" applyFont="1" applyFill="1" applyBorder="1" applyAlignment="1" applyProtection="1">
      <alignment horizontal="left" vertical="center" wrapText="1"/>
      <protection locked="0"/>
    </xf>
    <xf numFmtId="0" fontId="98" fillId="6" borderId="0" xfId="2" applyFont="1" applyFill="1" applyProtection="1">
      <protection locked="0"/>
    </xf>
    <xf numFmtId="10" fontId="47" fillId="2" borderId="48" xfId="0" applyNumberFormat="1" applyFont="1" applyFill="1" applyBorder="1" applyAlignment="1" applyProtection="1">
      <alignment horizontal="left" vertical="center" wrapText="1"/>
      <protection locked="0"/>
    </xf>
    <xf numFmtId="10" fontId="47" fillId="5" borderId="48" xfId="0" applyNumberFormat="1" applyFont="1" applyFill="1" applyBorder="1" applyAlignment="1" applyProtection="1">
      <alignment horizontal="left" vertical="center" wrapText="1"/>
      <protection locked="0"/>
    </xf>
    <xf numFmtId="0" fontId="98" fillId="0" borderId="23" xfId="0" applyFont="1" applyFill="1" applyBorder="1" applyProtection="1">
      <alignment vertical="center"/>
      <protection locked="0"/>
    </xf>
    <xf numFmtId="0" fontId="124" fillId="6" borderId="1" xfId="0" applyFont="1" applyFill="1" applyBorder="1" applyAlignment="1" applyProtection="1">
      <alignment vertical="center" wrapText="1"/>
    </xf>
    <xf numFmtId="0" fontId="104" fillId="6" borderId="1" xfId="0" applyFont="1" applyFill="1" applyBorder="1" applyAlignment="1" applyProtection="1">
      <alignment vertical="center" wrapText="1"/>
    </xf>
    <xf numFmtId="0" fontId="44" fillId="6" borderId="23" xfId="0" applyFont="1" applyFill="1" applyBorder="1" applyAlignment="1" applyProtection="1">
      <alignment horizontal="left" vertical="center"/>
    </xf>
    <xf numFmtId="0" fontId="124" fillId="6" borderId="32" xfId="0" applyFont="1" applyFill="1" applyBorder="1" applyAlignment="1" applyProtection="1">
      <alignment vertical="center" wrapText="1"/>
    </xf>
    <xf numFmtId="0" fontId="130" fillId="0" borderId="46" xfId="0" applyFont="1" applyBorder="1" applyAlignment="1" applyProtection="1">
      <alignment horizontal="left" vertical="center"/>
    </xf>
    <xf numFmtId="0" fontId="47" fillId="0" borderId="36" xfId="0" applyFont="1" applyBorder="1" applyAlignment="1" applyProtection="1">
      <alignment horizontal="left" vertical="center" wrapText="1"/>
    </xf>
    <xf numFmtId="0" fontId="56" fillId="5" borderId="36" xfId="0" applyFont="1" applyFill="1" applyBorder="1" applyAlignment="1" applyProtection="1">
      <alignment horizontal="left" vertical="center" wrapText="1"/>
      <protection locked="0"/>
    </xf>
    <xf numFmtId="0" fontId="47" fillId="7" borderId="36" xfId="0" applyFont="1" applyFill="1" applyBorder="1" applyAlignment="1" applyProtection="1">
      <alignment horizontal="center" vertical="center" wrapText="1"/>
    </xf>
    <xf numFmtId="0" fontId="47" fillId="7" borderId="36" xfId="0" applyFont="1" applyFill="1" applyBorder="1" applyAlignment="1" applyProtection="1">
      <alignment horizontal="center" vertical="center"/>
    </xf>
    <xf numFmtId="0" fontId="47" fillId="7" borderId="22" xfId="0" applyFont="1" applyFill="1" applyBorder="1" applyProtection="1">
      <alignment vertical="center"/>
    </xf>
    <xf numFmtId="0" fontId="47" fillId="7" borderId="58"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left" vertical="center" wrapText="1"/>
      <protection locked="0"/>
    </xf>
    <xf numFmtId="0" fontId="47" fillId="7" borderId="0" xfId="0" applyFont="1" applyFill="1" applyBorder="1" applyAlignment="1" applyProtection="1">
      <alignment horizontal="center" vertical="center" wrapText="1"/>
      <protection locked="0"/>
    </xf>
    <xf numFmtId="0" fontId="47" fillId="7" borderId="0" xfId="0" applyFont="1" applyFill="1" applyBorder="1" applyAlignment="1" applyProtection="1">
      <alignment horizontal="center" vertical="center"/>
      <protection locked="0"/>
    </xf>
    <xf numFmtId="0" fontId="47" fillId="7" borderId="35" xfId="0" applyFont="1" applyFill="1" applyBorder="1" applyProtection="1">
      <alignment vertical="center"/>
      <protection locked="0"/>
    </xf>
    <xf numFmtId="0" fontId="47" fillId="7" borderId="4"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left" vertical="center" wrapText="1"/>
      <protection locked="0"/>
    </xf>
    <xf numFmtId="0" fontId="47" fillId="7" borderId="60" xfId="0" applyFont="1" applyFill="1" applyBorder="1" applyAlignment="1" applyProtection="1">
      <alignment horizontal="center" vertical="center" wrapText="1"/>
      <protection locked="0"/>
    </xf>
    <xf numFmtId="0" fontId="47" fillId="7" borderId="60" xfId="0" applyFont="1" applyFill="1" applyBorder="1" applyAlignment="1" applyProtection="1">
      <alignment horizontal="center" vertical="center"/>
      <protection locked="0"/>
    </xf>
    <xf numFmtId="0" fontId="47" fillId="7" borderId="7" xfId="0" applyFont="1" applyFill="1" applyBorder="1" applyProtection="1">
      <alignment vertical="center"/>
      <protection locked="0"/>
    </xf>
    <xf numFmtId="0" fontId="52" fillId="7" borderId="60" xfId="0" applyFont="1" applyFill="1" applyBorder="1" applyAlignment="1" applyProtection="1">
      <alignment horizontal="left" vertical="center"/>
      <protection locked="0"/>
    </xf>
    <xf numFmtId="0" fontId="47" fillId="7" borderId="60" xfId="0" applyFont="1" applyFill="1" applyBorder="1" applyProtection="1">
      <alignment vertical="center"/>
      <protection locked="0"/>
    </xf>
    <xf numFmtId="0" fontId="47" fillId="7" borderId="60" xfId="0" applyFont="1" applyFill="1" applyBorder="1" applyAlignment="1" applyProtection="1">
      <alignment horizontal="right" vertical="center"/>
      <protection locked="0"/>
    </xf>
    <xf numFmtId="0" fontId="52" fillId="7" borderId="0" xfId="0" applyFont="1" applyFill="1" applyAlignment="1" applyProtection="1">
      <alignment horizontal="left" vertical="center"/>
      <protection locked="0"/>
    </xf>
    <xf numFmtId="2" fontId="47" fillId="7" borderId="0" xfId="0" applyNumberFormat="1" applyFont="1" applyFill="1" applyAlignment="1" applyProtection="1">
      <alignment vertical="center" wrapText="1"/>
      <protection locked="0"/>
    </xf>
    <xf numFmtId="0" fontId="52" fillId="7" borderId="0" xfId="0" applyFont="1" applyFill="1" applyAlignment="1" applyProtection="1">
      <alignment vertical="center" wrapText="1"/>
      <protection locked="0"/>
    </xf>
    <xf numFmtId="0" fontId="54" fillId="5" borderId="5" xfId="1" applyFont="1" applyFill="1" applyBorder="1" applyAlignment="1" applyProtection="1">
      <alignment vertical="center"/>
      <protection locked="0"/>
    </xf>
    <xf numFmtId="0" fontId="57" fillId="6" borderId="3" xfId="1" applyFont="1" applyFill="1" applyBorder="1" applyAlignment="1" applyProtection="1">
      <alignment vertical="center"/>
    </xf>
    <xf numFmtId="0" fontId="57" fillId="5" borderId="1" xfId="1" applyFont="1" applyFill="1" applyBorder="1" applyAlignment="1" applyProtection="1">
      <alignment vertical="center"/>
      <protection locked="0"/>
    </xf>
    <xf numFmtId="0" fontId="54" fillId="5" borderId="24" xfId="1" applyFont="1" applyFill="1" applyBorder="1" applyAlignment="1" applyProtection="1">
      <alignment horizontal="left" vertical="center"/>
      <protection locked="0"/>
    </xf>
    <xf numFmtId="0" fontId="138" fillId="5" borderId="24" xfId="1" applyFont="1" applyFill="1" applyBorder="1" applyAlignment="1" applyProtection="1">
      <alignment horizontal="right" vertical="center"/>
      <protection locked="0"/>
    </xf>
    <xf numFmtId="0" fontId="138" fillId="3" borderId="0" xfId="0" applyFont="1" applyFill="1" applyAlignment="1" applyProtection="1">
      <alignment vertical="center"/>
      <protection locked="0"/>
    </xf>
    <xf numFmtId="0" fontId="130" fillId="6" borderId="19" xfId="1" applyFont="1" applyFill="1" applyBorder="1" applyAlignment="1" applyProtection="1">
      <alignment vertical="center"/>
    </xf>
    <xf numFmtId="185" fontId="47" fillId="5" borderId="1" xfId="0" applyNumberFormat="1" applyFont="1" applyFill="1" applyBorder="1" applyAlignment="1" applyProtection="1">
      <alignment horizontal="center" vertical="center" wrapText="1"/>
      <protection locked="0"/>
    </xf>
    <xf numFmtId="49" fontId="47" fillId="6" borderId="11" xfId="0" applyNumberFormat="1" applyFont="1" applyFill="1" applyBorder="1" applyAlignment="1" applyProtection="1">
      <alignment horizontal="center" vertical="center"/>
    </xf>
    <xf numFmtId="0" fontId="138" fillId="5" borderId="5" xfId="1" applyFont="1" applyFill="1" applyBorder="1" applyAlignment="1" applyProtection="1">
      <alignment horizontal="right" vertical="center"/>
      <protection locked="0"/>
    </xf>
    <xf numFmtId="0" fontId="52" fillId="6" borderId="54" xfId="0" applyFont="1" applyFill="1" applyBorder="1" applyAlignment="1" applyProtection="1">
      <alignment vertical="center"/>
    </xf>
    <xf numFmtId="0" fontId="47" fillId="6" borderId="5" xfId="0" applyFont="1" applyFill="1" applyBorder="1" applyAlignment="1" applyProtection="1"/>
    <xf numFmtId="0" fontId="46" fillId="6" borderId="1" xfId="1" applyFont="1" applyFill="1" applyBorder="1" applyAlignment="1" applyProtection="1">
      <alignment vertical="center" wrapText="1"/>
    </xf>
    <xf numFmtId="49" fontId="47" fillId="6" borderId="25" xfId="0" applyNumberFormat="1" applyFont="1" applyFill="1" applyBorder="1" applyAlignment="1" applyProtection="1">
      <alignment horizontal="center" vertical="center"/>
    </xf>
    <xf numFmtId="49" fontId="101" fillId="6" borderId="51" xfId="0" applyNumberFormat="1" applyFont="1" applyFill="1" applyBorder="1" applyAlignment="1" applyProtection="1"/>
    <xf numFmtId="0" fontId="98" fillId="6" borderId="19" xfId="0" applyFont="1" applyFill="1" applyBorder="1">
      <alignment vertical="center"/>
    </xf>
    <xf numFmtId="0" fontId="98" fillId="6" borderId="31" xfId="0" applyFont="1" applyFill="1" applyBorder="1">
      <alignment vertical="center"/>
    </xf>
    <xf numFmtId="0" fontId="57" fillId="6" borderId="23" xfId="1" applyFont="1" applyFill="1" applyBorder="1" applyAlignment="1" applyProtection="1">
      <alignment vertical="center"/>
    </xf>
    <xf numFmtId="0" fontId="98" fillId="6" borderId="5" xfId="0" applyFont="1" applyFill="1" applyBorder="1">
      <alignment vertical="center"/>
    </xf>
    <xf numFmtId="0" fontId="98" fillId="6" borderId="3" xfId="0" applyFont="1" applyFill="1" applyBorder="1">
      <alignment vertical="center"/>
    </xf>
    <xf numFmtId="0" fontId="203" fillId="6" borderId="1" xfId="0" applyFont="1" applyFill="1" applyBorder="1">
      <alignment vertical="center"/>
    </xf>
    <xf numFmtId="0" fontId="203" fillId="6" borderId="5" xfId="0" applyFont="1" applyFill="1" applyBorder="1" applyAlignment="1" applyProtection="1">
      <alignment horizontal="center" vertical="center"/>
    </xf>
    <xf numFmtId="0" fontId="98" fillId="6" borderId="1" xfId="0" applyFont="1" applyFill="1" applyBorder="1" applyAlignment="1">
      <alignment horizontal="center" vertical="center"/>
    </xf>
    <xf numFmtId="0" fontId="98" fillId="5" borderId="1" xfId="0" applyFont="1" applyFill="1" applyBorder="1" applyAlignment="1" applyProtection="1">
      <alignment horizontal="center" vertical="center"/>
      <protection locked="0"/>
    </xf>
    <xf numFmtId="0" fontId="98" fillId="6" borderId="66" xfId="0" applyFont="1" applyFill="1" applyBorder="1">
      <alignment vertical="center"/>
    </xf>
    <xf numFmtId="0" fontId="62" fillId="6" borderId="85" xfId="0" applyFont="1" applyFill="1" applyBorder="1" applyAlignment="1" applyProtection="1">
      <alignment horizontal="right" vertical="center"/>
    </xf>
    <xf numFmtId="0" fontId="62" fillId="5" borderId="78" xfId="0" applyFont="1" applyFill="1" applyBorder="1" applyAlignment="1" applyProtection="1">
      <alignment horizontal="center" vertical="center"/>
      <protection locked="0"/>
    </xf>
    <xf numFmtId="0" fontId="62" fillId="6" borderId="89" xfId="0" applyFont="1" applyFill="1" applyBorder="1" applyAlignment="1" applyProtection="1">
      <alignment horizontal="center" vertical="center"/>
    </xf>
    <xf numFmtId="0" fontId="54" fillId="5" borderId="4" xfId="1" applyFont="1" applyFill="1" applyBorder="1" applyAlignment="1" applyProtection="1">
      <alignment vertical="center"/>
      <protection locked="0"/>
    </xf>
    <xf numFmtId="0" fontId="57" fillId="6" borderId="7" xfId="1" applyFont="1" applyFill="1" applyBorder="1" applyAlignment="1" applyProtection="1">
      <alignment vertical="center"/>
      <protection locked="0"/>
    </xf>
    <xf numFmtId="0" fontId="57" fillId="5" borderId="2" xfId="1" applyFont="1" applyFill="1" applyBorder="1" applyAlignment="1" applyProtection="1">
      <alignment vertical="center"/>
      <protection locked="0"/>
    </xf>
    <xf numFmtId="188" fontId="57" fillId="6" borderId="0" xfId="0" applyNumberFormat="1" applyFont="1" applyFill="1" applyBorder="1" applyAlignment="1" applyProtection="1">
      <alignment horizontal="center" vertical="center"/>
      <protection locked="0"/>
    </xf>
    <xf numFmtId="0" fontId="57" fillId="6" borderId="18" xfId="0" applyFont="1" applyFill="1" applyBorder="1" applyAlignment="1" applyProtection="1">
      <alignment horizontal="center" vertical="center"/>
    </xf>
    <xf numFmtId="0" fontId="57" fillId="6" borderId="0" xfId="0" applyFont="1" applyFill="1" applyBorder="1" applyAlignment="1" applyProtection="1">
      <alignment horizontal="center" vertical="center"/>
    </xf>
    <xf numFmtId="0" fontId="58" fillId="6" borderId="0" xfId="0" applyFont="1" applyFill="1" applyBorder="1" applyAlignment="1" applyProtection="1">
      <alignment horizontal="center" vertical="center"/>
    </xf>
    <xf numFmtId="0" fontId="229" fillId="6" borderId="0" xfId="0" applyFont="1" applyFill="1" applyBorder="1" applyAlignment="1" applyProtection="1">
      <alignment vertical="center"/>
      <protection locked="0"/>
    </xf>
    <xf numFmtId="188" fontId="44" fillId="6" borderId="21" xfId="0" applyNumberFormat="1" applyFont="1" applyFill="1" applyBorder="1" applyAlignment="1" applyProtection="1">
      <alignment horizontal="center" vertical="center" wrapText="1"/>
    </xf>
    <xf numFmtId="188" fontId="44" fillId="6" borderId="48" xfId="0" applyNumberFormat="1" applyFont="1" applyFill="1" applyBorder="1" applyAlignment="1" applyProtection="1">
      <alignment horizontal="center" vertical="center" wrapText="1"/>
    </xf>
    <xf numFmtId="0" fontId="44" fillId="6" borderId="48" xfId="0" applyNumberFormat="1" applyFont="1" applyFill="1" applyBorder="1" applyAlignment="1" applyProtection="1">
      <alignment horizontal="center" vertical="center" wrapText="1"/>
    </xf>
    <xf numFmtId="49" fontId="44" fillId="2" borderId="70" xfId="0" applyNumberFormat="1" applyFont="1" applyFill="1" applyBorder="1" applyAlignment="1" applyProtection="1">
      <alignment horizontal="center" vertical="center" wrapText="1"/>
      <protection locked="0"/>
    </xf>
    <xf numFmtId="0" fontId="44" fillId="0" borderId="46" xfId="0" applyFont="1" applyFill="1" applyBorder="1" applyAlignment="1" applyProtection="1">
      <alignment horizontal="center" vertical="center" wrapText="1"/>
      <protection locked="0"/>
    </xf>
    <xf numFmtId="0" fontId="58" fillId="6" borderId="48" xfId="0" applyNumberFormat="1" applyFont="1" applyFill="1" applyBorder="1" applyAlignment="1" applyProtection="1">
      <alignment horizontal="center" vertical="center" wrapText="1"/>
    </xf>
    <xf numFmtId="0" fontId="44" fillId="0" borderId="33" xfId="0" applyFont="1" applyFill="1" applyBorder="1" applyAlignment="1" applyProtection="1">
      <alignment horizontal="center" vertical="center" wrapText="1"/>
      <protection locked="0"/>
    </xf>
    <xf numFmtId="49" fontId="51" fillId="6" borderId="40" xfId="0" applyNumberFormat="1" applyFont="1" applyFill="1" applyBorder="1" applyAlignment="1" applyProtection="1">
      <alignment horizontal="center" vertical="center" wrapText="1"/>
    </xf>
    <xf numFmtId="49" fontId="51" fillId="2" borderId="41" xfId="0" applyNumberFormat="1" applyFont="1" applyFill="1" applyBorder="1" applyAlignment="1" applyProtection="1">
      <alignment horizontal="center" vertical="center" wrapText="1"/>
      <protection locked="0"/>
    </xf>
    <xf numFmtId="49" fontId="51" fillId="2" borderId="7" xfId="0" applyNumberFormat="1" applyFont="1" applyFill="1" applyBorder="1" applyAlignment="1" applyProtection="1">
      <alignment horizontal="center" vertical="center" wrapText="1"/>
      <protection locked="0"/>
    </xf>
    <xf numFmtId="0" fontId="58" fillId="6" borderId="50" xfId="0" applyNumberFormat="1" applyFont="1" applyFill="1" applyBorder="1" applyAlignment="1" applyProtection="1">
      <alignment horizontal="center" vertical="center" wrapText="1"/>
    </xf>
    <xf numFmtId="0" fontId="51" fillId="6" borderId="11" xfId="0" applyNumberFormat="1" applyFont="1" applyFill="1" applyBorder="1" applyAlignment="1" applyProtection="1">
      <alignment horizontal="center" vertical="center" wrapText="1"/>
    </xf>
    <xf numFmtId="0" fontId="51" fillId="2" borderId="14" xfId="0" applyNumberFormat="1" applyFont="1" applyFill="1" applyBorder="1" applyAlignment="1" applyProtection="1">
      <alignment horizontal="center" vertical="center" wrapText="1"/>
      <protection locked="0"/>
    </xf>
    <xf numFmtId="49" fontId="51" fillId="2" borderId="14" xfId="0" applyNumberFormat="1" applyFont="1" applyFill="1" applyBorder="1" applyAlignment="1" applyProtection="1">
      <alignment horizontal="center" vertical="center" wrapText="1"/>
      <protection locked="0"/>
    </xf>
    <xf numFmtId="49" fontId="51" fillId="2" borderId="35" xfId="0" applyNumberFormat="1" applyFont="1" applyFill="1" applyBorder="1" applyAlignment="1" applyProtection="1">
      <alignment horizontal="center" vertical="center" wrapText="1"/>
      <protection locked="0"/>
    </xf>
    <xf numFmtId="0" fontId="51" fillId="2" borderId="7" xfId="0" applyNumberFormat="1" applyFont="1" applyFill="1" applyBorder="1" applyAlignment="1" applyProtection="1">
      <alignment horizontal="center" vertical="center" wrapText="1"/>
      <protection locked="0"/>
    </xf>
    <xf numFmtId="0" fontId="58" fillId="6" borderId="80" xfId="0" applyNumberFormat="1" applyFont="1" applyFill="1" applyBorder="1" applyAlignment="1" applyProtection="1">
      <alignment horizontal="center" vertical="center" wrapText="1"/>
    </xf>
    <xf numFmtId="49" fontId="51" fillId="2" borderId="23" xfId="0" applyNumberFormat="1" applyFont="1" applyFill="1" applyBorder="1" applyAlignment="1" applyProtection="1">
      <alignment horizontal="center" vertical="center" wrapText="1"/>
      <protection locked="0"/>
    </xf>
    <xf numFmtId="49" fontId="51" fillId="2" borderId="3" xfId="0" applyNumberFormat="1" applyFont="1" applyFill="1" applyBorder="1" applyAlignment="1" applyProtection="1">
      <alignment horizontal="center" vertical="center" wrapText="1"/>
      <protection locked="0"/>
    </xf>
    <xf numFmtId="0" fontId="51" fillId="0" borderId="54" xfId="0" applyNumberFormat="1" applyFont="1" applyFill="1" applyBorder="1" applyAlignment="1" applyProtection="1">
      <alignment horizontal="center" vertical="center" wrapText="1"/>
      <protection locked="0"/>
    </xf>
    <xf numFmtId="0" fontId="51" fillId="0" borderId="52" xfId="0" applyNumberFormat="1" applyFont="1" applyFill="1" applyBorder="1" applyAlignment="1" applyProtection="1">
      <alignment horizontal="center" vertical="center" wrapText="1"/>
      <protection locked="0"/>
    </xf>
    <xf numFmtId="0" fontId="51" fillId="2" borderId="6" xfId="0" applyFont="1" applyFill="1" applyBorder="1" applyAlignment="1" applyProtection="1">
      <alignment horizontal="center" vertical="center" wrapText="1"/>
      <protection locked="0"/>
    </xf>
    <xf numFmtId="0" fontId="51" fillId="2" borderId="30" xfId="0" applyFont="1" applyFill="1" applyBorder="1" applyAlignment="1" applyProtection="1">
      <alignment horizontal="center" vertical="center" wrapText="1"/>
      <protection locked="0"/>
    </xf>
    <xf numFmtId="0" fontId="51" fillId="2" borderId="23" xfId="0" applyFont="1" applyFill="1" applyBorder="1" applyAlignment="1" applyProtection="1">
      <alignment horizontal="center" vertical="center" wrapText="1"/>
      <protection locked="0"/>
    </xf>
    <xf numFmtId="0" fontId="51" fillId="2" borderId="3" xfId="0" applyFont="1" applyFill="1" applyBorder="1" applyAlignment="1" applyProtection="1">
      <alignment horizontal="center" vertical="center" wrapText="1"/>
      <protection locked="0"/>
    </xf>
    <xf numFmtId="188" fontId="51" fillId="6" borderId="48" xfId="0" applyNumberFormat="1" applyFont="1" applyFill="1" applyBorder="1" applyAlignment="1" applyProtection="1">
      <alignment horizontal="center" vertical="center"/>
    </xf>
    <xf numFmtId="188" fontId="51" fillId="6" borderId="49" xfId="0" applyNumberFormat="1" applyFont="1" applyFill="1" applyBorder="1" applyAlignment="1" applyProtection="1">
      <alignment horizontal="center" vertical="center" wrapText="1"/>
    </xf>
    <xf numFmtId="0" fontId="51" fillId="0" borderId="18" xfId="0" applyFont="1" applyFill="1" applyBorder="1" applyAlignment="1" applyProtection="1">
      <alignment horizontal="center" vertical="center"/>
      <protection locked="0"/>
    </xf>
    <xf numFmtId="0" fontId="68" fillId="0" borderId="18" xfId="0" applyFont="1" applyFill="1" applyBorder="1" applyAlignment="1" applyProtection="1">
      <alignment horizontal="center" vertical="center"/>
      <protection locked="0"/>
    </xf>
    <xf numFmtId="0" fontId="51" fillId="0" borderId="18" xfId="0" applyFont="1" applyBorder="1" applyAlignment="1" applyProtection="1">
      <protection locked="0"/>
    </xf>
    <xf numFmtId="0" fontId="46" fillId="6" borderId="0" xfId="0" applyNumberFormat="1" applyFont="1" applyFill="1" applyBorder="1" applyAlignment="1" applyProtection="1">
      <alignment vertical="center" wrapText="1"/>
    </xf>
    <xf numFmtId="9" fontId="44" fillId="0" borderId="18" xfId="0" applyNumberFormat="1" applyFont="1" applyFill="1" applyBorder="1" applyAlignment="1" applyProtection="1">
      <alignment horizontal="center" vertical="center" wrapText="1"/>
      <protection locked="0"/>
    </xf>
    <xf numFmtId="0" fontId="98" fillId="0" borderId="18" xfId="0" applyFont="1" applyFill="1" applyBorder="1" applyAlignment="1" applyProtection="1">
      <alignment vertical="center"/>
      <protection locked="0"/>
    </xf>
    <xf numFmtId="0" fontId="44"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wrapText="1"/>
      <protection locked="0"/>
    </xf>
    <xf numFmtId="0" fontId="49" fillId="0" borderId="18" xfId="0" applyFont="1" applyFill="1" applyBorder="1" applyAlignment="1" applyProtection="1">
      <alignment horizontal="center" vertical="center"/>
      <protection locked="0"/>
    </xf>
    <xf numFmtId="0" fontId="49" fillId="0" borderId="18" xfId="0" applyFont="1" applyFill="1" applyBorder="1" applyAlignment="1" applyProtection="1">
      <alignment vertical="center" wrapText="1"/>
      <protection locked="0"/>
    </xf>
    <xf numFmtId="0" fontId="44" fillId="0" borderId="18" xfId="0" applyFont="1" applyFill="1" applyBorder="1" applyAlignment="1" applyProtection="1">
      <alignment vertical="center" wrapText="1"/>
      <protection locked="0"/>
    </xf>
    <xf numFmtId="0" fontId="44" fillId="0" borderId="83" xfId="0" applyNumberFormat="1" applyFont="1" applyFill="1" applyBorder="1" applyAlignment="1" applyProtection="1">
      <alignment horizontal="center" vertical="center"/>
      <protection locked="0"/>
    </xf>
    <xf numFmtId="0" fontId="50" fillId="6" borderId="12" xfId="0" applyNumberFormat="1" applyFont="1" applyFill="1" applyBorder="1" applyAlignment="1" applyProtection="1">
      <alignment vertical="center" wrapText="1"/>
    </xf>
    <xf numFmtId="0" fontId="100" fillId="0" borderId="0" xfId="0" applyFont="1" applyFill="1" applyAlignment="1" applyProtection="1">
      <alignment horizontal="left" vertical="center"/>
      <protection locked="0"/>
    </xf>
    <xf numFmtId="0" fontId="98" fillId="6" borderId="16" xfId="0" applyFont="1" applyFill="1" applyBorder="1" applyAlignment="1" applyProtection="1">
      <alignment horizontal="center" vertical="center"/>
    </xf>
    <xf numFmtId="0" fontId="58" fillId="6" borderId="19" xfId="0" applyFont="1" applyFill="1" applyBorder="1" applyAlignment="1" applyProtection="1">
      <alignment horizontal="center" vertical="center"/>
    </xf>
    <xf numFmtId="0" fontId="51" fillId="6" borderId="19" xfId="0" applyFont="1" applyFill="1" applyBorder="1" applyAlignment="1" applyProtection="1">
      <alignment horizontal="center" vertical="center"/>
    </xf>
    <xf numFmtId="0" fontId="51" fillId="6" borderId="31" xfId="0" applyFont="1" applyFill="1" applyBorder="1" applyAlignment="1" applyProtection="1">
      <alignment horizontal="center" vertical="center"/>
    </xf>
    <xf numFmtId="0" fontId="98" fillId="6" borderId="19" xfId="0" applyFont="1" applyFill="1" applyBorder="1" applyAlignment="1" applyProtection="1">
      <alignment horizontal="center" vertical="center"/>
    </xf>
    <xf numFmtId="0" fontId="58" fillId="6" borderId="31" xfId="0" applyFont="1" applyFill="1" applyBorder="1" applyAlignment="1" applyProtection="1">
      <alignment horizontal="center" vertical="center"/>
    </xf>
    <xf numFmtId="0" fontId="58" fillId="6" borderId="69" xfId="0" applyFont="1" applyFill="1" applyBorder="1" applyProtection="1">
      <alignment vertical="center"/>
    </xf>
    <xf numFmtId="0" fontId="98" fillId="6" borderId="5" xfId="0" applyFont="1" applyFill="1" applyBorder="1" applyAlignment="1" applyProtection="1">
      <alignment horizontal="center" vertical="center"/>
    </xf>
    <xf numFmtId="0" fontId="98" fillId="6" borderId="92" xfId="0" applyFont="1" applyFill="1" applyBorder="1" applyAlignment="1" applyProtection="1">
      <alignment horizontal="center" vertical="center"/>
    </xf>
    <xf numFmtId="0" fontId="58" fillId="6" borderId="60" xfId="0" applyFont="1" applyFill="1" applyBorder="1" applyAlignment="1" applyProtection="1">
      <alignment horizontal="center" vertical="center"/>
    </xf>
    <xf numFmtId="0" fontId="98" fillId="0" borderId="2" xfId="0" applyFont="1" applyBorder="1" applyAlignment="1" applyProtection="1">
      <alignment horizontal="center" vertical="center"/>
      <protection locked="0"/>
    </xf>
    <xf numFmtId="0" fontId="98" fillId="6" borderId="7" xfId="0" applyFont="1" applyFill="1" applyBorder="1" applyAlignment="1" applyProtection="1">
      <alignment horizontal="center" vertical="center"/>
    </xf>
    <xf numFmtId="0" fontId="98" fillId="6" borderId="3" xfId="0" applyFont="1" applyFill="1" applyBorder="1" applyAlignment="1" applyProtection="1">
      <alignment horizontal="center" vertical="center"/>
    </xf>
    <xf numFmtId="0" fontId="98" fillId="0" borderId="1" xfId="0" applyFont="1" applyBorder="1" applyAlignment="1" applyProtection="1">
      <alignment horizontal="center" vertical="center"/>
      <protection locked="0"/>
    </xf>
    <xf numFmtId="0" fontId="98" fillId="6" borderId="25" xfId="0" applyFont="1" applyFill="1" applyBorder="1" applyAlignment="1" applyProtection="1">
      <alignment horizontal="center" vertical="center"/>
    </xf>
    <xf numFmtId="0" fontId="58" fillId="6" borderId="94" xfId="0" applyFont="1" applyFill="1" applyBorder="1" applyAlignment="1" applyProtection="1">
      <alignment horizontal="left" vertical="center"/>
    </xf>
    <xf numFmtId="0" fontId="51" fillId="6" borderId="47" xfId="0" applyFont="1" applyFill="1" applyBorder="1" applyAlignment="1" applyProtection="1">
      <alignment horizontal="center" vertical="center"/>
    </xf>
    <xf numFmtId="0" fontId="51" fillId="6" borderId="43" xfId="0" applyFont="1" applyFill="1" applyBorder="1" applyAlignment="1" applyProtection="1">
      <alignment horizontal="center" vertical="center"/>
    </xf>
    <xf numFmtId="0" fontId="98" fillId="6" borderId="66" xfId="0" applyFont="1" applyFill="1" applyBorder="1" applyAlignment="1" applyProtection="1">
      <alignment horizontal="center" vertical="center"/>
    </xf>
    <xf numFmtId="0" fontId="62" fillId="6" borderId="89" xfId="0" applyFont="1" applyFill="1" applyBorder="1" applyAlignment="1" applyProtection="1">
      <alignment horizontal="center" vertical="center"/>
      <protection locked="0"/>
    </xf>
    <xf numFmtId="0" fontId="62" fillId="6" borderId="87" xfId="0" applyFont="1" applyFill="1" applyBorder="1" applyAlignment="1" applyProtection="1">
      <alignment horizontal="center" vertical="center"/>
      <protection locked="0"/>
    </xf>
    <xf numFmtId="0" fontId="63" fillId="6" borderId="87" xfId="0" applyFont="1" applyFill="1" applyBorder="1" applyAlignment="1" applyProtection="1">
      <alignment horizontal="center" vertical="center"/>
      <protection locked="0"/>
    </xf>
    <xf numFmtId="0" fontId="62" fillId="6" borderId="18" xfId="0" applyFont="1" applyFill="1" applyBorder="1" applyAlignment="1" applyProtection="1">
      <alignment horizontal="center" vertical="center"/>
      <protection locked="0"/>
    </xf>
    <xf numFmtId="0" fontId="63" fillId="6" borderId="0" xfId="0" applyFont="1" applyFill="1" applyBorder="1" applyAlignment="1" applyProtection="1">
      <alignment horizontal="center" vertical="center"/>
      <protection locked="0"/>
    </xf>
    <xf numFmtId="0" fontId="63" fillId="6" borderId="0" xfId="0" applyFont="1" applyFill="1" applyAlignment="1" applyProtection="1">
      <alignment horizontal="center" vertical="center"/>
      <protection locked="0"/>
    </xf>
    <xf numFmtId="49" fontId="51" fillId="6" borderId="11" xfId="0" applyNumberFormat="1" applyFont="1" applyFill="1" applyBorder="1" applyAlignment="1" applyProtection="1">
      <alignment horizontal="center" vertical="center" wrapText="1"/>
    </xf>
    <xf numFmtId="0" fontId="44" fillId="2" borderId="41" xfId="0" applyNumberFormat="1" applyFont="1" applyFill="1" applyBorder="1" applyAlignment="1" applyProtection="1">
      <alignment horizontal="center" vertical="center" wrapText="1"/>
      <protection locked="0"/>
    </xf>
    <xf numFmtId="0" fontId="62" fillId="6" borderId="88" xfId="0" applyFont="1" applyFill="1" applyBorder="1" applyAlignment="1" applyProtection="1">
      <alignment horizontal="right" vertical="center"/>
    </xf>
    <xf numFmtId="0" fontId="51" fillId="6" borderId="17" xfId="0" applyFont="1" applyFill="1" applyBorder="1" applyAlignment="1" applyProtection="1">
      <alignment horizontal="center" vertical="center"/>
    </xf>
    <xf numFmtId="0" fontId="44" fillId="6" borderId="24" xfId="0" applyNumberFormat="1" applyFont="1" applyFill="1" applyBorder="1" applyAlignment="1" applyProtection="1">
      <alignment horizontal="center" vertical="center"/>
    </xf>
    <xf numFmtId="0" fontId="44" fillId="0" borderId="7" xfId="0" applyNumberFormat="1" applyFont="1" applyFill="1" applyBorder="1" applyAlignment="1" applyProtection="1">
      <alignment horizontal="center" vertical="center" wrapText="1"/>
      <protection locked="0"/>
    </xf>
    <xf numFmtId="49" fontId="51" fillId="6" borderId="39" xfId="0" applyNumberFormat="1" applyFont="1" applyFill="1" applyBorder="1" applyAlignment="1" applyProtection="1">
      <alignment horizontal="center" vertical="center" wrapText="1"/>
    </xf>
    <xf numFmtId="0" fontId="51" fillId="6" borderId="24" xfId="0" applyNumberFormat="1" applyFont="1" applyFill="1" applyBorder="1" applyAlignment="1" applyProtection="1">
      <alignment horizontal="center" vertical="center"/>
    </xf>
    <xf numFmtId="0" fontId="51" fillId="6" borderId="22" xfId="0" applyNumberFormat="1" applyFont="1" applyFill="1" applyBorder="1" applyAlignment="1" applyProtection="1">
      <alignment horizontal="center" vertical="center" wrapText="1"/>
    </xf>
    <xf numFmtId="0" fontId="51" fillId="2" borderId="35" xfId="0" applyNumberFormat="1" applyFont="1" applyFill="1" applyBorder="1" applyAlignment="1" applyProtection="1">
      <alignment horizontal="center" vertical="center" wrapText="1"/>
      <protection locked="0"/>
    </xf>
    <xf numFmtId="0" fontId="44" fillId="2" borderId="7" xfId="0" applyNumberFormat="1" applyFont="1" applyFill="1" applyBorder="1" applyAlignment="1" applyProtection="1">
      <alignment horizontal="center" vertical="center" wrapText="1"/>
      <protection locked="0"/>
    </xf>
    <xf numFmtId="0" fontId="44" fillId="0" borderId="24" xfId="0" applyFont="1" applyFill="1" applyBorder="1" applyAlignment="1" applyProtection="1">
      <alignment horizontal="center" vertical="center" wrapText="1"/>
      <protection locked="0"/>
    </xf>
    <xf numFmtId="0" fontId="51" fillId="2" borderId="6" xfId="0" applyNumberFormat="1" applyFont="1" applyFill="1" applyBorder="1" applyAlignment="1" applyProtection="1">
      <alignment horizontal="center" vertical="center" wrapText="1"/>
      <protection locked="0"/>
    </xf>
    <xf numFmtId="0" fontId="51" fillId="0" borderId="44" xfId="0" applyNumberFormat="1" applyFont="1" applyFill="1" applyBorder="1" applyAlignment="1" applyProtection="1">
      <alignment horizontal="left" vertical="center" wrapText="1"/>
      <protection locked="0"/>
    </xf>
    <xf numFmtId="0" fontId="51" fillId="0" borderId="45" xfId="0" applyNumberFormat="1" applyFont="1" applyFill="1" applyBorder="1" applyAlignment="1" applyProtection="1">
      <alignment horizontal="center" vertical="center" wrapText="1"/>
      <protection locked="0"/>
    </xf>
    <xf numFmtId="0" fontId="44" fillId="0" borderId="54" xfId="0" applyNumberFormat="1" applyFont="1" applyFill="1" applyBorder="1" applyAlignment="1" applyProtection="1">
      <alignment horizontal="center" vertical="center" wrapText="1"/>
      <protection locked="0"/>
    </xf>
    <xf numFmtId="0" fontId="51" fillId="6" borderId="40" xfId="0" applyNumberFormat="1" applyFont="1" applyFill="1" applyBorder="1" applyAlignment="1" applyProtection="1">
      <alignment horizontal="center" vertical="center" wrapText="1"/>
    </xf>
    <xf numFmtId="0" fontId="51" fillId="6" borderId="41" xfId="0" applyNumberFormat="1" applyFont="1" applyFill="1" applyBorder="1" applyAlignment="1" applyProtection="1">
      <alignment horizontal="center" vertical="center" wrapText="1"/>
    </xf>
    <xf numFmtId="49" fontId="50" fillId="5" borderId="20" xfId="0" applyNumberFormat="1" applyFont="1" applyFill="1" applyBorder="1" applyAlignment="1" applyProtection="1">
      <alignment vertical="center"/>
      <protection locked="0"/>
    </xf>
    <xf numFmtId="183" fontId="44" fillId="0" borderId="26" xfId="0" applyNumberFormat="1" applyFont="1" applyFill="1" applyBorder="1" applyAlignment="1" applyProtection="1">
      <alignment horizontal="center" vertical="center" wrapText="1"/>
      <protection locked="0"/>
    </xf>
    <xf numFmtId="0" fontId="44" fillId="0" borderId="38" xfId="0" applyNumberFormat="1" applyFont="1" applyFill="1" applyBorder="1" applyAlignment="1" applyProtection="1">
      <alignment horizontal="center" vertical="center" wrapText="1"/>
      <protection locked="0"/>
    </xf>
    <xf numFmtId="0" fontId="51" fillId="0" borderId="55" xfId="0" applyNumberFormat="1" applyFont="1" applyFill="1" applyBorder="1" applyAlignment="1" applyProtection="1">
      <alignment horizontal="center" vertical="center" wrapText="1"/>
      <protection locked="0"/>
    </xf>
    <xf numFmtId="0" fontId="44" fillId="2" borderId="51" xfId="0" applyNumberFormat="1" applyFont="1" applyFill="1" applyBorder="1" applyAlignment="1" applyProtection="1">
      <alignment horizontal="center" vertical="center" wrapText="1"/>
      <protection locked="0"/>
    </xf>
    <xf numFmtId="0" fontId="44" fillId="2" borderId="69" xfId="0" applyNumberFormat="1" applyFont="1" applyFill="1" applyBorder="1" applyAlignment="1" applyProtection="1">
      <alignment horizontal="center" vertical="center" wrapText="1"/>
      <protection locked="0"/>
    </xf>
    <xf numFmtId="0" fontId="44" fillId="2" borderId="60" xfId="0" applyNumberFormat="1" applyFont="1" applyFill="1" applyBorder="1" applyAlignment="1" applyProtection="1">
      <alignment horizontal="center" vertical="center" wrapText="1"/>
      <protection locked="0"/>
    </xf>
    <xf numFmtId="9" fontId="44" fillId="2" borderId="37" xfId="0" applyNumberFormat="1" applyFont="1" applyFill="1" applyBorder="1" applyAlignment="1" applyProtection="1">
      <alignment horizontal="center" vertical="center" wrapText="1"/>
      <protection locked="0"/>
    </xf>
    <xf numFmtId="0" fontId="49" fillId="0" borderId="38" xfId="0" applyNumberFormat="1" applyFont="1" applyFill="1" applyBorder="1" applyAlignment="1" applyProtection="1">
      <alignment horizontal="center" vertical="center" wrapText="1"/>
      <protection locked="0"/>
    </xf>
    <xf numFmtId="49" fontId="50" fillId="2" borderId="10" xfId="0" applyNumberFormat="1" applyFont="1" applyFill="1" applyBorder="1" applyAlignment="1" applyProtection="1">
      <alignment vertical="center"/>
      <protection locked="0"/>
    </xf>
    <xf numFmtId="0" fontId="51" fillId="5" borderId="9" xfId="0" applyFont="1" applyFill="1" applyBorder="1" applyAlignment="1" applyProtection="1">
      <alignment horizontal="center" vertical="center"/>
      <protection locked="0"/>
    </xf>
    <xf numFmtId="0" fontId="51" fillId="6" borderId="19" xfId="0" applyFont="1" applyFill="1" applyBorder="1" applyAlignment="1" applyProtection="1">
      <alignment horizontal="center" vertical="center" wrapText="1"/>
      <protection locked="0"/>
    </xf>
    <xf numFmtId="0" fontId="98" fillId="6" borderId="95" xfId="0" applyFont="1" applyFill="1" applyBorder="1" applyAlignment="1" applyProtection="1">
      <alignment horizontal="center" vertical="center"/>
    </xf>
    <xf numFmtId="0" fontId="100" fillId="6" borderId="0" xfId="0" applyFont="1" applyFill="1" applyAlignment="1" applyProtection="1">
      <alignment horizontal="left" vertical="center"/>
      <protection locked="0"/>
    </xf>
    <xf numFmtId="0" fontId="99" fillId="6" borderId="23" xfId="0" applyFont="1" applyFill="1" applyBorder="1" applyAlignment="1" applyProtection="1">
      <alignment horizontal="center" vertical="center"/>
    </xf>
    <xf numFmtId="0" fontId="99" fillId="6" borderId="25" xfId="0" applyFont="1" applyFill="1" applyBorder="1" applyAlignment="1" applyProtection="1">
      <alignment horizontal="center" vertical="center"/>
    </xf>
    <xf numFmtId="0" fontId="46" fillId="6" borderId="16" xfId="0" applyNumberFormat="1" applyFont="1" applyFill="1" applyBorder="1" applyAlignment="1" applyProtection="1">
      <alignment vertical="center"/>
    </xf>
    <xf numFmtId="0" fontId="46" fillId="5" borderId="23" xfId="0" applyNumberFormat="1" applyFont="1" applyFill="1" applyBorder="1" applyAlignment="1" applyProtection="1">
      <alignment horizontal="center" vertical="center" wrapText="1"/>
      <protection locked="0"/>
    </xf>
    <xf numFmtId="0" fontId="51" fillId="6" borderId="14" xfId="0" applyNumberFormat="1" applyFont="1" applyFill="1" applyBorder="1" applyAlignment="1" applyProtection="1">
      <alignment horizontal="center" vertical="center" wrapText="1"/>
    </xf>
    <xf numFmtId="0" fontId="51" fillId="0" borderId="24" xfId="0" applyFont="1" applyFill="1" applyBorder="1" applyAlignment="1" applyProtection="1">
      <alignment horizontal="center" vertical="center"/>
      <protection locked="0"/>
    </xf>
    <xf numFmtId="0" fontId="98" fillId="0" borderId="49" xfId="0" applyFont="1" applyFill="1" applyBorder="1" applyAlignment="1" applyProtection="1">
      <alignment horizontal="center" vertical="center"/>
      <protection locked="0"/>
    </xf>
    <xf numFmtId="0" fontId="46" fillId="6" borderId="37" xfId="0" applyNumberFormat="1" applyFont="1" applyFill="1" applyBorder="1" applyAlignment="1" applyProtection="1">
      <alignment horizontal="center" vertical="center" wrapText="1"/>
    </xf>
    <xf numFmtId="0" fontId="53" fillId="6" borderId="0" xfId="0" applyFont="1" applyFill="1" applyAlignment="1" applyProtection="1">
      <alignment vertical="center" wrapText="1"/>
    </xf>
    <xf numFmtId="0" fontId="98" fillId="6" borderId="6" xfId="0" applyNumberFormat="1" applyFont="1" applyFill="1" applyBorder="1" applyAlignment="1" applyProtection="1">
      <alignment horizontal="center" vertical="center"/>
    </xf>
    <xf numFmtId="0" fontId="53" fillId="0" borderId="0" xfId="0" applyFont="1" applyAlignment="1" applyProtection="1">
      <alignment vertical="center" wrapText="1"/>
      <protection locked="0"/>
    </xf>
    <xf numFmtId="0" fontId="53" fillId="0" borderId="0" xfId="0" applyFont="1" applyAlignment="1" applyProtection="1">
      <alignment vertical="center" wrapText="1"/>
    </xf>
    <xf numFmtId="0" fontId="57" fillId="6" borderId="5" xfId="1" applyFont="1" applyFill="1" applyBorder="1" applyAlignment="1" applyProtection="1">
      <alignment vertical="center"/>
    </xf>
    <xf numFmtId="0" fontId="53" fillId="6" borderId="1" xfId="0" applyNumberFormat="1" applyFont="1" applyFill="1" applyBorder="1" applyAlignment="1" applyProtection="1">
      <alignment horizontal="left" vertical="center" wrapText="1"/>
    </xf>
    <xf numFmtId="0" fontId="53" fillId="6" borderId="1" xfId="0" applyNumberFormat="1" applyFont="1" applyFill="1" applyBorder="1" applyAlignment="1" applyProtection="1">
      <alignment horizontal="center" vertical="center" wrapText="1"/>
    </xf>
    <xf numFmtId="0" fontId="53" fillId="6" borderId="0" xfId="0" applyNumberFormat="1" applyFont="1" applyFill="1" applyAlignment="1" applyProtection="1">
      <alignment vertical="center" wrapText="1"/>
    </xf>
    <xf numFmtId="0" fontId="98" fillId="6" borderId="23" xfId="0" applyNumberFormat="1" applyFont="1" applyFill="1" applyBorder="1" applyAlignment="1" applyProtection="1">
      <alignment horizontal="center" vertical="center"/>
    </xf>
    <xf numFmtId="0" fontId="53" fillId="5" borderId="1" xfId="0" applyFont="1" applyFill="1" applyBorder="1" applyAlignment="1" applyProtection="1">
      <alignment horizontal="left" vertical="center"/>
      <protection locked="0"/>
    </xf>
    <xf numFmtId="49" fontId="50" fillId="6" borderId="13" xfId="0" applyNumberFormat="1" applyFont="1" applyFill="1" applyBorder="1" applyAlignment="1" applyProtection="1">
      <alignment horizontal="left" vertical="center" wrapText="1"/>
    </xf>
    <xf numFmtId="0" fontId="50" fillId="6" borderId="13" xfId="0" applyFont="1" applyFill="1" applyBorder="1" applyAlignment="1" applyProtection="1">
      <alignment horizontal="left" vertical="center" wrapText="1"/>
    </xf>
    <xf numFmtId="0" fontId="50" fillId="6" borderId="36" xfId="0" applyFont="1" applyFill="1" applyBorder="1" applyAlignment="1" applyProtection="1">
      <alignment vertical="center" wrapText="1"/>
    </xf>
    <xf numFmtId="0" fontId="51" fillId="6" borderId="36" xfId="0" applyFont="1" applyFill="1" applyBorder="1" applyAlignment="1" applyProtection="1">
      <alignment vertical="center" wrapText="1"/>
    </xf>
    <xf numFmtId="0" fontId="51" fillId="6" borderId="22" xfId="0" applyFont="1" applyFill="1" applyBorder="1" applyAlignment="1" applyProtection="1">
      <alignment vertical="center" wrapText="1"/>
    </xf>
    <xf numFmtId="0" fontId="51" fillId="7" borderId="0" xfId="0" applyFont="1" applyFill="1" applyAlignment="1" applyProtection="1">
      <alignment vertical="center"/>
      <protection locked="0"/>
    </xf>
    <xf numFmtId="0" fontId="51" fillId="6" borderId="0" xfId="8" applyFont="1" applyFill="1" applyAlignment="1" applyProtection="1">
      <alignment horizontal="center" vertical="center" wrapText="1"/>
      <protection locked="0"/>
    </xf>
    <xf numFmtId="0" fontId="51" fillId="7" borderId="0" xfId="8" applyFont="1" applyFill="1" applyAlignment="1" applyProtection="1">
      <alignment horizontal="center" vertical="center" wrapText="1"/>
    </xf>
    <xf numFmtId="0" fontId="51" fillId="0" borderId="0" xfId="8" applyFont="1" applyAlignment="1" applyProtection="1">
      <alignment horizontal="center" vertical="center" wrapText="1"/>
    </xf>
    <xf numFmtId="0" fontId="51" fillId="0" borderId="0" xfId="0" applyFont="1" applyAlignment="1" applyProtection="1">
      <alignment vertical="center" wrapText="1"/>
    </xf>
    <xf numFmtId="49" fontId="54" fillId="6" borderId="26" xfId="0" applyNumberFormat="1" applyFont="1" applyFill="1" applyBorder="1" applyAlignment="1" applyProtection="1">
      <alignment horizontal="center" vertical="center" wrapText="1"/>
    </xf>
    <xf numFmtId="0" fontId="54" fillId="6" borderId="64" xfId="0" applyFont="1" applyFill="1" applyBorder="1" applyAlignment="1" applyProtection="1">
      <alignment horizontal="left" vertical="center" wrapText="1"/>
    </xf>
    <xf numFmtId="0" fontId="112" fillId="6" borderId="34" xfId="0" applyFont="1" applyFill="1" applyBorder="1" applyAlignment="1" applyProtection="1">
      <alignment vertical="center"/>
    </xf>
    <xf numFmtId="0" fontId="54" fillId="6" borderId="64" xfId="0" applyFont="1" applyFill="1" applyBorder="1" applyAlignment="1" applyProtection="1">
      <alignment horizontal="center" vertical="center" wrapText="1"/>
    </xf>
    <xf numFmtId="0" fontId="53" fillId="6" borderId="64" xfId="0" applyFont="1" applyFill="1" applyBorder="1" applyAlignment="1" applyProtection="1">
      <alignment vertical="center" wrapText="1"/>
    </xf>
    <xf numFmtId="0" fontId="53" fillId="6" borderId="65" xfId="0" applyFont="1" applyFill="1" applyBorder="1" applyAlignment="1" applyProtection="1">
      <alignment vertical="center" wrapText="1"/>
    </xf>
    <xf numFmtId="0" fontId="54" fillId="6" borderId="9" xfId="0" applyFont="1" applyFill="1" applyBorder="1" applyAlignment="1" applyProtection="1">
      <alignment horizontal="left" vertical="center" wrapText="1"/>
    </xf>
    <xf numFmtId="0" fontId="53" fillId="6" borderId="9" xfId="0" applyFont="1" applyFill="1" applyBorder="1" applyAlignment="1" applyProtection="1">
      <alignment horizontal="center" vertical="center" wrapText="1"/>
    </xf>
    <xf numFmtId="0" fontId="53" fillId="6" borderId="19" xfId="0" applyFont="1" applyFill="1" applyBorder="1" applyAlignment="1" applyProtection="1">
      <alignment horizontal="center" vertical="center" wrapText="1"/>
    </xf>
    <xf numFmtId="0" fontId="53" fillId="6" borderId="19" xfId="0" applyFont="1" applyFill="1" applyBorder="1" applyAlignment="1" applyProtection="1">
      <alignment vertical="center" wrapText="1"/>
    </xf>
    <xf numFmtId="0" fontId="53" fillId="6" borderId="31" xfId="0" applyFont="1" applyFill="1" applyBorder="1" applyAlignment="1" applyProtection="1">
      <alignment vertical="center" wrapText="1"/>
    </xf>
    <xf numFmtId="0" fontId="53" fillId="5" borderId="1" xfId="0" applyFont="1" applyFill="1" applyBorder="1" applyAlignment="1" applyProtection="1">
      <alignment horizontal="center" vertical="center" wrapText="1"/>
      <protection locked="0"/>
    </xf>
    <xf numFmtId="0" fontId="53" fillId="6" borderId="5" xfId="0" applyFont="1" applyFill="1" applyBorder="1" applyAlignment="1" applyProtection="1">
      <alignment vertical="center"/>
    </xf>
    <xf numFmtId="0" fontId="53" fillId="6" borderId="54" xfId="0" applyFont="1" applyFill="1" applyBorder="1" applyAlignment="1" applyProtection="1">
      <alignment vertical="center" wrapText="1"/>
    </xf>
    <xf numFmtId="0" fontId="53" fillId="6" borderId="48" xfId="0" applyFont="1" applyFill="1" applyBorder="1" applyAlignment="1" applyProtection="1">
      <alignment vertical="center" wrapText="1"/>
    </xf>
    <xf numFmtId="0" fontId="53" fillId="6" borderId="13" xfId="0" applyFont="1" applyFill="1" applyBorder="1" applyAlignment="1" applyProtection="1">
      <alignment horizontal="left" vertical="center" wrapText="1"/>
    </xf>
    <xf numFmtId="0" fontId="53" fillId="6" borderId="46" xfId="0" applyFont="1" applyFill="1" applyBorder="1" applyAlignment="1" applyProtection="1">
      <alignment vertical="center"/>
    </xf>
    <xf numFmtId="0" fontId="53" fillId="6" borderId="36" xfId="0" applyFont="1" applyFill="1" applyBorder="1" applyAlignment="1" applyProtection="1">
      <alignment vertical="center" wrapText="1"/>
    </xf>
    <xf numFmtId="0" fontId="53" fillId="6" borderId="59" xfId="0" applyFont="1" applyFill="1" applyBorder="1" applyAlignment="1" applyProtection="1">
      <alignment vertical="center" wrapText="1"/>
    </xf>
    <xf numFmtId="0" fontId="54" fillId="6" borderId="17" xfId="0" applyFont="1" applyFill="1" applyBorder="1" applyAlignment="1" applyProtection="1">
      <alignment horizontal="left" vertical="center" wrapText="1"/>
    </xf>
    <xf numFmtId="0" fontId="53" fillId="6" borderId="28" xfId="0" applyFont="1" applyFill="1" applyBorder="1" applyAlignment="1" applyProtection="1">
      <alignment vertical="center"/>
    </xf>
    <xf numFmtId="0" fontId="53" fillId="6" borderId="20" xfId="0" applyFont="1" applyFill="1" applyBorder="1" applyAlignment="1" applyProtection="1">
      <alignment horizontal="center" vertical="center" wrapText="1"/>
    </xf>
    <xf numFmtId="0" fontId="53" fillId="6" borderId="20" xfId="0" applyFont="1" applyFill="1" applyBorder="1" applyAlignment="1" applyProtection="1">
      <alignment vertical="center" wrapText="1"/>
    </xf>
    <xf numFmtId="0" fontId="53" fillId="6" borderId="21" xfId="0" applyFont="1" applyFill="1" applyBorder="1" applyAlignment="1" applyProtection="1">
      <alignment vertical="center" wrapText="1"/>
    </xf>
    <xf numFmtId="0" fontId="98" fillId="6" borderId="25" xfId="0" applyNumberFormat="1" applyFont="1" applyFill="1" applyBorder="1" applyAlignment="1" applyProtection="1">
      <alignment horizontal="center" vertical="center"/>
    </xf>
    <xf numFmtId="0" fontId="99" fillId="6" borderId="13" xfId="0" applyFont="1" applyFill="1" applyBorder="1" applyAlignment="1" applyProtection="1">
      <alignment horizontal="left" vertical="center" wrapText="1"/>
    </xf>
    <xf numFmtId="0" fontId="99" fillId="6" borderId="3" xfId="0" applyFont="1" applyFill="1" applyBorder="1" applyAlignment="1" applyProtection="1">
      <alignment horizontal="center" vertical="center" wrapText="1"/>
    </xf>
    <xf numFmtId="0" fontId="99" fillId="6" borderId="2" xfId="0" applyFont="1" applyFill="1" applyBorder="1" applyAlignment="1" applyProtection="1">
      <alignment horizontal="left" vertical="center" wrapText="1"/>
    </xf>
    <xf numFmtId="0" fontId="99" fillId="5" borderId="3" xfId="0" applyFont="1" applyFill="1" applyBorder="1" applyAlignment="1" applyProtection="1">
      <alignment horizontal="center" vertical="center" wrapText="1"/>
      <protection locked="0"/>
    </xf>
    <xf numFmtId="0" fontId="99" fillId="5" borderId="1" xfId="0" applyFont="1" applyFill="1" applyBorder="1" applyAlignment="1" applyProtection="1">
      <alignment horizontal="center" vertical="center" wrapText="1"/>
      <protection locked="0"/>
    </xf>
    <xf numFmtId="0" fontId="99" fillId="5" borderId="2" xfId="0" applyFont="1" applyFill="1" applyBorder="1" applyAlignment="1" applyProtection="1">
      <alignment horizontal="center" vertical="center" wrapText="1"/>
      <protection locked="0"/>
    </xf>
    <xf numFmtId="0" fontId="53" fillId="6" borderId="0" xfId="0" applyFont="1" applyFill="1" applyBorder="1" applyAlignment="1" applyProtection="1">
      <alignment vertical="center" wrapText="1"/>
    </xf>
    <xf numFmtId="0" fontId="53" fillId="5" borderId="9" xfId="0" applyFont="1" applyFill="1" applyBorder="1" applyAlignment="1" applyProtection="1">
      <alignment horizontal="center" vertical="center" wrapText="1"/>
      <protection locked="0"/>
    </xf>
    <xf numFmtId="0" fontId="53" fillId="5" borderId="10" xfId="0" applyFont="1" applyFill="1" applyBorder="1" applyAlignment="1" applyProtection="1">
      <alignment horizontal="center" vertical="center" wrapText="1"/>
      <protection locked="0"/>
    </xf>
    <xf numFmtId="0" fontId="53" fillId="7" borderId="0" xfId="0" applyFont="1" applyFill="1" applyAlignment="1" applyProtection="1">
      <alignment vertical="center" wrapText="1"/>
    </xf>
    <xf numFmtId="49" fontId="50" fillId="6" borderId="26" xfId="0" applyNumberFormat="1" applyFont="1" applyFill="1" applyBorder="1" applyAlignment="1" applyProtection="1">
      <alignment horizontal="left" vertical="center" wrapText="1"/>
    </xf>
    <xf numFmtId="0" fontId="50" fillId="6" borderId="84" xfId="0" applyFont="1" applyFill="1" applyBorder="1" applyAlignment="1" applyProtection="1">
      <alignment horizontal="left" vertical="center" wrapText="1"/>
    </xf>
    <xf numFmtId="0" fontId="53" fillId="6" borderId="64" xfId="0" applyFont="1" applyFill="1" applyBorder="1" applyAlignment="1" applyProtection="1">
      <alignment vertical="center"/>
    </xf>
    <xf numFmtId="0" fontId="53" fillId="0" borderId="0" xfId="0" applyFont="1" applyAlignment="1" applyProtection="1">
      <alignment horizontal="center" vertical="center" wrapText="1"/>
    </xf>
    <xf numFmtId="0" fontId="51" fillId="6" borderId="84" xfId="0" applyFont="1" applyFill="1" applyBorder="1" applyAlignment="1" applyProtection="1">
      <alignment horizontal="center" vertical="center" wrapText="1"/>
    </xf>
    <xf numFmtId="0" fontId="51" fillId="6" borderId="6" xfId="0" applyFont="1" applyFill="1" applyBorder="1" applyAlignment="1" applyProtection="1">
      <alignment vertical="center" wrapText="1"/>
    </xf>
    <xf numFmtId="0" fontId="53" fillId="6" borderId="64" xfId="0" applyFont="1" applyFill="1" applyBorder="1" applyAlignment="1" applyProtection="1">
      <alignment horizontal="center" vertical="center" wrapText="1"/>
    </xf>
    <xf numFmtId="0" fontId="51" fillId="0" borderId="0" xfId="0" applyFont="1" applyAlignment="1" applyProtection="1">
      <alignment horizontal="center" vertical="center" wrapText="1"/>
    </xf>
    <xf numFmtId="49" fontId="50" fillId="6" borderId="40" xfId="0" applyNumberFormat="1" applyFont="1" applyFill="1" applyBorder="1" applyAlignment="1" applyProtection="1">
      <alignment horizontal="left" vertical="center" wrapText="1"/>
    </xf>
    <xf numFmtId="0" fontId="50" fillId="6" borderId="17" xfId="0" applyFont="1" applyFill="1" applyBorder="1" applyAlignment="1" applyProtection="1">
      <alignment horizontal="left" vertical="center" wrapText="1"/>
    </xf>
    <xf numFmtId="0" fontId="53" fillId="6" borderId="17" xfId="0" applyFont="1" applyFill="1" applyBorder="1" applyAlignment="1" applyProtection="1">
      <alignment horizontal="center" vertical="center" wrapText="1"/>
    </xf>
    <xf numFmtId="0" fontId="51" fillId="6" borderId="25" xfId="0" applyFont="1" applyFill="1" applyBorder="1" applyAlignment="1" applyProtection="1">
      <alignment vertical="center" wrapText="1"/>
    </xf>
    <xf numFmtId="0" fontId="51" fillId="6" borderId="19" xfId="8" applyFont="1" applyFill="1" applyBorder="1" applyAlignment="1" applyProtection="1">
      <alignment horizontal="center" vertical="center" wrapText="1"/>
      <protection locked="0"/>
    </xf>
    <xf numFmtId="0" fontId="51" fillId="6" borderId="9" xfId="8" applyFont="1" applyFill="1" applyBorder="1" applyAlignment="1" applyProtection="1">
      <alignment vertical="center" wrapText="1"/>
      <protection locked="0"/>
    </xf>
    <xf numFmtId="0" fontId="51" fillId="6" borderId="31" xfId="8" applyFont="1" applyFill="1" applyBorder="1" applyAlignment="1" applyProtection="1">
      <alignment vertical="center"/>
      <protection locked="0"/>
    </xf>
    <xf numFmtId="49" fontId="50" fillId="6" borderId="6" xfId="0" applyNumberFormat="1" applyFont="1" applyFill="1" applyBorder="1" applyAlignment="1" applyProtection="1">
      <alignment horizontal="left" vertical="center" wrapText="1"/>
    </xf>
    <xf numFmtId="0" fontId="50" fillId="5" borderId="9" xfId="0" applyFont="1" applyFill="1" applyBorder="1" applyAlignment="1" applyProtection="1">
      <alignment horizontal="left" vertical="center" wrapText="1"/>
      <protection locked="0"/>
    </xf>
    <xf numFmtId="0" fontId="51" fillId="6" borderId="19" xfId="0" applyFont="1" applyFill="1" applyBorder="1" applyAlignment="1" applyProtection="1">
      <alignment vertical="center" wrapText="1"/>
    </xf>
    <xf numFmtId="0" fontId="51" fillId="6" borderId="10" xfId="0" applyFont="1" applyFill="1" applyBorder="1" applyAlignment="1" applyProtection="1">
      <alignment vertical="center" wrapText="1"/>
    </xf>
    <xf numFmtId="0" fontId="51" fillId="6" borderId="23" xfId="8" applyFont="1" applyFill="1" applyBorder="1" applyAlignment="1" applyProtection="1">
      <alignment horizontal="center" vertical="center" wrapText="1"/>
    </xf>
    <xf numFmtId="0" fontId="51" fillId="6" borderId="1" xfId="0" applyFont="1" applyFill="1" applyBorder="1" applyAlignment="1" applyProtection="1">
      <alignment horizontal="left" vertical="center" wrapText="1"/>
    </xf>
    <xf numFmtId="0" fontId="51" fillId="6" borderId="13" xfId="0" applyFont="1" applyFill="1" applyBorder="1" applyAlignment="1" applyProtection="1">
      <alignment horizontal="left" vertical="center" wrapText="1"/>
    </xf>
    <xf numFmtId="186" fontId="53" fillId="6" borderId="15" xfId="0" applyNumberFormat="1" applyFont="1" applyFill="1" applyBorder="1" applyAlignment="1" applyProtection="1">
      <alignment horizontal="center" vertical="center" wrapText="1"/>
    </xf>
    <xf numFmtId="186" fontId="53" fillId="6" borderId="58" xfId="0" applyNumberFormat="1" applyFont="1" applyFill="1" applyBorder="1" applyAlignment="1" applyProtection="1">
      <alignment horizontal="center" vertical="center" wrapText="1"/>
    </xf>
    <xf numFmtId="0" fontId="53" fillId="6" borderId="22" xfId="0" applyFont="1" applyFill="1" applyBorder="1" applyAlignment="1" applyProtection="1">
      <alignment vertical="center" wrapText="1"/>
    </xf>
    <xf numFmtId="0" fontId="51" fillId="6" borderId="13" xfId="0" applyFont="1" applyFill="1" applyBorder="1" applyAlignment="1" applyProtection="1">
      <alignment vertical="center" wrapText="1"/>
    </xf>
    <xf numFmtId="0" fontId="51" fillId="6" borderId="61" xfId="0" applyFont="1" applyFill="1" applyBorder="1" applyAlignment="1" applyProtection="1">
      <alignment vertical="center" wrapText="1"/>
    </xf>
    <xf numFmtId="0" fontId="51" fillId="6" borderId="84" xfId="0" applyFont="1" applyFill="1" applyBorder="1" applyAlignment="1" applyProtection="1">
      <alignment vertical="center" wrapText="1"/>
    </xf>
    <xf numFmtId="0" fontId="51" fillId="6" borderId="67" xfId="0" applyFont="1" applyFill="1" applyBorder="1" applyAlignment="1" applyProtection="1">
      <alignment vertical="center" wrapText="1"/>
    </xf>
    <xf numFmtId="0" fontId="51" fillId="6" borderId="25" xfId="8" applyFont="1" applyFill="1" applyBorder="1" applyAlignment="1" applyProtection="1">
      <alignment horizontal="center" vertical="center" wrapText="1"/>
    </xf>
    <xf numFmtId="0" fontId="50" fillId="6" borderId="28" xfId="0" applyFont="1" applyFill="1" applyBorder="1" applyAlignment="1" applyProtection="1">
      <alignment horizontal="left" vertical="center" wrapText="1"/>
    </xf>
    <xf numFmtId="0" fontId="54" fillId="6" borderId="19" xfId="0" applyFont="1" applyFill="1" applyBorder="1" applyAlignment="1" applyProtection="1">
      <alignment vertical="center" wrapText="1"/>
    </xf>
    <xf numFmtId="49" fontId="50" fillId="6" borderId="14" xfId="0" applyNumberFormat="1" applyFont="1" applyFill="1" applyBorder="1" applyAlignment="1" applyProtection="1">
      <alignment horizontal="center" vertical="center" wrapText="1"/>
    </xf>
    <xf numFmtId="0" fontId="53" fillId="6" borderId="58" xfId="0" applyFont="1" applyFill="1" applyBorder="1" applyAlignment="1" applyProtection="1">
      <alignment vertical="center" wrapText="1"/>
    </xf>
    <xf numFmtId="0" fontId="54" fillId="6" borderId="0" xfId="0" applyFont="1" applyFill="1" applyBorder="1" applyAlignment="1" applyProtection="1">
      <alignment vertical="center" wrapText="1"/>
    </xf>
    <xf numFmtId="0" fontId="53" fillId="6" borderId="56" xfId="0" applyFont="1" applyFill="1" applyBorder="1" applyAlignment="1" applyProtection="1">
      <alignment vertical="center" wrapText="1"/>
    </xf>
    <xf numFmtId="0" fontId="51" fillId="6" borderId="0" xfId="0" applyFont="1" applyFill="1" applyBorder="1" applyAlignment="1" applyProtection="1">
      <alignment horizontal="left" vertical="center" wrapText="1"/>
    </xf>
    <xf numFmtId="0" fontId="53" fillId="6" borderId="75" xfId="0" applyFont="1" applyFill="1" applyBorder="1" applyAlignment="1" applyProtection="1">
      <alignment vertical="center" wrapText="1"/>
    </xf>
    <xf numFmtId="0" fontId="53" fillId="6" borderId="47" xfId="0" applyFont="1" applyFill="1" applyBorder="1" applyAlignment="1" applyProtection="1">
      <alignment vertical="center" wrapText="1"/>
    </xf>
    <xf numFmtId="0" fontId="54" fillId="6" borderId="47" xfId="0" applyFont="1" applyFill="1" applyBorder="1" applyAlignment="1" applyProtection="1">
      <alignment vertical="center" wrapText="1"/>
    </xf>
    <xf numFmtId="0" fontId="53" fillId="6" borderId="43" xfId="0" applyFont="1" applyFill="1" applyBorder="1" applyAlignment="1" applyProtection="1">
      <alignment vertical="center" wrapText="1"/>
    </xf>
    <xf numFmtId="49" fontId="50" fillId="6" borderId="40" xfId="0" applyNumberFormat="1" applyFont="1" applyFill="1" applyBorder="1" applyAlignment="1" applyProtection="1">
      <alignment horizontal="center" vertical="center" wrapText="1"/>
    </xf>
    <xf numFmtId="0" fontId="54" fillId="6" borderId="30" xfId="0" applyFont="1" applyFill="1" applyBorder="1" applyAlignment="1" applyProtection="1">
      <alignment vertical="center" wrapText="1"/>
    </xf>
    <xf numFmtId="0" fontId="50" fillId="6" borderId="9" xfId="0" applyFont="1" applyFill="1" applyBorder="1" applyAlignment="1" applyProtection="1">
      <alignment horizontal="center" vertical="center" wrapText="1"/>
    </xf>
    <xf numFmtId="0" fontId="50" fillId="6" borderId="28" xfId="0" applyFont="1" applyFill="1" applyBorder="1" applyAlignment="1" applyProtection="1">
      <alignment horizontal="center" vertical="center" wrapText="1"/>
    </xf>
    <xf numFmtId="0" fontId="54" fillId="6" borderId="28" xfId="0" applyFont="1" applyFill="1" applyBorder="1" applyAlignment="1" applyProtection="1">
      <alignment vertical="center" wrapText="1"/>
    </xf>
    <xf numFmtId="0" fontId="53" fillId="6" borderId="14" xfId="0" applyFont="1" applyFill="1" applyBorder="1" applyAlignment="1" applyProtection="1">
      <alignment horizontal="center" vertical="center" wrapText="1"/>
    </xf>
    <xf numFmtId="0" fontId="53" fillId="6" borderId="3" xfId="0" applyFont="1" applyFill="1" applyBorder="1" applyAlignment="1" applyProtection="1">
      <alignment horizontal="left" vertical="center" wrapText="1"/>
    </xf>
    <xf numFmtId="0" fontId="53" fillId="0" borderId="1" xfId="0" applyFont="1" applyBorder="1" applyAlignment="1" applyProtection="1">
      <alignment vertical="center" wrapText="1"/>
      <protection locked="0"/>
    </xf>
    <xf numFmtId="0" fontId="99" fillId="6" borderId="54" xfId="0" applyFont="1" applyFill="1" applyBorder="1" applyAlignment="1" applyProtection="1">
      <alignment vertical="center"/>
    </xf>
    <xf numFmtId="0" fontId="99" fillId="6" borderId="48" xfId="0" applyFont="1" applyFill="1" applyBorder="1" applyAlignment="1" applyProtection="1">
      <alignment vertical="center"/>
    </xf>
    <xf numFmtId="0" fontId="54" fillId="6" borderId="12" xfId="0" applyFont="1" applyFill="1" applyBorder="1" applyAlignment="1" applyProtection="1">
      <alignment vertical="center" wrapText="1"/>
    </xf>
    <xf numFmtId="0" fontId="53" fillId="6" borderId="66" xfId="0" applyFont="1" applyFill="1" applyBorder="1" applyAlignment="1" applyProtection="1">
      <alignment horizontal="left" vertical="center" wrapText="1"/>
    </xf>
    <xf numFmtId="0" fontId="53" fillId="0" borderId="32" xfId="0" applyFont="1" applyBorder="1" applyAlignment="1" applyProtection="1">
      <alignment vertical="center" wrapText="1"/>
      <protection locked="0"/>
    </xf>
    <xf numFmtId="0" fontId="53" fillId="6" borderId="32" xfId="0" applyFont="1" applyFill="1" applyBorder="1" applyAlignment="1" applyProtection="1">
      <alignment vertical="center"/>
    </xf>
    <xf numFmtId="0" fontId="53" fillId="6" borderId="52" xfId="0" applyFont="1" applyFill="1" applyBorder="1" applyAlignment="1" applyProtection="1">
      <alignment vertical="center" wrapText="1"/>
    </xf>
    <xf numFmtId="0" fontId="53" fillId="6" borderId="68" xfId="0" applyFont="1" applyFill="1" applyBorder="1" applyAlignment="1" applyProtection="1">
      <alignment vertical="center" wrapText="1"/>
    </xf>
    <xf numFmtId="0" fontId="54" fillId="6" borderId="40" xfId="0" applyFont="1" applyFill="1" applyBorder="1" applyAlignment="1" applyProtection="1">
      <alignment vertical="center" wrapText="1"/>
    </xf>
    <xf numFmtId="0" fontId="54" fillId="6" borderId="39" xfId="0" applyFont="1" applyFill="1" applyBorder="1" applyAlignment="1" applyProtection="1">
      <alignment horizontal="left" vertical="center" wrapText="1"/>
    </xf>
    <xf numFmtId="0" fontId="53" fillId="6" borderId="20" xfId="0" applyFont="1" applyFill="1" applyBorder="1" applyAlignment="1" applyProtection="1">
      <alignment vertical="center"/>
    </xf>
    <xf numFmtId="0" fontId="53" fillId="6" borderId="30" xfId="0" applyFont="1" applyFill="1" applyBorder="1" applyAlignment="1" applyProtection="1">
      <alignment vertical="center"/>
    </xf>
    <xf numFmtId="0" fontId="54" fillId="6" borderId="7" xfId="0" applyFont="1" applyFill="1" applyBorder="1" applyAlignment="1" applyProtection="1">
      <alignment vertical="center" wrapText="1"/>
    </xf>
    <xf numFmtId="0" fontId="50" fillId="6" borderId="2" xfId="0" applyFont="1" applyFill="1" applyBorder="1" applyAlignment="1" applyProtection="1">
      <alignment horizontal="center" vertical="center" wrapText="1"/>
    </xf>
    <xf numFmtId="0" fontId="99" fillId="6" borderId="7" xfId="0" applyFont="1" applyFill="1" applyBorder="1" applyAlignment="1" applyProtection="1">
      <alignment horizontal="center" vertical="center" wrapText="1"/>
    </xf>
    <xf numFmtId="0" fontId="53" fillId="6" borderId="56" xfId="0" applyFont="1" applyFill="1" applyBorder="1" applyAlignment="1" applyProtection="1">
      <alignment horizontal="center" vertical="center" wrapText="1"/>
    </xf>
    <xf numFmtId="0" fontId="54" fillId="6" borderId="14" xfId="0" applyFont="1" applyFill="1" applyBorder="1" applyAlignment="1" applyProtection="1">
      <alignment vertical="center" wrapText="1"/>
    </xf>
    <xf numFmtId="0" fontId="53" fillId="6" borderId="16" xfId="0" applyFont="1" applyFill="1" applyBorder="1" applyAlignment="1" applyProtection="1">
      <alignment vertical="center"/>
      <protection locked="0"/>
    </xf>
    <xf numFmtId="0" fontId="53" fillId="6" borderId="31" xfId="0" applyFont="1" applyFill="1" applyBorder="1" applyAlignment="1" applyProtection="1">
      <alignment vertical="center" wrapText="1"/>
      <protection locked="0"/>
    </xf>
    <xf numFmtId="9" fontId="53" fillId="6" borderId="24" xfId="0" applyNumberFormat="1" applyFont="1" applyFill="1" applyBorder="1" applyAlignment="1" applyProtection="1">
      <alignment horizontal="center" vertical="center"/>
    </xf>
    <xf numFmtId="0" fontId="99" fillId="6" borderId="66" xfId="0" applyFont="1" applyFill="1" applyBorder="1" applyAlignment="1" applyProtection="1">
      <alignment horizontal="center" vertical="center" wrapText="1"/>
    </xf>
    <xf numFmtId="0" fontId="53" fillId="6" borderId="43" xfId="0" applyFont="1" applyFill="1" applyBorder="1" applyAlignment="1" applyProtection="1">
      <alignment horizontal="center" vertical="center" wrapText="1"/>
    </xf>
    <xf numFmtId="0" fontId="53" fillId="6" borderId="25" xfId="0" applyFont="1" applyFill="1" applyBorder="1" applyAlignment="1" applyProtection="1">
      <alignment vertical="center" wrapText="1"/>
    </xf>
    <xf numFmtId="9" fontId="53" fillId="6" borderId="49" xfId="0" applyNumberFormat="1" applyFont="1" applyFill="1" applyBorder="1" applyAlignment="1" applyProtection="1">
      <alignment horizontal="center" vertical="center" wrapText="1"/>
    </xf>
    <xf numFmtId="0" fontId="53" fillId="7" borderId="0" xfId="0" applyFont="1" applyFill="1" applyAlignment="1" applyProtection="1">
      <alignment horizontal="left" vertical="center" wrapText="1"/>
      <protection locked="0"/>
    </xf>
    <xf numFmtId="0" fontId="108" fillId="6" borderId="0" xfId="0" applyFont="1" applyFill="1" applyProtection="1">
      <alignment vertical="center"/>
    </xf>
    <xf numFmtId="186" fontId="98" fillId="6" borderId="0" xfId="0" applyNumberFormat="1" applyFont="1" applyFill="1" applyAlignment="1" applyProtection="1">
      <alignment horizontal="center" vertical="center" wrapText="1"/>
    </xf>
    <xf numFmtId="0" fontId="108" fillId="6" borderId="51" xfId="0" applyFont="1" applyFill="1" applyBorder="1" applyAlignment="1" applyProtection="1">
      <alignment vertical="center"/>
    </xf>
    <xf numFmtId="186" fontId="203" fillId="6" borderId="19" xfId="0" applyNumberFormat="1" applyFont="1" applyFill="1" applyBorder="1" applyAlignment="1" applyProtection="1">
      <alignment horizontal="center" vertical="center" wrapText="1"/>
    </xf>
    <xf numFmtId="0" fontId="98" fillId="6" borderId="19" xfId="0" applyFont="1" applyFill="1" applyBorder="1" applyProtection="1">
      <alignment vertical="center"/>
    </xf>
    <xf numFmtId="0" fontId="108" fillId="6" borderId="0" xfId="0" applyFont="1" applyFill="1" applyBorder="1" applyAlignment="1" applyProtection="1">
      <alignment horizontal="center" vertical="center"/>
    </xf>
    <xf numFmtId="0" fontId="99" fillId="6" borderId="23" xfId="0" applyFont="1" applyFill="1" applyBorder="1" applyAlignment="1" applyProtection="1">
      <alignment horizontal="center" vertical="center" wrapText="1"/>
    </xf>
    <xf numFmtId="0" fontId="112" fillId="6" borderId="58" xfId="0" applyFont="1" applyFill="1" applyBorder="1" applyAlignment="1" applyProtection="1">
      <alignment horizontal="center" vertical="center" wrapText="1"/>
    </xf>
    <xf numFmtId="0" fontId="112" fillId="6" borderId="1" xfId="0" applyFont="1" applyFill="1" applyBorder="1" applyAlignment="1" applyProtection="1">
      <alignment horizontal="center" vertical="center" wrapText="1"/>
    </xf>
    <xf numFmtId="49" fontId="99" fillId="6" borderId="1" xfId="0" applyNumberFormat="1" applyFont="1" applyFill="1" applyBorder="1" applyAlignment="1" applyProtection="1">
      <alignment horizontal="center" vertical="center" wrapText="1"/>
    </xf>
    <xf numFmtId="0" fontId="99" fillId="6" borderId="1" xfId="0" applyNumberFormat="1" applyFont="1" applyFill="1" applyBorder="1" applyAlignment="1" applyProtection="1">
      <alignment horizontal="center" vertical="center" wrapText="1"/>
    </xf>
    <xf numFmtId="0" fontId="167" fillId="0" borderId="1" xfId="0" applyNumberFormat="1" applyFont="1" applyFill="1" applyBorder="1" applyAlignment="1" applyProtection="1">
      <alignment horizontal="center" vertical="center" wrapText="1"/>
      <protection locked="0"/>
    </xf>
    <xf numFmtId="0" fontId="167" fillId="0" borderId="13" xfId="0" applyNumberFormat="1" applyFont="1" applyFill="1" applyBorder="1" applyAlignment="1" applyProtection="1">
      <alignment horizontal="center" vertical="center" wrapText="1"/>
      <protection locked="0"/>
    </xf>
    <xf numFmtId="0" fontId="99" fillId="6" borderId="37" xfId="0" applyFont="1" applyFill="1" applyBorder="1" applyAlignment="1" applyProtection="1">
      <alignment horizontal="center" vertical="center" wrapText="1"/>
    </xf>
    <xf numFmtId="0" fontId="99" fillId="6" borderId="25" xfId="0" applyFont="1" applyFill="1" applyBorder="1" applyAlignment="1" applyProtection="1">
      <alignment horizontal="center" vertical="center" wrapText="1"/>
    </xf>
    <xf numFmtId="49" fontId="99" fillId="6" borderId="74" xfId="0" applyNumberFormat="1" applyFont="1" applyFill="1" applyBorder="1" applyAlignment="1" applyProtection="1">
      <alignment horizontal="center" vertical="center" wrapText="1"/>
    </xf>
    <xf numFmtId="49"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center" vertical="center" wrapText="1"/>
      <protection locked="0"/>
    </xf>
    <xf numFmtId="0" fontId="167" fillId="0" borderId="32" xfId="0" applyNumberFormat="1" applyFont="1" applyFill="1" applyBorder="1" applyAlignment="1" applyProtection="1">
      <alignment horizontal="center" vertical="center" wrapText="1"/>
      <protection locked="0"/>
    </xf>
    <xf numFmtId="0" fontId="99" fillId="6" borderId="32" xfId="0" applyNumberFormat="1" applyFont="1" applyFill="1" applyBorder="1" applyAlignment="1" applyProtection="1">
      <alignment horizontal="center" vertical="center" wrapText="1"/>
    </xf>
    <xf numFmtId="0" fontId="53" fillId="0" borderId="0" xfId="0" applyFont="1" applyAlignment="1" applyProtection="1">
      <alignment horizontal="left" vertical="center" wrapText="1"/>
    </xf>
    <xf numFmtId="0" fontId="123" fillId="6" borderId="1" xfId="0" applyFont="1" applyFill="1" applyBorder="1">
      <alignment vertical="center"/>
    </xf>
    <xf numFmtId="0" fontId="98" fillId="6" borderId="1" xfId="0" applyFont="1" applyFill="1" applyBorder="1">
      <alignment vertical="center"/>
    </xf>
    <xf numFmtId="0" fontId="98" fillId="6" borderId="0" xfId="0" applyFont="1" applyFill="1">
      <alignment vertical="center"/>
    </xf>
    <xf numFmtId="0" fontId="52" fillId="6" borderId="95" xfId="0" applyNumberFormat="1" applyFont="1" applyFill="1" applyBorder="1" applyAlignment="1" applyProtection="1">
      <alignment horizontal="center" vertical="center" wrapText="1"/>
    </xf>
    <xf numFmtId="0" fontId="47" fillId="10" borderId="16" xfId="0" applyNumberFormat="1" applyFont="1" applyFill="1" applyBorder="1" applyAlignment="1" applyProtection="1">
      <alignment horizontal="center" vertical="center" wrapText="1"/>
    </xf>
    <xf numFmtId="0" fontId="52" fillId="6" borderId="16" xfId="0" applyFont="1" applyFill="1" applyBorder="1" applyAlignment="1" applyProtection="1">
      <alignment horizontal="left" vertical="center"/>
      <protection locked="0"/>
    </xf>
    <xf numFmtId="0" fontId="54" fillId="5" borderId="38" xfId="1" applyFont="1" applyFill="1" applyBorder="1" applyAlignment="1" applyProtection="1">
      <alignment vertical="center"/>
      <protection locked="0"/>
    </xf>
    <xf numFmtId="0" fontId="57" fillId="5" borderId="49" xfId="1" applyFont="1" applyFill="1" applyBorder="1" applyAlignment="1" applyProtection="1">
      <alignment vertical="center"/>
      <protection locked="0"/>
    </xf>
    <xf numFmtId="181" fontId="99" fillId="6" borderId="1" xfId="0" applyNumberFormat="1" applyFont="1" applyFill="1" applyBorder="1" applyAlignment="1" applyProtection="1">
      <alignment horizontal="center" vertical="center" wrapText="1"/>
    </xf>
    <xf numFmtId="0" fontId="19" fillId="6" borderId="1" xfId="0" applyFont="1" applyFill="1" applyBorder="1" applyAlignment="1" applyProtection="1">
      <alignment vertical="center" wrapText="1"/>
    </xf>
    <xf numFmtId="0" fontId="53" fillId="6" borderId="33" xfId="0" applyFont="1" applyFill="1" applyBorder="1" applyAlignment="1" applyProtection="1">
      <alignment horizontal="center" vertical="center" wrapText="1"/>
    </xf>
    <xf numFmtId="0" fontId="53" fillId="5" borderId="32" xfId="0" applyFont="1" applyFill="1" applyBorder="1" applyAlignment="1" applyProtection="1">
      <alignment horizontal="right" vertical="center" wrapText="1"/>
      <protection locked="0"/>
    </xf>
    <xf numFmtId="0" fontId="53" fillId="6" borderId="66" xfId="0" applyFont="1" applyFill="1" applyBorder="1" applyAlignment="1" applyProtection="1">
      <alignment horizontal="center" vertical="center" wrapText="1"/>
    </xf>
    <xf numFmtId="49" fontId="50" fillId="6" borderId="12" xfId="0" applyNumberFormat="1" applyFont="1" applyFill="1" applyBorder="1" applyAlignment="1" applyProtection="1">
      <alignment horizontal="left" vertical="center" wrapText="1"/>
    </xf>
    <xf numFmtId="0" fontId="50" fillId="6" borderId="74" xfId="0" applyFont="1" applyFill="1" applyBorder="1" applyAlignment="1" applyProtection="1">
      <alignment horizontal="left" vertical="center" wrapText="1"/>
    </xf>
    <xf numFmtId="0" fontId="50" fillId="6" borderId="75" xfId="0" applyFont="1" applyFill="1" applyBorder="1" applyAlignment="1" applyProtection="1">
      <alignment horizontal="center" vertical="center" wrapText="1"/>
    </xf>
    <xf numFmtId="0" fontId="53" fillId="6" borderId="75" xfId="0" applyFont="1" applyFill="1" applyBorder="1" applyAlignment="1" applyProtection="1">
      <alignment vertical="center"/>
    </xf>
    <xf numFmtId="0" fontId="50" fillId="6" borderId="47" xfId="0" applyFont="1" applyFill="1" applyBorder="1" applyAlignment="1" applyProtection="1">
      <alignment horizontal="center" vertical="center" wrapText="1"/>
    </xf>
    <xf numFmtId="0" fontId="51" fillId="6" borderId="43" xfId="0" applyFont="1" applyFill="1" applyBorder="1" applyAlignment="1" applyProtection="1">
      <alignment vertical="center" wrapText="1"/>
    </xf>
    <xf numFmtId="0" fontId="53" fillId="6" borderId="32" xfId="0" applyFont="1" applyFill="1" applyBorder="1" applyAlignment="1" applyProtection="1">
      <alignment horizontal="left" vertical="center"/>
    </xf>
    <xf numFmtId="0" fontId="53" fillId="6" borderId="74" xfId="0" applyFont="1" applyFill="1" applyBorder="1" applyAlignment="1" applyProtection="1">
      <alignment horizontal="center" vertical="center" wrapText="1"/>
    </xf>
    <xf numFmtId="0" fontId="53" fillId="6" borderId="75" xfId="0" applyFont="1" applyFill="1" applyBorder="1" applyAlignment="1" applyProtection="1">
      <alignment horizontal="center" vertical="center" wrapText="1"/>
    </xf>
    <xf numFmtId="0" fontId="53" fillId="6" borderId="76" xfId="0" applyFont="1" applyFill="1" applyBorder="1" applyAlignment="1" applyProtection="1">
      <alignment horizontal="center" vertical="center" wrapText="1"/>
    </xf>
    <xf numFmtId="0" fontId="53" fillId="6" borderId="84" xfId="0" applyFont="1" applyFill="1" applyBorder="1" applyAlignment="1" applyProtection="1">
      <alignment horizontal="center" vertical="center"/>
    </xf>
    <xf numFmtId="0" fontId="142" fillId="12" borderId="126" xfId="16" applyFont="1" applyFill="1" applyBorder="1" applyAlignment="1" applyProtection="1">
      <alignment horizontal="left" vertical="center" wrapText="1"/>
    </xf>
    <xf numFmtId="0" fontId="142" fillId="12" borderId="130" xfId="16" applyFont="1" applyFill="1" applyBorder="1" applyAlignment="1" applyProtection="1">
      <alignment horizontal="left" vertical="center" wrapText="1"/>
    </xf>
    <xf numFmtId="0" fontId="102" fillId="0" borderId="0" xfId="9" applyFont="1" applyAlignment="1">
      <alignment horizontal="left" vertical="center"/>
    </xf>
    <xf numFmtId="0" fontId="102" fillId="0" borderId="119" xfId="9" applyFont="1" applyBorder="1" applyAlignment="1">
      <alignment horizontal="left" vertical="center"/>
    </xf>
    <xf numFmtId="0" fontId="97" fillId="6" borderId="119" xfId="10" applyFont="1" applyFill="1" applyBorder="1" applyAlignment="1" applyProtection="1">
      <alignment horizontal="left" vertical="center"/>
    </xf>
    <xf numFmtId="0" fontId="22" fillId="6" borderId="119" xfId="10" applyFont="1" applyFill="1" applyBorder="1" applyAlignment="1" applyProtection="1">
      <alignment horizontal="left" vertical="center"/>
    </xf>
    <xf numFmtId="0" fontId="102" fillId="0" borderId="120" xfId="9" applyFont="1" applyBorder="1" applyAlignment="1">
      <alignment horizontal="left" vertical="center"/>
    </xf>
    <xf numFmtId="0" fontId="137" fillId="15" borderId="0" xfId="9" applyFont="1" applyFill="1" applyAlignment="1">
      <alignment horizontal="left" vertical="center"/>
    </xf>
    <xf numFmtId="0" fontId="98" fillId="15" borderId="0" xfId="10" applyFont="1" applyFill="1" applyAlignment="1" applyProtection="1">
      <alignment horizontal="left" vertical="center"/>
    </xf>
    <xf numFmtId="0" fontId="22" fillId="15" borderId="0" xfId="10" applyFont="1" applyFill="1" applyAlignment="1" applyProtection="1">
      <alignment horizontal="left" vertical="center"/>
    </xf>
    <xf numFmtId="0" fontId="102" fillId="15" borderId="121" xfId="9" applyFont="1" applyFill="1" applyBorder="1" applyAlignment="1">
      <alignment horizontal="left" vertical="center"/>
    </xf>
    <xf numFmtId="0" fontId="102" fillId="15" borderId="0" xfId="9" applyFont="1" applyFill="1" applyBorder="1" applyAlignment="1">
      <alignment horizontal="left" vertical="center"/>
    </xf>
    <xf numFmtId="0" fontId="143" fillId="15" borderId="0" xfId="9" applyFont="1" applyFill="1" applyBorder="1" applyAlignment="1" applyProtection="1">
      <alignment horizontal="left" vertical="center"/>
      <protection locked="0"/>
    </xf>
    <xf numFmtId="0" fontId="102" fillId="15" borderId="0" xfId="9" applyFont="1" applyFill="1" applyAlignment="1">
      <alignment horizontal="left" vertical="center"/>
    </xf>
    <xf numFmtId="0" fontId="135" fillId="15" borderId="0" xfId="9" applyFont="1" applyFill="1" applyAlignment="1">
      <alignment horizontal="left" vertical="center"/>
    </xf>
    <xf numFmtId="0" fontId="99" fillId="15" borderId="0" xfId="9" applyFont="1" applyFill="1" applyAlignment="1">
      <alignment horizontal="left" vertical="center"/>
    </xf>
    <xf numFmtId="10" fontId="99" fillId="15" borderId="0" xfId="9" applyNumberFormat="1" applyFont="1" applyFill="1" applyAlignment="1">
      <alignment horizontal="left" vertical="center"/>
    </xf>
    <xf numFmtId="0" fontId="102" fillId="0" borderId="0" xfId="9" applyFont="1" applyFill="1" applyAlignment="1">
      <alignment horizontal="left" vertical="center"/>
    </xf>
    <xf numFmtId="0" fontId="98" fillId="0" borderId="0" xfId="10" applyFont="1" applyFill="1" applyAlignment="1" applyProtection="1">
      <alignment horizontal="left" vertical="center"/>
    </xf>
    <xf numFmtId="0" fontId="22" fillId="0" borderId="0" xfId="10" applyFont="1" applyFill="1" applyAlignment="1" applyProtection="1">
      <alignment horizontal="left" vertical="center"/>
    </xf>
    <xf numFmtId="0" fontId="102" fillId="0" borderId="121" xfId="9" applyFont="1" applyFill="1" applyBorder="1" applyAlignment="1">
      <alignment horizontal="left" vertical="center"/>
    </xf>
    <xf numFmtId="0" fontId="102" fillId="0" borderId="0" xfId="9" applyFont="1" applyFill="1" applyBorder="1" applyAlignment="1">
      <alignment horizontal="left" vertical="center"/>
    </xf>
    <xf numFmtId="0" fontId="102" fillId="0" borderId="0" xfId="9" applyFont="1" applyFill="1" applyBorder="1" applyAlignment="1" applyProtection="1">
      <alignment horizontal="left" vertical="center"/>
      <protection locked="0"/>
    </xf>
    <xf numFmtId="0" fontId="99" fillId="0" borderId="0" xfId="9" applyFont="1" applyAlignment="1">
      <alignment horizontal="left" vertical="center"/>
    </xf>
    <xf numFmtId="10" fontId="99" fillId="0" borderId="0" xfId="9" applyNumberFormat="1" applyFont="1" applyAlignment="1">
      <alignment horizontal="left" vertical="center"/>
    </xf>
    <xf numFmtId="49" fontId="53" fillId="13" borderId="1" xfId="9" applyNumberFormat="1" applyFont="1" applyFill="1" applyBorder="1" applyAlignment="1" applyProtection="1">
      <alignment horizontal="left" vertical="center" wrapText="1"/>
    </xf>
    <xf numFmtId="185" fontId="143" fillId="13" borderId="0" xfId="9" applyNumberFormat="1" applyFont="1" applyFill="1" applyAlignment="1">
      <alignment horizontal="left" vertical="center"/>
    </xf>
    <xf numFmtId="0" fontId="142" fillId="11" borderId="125" xfId="9" applyFont="1" applyFill="1" applyBorder="1" applyAlignment="1" applyProtection="1">
      <alignment horizontal="left" vertical="center" wrapText="1"/>
    </xf>
    <xf numFmtId="0" fontId="142" fillId="13" borderId="126" xfId="9" applyFont="1" applyFill="1" applyBorder="1" applyAlignment="1" applyProtection="1">
      <alignment horizontal="left" vertical="center" wrapText="1"/>
    </xf>
    <xf numFmtId="0" fontId="143" fillId="13" borderId="0" xfId="9" applyFont="1" applyFill="1" applyBorder="1" applyAlignment="1" applyProtection="1">
      <alignment horizontal="left" vertical="center"/>
      <protection locked="0"/>
    </xf>
    <xf numFmtId="0" fontId="102" fillId="13" borderId="0" xfId="9" applyFont="1" applyFill="1" applyAlignment="1">
      <alignment horizontal="left" vertical="center"/>
    </xf>
    <xf numFmtId="10" fontId="143" fillId="13" borderId="128" xfId="9" applyNumberFormat="1" applyFont="1" applyFill="1" applyBorder="1" applyAlignment="1">
      <alignment horizontal="left" vertical="center"/>
    </xf>
    <xf numFmtId="0" fontId="102" fillId="13" borderId="121" xfId="9" applyFont="1" applyFill="1" applyBorder="1" applyAlignment="1">
      <alignment horizontal="left" vertical="center"/>
    </xf>
    <xf numFmtId="0" fontId="112" fillId="5" borderId="0" xfId="9" applyFont="1" applyFill="1" applyAlignment="1">
      <alignment horizontal="left" vertical="center"/>
    </xf>
    <xf numFmtId="0" fontId="99" fillId="13" borderId="0" xfId="9" applyFont="1" applyFill="1" applyAlignment="1">
      <alignment horizontal="left" vertical="center"/>
    </xf>
    <xf numFmtId="10" fontId="99" fillId="13" borderId="0" xfId="9" applyNumberFormat="1" applyFont="1" applyFill="1" applyAlignment="1">
      <alignment horizontal="left" vertical="center"/>
    </xf>
    <xf numFmtId="49" fontId="53" fillId="6" borderId="1" xfId="9" applyNumberFormat="1" applyFont="1" applyFill="1" applyBorder="1" applyAlignment="1" applyProtection="1">
      <alignment horizontal="left" vertical="center" wrapText="1"/>
    </xf>
    <xf numFmtId="185" fontId="99" fillId="0" borderId="0" xfId="9" applyNumberFormat="1" applyFont="1" applyAlignment="1">
      <alignment horizontal="left" vertical="center"/>
    </xf>
    <xf numFmtId="0" fontId="142" fillId="12" borderId="126" xfId="9" applyFont="1" applyFill="1" applyBorder="1" applyAlignment="1" applyProtection="1">
      <alignment horizontal="left" vertical="center" wrapText="1"/>
    </xf>
    <xf numFmtId="10" fontId="99" fillId="0" borderId="121" xfId="9" applyNumberFormat="1" applyFont="1" applyBorder="1" applyAlignment="1">
      <alignment horizontal="left" vertical="center"/>
    </xf>
    <xf numFmtId="177" fontId="99" fillId="0" borderId="0" xfId="9" applyNumberFormat="1" applyFont="1" applyAlignment="1">
      <alignment horizontal="left" vertical="center"/>
    </xf>
    <xf numFmtId="0" fontId="99" fillId="0" borderId="0" xfId="9" applyFont="1" applyFill="1" applyAlignment="1">
      <alignment horizontal="left" vertical="center"/>
    </xf>
    <xf numFmtId="10" fontId="99" fillId="0" borderId="0" xfId="9" applyNumberFormat="1" applyFont="1" applyFill="1" applyAlignment="1">
      <alignment horizontal="left" vertical="center"/>
    </xf>
    <xf numFmtId="0" fontId="143" fillId="13" borderId="0" xfId="9" applyFont="1" applyFill="1" applyAlignment="1">
      <alignment horizontal="left" vertical="center"/>
    </xf>
    <xf numFmtId="0" fontId="142" fillId="12" borderId="130" xfId="9" applyFont="1" applyFill="1" applyBorder="1" applyAlignment="1" applyProtection="1">
      <alignment horizontal="left" vertical="center" wrapText="1"/>
    </xf>
    <xf numFmtId="0" fontId="142" fillId="11" borderId="123" xfId="9" applyFont="1" applyFill="1" applyBorder="1" applyAlignment="1" applyProtection="1">
      <alignment horizontal="left" vertical="center" wrapText="1"/>
    </xf>
    <xf numFmtId="0" fontId="142" fillId="11" borderId="124" xfId="9" applyFont="1" applyFill="1" applyBorder="1" applyAlignment="1" applyProtection="1">
      <alignment horizontal="left" vertical="center" wrapText="1"/>
    </xf>
    <xf numFmtId="185" fontId="102" fillId="11" borderId="123" xfId="9" applyNumberFormat="1" applyFont="1" applyFill="1" applyBorder="1" applyAlignment="1" applyProtection="1">
      <alignment horizontal="left" vertical="center" wrapText="1"/>
    </xf>
    <xf numFmtId="185" fontId="102" fillId="11" borderId="129" xfId="9" applyNumberFormat="1" applyFont="1" applyFill="1" applyBorder="1" applyAlignment="1" applyProtection="1">
      <alignment horizontal="left" vertical="center" wrapText="1"/>
    </xf>
    <xf numFmtId="0" fontId="142" fillId="11" borderId="126" xfId="9" applyFont="1" applyFill="1" applyBorder="1" applyAlignment="1" applyProtection="1">
      <alignment horizontal="left" vertical="center" wrapText="1"/>
    </xf>
    <xf numFmtId="0" fontId="142" fillId="11" borderId="130" xfId="9" applyFont="1" applyFill="1" applyBorder="1" applyAlignment="1" applyProtection="1">
      <alignment horizontal="left" vertical="center" wrapText="1"/>
    </xf>
    <xf numFmtId="185" fontId="102" fillId="11" borderId="123" xfId="9" applyNumberFormat="1" applyFont="1" applyFill="1" applyBorder="1" applyAlignment="1">
      <alignment horizontal="left" vertical="center" wrapText="1"/>
    </xf>
    <xf numFmtId="185" fontId="102" fillId="11" borderId="129" xfId="9" applyNumberFormat="1" applyFont="1" applyFill="1" applyBorder="1" applyAlignment="1">
      <alignment horizontal="left" vertical="center" wrapText="1"/>
    </xf>
    <xf numFmtId="181" fontId="99" fillId="0" borderId="121" xfId="9" applyNumberFormat="1" applyFont="1" applyBorder="1" applyAlignment="1">
      <alignment horizontal="left" vertical="center"/>
    </xf>
    <xf numFmtId="181" fontId="99" fillId="0" borderId="0" xfId="9" applyNumberFormat="1" applyFont="1" applyAlignment="1">
      <alignment horizontal="left" vertical="center"/>
    </xf>
    <xf numFmtId="10" fontId="99" fillId="0" borderId="128" xfId="9" applyNumberFormat="1" applyFont="1" applyBorder="1" applyAlignment="1">
      <alignment horizontal="left" vertical="center"/>
    </xf>
    <xf numFmtId="10" fontId="99" fillId="0" borderId="60" xfId="9" applyNumberFormat="1" applyFont="1" applyBorder="1" applyAlignment="1">
      <alignment horizontal="left" vertical="center"/>
    </xf>
    <xf numFmtId="0" fontId="142" fillId="11" borderId="132" xfId="9" applyFont="1" applyFill="1" applyBorder="1" applyAlignment="1" applyProtection="1">
      <alignment horizontal="left" vertical="center" wrapText="1"/>
    </xf>
    <xf numFmtId="0" fontId="142" fillId="11" borderId="133" xfId="9" applyFont="1" applyFill="1" applyBorder="1" applyAlignment="1" applyProtection="1">
      <alignment horizontal="left" vertical="center" wrapText="1"/>
    </xf>
    <xf numFmtId="10" fontId="99" fillId="0" borderId="134" xfId="9" applyNumberFormat="1" applyFont="1" applyBorder="1" applyAlignment="1">
      <alignment horizontal="left" vertical="center"/>
    </xf>
    <xf numFmtId="10" fontId="99" fillId="0" borderId="36" xfId="9" applyNumberFormat="1" applyFont="1" applyBorder="1" applyAlignment="1">
      <alignment horizontal="left" vertical="center"/>
    </xf>
    <xf numFmtId="0" fontId="99" fillId="0" borderId="121" xfId="9" applyFont="1" applyBorder="1" applyAlignment="1">
      <alignment horizontal="left" vertical="center"/>
    </xf>
    <xf numFmtId="0" fontId="142" fillId="12" borderId="123" xfId="9" applyFont="1" applyFill="1" applyBorder="1" applyAlignment="1" applyProtection="1">
      <alignment horizontal="left" vertical="center" wrapText="1"/>
    </xf>
    <xf numFmtId="0" fontId="142" fillId="12" borderId="124" xfId="9" applyFont="1" applyFill="1" applyBorder="1" applyAlignment="1" applyProtection="1">
      <alignment horizontal="left" vertical="center" wrapText="1"/>
    </xf>
    <xf numFmtId="10" fontId="99" fillId="0" borderId="0" xfId="9" applyNumberFormat="1" applyFont="1" applyBorder="1" applyAlignment="1">
      <alignment horizontal="left" vertical="center"/>
    </xf>
    <xf numFmtId="185" fontId="102" fillId="11" borderId="126" xfId="9" applyNumberFormat="1" applyFont="1" applyFill="1" applyBorder="1" applyAlignment="1">
      <alignment horizontal="left" vertical="center" wrapText="1"/>
    </xf>
    <xf numFmtId="185" fontId="102" fillId="11" borderId="135" xfId="9" applyNumberFormat="1" applyFont="1" applyFill="1" applyBorder="1" applyAlignment="1">
      <alignment horizontal="left" vertical="center" wrapText="1"/>
    </xf>
    <xf numFmtId="0" fontId="99" fillId="12" borderId="123" xfId="9" applyFont="1" applyFill="1" applyBorder="1" applyAlignment="1" applyProtection="1">
      <alignment horizontal="left" vertical="center" wrapText="1"/>
    </xf>
    <xf numFmtId="0" fontId="99" fillId="12" borderId="124" xfId="9" applyFont="1" applyFill="1" applyBorder="1" applyAlignment="1" applyProtection="1">
      <alignment horizontal="left" vertical="center" wrapText="1"/>
    </xf>
    <xf numFmtId="49" fontId="53" fillId="5" borderId="1" xfId="9" applyNumberFormat="1" applyFont="1" applyFill="1" applyBorder="1" applyAlignment="1" applyProtection="1">
      <alignment horizontal="left" vertical="center" wrapText="1"/>
    </xf>
    <xf numFmtId="185" fontId="99" fillId="5" borderId="0" xfId="9" applyNumberFormat="1" applyFont="1" applyFill="1" applyAlignment="1">
      <alignment horizontal="left" vertical="center"/>
    </xf>
    <xf numFmtId="0" fontId="99" fillId="5" borderId="126" xfId="9" applyFont="1" applyFill="1" applyBorder="1" applyAlignment="1" applyProtection="1">
      <alignment horizontal="left" vertical="center" wrapText="1"/>
    </xf>
    <xf numFmtId="0" fontId="99" fillId="5" borderId="130" xfId="9" applyFont="1" applyFill="1" applyBorder="1" applyAlignment="1" applyProtection="1">
      <alignment horizontal="left" vertical="center" wrapText="1"/>
    </xf>
    <xf numFmtId="0" fontId="99" fillId="5" borderId="0" xfId="9" applyFont="1" applyFill="1" applyAlignment="1">
      <alignment horizontal="left" vertical="center"/>
    </xf>
    <xf numFmtId="10" fontId="99" fillId="5" borderId="121" xfId="9" applyNumberFormat="1" applyFont="1" applyFill="1" applyBorder="1" applyAlignment="1">
      <alignment horizontal="left" vertical="center"/>
    </xf>
    <xf numFmtId="10" fontId="99" fillId="5" borderId="0" xfId="9" applyNumberFormat="1" applyFont="1" applyFill="1" applyAlignment="1">
      <alignment horizontal="left" vertical="center"/>
    </xf>
    <xf numFmtId="177" fontId="99" fillId="5" borderId="0" xfId="9" applyNumberFormat="1" applyFont="1" applyFill="1" applyAlignment="1">
      <alignment horizontal="left" vertical="center"/>
    </xf>
    <xf numFmtId="10" fontId="99" fillId="5" borderId="128" xfId="9" applyNumberFormat="1" applyFont="1" applyFill="1" applyBorder="1" applyAlignment="1">
      <alignment horizontal="left" vertical="center"/>
    </xf>
    <xf numFmtId="10" fontId="99" fillId="5" borderId="60" xfId="9" applyNumberFormat="1" applyFont="1" applyFill="1" applyBorder="1" applyAlignment="1">
      <alignment horizontal="left" vertical="center"/>
    </xf>
    <xf numFmtId="0" fontId="121" fillId="5" borderId="0" xfId="9" applyFont="1" applyFill="1" applyAlignment="1">
      <alignment horizontal="left" vertical="center"/>
    </xf>
    <xf numFmtId="0" fontId="99" fillId="5" borderId="0" xfId="9" applyNumberFormat="1" applyFont="1" applyFill="1" applyAlignment="1">
      <alignment horizontal="left" vertical="center"/>
    </xf>
    <xf numFmtId="0" fontId="99" fillId="11" borderId="132" xfId="9" applyFont="1" applyFill="1" applyBorder="1" applyAlignment="1" applyProtection="1">
      <alignment horizontal="left" vertical="center" wrapText="1"/>
    </xf>
    <xf numFmtId="0" fontId="99" fillId="11" borderId="133" xfId="9" applyFont="1" applyFill="1" applyBorder="1" applyAlignment="1" applyProtection="1">
      <alignment horizontal="left" vertical="center" wrapText="1"/>
    </xf>
    <xf numFmtId="14" fontId="99" fillId="0" borderId="0" xfId="9" applyNumberFormat="1" applyFont="1" applyAlignment="1">
      <alignment horizontal="left" vertical="center"/>
    </xf>
    <xf numFmtId="0" fontId="121" fillId="0" borderId="0" xfId="9" applyFont="1" applyAlignment="1">
      <alignment horizontal="left" vertical="center"/>
    </xf>
    <xf numFmtId="0" fontId="99" fillId="0" borderId="0" xfId="9" applyNumberFormat="1" applyFont="1" applyAlignment="1">
      <alignment horizontal="left" vertical="center"/>
    </xf>
    <xf numFmtId="185" fontId="102" fillId="11" borderId="132" xfId="9" applyNumberFormat="1" applyFont="1" applyFill="1" applyBorder="1" applyAlignment="1">
      <alignment horizontal="left" vertical="center" wrapText="1"/>
    </xf>
    <xf numFmtId="185" fontId="102" fillId="11" borderId="136" xfId="9" applyNumberFormat="1" applyFont="1" applyFill="1" applyBorder="1" applyAlignment="1">
      <alignment horizontal="left" vertical="center" wrapText="1"/>
    </xf>
    <xf numFmtId="185" fontId="99" fillId="13" borderId="0" xfId="9" applyNumberFormat="1" applyFont="1" applyFill="1" applyAlignment="1">
      <alignment horizontal="left" vertical="center"/>
    </xf>
    <xf numFmtId="185" fontId="99" fillId="0" borderId="47" xfId="9" applyNumberFormat="1" applyFont="1" applyBorder="1" applyAlignment="1">
      <alignment horizontal="left" vertical="center"/>
    </xf>
    <xf numFmtId="0" fontId="142" fillId="12" borderId="137" xfId="9" applyFont="1" applyFill="1" applyBorder="1" applyAlignment="1" applyProtection="1">
      <alignment horizontal="left" vertical="center" wrapText="1"/>
    </xf>
    <xf numFmtId="0" fontId="142" fillId="12" borderId="138" xfId="9" applyFont="1" applyFill="1" applyBorder="1" applyAlignment="1" applyProtection="1">
      <alignment horizontal="left" vertical="center" wrapText="1"/>
    </xf>
    <xf numFmtId="0" fontId="99" fillId="0" borderId="47" xfId="9" applyFont="1" applyBorder="1" applyAlignment="1">
      <alignment horizontal="left" vertical="center"/>
    </xf>
    <xf numFmtId="10" fontId="99" fillId="0" borderId="139" xfId="9" applyNumberFormat="1" applyFont="1" applyBorder="1" applyAlignment="1">
      <alignment horizontal="left" vertical="center"/>
    </xf>
    <xf numFmtId="10" fontId="99" fillId="0" borderId="47" xfId="9" applyNumberFormat="1" applyFont="1" applyBorder="1" applyAlignment="1">
      <alignment horizontal="left" vertical="center"/>
    </xf>
    <xf numFmtId="177" fontId="99" fillId="0" borderId="47" xfId="9" applyNumberFormat="1" applyFont="1" applyBorder="1" applyAlignment="1">
      <alignment horizontal="left" vertical="center"/>
    </xf>
    <xf numFmtId="0" fontId="142" fillId="11" borderId="140" xfId="9" applyFont="1" applyFill="1" applyBorder="1" applyAlignment="1" applyProtection="1">
      <alignment horizontal="left" vertical="center" wrapText="1"/>
    </xf>
    <xf numFmtId="0" fontId="142" fillId="11" borderId="141" xfId="9" applyFont="1" applyFill="1" applyBorder="1" applyAlignment="1" applyProtection="1">
      <alignment horizontal="left" vertical="center" wrapText="1"/>
    </xf>
    <xf numFmtId="10" fontId="99" fillId="14" borderId="121" xfId="9" applyNumberFormat="1" applyFont="1" applyFill="1" applyBorder="1" applyAlignment="1">
      <alignment horizontal="left" vertical="center"/>
    </xf>
    <xf numFmtId="10" fontId="99" fillId="14" borderId="0" xfId="9" applyNumberFormat="1" applyFont="1" applyFill="1" applyAlignment="1">
      <alignment horizontal="left" vertical="center"/>
    </xf>
    <xf numFmtId="178" fontId="99" fillId="0" borderId="0" xfId="9" applyNumberFormat="1" applyFont="1" applyAlignment="1">
      <alignment horizontal="left" vertical="center"/>
    </xf>
    <xf numFmtId="10" fontId="99" fillId="14" borderId="128" xfId="9" applyNumberFormat="1" applyFont="1" applyFill="1" applyBorder="1" applyAlignment="1">
      <alignment horizontal="left" vertical="center"/>
    </xf>
    <xf numFmtId="10" fontId="99" fillId="14" borderId="60" xfId="9" applyNumberFormat="1" applyFont="1" applyFill="1" applyBorder="1" applyAlignment="1">
      <alignment horizontal="left" vertical="center"/>
    </xf>
    <xf numFmtId="10" fontId="99" fillId="14" borderId="139" xfId="9" applyNumberFormat="1" applyFont="1" applyFill="1" applyBorder="1" applyAlignment="1">
      <alignment horizontal="left" vertical="center"/>
    </xf>
    <xf numFmtId="10" fontId="99" fillId="14" borderId="47" xfId="9" applyNumberFormat="1" applyFont="1" applyFill="1" applyBorder="1" applyAlignment="1">
      <alignment horizontal="left" vertical="center"/>
    </xf>
    <xf numFmtId="178" fontId="99" fillId="0" borderId="47" xfId="9" applyNumberFormat="1" applyFont="1" applyBorder="1" applyAlignment="1">
      <alignment horizontal="left" vertical="center"/>
    </xf>
    <xf numFmtId="0" fontId="102" fillId="12" borderId="142" xfId="9" applyFont="1" applyFill="1" applyBorder="1" applyAlignment="1">
      <alignment horizontal="left" vertical="center" wrapText="1"/>
    </xf>
    <xf numFmtId="0" fontId="102" fillId="12" borderId="143" xfId="9" applyFont="1" applyFill="1" applyBorder="1" applyAlignment="1">
      <alignment horizontal="left" vertical="center" wrapText="1"/>
    </xf>
    <xf numFmtId="180" fontId="99" fillId="0" borderId="0" xfId="9" applyNumberFormat="1" applyFont="1" applyAlignment="1">
      <alignment horizontal="left" vertical="center"/>
    </xf>
    <xf numFmtId="180" fontId="99" fillId="0" borderId="121" xfId="9" applyNumberFormat="1" applyFont="1" applyBorder="1" applyAlignment="1">
      <alignment horizontal="left" vertical="center"/>
    </xf>
    <xf numFmtId="177" fontId="99" fillId="14" borderId="0" xfId="9" applyNumberFormat="1" applyFont="1" applyFill="1" applyAlignment="1">
      <alignment horizontal="left" vertical="center"/>
    </xf>
    <xf numFmtId="0" fontId="142" fillId="12" borderId="132" xfId="9" applyFont="1" applyFill="1" applyBorder="1" applyAlignment="1" applyProtection="1">
      <alignment horizontal="left" vertical="center" wrapText="1"/>
    </xf>
    <xf numFmtId="0" fontId="102" fillId="11" borderId="132" xfId="9" applyFont="1" applyFill="1" applyBorder="1" applyAlignment="1">
      <alignment horizontal="left" vertical="center" wrapText="1"/>
    </xf>
    <xf numFmtId="0" fontId="102" fillId="11" borderId="136" xfId="9" applyFont="1" applyFill="1" applyBorder="1" applyAlignment="1">
      <alignment horizontal="left" vertical="center" wrapText="1"/>
    </xf>
    <xf numFmtId="0" fontId="142" fillId="5" borderId="126" xfId="9" applyFont="1" applyFill="1" applyBorder="1" applyAlignment="1" applyProtection="1">
      <alignment horizontal="left" vertical="center" wrapText="1"/>
    </xf>
    <xf numFmtId="180" fontId="99" fillId="5" borderId="0" xfId="9" applyNumberFormat="1" applyFont="1" applyFill="1" applyAlignment="1">
      <alignment horizontal="left" vertical="center"/>
    </xf>
    <xf numFmtId="0" fontId="99" fillId="5" borderId="121" xfId="9" applyFont="1" applyFill="1" applyBorder="1" applyAlignment="1">
      <alignment horizontal="left" vertical="center"/>
    </xf>
    <xf numFmtId="178" fontId="99" fillId="5" borderId="0" xfId="9" applyNumberFormat="1" applyFont="1" applyFill="1" applyAlignment="1">
      <alignment horizontal="left" vertical="center"/>
    </xf>
    <xf numFmtId="0" fontId="102" fillId="11" borderId="144" xfId="9" applyFont="1" applyFill="1" applyBorder="1" applyAlignment="1">
      <alignment horizontal="left" vertical="center" wrapText="1"/>
    </xf>
    <xf numFmtId="0" fontId="102" fillId="11" borderId="145" xfId="9" applyFont="1" applyFill="1" applyBorder="1" applyAlignment="1">
      <alignment horizontal="left" vertical="center" wrapText="1"/>
    </xf>
    <xf numFmtId="0" fontId="102" fillId="11" borderId="146" xfId="9" applyFont="1" applyFill="1" applyBorder="1" applyAlignment="1">
      <alignment horizontal="left" vertical="center" wrapText="1"/>
    </xf>
    <xf numFmtId="0" fontId="128" fillId="0" borderId="0" xfId="9" applyFont="1" applyAlignment="1">
      <alignment horizontal="left" vertical="center"/>
    </xf>
    <xf numFmtId="0" fontId="112" fillId="0" borderId="0" xfId="9" applyFont="1" applyAlignment="1">
      <alignment horizontal="left" vertical="center"/>
    </xf>
    <xf numFmtId="0" fontId="112" fillId="0" borderId="121" xfId="9" applyFont="1" applyBorder="1" applyAlignment="1">
      <alignment horizontal="left" vertical="center"/>
    </xf>
    <xf numFmtId="180" fontId="112" fillId="0" borderId="0" xfId="9" applyNumberFormat="1" applyFont="1" applyAlignment="1">
      <alignment horizontal="left" vertical="center"/>
    </xf>
    <xf numFmtId="180" fontId="112" fillId="0" borderId="121" xfId="9" applyNumberFormat="1" applyFont="1" applyBorder="1" applyAlignment="1">
      <alignment horizontal="left" vertical="center"/>
    </xf>
    <xf numFmtId="0" fontId="142" fillId="12" borderId="147" xfId="9" applyFont="1" applyFill="1" applyBorder="1" applyAlignment="1">
      <alignment horizontal="left" vertical="center" wrapText="1"/>
    </xf>
    <xf numFmtId="0" fontId="142" fillId="12" borderId="123" xfId="9" applyFont="1" applyFill="1" applyBorder="1" applyAlignment="1">
      <alignment horizontal="left" vertical="center" wrapText="1"/>
    </xf>
    <xf numFmtId="0" fontId="142" fillId="11" borderId="148" xfId="9" applyFont="1" applyFill="1" applyBorder="1" applyAlignment="1">
      <alignment horizontal="left" vertical="center" wrapText="1"/>
    </xf>
    <xf numFmtId="0" fontId="142" fillId="11" borderId="126" xfId="9" applyFont="1" applyFill="1" applyBorder="1" applyAlignment="1">
      <alignment horizontal="left" vertical="center" wrapText="1"/>
    </xf>
    <xf numFmtId="0" fontId="142" fillId="12" borderId="148" xfId="9" applyFont="1" applyFill="1" applyBorder="1" applyAlignment="1">
      <alignment horizontal="left" vertical="center" wrapText="1"/>
    </xf>
    <xf numFmtId="0" fontId="142" fillId="12" borderId="126" xfId="9" applyFont="1" applyFill="1" applyBorder="1" applyAlignment="1">
      <alignment horizontal="left" vertical="center" wrapText="1"/>
    </xf>
    <xf numFmtId="0" fontId="142" fillId="11" borderId="149" xfId="9" applyFont="1" applyFill="1" applyBorder="1" applyAlignment="1">
      <alignment horizontal="left" vertical="center" wrapText="1"/>
    </xf>
    <xf numFmtId="0" fontId="142" fillId="11" borderId="132" xfId="9" applyFont="1" applyFill="1" applyBorder="1" applyAlignment="1">
      <alignment horizontal="left" vertical="center" wrapText="1"/>
    </xf>
    <xf numFmtId="0" fontId="128" fillId="6" borderId="0" xfId="0" applyFont="1" applyFill="1" applyAlignment="1" applyProtection="1">
      <alignment horizontal="left" vertical="center"/>
    </xf>
    <xf numFmtId="0" fontId="176" fillId="6" borderId="154" xfId="0" applyFont="1" applyFill="1" applyBorder="1" applyAlignment="1" applyProtection="1">
      <alignment horizontal="left"/>
    </xf>
    <xf numFmtId="0" fontId="101" fillId="6" borderId="154" xfId="0" applyFont="1" applyFill="1" applyBorder="1" applyAlignment="1" applyProtection="1">
      <alignment horizontal="left"/>
    </xf>
    <xf numFmtId="0" fontId="176" fillId="6" borderId="154" xfId="0" applyFont="1" applyFill="1" applyBorder="1" applyAlignment="1" applyProtection="1">
      <alignment horizontal="right"/>
    </xf>
    <xf numFmtId="0" fontId="101" fillId="7" borderId="154" xfId="0" applyFont="1" applyFill="1" applyBorder="1" applyAlignment="1" applyProtection="1">
      <protection locked="0"/>
    </xf>
    <xf numFmtId="0" fontId="101" fillId="7" borderId="154" xfId="0" applyFont="1" applyFill="1" applyBorder="1" applyAlignment="1" applyProtection="1"/>
    <xf numFmtId="0" fontId="101" fillId="0" borderId="154" xfId="0" applyFont="1" applyFill="1" applyBorder="1" applyAlignment="1" applyProtection="1"/>
    <xf numFmtId="0" fontId="77" fillId="18" borderId="0" xfId="0" applyFont="1" applyFill="1" applyAlignment="1" applyProtection="1">
      <alignment horizontal="left" vertical="center"/>
    </xf>
    <xf numFmtId="10" fontId="47" fillId="18" borderId="0" xfId="0" applyNumberFormat="1" applyFont="1" applyFill="1" applyAlignment="1" applyProtection="1">
      <alignment horizontal="left" vertical="center"/>
    </xf>
    <xf numFmtId="0" fontId="47" fillId="18" borderId="0" xfId="0" applyFont="1" applyFill="1" applyAlignment="1" applyProtection="1">
      <alignment horizontal="left" vertical="center"/>
    </xf>
    <xf numFmtId="0" fontId="77" fillId="18" borderId="0" xfId="0" applyFont="1" applyFill="1" applyProtection="1">
      <alignment vertical="center"/>
    </xf>
    <xf numFmtId="0" fontId="77" fillId="18" borderId="3" xfId="0" applyFont="1" applyFill="1" applyBorder="1" applyAlignment="1" applyProtection="1">
      <alignment horizontal="left" vertical="center" wrapText="1"/>
      <protection locked="0"/>
    </xf>
    <xf numFmtId="181" fontId="47" fillId="18" borderId="48" xfId="0" applyNumberFormat="1" applyFont="1" applyFill="1" applyBorder="1" applyAlignment="1" applyProtection="1">
      <alignment horizontal="center" vertical="center" wrapText="1"/>
    </xf>
    <xf numFmtId="0" fontId="47" fillId="18" borderId="1" xfId="0" applyFont="1" applyFill="1" applyBorder="1" applyAlignment="1" applyProtection="1">
      <alignment horizontal="center" vertical="center"/>
    </xf>
    <xf numFmtId="0" fontId="54" fillId="18" borderId="68" xfId="0" applyNumberFormat="1" applyFont="1" applyFill="1" applyBorder="1" applyAlignment="1" applyProtection="1">
      <alignment horizontal="left" vertical="center" wrapText="1"/>
      <protection locked="0"/>
    </xf>
    <xf numFmtId="181" fontId="50" fillId="18" borderId="68" xfId="0" applyNumberFormat="1" applyFont="1" applyFill="1" applyBorder="1" applyAlignment="1" applyProtection="1">
      <alignment horizontal="left" vertical="center" wrapText="1"/>
      <protection locked="0"/>
    </xf>
    <xf numFmtId="176" fontId="51" fillId="18" borderId="48" xfId="0" applyNumberFormat="1" applyFont="1" applyFill="1" applyBorder="1" applyAlignment="1" applyProtection="1">
      <alignment horizontal="left" vertical="center" wrapText="1"/>
    </xf>
    <xf numFmtId="176" fontId="51" fillId="6" borderId="48" xfId="0" applyNumberFormat="1" applyFont="1" applyFill="1" applyBorder="1" applyAlignment="1" applyProtection="1">
      <alignment horizontal="left" vertical="center" wrapText="1"/>
    </xf>
    <xf numFmtId="0" fontId="54" fillId="18" borderId="1" xfId="0" applyFont="1" applyFill="1" applyBorder="1" applyAlignment="1" applyProtection="1">
      <alignment horizontal="center" vertical="center" wrapText="1"/>
    </xf>
    <xf numFmtId="0" fontId="47" fillId="6" borderId="1"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xf>
    <xf numFmtId="0" fontId="47" fillId="6" borderId="5" xfId="0" applyFont="1" applyFill="1" applyBorder="1" applyAlignment="1" applyProtection="1">
      <alignment horizontal="left" vertical="center"/>
    </xf>
    <xf numFmtId="0" fontId="46" fillId="6" borderId="21" xfId="0" applyFont="1" applyFill="1" applyBorder="1" applyAlignment="1" applyProtection="1">
      <alignment horizontal="center" vertical="center"/>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10" fontId="47" fillId="6" borderId="48" xfId="0" applyNumberFormat="1" applyFont="1" applyFill="1" applyBorder="1" applyAlignment="1" applyProtection="1">
      <alignment horizontal="left" vertical="center" wrapText="1"/>
    </xf>
    <xf numFmtId="0" fontId="44" fillId="6" borderId="1" xfId="0" applyFont="1" applyFill="1" applyBorder="1" applyAlignment="1" applyProtection="1">
      <alignment horizontal="left" vertical="center" wrapText="1"/>
    </xf>
    <xf numFmtId="0" fontId="47" fillId="6" borderId="54" xfId="0" applyFont="1" applyFill="1" applyBorder="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48"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118" fillId="0" borderId="0" xfId="5" applyFont="1" applyAlignment="1">
      <alignment horizontal="left" vertical="center"/>
    </xf>
    <xf numFmtId="0" fontId="146" fillId="0" borderId="0" xfId="5" applyFont="1" applyAlignment="1">
      <alignment horizontal="left" vertical="center"/>
    </xf>
    <xf numFmtId="0" fontId="119" fillId="0" borderId="0" xfId="5" applyFont="1" applyAlignment="1">
      <alignment horizontal="left" vertical="center"/>
    </xf>
    <xf numFmtId="14" fontId="119" fillId="0" borderId="0" xfId="5" applyNumberFormat="1" applyFont="1" applyAlignment="1">
      <alignment horizontal="left" vertical="center"/>
    </xf>
    <xf numFmtId="0" fontId="236" fillId="0" borderId="0" xfId="5" applyFont="1" applyAlignment="1">
      <alignment horizontal="left" vertical="center"/>
    </xf>
    <xf numFmtId="0" fontId="116" fillId="5" borderId="13" xfId="5" applyFont="1" applyFill="1" applyBorder="1" applyAlignment="1">
      <alignment horizontal="left" vertical="center"/>
    </xf>
    <xf numFmtId="0" fontId="117" fillId="0" borderId="1" xfId="5" applyFont="1" applyBorder="1" applyAlignment="1">
      <alignment horizontal="left" vertical="center"/>
    </xf>
    <xf numFmtId="0" fontId="117" fillId="0" borderId="5" xfId="5" applyFont="1" applyBorder="1" applyAlignment="1">
      <alignment horizontal="left" vertical="center"/>
    </xf>
    <xf numFmtId="0" fontId="116" fillId="5" borderId="155" xfId="5" applyFont="1" applyFill="1" applyBorder="1" applyAlignment="1">
      <alignment horizontal="left" vertical="center"/>
    </xf>
    <xf numFmtId="191" fontId="117" fillId="0" borderId="1" xfId="5" applyNumberFormat="1" applyFont="1" applyFill="1" applyBorder="1" applyAlignment="1">
      <alignment horizontal="left" vertical="center"/>
    </xf>
    <xf numFmtId="191" fontId="237" fillId="0" borderId="5" xfId="5" applyNumberFormat="1" applyFont="1" applyFill="1" applyBorder="1" applyAlignment="1">
      <alignment horizontal="left" vertical="center"/>
    </xf>
    <xf numFmtId="0" fontId="117" fillId="0" borderId="156" xfId="5" applyFont="1" applyFill="1" applyBorder="1" applyAlignment="1">
      <alignment horizontal="left" vertical="center"/>
    </xf>
    <xf numFmtId="183" fontId="117" fillId="0" borderId="1" xfId="5" applyNumberFormat="1" applyFont="1" applyFill="1" applyBorder="1" applyAlignment="1">
      <alignment horizontal="left" vertical="center"/>
    </xf>
    <xf numFmtId="0" fontId="237" fillId="0" borderId="1" xfId="5" applyFont="1" applyFill="1" applyBorder="1" applyAlignment="1">
      <alignment horizontal="left" vertical="center"/>
    </xf>
    <xf numFmtId="191" fontId="117" fillId="0" borderId="5" xfId="5" applyNumberFormat="1" applyFont="1" applyFill="1" applyBorder="1" applyAlignment="1">
      <alignment horizontal="left" vertical="center"/>
    </xf>
    <xf numFmtId="0" fontId="237" fillId="0" borderId="0" xfId="5" applyFont="1" applyFill="1" applyAlignment="1">
      <alignment horizontal="left" vertical="center"/>
    </xf>
    <xf numFmtId="0" fontId="146" fillId="0" borderId="0" xfId="5" applyFont="1" applyFill="1" applyAlignment="1">
      <alignment horizontal="left" vertical="center"/>
    </xf>
    <xf numFmtId="0" fontId="116" fillId="0" borderId="1" xfId="5" applyFont="1" applyFill="1" applyBorder="1" applyAlignment="1">
      <alignment horizontal="left" vertical="center"/>
    </xf>
    <xf numFmtId="0" fontId="115" fillId="0" borderId="0" xfId="5" applyFont="1" applyAlignment="1">
      <alignment horizontal="left" vertical="center"/>
    </xf>
    <xf numFmtId="0" fontId="119" fillId="0" borderId="1" xfId="5" applyFont="1" applyBorder="1" applyAlignment="1">
      <alignment horizontal="left" vertical="center"/>
    </xf>
    <xf numFmtId="183" fontId="117" fillId="0" borderId="5" xfId="5" applyNumberFormat="1" applyFont="1" applyFill="1" applyBorder="1" applyAlignment="1">
      <alignment horizontal="left" vertical="center"/>
    </xf>
    <xf numFmtId="0" fontId="119" fillId="0" borderId="156" xfId="5" applyFont="1" applyBorder="1" applyAlignment="1">
      <alignment horizontal="left" vertical="center"/>
    </xf>
    <xf numFmtId="14" fontId="119" fillId="0" borderId="1" xfId="5" applyNumberFormat="1" applyFont="1" applyBorder="1" applyAlignment="1">
      <alignment horizontal="left" vertical="center"/>
    </xf>
    <xf numFmtId="14" fontId="119" fillId="0" borderId="5" xfId="5" applyNumberFormat="1" applyFont="1" applyBorder="1" applyAlignment="1">
      <alignment horizontal="left" vertical="center"/>
    </xf>
    <xf numFmtId="0" fontId="126" fillId="0" borderId="1" xfId="5" applyFont="1" applyBorder="1" applyAlignment="1">
      <alignment horizontal="left" vertical="center"/>
    </xf>
    <xf numFmtId="183" fontId="126" fillId="0" borderId="1" xfId="0" applyNumberFormat="1" applyFont="1" applyFill="1" applyBorder="1" applyAlignment="1">
      <alignment horizontal="left" vertical="center"/>
    </xf>
    <xf numFmtId="14" fontId="146" fillId="0" borderId="0" xfId="5" applyNumberFormat="1" applyFont="1" applyAlignment="1">
      <alignment horizontal="left" vertical="center"/>
    </xf>
    <xf numFmtId="14" fontId="146" fillId="0" borderId="157" xfId="5" applyNumberFormat="1" applyFont="1" applyBorder="1" applyAlignment="1">
      <alignment horizontal="left" vertical="center"/>
    </xf>
    <xf numFmtId="0" fontId="146" fillId="0" borderId="0" xfId="5" applyFont="1" applyBorder="1" applyAlignment="1">
      <alignment horizontal="left" vertical="center"/>
    </xf>
    <xf numFmtId="0" fontId="214" fillId="0" borderId="0" xfId="5" applyFont="1" applyBorder="1" applyAlignment="1">
      <alignment horizontal="left" vertical="center"/>
    </xf>
    <xf numFmtId="0" fontId="47" fillId="6" borderId="26" xfId="0" applyFont="1" applyFill="1" applyBorder="1" applyAlignment="1" applyProtection="1">
      <alignment vertical="center" wrapText="1"/>
    </xf>
    <xf numFmtId="0" fontId="47" fillId="6" borderId="0" xfId="0" applyFont="1" applyFill="1" applyBorder="1" applyAlignment="1" applyProtection="1">
      <alignment vertical="center" wrapText="1"/>
    </xf>
    <xf numFmtId="0" fontId="47" fillId="6" borderId="58" xfId="0" applyFont="1" applyFill="1" applyBorder="1" applyAlignment="1" applyProtection="1">
      <alignment vertical="center" wrapText="1"/>
    </xf>
    <xf numFmtId="49" fontId="47" fillId="6" borderId="0" xfId="0" applyNumberFormat="1" applyFont="1" applyFill="1" applyAlignment="1" applyProtection="1">
      <alignment horizontal="center" vertical="center" wrapText="1"/>
    </xf>
    <xf numFmtId="0" fontId="47" fillId="6" borderId="0" xfId="0" applyFont="1" applyFill="1" applyAlignment="1" applyProtection="1">
      <alignment vertical="center" wrapText="1"/>
    </xf>
    <xf numFmtId="0" fontId="47" fillId="0" borderId="0" xfId="0" applyFont="1" applyFill="1" applyBorder="1" applyAlignment="1" applyProtection="1">
      <alignment vertical="center"/>
      <protection locked="0"/>
    </xf>
    <xf numFmtId="0" fontId="47" fillId="0" borderId="0" xfId="0" applyFont="1" applyFill="1" applyBorder="1" applyAlignment="1" applyProtection="1">
      <alignment vertical="center" wrapText="1"/>
    </xf>
    <xf numFmtId="14" fontId="47" fillId="0" borderId="13" xfId="0" applyNumberFormat="1" applyFont="1" applyFill="1" applyBorder="1" applyAlignment="1" applyProtection="1">
      <alignment horizontal="left" vertical="center"/>
      <protection locked="0"/>
    </xf>
    <xf numFmtId="0" fontId="47" fillId="16" borderId="1" xfId="0" applyFont="1" applyFill="1" applyBorder="1" applyAlignment="1" applyProtection="1">
      <alignment vertical="center" wrapText="1"/>
    </xf>
    <xf numFmtId="14" fontId="47" fillId="5" borderId="78" xfId="0" applyNumberFormat="1" applyFont="1" applyFill="1" applyBorder="1" applyAlignment="1" applyProtection="1">
      <alignment horizontal="center" vertical="center"/>
      <protection locked="0"/>
    </xf>
    <xf numFmtId="0" fontId="47" fillId="6" borderId="78" xfId="0" applyFont="1" applyFill="1" applyBorder="1" applyAlignment="1" applyProtection="1">
      <alignment horizontal="right" vertical="center" shrinkToFit="1"/>
    </xf>
    <xf numFmtId="0" fontId="47" fillId="6" borderId="78" xfId="0" applyNumberFormat="1" applyFont="1" applyFill="1" applyBorder="1" applyAlignment="1" applyProtection="1">
      <alignment horizontal="right" vertical="center" shrinkToFit="1"/>
    </xf>
    <xf numFmtId="0" fontId="47" fillId="6" borderId="58" xfId="0" applyNumberFormat="1" applyFont="1" applyFill="1" applyBorder="1" applyAlignment="1" applyProtection="1">
      <alignment horizontal="left" vertical="center"/>
    </xf>
    <xf numFmtId="0" fontId="47" fillId="6" borderId="4" xfId="0" applyFont="1" applyFill="1" applyBorder="1" applyAlignment="1" applyProtection="1">
      <alignment vertical="center" wrapText="1"/>
    </xf>
    <xf numFmtId="0" fontId="47" fillId="7" borderId="60" xfId="0" applyFont="1" applyFill="1" applyBorder="1" applyAlignment="1" applyProtection="1">
      <alignment vertical="center" wrapText="1"/>
    </xf>
    <xf numFmtId="0" fontId="47" fillId="7" borderId="7" xfId="0" applyFont="1" applyFill="1" applyBorder="1" applyAlignment="1" applyProtection="1">
      <alignment vertical="center" wrapText="1"/>
    </xf>
    <xf numFmtId="0" fontId="47" fillId="6" borderId="46" xfId="0" applyFont="1" applyFill="1" applyBorder="1" applyAlignment="1" applyProtection="1">
      <alignment vertical="center" wrapText="1"/>
    </xf>
    <xf numFmtId="0" fontId="47" fillId="7" borderId="54" xfId="0" applyFont="1" applyFill="1" applyBorder="1" applyAlignment="1" applyProtection="1">
      <alignment vertical="center" wrapText="1"/>
    </xf>
    <xf numFmtId="0" fontId="47" fillId="7" borderId="22" xfId="0" applyFont="1" applyFill="1" applyBorder="1" applyAlignment="1" applyProtection="1">
      <alignment vertical="center" wrapText="1"/>
    </xf>
    <xf numFmtId="0" fontId="47" fillId="16" borderId="46" xfId="0" applyFont="1" applyFill="1" applyBorder="1" applyAlignment="1" applyProtection="1">
      <alignment vertical="center" wrapText="1"/>
    </xf>
    <xf numFmtId="0" fontId="47" fillId="5" borderId="5" xfId="0" applyFont="1" applyFill="1" applyBorder="1" applyAlignment="1" applyProtection="1">
      <alignment horizontal="left" vertical="center" wrapText="1"/>
      <protection locked="0"/>
    </xf>
    <xf numFmtId="0" fontId="47" fillId="5" borderId="54" xfId="0" applyFont="1" applyFill="1" applyBorder="1" applyAlignment="1" applyProtection="1">
      <alignment vertical="center" wrapText="1"/>
    </xf>
    <xf numFmtId="0" fontId="47" fillId="5" borderId="13" xfId="0" applyFont="1" applyFill="1" applyBorder="1" applyAlignment="1" applyProtection="1">
      <alignment horizontal="left" vertical="center"/>
      <protection locked="0"/>
    </xf>
    <xf numFmtId="0" fontId="47" fillId="5" borderId="22" xfId="0" applyFont="1" applyFill="1" applyBorder="1" applyAlignment="1" applyProtection="1">
      <alignment vertical="center" wrapText="1"/>
    </xf>
    <xf numFmtId="0" fontId="47" fillId="16" borderId="85" xfId="0" applyFont="1" applyFill="1" applyBorder="1" applyAlignment="1" applyProtection="1">
      <alignment vertical="center" wrapText="1"/>
    </xf>
    <xf numFmtId="0" fontId="47" fillId="5" borderId="85" xfId="0" applyFont="1" applyFill="1" applyBorder="1" applyAlignment="1" applyProtection="1">
      <alignment horizontal="left" vertical="center"/>
      <protection locked="0"/>
    </xf>
    <xf numFmtId="0" fontId="47" fillId="5" borderId="88" xfId="0" applyFont="1" applyFill="1" applyBorder="1" applyAlignment="1" applyProtection="1">
      <alignment vertical="center" wrapText="1"/>
    </xf>
    <xf numFmtId="0" fontId="47" fillId="5" borderId="118" xfId="0" applyFont="1" applyFill="1" applyBorder="1" applyAlignment="1" applyProtection="1">
      <alignment vertical="center" wrapText="1"/>
    </xf>
    <xf numFmtId="0" fontId="47" fillId="16" borderId="2" xfId="0" applyFont="1" applyFill="1" applyBorder="1" applyAlignment="1" applyProtection="1">
      <alignment horizontal="left" vertical="center"/>
    </xf>
    <xf numFmtId="0" fontId="47" fillId="2" borderId="7" xfId="0" applyFont="1" applyFill="1" applyBorder="1" applyAlignment="1" applyProtection="1">
      <alignment horizontal="center" vertical="center" wrapText="1"/>
      <protection locked="0"/>
    </xf>
    <xf numFmtId="0" fontId="47" fillId="7" borderId="60" xfId="0" applyFont="1" applyFill="1" applyBorder="1" applyAlignment="1" applyProtection="1">
      <alignment vertical="center" wrapText="1"/>
      <protection locked="0"/>
    </xf>
    <xf numFmtId="49" fontId="47" fillId="6" borderId="2" xfId="0" applyNumberFormat="1" applyFont="1" applyFill="1" applyBorder="1" applyAlignment="1" applyProtection="1">
      <alignment horizontal="left" vertical="center" wrapText="1"/>
    </xf>
    <xf numFmtId="0" fontId="47" fillId="16" borderId="46" xfId="0" applyFont="1" applyFill="1" applyBorder="1" applyAlignment="1" applyProtection="1">
      <alignment horizontal="left" vertical="center"/>
    </xf>
    <xf numFmtId="0" fontId="47" fillId="5" borderId="13" xfId="0" applyFont="1" applyFill="1" applyBorder="1" applyAlignment="1" applyProtection="1">
      <alignment horizontal="center" vertical="center" wrapText="1"/>
      <protection locked="0"/>
    </xf>
    <xf numFmtId="0" fontId="47" fillId="7" borderId="54" xfId="0" applyFont="1" applyFill="1" applyBorder="1" applyAlignment="1" applyProtection="1">
      <alignment vertical="center" wrapText="1"/>
      <protection locked="0"/>
    </xf>
    <xf numFmtId="0" fontId="47" fillId="7" borderId="3" xfId="0" applyFont="1" applyFill="1" applyBorder="1" applyAlignment="1" applyProtection="1">
      <alignment vertical="center" wrapText="1"/>
    </xf>
    <xf numFmtId="49" fontId="47" fillId="16" borderId="13" xfId="0" applyNumberFormat="1" applyFont="1" applyFill="1" applyBorder="1" applyAlignment="1" applyProtection="1">
      <alignment horizontal="left" vertical="center" wrapText="1"/>
    </xf>
    <xf numFmtId="49" fontId="47" fillId="6" borderId="1" xfId="0" applyNumberFormat="1" applyFont="1" applyFill="1" applyBorder="1" applyAlignment="1" applyProtection="1">
      <alignment horizontal="center" vertical="center" wrapText="1"/>
    </xf>
    <xf numFmtId="0" fontId="47" fillId="16" borderId="60" xfId="0" applyFont="1" applyFill="1" applyBorder="1" applyAlignment="1" applyProtection="1">
      <alignment vertical="center" wrapText="1"/>
    </xf>
    <xf numFmtId="177" fontId="47" fillId="5" borderId="1" xfId="1" applyNumberFormat="1" applyFont="1" applyFill="1" applyBorder="1" applyAlignment="1" applyProtection="1">
      <alignment horizontal="center" vertical="center"/>
      <protection locked="0"/>
    </xf>
    <xf numFmtId="0" fontId="47" fillId="6" borderId="60" xfId="0" applyFont="1" applyFill="1" applyBorder="1" applyAlignment="1" applyProtection="1">
      <alignment vertical="center" wrapText="1"/>
    </xf>
    <xf numFmtId="179" fontId="47" fillId="6" borderId="1" xfId="0" applyNumberFormat="1" applyFont="1" applyFill="1" applyBorder="1" applyAlignment="1" applyProtection="1">
      <alignment horizontal="center" vertical="center" wrapText="1"/>
    </xf>
    <xf numFmtId="0" fontId="47" fillId="6" borderId="0" xfId="0" applyNumberFormat="1" applyFont="1" applyFill="1" applyAlignment="1" applyProtection="1">
      <alignment horizontal="center" vertical="center" wrapText="1"/>
    </xf>
    <xf numFmtId="0" fontId="47" fillId="6" borderId="0" xfId="0" applyNumberFormat="1" applyFont="1" applyFill="1" applyAlignment="1" applyProtection="1">
      <alignment vertical="center" wrapText="1"/>
    </xf>
    <xf numFmtId="49" fontId="47" fillId="6" borderId="15" xfId="0" applyNumberFormat="1" applyFont="1" applyFill="1" applyBorder="1" applyAlignment="1" applyProtection="1">
      <alignment horizontal="left" vertical="center" wrapText="1"/>
    </xf>
    <xf numFmtId="0" fontId="47" fillId="5" borderId="77" xfId="0" applyFont="1" applyFill="1" applyBorder="1" applyAlignment="1" applyProtection="1">
      <alignment horizontal="left" vertical="center" wrapText="1"/>
      <protection locked="0"/>
    </xf>
    <xf numFmtId="0" fontId="47" fillId="6" borderId="78" xfId="0" applyFont="1" applyFill="1" applyBorder="1" applyAlignment="1" applyProtection="1">
      <alignment horizontal="center" vertical="center" wrapText="1"/>
    </xf>
    <xf numFmtId="0" fontId="47" fillId="2" borderId="4" xfId="0" applyFont="1" applyFill="1" applyBorder="1" applyAlignment="1" applyProtection="1">
      <alignment vertical="center"/>
      <protection locked="0"/>
    </xf>
    <xf numFmtId="0" fontId="47" fillId="2" borderId="7" xfId="0" applyFont="1" applyFill="1" applyBorder="1" applyAlignment="1" applyProtection="1">
      <alignment vertical="center" wrapText="1"/>
    </xf>
    <xf numFmtId="0" fontId="47" fillId="2" borderId="7" xfId="0" applyFont="1" applyFill="1" applyBorder="1" applyAlignment="1" applyProtection="1">
      <alignment horizontal="left" vertical="center"/>
      <protection locked="0"/>
    </xf>
    <xf numFmtId="0" fontId="47" fillId="0" borderId="2" xfId="0" applyFont="1" applyBorder="1" applyAlignment="1" applyProtection="1">
      <alignment horizontal="left" vertical="center" wrapText="1"/>
      <protection locked="0"/>
    </xf>
    <xf numFmtId="0" fontId="47" fillId="2" borderId="5" xfId="0" applyFont="1" applyFill="1" applyBorder="1" applyAlignment="1" applyProtection="1">
      <alignment vertical="center"/>
      <protection locked="0"/>
    </xf>
    <xf numFmtId="0" fontId="47" fillId="2" borderId="3" xfId="0" applyFont="1" applyFill="1" applyBorder="1" applyAlignment="1" applyProtection="1">
      <alignment vertical="center"/>
    </xf>
    <xf numFmtId="0" fontId="47" fillId="5" borderId="3" xfId="0" applyFont="1" applyFill="1" applyBorder="1" applyAlignment="1" applyProtection="1">
      <alignment horizontal="center" vertical="center" wrapText="1"/>
      <protection locked="0"/>
    </xf>
    <xf numFmtId="0" fontId="47" fillId="0" borderId="1" xfId="0" applyFont="1" applyBorder="1" applyAlignment="1" applyProtection="1">
      <alignment horizontal="left" vertical="center"/>
      <protection locked="0"/>
    </xf>
    <xf numFmtId="0" fontId="47" fillId="6" borderId="35" xfId="0" applyFont="1" applyFill="1" applyBorder="1" applyAlignment="1" applyProtection="1">
      <alignment horizontal="left" vertical="center"/>
    </xf>
    <xf numFmtId="0" fontId="47" fillId="5" borderId="22" xfId="0" applyFont="1" applyFill="1" applyBorder="1" applyAlignment="1" applyProtection="1">
      <alignment horizontal="center" vertical="center" wrapText="1"/>
      <protection locked="0"/>
    </xf>
    <xf numFmtId="0" fontId="47" fillId="0" borderId="13" xfId="0" applyFont="1" applyBorder="1" applyAlignment="1" applyProtection="1">
      <alignment horizontal="left" vertical="center"/>
      <protection locked="0"/>
    </xf>
    <xf numFmtId="0" fontId="47" fillId="6" borderId="1" xfId="0" applyFont="1" applyFill="1" applyBorder="1" applyAlignment="1" applyProtection="1">
      <alignment horizontal="center" vertical="center" wrapText="1"/>
    </xf>
    <xf numFmtId="0" fontId="47" fillId="6" borderId="1" xfId="0" applyFont="1" applyFill="1" applyBorder="1" applyAlignment="1" applyProtection="1">
      <alignment vertical="center" wrapText="1"/>
    </xf>
    <xf numFmtId="0" fontId="47" fillId="6" borderId="13" xfId="0" applyNumberFormat="1" applyFont="1" applyFill="1" applyBorder="1" applyAlignment="1" applyProtection="1">
      <alignment vertical="center" wrapText="1"/>
    </xf>
    <xf numFmtId="0" fontId="47" fillId="6" borderId="58" xfId="0" applyNumberFormat="1" applyFont="1" applyFill="1" applyBorder="1" applyAlignment="1" applyProtection="1">
      <alignment vertical="center" wrapText="1"/>
    </xf>
    <xf numFmtId="0" fontId="47" fillId="5" borderId="1" xfId="0" applyNumberFormat="1" applyFont="1" applyFill="1" applyBorder="1" applyAlignment="1" applyProtection="1">
      <alignment horizontal="center" vertical="center" wrapText="1"/>
      <protection locked="0"/>
    </xf>
    <xf numFmtId="0" fontId="47" fillId="5" borderId="78" xfId="0" applyNumberFormat="1" applyFont="1" applyFill="1" applyBorder="1" applyAlignment="1" applyProtection="1">
      <alignment horizontal="center" vertical="center" wrapText="1"/>
      <protection locked="0"/>
    </xf>
    <xf numFmtId="0" fontId="138" fillId="6" borderId="151" xfId="0" applyFont="1" applyFill="1" applyBorder="1" applyAlignment="1" applyProtection="1">
      <alignment vertical="center"/>
    </xf>
    <xf numFmtId="0" fontId="52" fillId="6" borderId="151" xfId="0" applyFont="1" applyFill="1" applyBorder="1" applyAlignment="1" applyProtection="1">
      <alignment vertical="center" wrapText="1"/>
    </xf>
    <xf numFmtId="0" fontId="52" fillId="0" borderId="151" xfId="0" applyFont="1" applyBorder="1" applyAlignment="1" applyProtection="1">
      <alignment vertical="center" wrapText="1"/>
    </xf>
    <xf numFmtId="0" fontId="52" fillId="6" borderId="5" xfId="0" applyFont="1" applyFill="1" applyBorder="1" applyAlignment="1" applyProtection="1">
      <alignment vertical="center"/>
    </xf>
    <xf numFmtId="0" fontId="47" fillId="0" borderId="5" xfId="0" applyFont="1" applyBorder="1" applyAlignment="1" applyProtection="1">
      <alignment horizontal="center" vertical="center" wrapText="1"/>
      <protection locked="0"/>
    </xf>
    <xf numFmtId="49" fontId="47" fillId="0" borderId="1" xfId="0" applyNumberFormat="1" applyFont="1" applyBorder="1" applyAlignment="1" applyProtection="1">
      <alignment horizontal="center" vertical="center" wrapText="1"/>
      <protection locked="0"/>
    </xf>
    <xf numFmtId="0" fontId="47" fillId="6" borderId="0" xfId="0" applyFont="1" applyFill="1" applyAlignment="1" applyProtection="1">
      <alignment vertical="center" wrapText="1"/>
      <protection locked="0"/>
    </xf>
    <xf numFmtId="49" fontId="47" fillId="0" borderId="5" xfId="0" applyNumberFormat="1" applyFont="1" applyBorder="1" applyAlignment="1" applyProtection="1">
      <alignment vertical="center" wrapText="1"/>
      <protection locked="0"/>
    </xf>
    <xf numFmtId="0" fontId="52" fillId="6" borderId="40" xfId="0" applyFont="1" applyFill="1" applyBorder="1" applyAlignment="1" applyProtection="1">
      <alignment vertical="center" wrapText="1"/>
    </xf>
    <xf numFmtId="0" fontId="52" fillId="6" borderId="14" xfId="0" applyFont="1" applyFill="1" applyBorder="1" applyAlignment="1" applyProtection="1">
      <alignment vertical="center" wrapText="1"/>
    </xf>
    <xf numFmtId="0" fontId="52" fillId="6" borderId="12" xfId="0" applyFont="1" applyFill="1" applyBorder="1" applyAlignment="1" applyProtection="1">
      <alignment vertical="center" wrapText="1"/>
    </xf>
    <xf numFmtId="0" fontId="52" fillId="6" borderId="27" xfId="0" applyFont="1" applyFill="1" applyBorder="1" applyAlignment="1" applyProtection="1">
      <alignment vertical="center" wrapText="1"/>
    </xf>
    <xf numFmtId="49" fontId="52" fillId="6" borderId="27" xfId="0" applyNumberFormat="1" applyFont="1" applyFill="1" applyBorder="1" applyAlignment="1" applyProtection="1">
      <alignment vertical="center" wrapText="1"/>
    </xf>
    <xf numFmtId="0" fontId="52" fillId="6" borderId="80" xfId="0" applyFont="1" applyFill="1" applyBorder="1" applyAlignment="1" applyProtection="1">
      <alignment vertical="center" wrapText="1"/>
    </xf>
    <xf numFmtId="49" fontId="52" fillId="6" borderId="80" xfId="0" applyNumberFormat="1" applyFont="1" applyFill="1" applyBorder="1" applyAlignment="1" applyProtection="1">
      <alignment vertical="center" wrapText="1"/>
    </xf>
    <xf numFmtId="49" fontId="52" fillId="6" borderId="81" xfId="0" applyNumberFormat="1" applyFont="1" applyFill="1" applyBorder="1" applyAlignment="1" applyProtection="1">
      <alignment vertical="center" wrapText="1"/>
    </xf>
    <xf numFmtId="0" fontId="52" fillId="6" borderId="81" xfId="0" applyFont="1" applyFill="1" applyBorder="1" applyAlignment="1" applyProtection="1">
      <alignment vertical="center" wrapText="1"/>
    </xf>
    <xf numFmtId="0" fontId="47" fillId="6" borderId="0" xfId="0" applyFont="1" applyFill="1" applyAlignment="1" applyProtection="1">
      <alignment horizontal="center" vertical="center" wrapText="1"/>
      <protection locked="0"/>
    </xf>
    <xf numFmtId="0" fontId="47" fillId="6" borderId="0" xfId="0" applyNumberFormat="1" applyFont="1" applyFill="1" applyAlignment="1" applyProtection="1">
      <alignment horizontal="center" vertical="center" wrapText="1"/>
      <protection locked="0"/>
    </xf>
    <xf numFmtId="0" fontId="204" fillId="7" borderId="101" xfId="0" applyFont="1" applyFill="1" applyBorder="1" applyAlignment="1" applyProtection="1">
      <alignment vertical="center" wrapText="1"/>
      <protection locked="0"/>
    </xf>
    <xf numFmtId="0" fontId="204" fillId="7" borderId="101" xfId="0" applyNumberFormat="1" applyFont="1" applyFill="1" applyBorder="1" applyAlignment="1" applyProtection="1">
      <alignment vertical="center" wrapText="1"/>
      <protection locked="0"/>
    </xf>
    <xf numFmtId="0" fontId="204" fillId="7" borderId="102" xfId="0" applyFont="1" applyFill="1" applyBorder="1" applyAlignment="1" applyProtection="1">
      <alignment vertical="center" wrapText="1"/>
      <protection locked="0"/>
    </xf>
    <xf numFmtId="0" fontId="224" fillId="7" borderId="0" xfId="0" applyNumberFormat="1" applyFont="1" applyFill="1" applyAlignment="1" applyProtection="1">
      <alignment vertical="center"/>
      <protection locked="0"/>
    </xf>
    <xf numFmtId="0" fontId="224" fillId="7" borderId="0" xfId="0" applyFont="1" applyFill="1" applyAlignment="1" applyProtection="1">
      <alignment vertical="center"/>
      <protection locked="0"/>
    </xf>
    <xf numFmtId="0" fontId="224" fillId="0" borderId="0" xfId="0" applyFont="1" applyAlignment="1" applyProtection="1">
      <alignment vertical="center"/>
      <protection locked="0"/>
    </xf>
    <xf numFmtId="0" fontId="52" fillId="6" borderId="63" xfId="0" applyFont="1" applyFill="1" applyBorder="1" applyAlignment="1" applyProtection="1">
      <alignment vertical="center" wrapText="1"/>
    </xf>
    <xf numFmtId="0" fontId="52" fillId="6" borderId="34" xfId="0" applyFont="1" applyFill="1" applyBorder="1" applyAlignment="1" applyProtection="1">
      <alignment vertical="center" wrapText="1"/>
    </xf>
    <xf numFmtId="0" fontId="52" fillId="6" borderId="65" xfId="0" applyFont="1" applyFill="1" applyBorder="1" applyAlignment="1" applyProtection="1">
      <alignment vertical="center"/>
    </xf>
    <xf numFmtId="0" fontId="52" fillId="6" borderId="0" xfId="0" applyFont="1" applyFill="1" applyBorder="1" applyAlignment="1" applyProtection="1">
      <alignment vertical="center" wrapText="1"/>
    </xf>
    <xf numFmtId="0" fontId="47" fillId="6" borderId="64" xfId="0" applyFont="1" applyFill="1" applyBorder="1" applyAlignment="1" applyProtection="1">
      <alignment vertical="center"/>
    </xf>
    <xf numFmtId="0" fontId="47" fillId="6" borderId="9" xfId="0" applyFont="1" applyFill="1" applyBorder="1" applyAlignment="1" applyProtection="1">
      <alignment vertical="center" wrapText="1"/>
    </xf>
    <xf numFmtId="49" fontId="47" fillId="6" borderId="0" xfId="0" applyNumberFormat="1" applyFont="1" applyFill="1" applyBorder="1" applyAlignment="1" applyProtection="1">
      <alignment vertical="center" wrapText="1"/>
      <protection locked="0"/>
    </xf>
    <xf numFmtId="0" fontId="47" fillId="6" borderId="7" xfId="0" applyFont="1" applyFill="1" applyBorder="1" applyAlignment="1" applyProtection="1">
      <alignment vertical="center" wrapText="1"/>
    </xf>
    <xf numFmtId="49" fontId="167" fillId="0" borderId="24" xfId="0" applyNumberFormat="1" applyFont="1" applyFill="1" applyBorder="1" applyAlignment="1" applyProtection="1">
      <alignment vertical="center" wrapText="1"/>
      <protection locked="0"/>
    </xf>
    <xf numFmtId="49" fontId="47" fillId="6" borderId="14" xfId="0" applyNumberFormat="1" applyFont="1" applyFill="1" applyBorder="1" applyAlignment="1" applyProtection="1">
      <alignment vertical="center" wrapText="1"/>
    </xf>
    <xf numFmtId="0" fontId="167" fillId="0" borderId="24" xfId="0" applyFont="1" applyBorder="1" applyAlignment="1" applyProtection="1">
      <alignment vertical="center" wrapText="1"/>
      <protection locked="0"/>
    </xf>
    <xf numFmtId="0" fontId="47" fillId="6" borderId="0" xfId="0" applyFont="1" applyFill="1" applyBorder="1" applyAlignment="1" applyProtection="1">
      <alignment vertical="center" wrapText="1"/>
      <protection locked="0"/>
    </xf>
    <xf numFmtId="49" fontId="47" fillId="6" borderId="12" xfId="0" applyNumberFormat="1" applyFont="1" applyFill="1" applyBorder="1" applyAlignment="1" applyProtection="1">
      <alignment vertical="center" wrapText="1"/>
    </xf>
    <xf numFmtId="0" fontId="47" fillId="6" borderId="66" xfId="0" applyFont="1" applyFill="1" applyBorder="1" applyAlignment="1" applyProtection="1">
      <alignment vertical="center" wrapText="1"/>
    </xf>
    <xf numFmtId="0" fontId="47" fillId="6" borderId="0" xfId="0" applyFont="1" applyFill="1" applyBorder="1" applyAlignment="1" applyProtection="1">
      <alignment vertical="center"/>
      <protection locked="0"/>
    </xf>
    <xf numFmtId="0" fontId="47" fillId="6" borderId="32" xfId="0" applyFont="1" applyFill="1" applyBorder="1" applyAlignment="1" applyProtection="1">
      <alignment vertical="center" wrapText="1"/>
    </xf>
    <xf numFmtId="0" fontId="167" fillId="0" borderId="49" xfId="0" applyFont="1" applyBorder="1" applyAlignment="1" applyProtection="1">
      <alignment vertical="center"/>
      <protection locked="0"/>
    </xf>
    <xf numFmtId="0" fontId="44" fillId="7" borderId="0" xfId="0" applyFont="1" applyFill="1" applyBorder="1" applyAlignment="1" applyProtection="1">
      <alignment vertical="center" wrapText="1"/>
      <protection locked="0"/>
    </xf>
    <xf numFmtId="0" fontId="44" fillId="7" borderId="0" xfId="0" applyNumberFormat="1" applyFont="1" applyFill="1" applyBorder="1" applyAlignment="1" applyProtection="1">
      <alignment vertical="center" wrapText="1"/>
      <protection locked="0"/>
    </xf>
    <xf numFmtId="49" fontId="44" fillId="7" borderId="0" xfId="0" applyNumberFormat="1" applyFont="1" applyFill="1" applyBorder="1" applyAlignment="1" applyProtection="1">
      <alignment vertical="center" wrapText="1"/>
      <protection locked="0"/>
    </xf>
    <xf numFmtId="0" fontId="44" fillId="0" borderId="0" xfId="0" applyFont="1" applyFill="1" applyAlignment="1" applyProtection="1">
      <alignment vertical="center"/>
      <protection locked="0"/>
    </xf>
    <xf numFmtId="0" fontId="52" fillId="6" borderId="0" xfId="0" applyFont="1" applyFill="1" applyBorder="1" applyAlignment="1" applyProtection="1">
      <alignment vertical="center" wrapText="1"/>
      <protection locked="0"/>
    </xf>
    <xf numFmtId="0" fontId="47" fillId="6" borderId="0" xfId="0" applyNumberFormat="1" applyFont="1" applyFill="1" applyBorder="1" applyAlignment="1" applyProtection="1">
      <alignment vertical="center" wrapText="1"/>
      <protection locked="0"/>
    </xf>
    <xf numFmtId="0" fontId="60" fillId="6" borderId="0" xfId="0" applyFont="1" applyFill="1" applyBorder="1" applyAlignment="1" applyProtection="1">
      <alignment vertical="center"/>
    </xf>
    <xf numFmtId="0" fontId="204" fillId="7" borderId="0" xfId="0" applyFont="1" applyFill="1" applyBorder="1" applyAlignment="1" applyProtection="1">
      <alignment vertical="center" wrapText="1"/>
      <protection locked="0"/>
    </xf>
    <xf numFmtId="0" fontId="204" fillId="7" borderId="0" xfId="0" applyNumberFormat="1" applyFont="1" applyFill="1" applyBorder="1" applyAlignment="1" applyProtection="1">
      <alignment vertical="center" wrapText="1"/>
      <protection locked="0"/>
    </xf>
    <xf numFmtId="0" fontId="204" fillId="7" borderId="35" xfId="0" applyNumberFormat="1" applyFont="1" applyFill="1" applyBorder="1" applyAlignment="1" applyProtection="1">
      <alignment vertical="center" wrapText="1"/>
      <protection locked="0"/>
    </xf>
    <xf numFmtId="0" fontId="224" fillId="7" borderId="0" xfId="0" applyFont="1" applyFill="1" applyAlignment="1" applyProtection="1">
      <alignment vertical="center" wrapText="1"/>
      <protection locked="0"/>
    </xf>
    <xf numFmtId="0" fontId="224" fillId="7" borderId="0" xfId="0" applyNumberFormat="1" applyFont="1" applyFill="1" applyAlignment="1" applyProtection="1">
      <alignment vertical="center" wrapText="1"/>
      <protection locked="0"/>
    </xf>
    <xf numFmtId="0" fontId="69" fillId="6" borderId="104" xfId="0" applyFont="1" applyFill="1" applyBorder="1" applyAlignment="1" applyProtection="1">
      <alignment vertical="center"/>
    </xf>
    <xf numFmtId="0" fontId="44" fillId="7" borderId="0" xfId="0" applyFont="1" applyFill="1" applyAlignment="1" applyProtection="1">
      <alignment vertical="center" wrapText="1"/>
      <protection locked="0"/>
    </xf>
    <xf numFmtId="0" fontId="44" fillId="7" borderId="0" xfId="0" applyNumberFormat="1" applyFont="1" applyFill="1" applyAlignment="1" applyProtection="1">
      <alignment vertical="center" wrapText="1"/>
      <protection locked="0"/>
    </xf>
    <xf numFmtId="0" fontId="44" fillId="7" borderId="0" xfId="0" applyNumberFormat="1" applyFont="1" applyFill="1" applyAlignment="1" applyProtection="1">
      <alignment vertical="center"/>
      <protection locked="0"/>
    </xf>
    <xf numFmtId="0" fontId="52" fillId="6" borderId="16" xfId="0" applyFont="1" applyFill="1" applyBorder="1" applyAlignment="1" applyProtection="1">
      <alignment vertical="center" wrapText="1"/>
    </xf>
    <xf numFmtId="0" fontId="52" fillId="6" borderId="31" xfId="0" applyFont="1" applyFill="1" applyBorder="1" applyAlignment="1" applyProtection="1">
      <alignment vertical="center" wrapText="1"/>
    </xf>
    <xf numFmtId="0" fontId="52" fillId="6" borderId="82" xfId="0" applyFont="1" applyFill="1" applyBorder="1" applyAlignment="1" applyProtection="1">
      <alignment vertical="center" wrapText="1"/>
    </xf>
    <xf numFmtId="0" fontId="47" fillId="6" borderId="6" xfId="0" applyFont="1" applyFill="1" applyBorder="1" applyAlignment="1" applyProtection="1">
      <alignment vertical="center" wrapText="1"/>
    </xf>
    <xf numFmtId="49" fontId="47" fillId="6" borderId="62" xfId="0" applyNumberFormat="1" applyFont="1" applyFill="1" applyBorder="1" applyAlignment="1" applyProtection="1">
      <alignment vertical="center" wrapText="1"/>
    </xf>
    <xf numFmtId="0" fontId="47" fillId="6" borderId="10" xfId="0" applyNumberFormat="1" applyFont="1" applyFill="1" applyBorder="1" applyAlignment="1" applyProtection="1">
      <alignment vertical="center" wrapText="1"/>
    </xf>
    <xf numFmtId="0" fontId="47" fillId="6" borderId="41" xfId="0" applyFont="1" applyFill="1" applyBorder="1" applyAlignment="1" applyProtection="1">
      <alignment vertical="center" wrapText="1"/>
    </xf>
    <xf numFmtId="49" fontId="47" fillId="6" borderId="24" xfId="0" applyNumberFormat="1" applyFont="1" applyFill="1" applyBorder="1" applyAlignment="1" applyProtection="1">
      <alignment vertical="center" wrapText="1"/>
    </xf>
    <xf numFmtId="0" fontId="47" fillId="6" borderId="23" xfId="0" applyFont="1" applyFill="1" applyBorder="1" applyAlignment="1" applyProtection="1">
      <alignment vertical="center" wrapText="1"/>
    </xf>
    <xf numFmtId="0" fontId="47" fillId="6" borderId="24" xfId="0" applyNumberFormat="1" applyFont="1" applyFill="1" applyBorder="1" applyAlignment="1" applyProtection="1">
      <alignment vertical="center" wrapText="1"/>
    </xf>
    <xf numFmtId="0" fontId="47" fillId="0" borderId="24" xfId="0" applyNumberFormat="1" applyFont="1" applyFill="1" applyBorder="1" applyAlignment="1" applyProtection="1">
      <alignment vertical="center" wrapText="1"/>
      <protection locked="0"/>
    </xf>
    <xf numFmtId="0" fontId="47" fillId="5" borderId="24" xfId="0" applyNumberFormat="1" applyFont="1" applyFill="1" applyBorder="1" applyAlignment="1" applyProtection="1">
      <alignment vertical="center" wrapText="1"/>
      <protection locked="0"/>
    </xf>
    <xf numFmtId="0" fontId="47" fillId="6" borderId="25" xfId="0" applyFont="1" applyFill="1" applyBorder="1" applyAlignment="1" applyProtection="1">
      <alignment vertical="center" wrapText="1"/>
    </xf>
    <xf numFmtId="0" fontId="47" fillId="0" borderId="49" xfId="0" applyNumberFormat="1" applyFont="1" applyFill="1" applyBorder="1" applyAlignment="1" applyProtection="1">
      <alignment vertical="center" wrapText="1"/>
      <protection locked="0"/>
    </xf>
    <xf numFmtId="0" fontId="47" fillId="6" borderId="49" xfId="0" applyNumberFormat="1" applyFont="1" applyFill="1" applyBorder="1" applyAlignment="1" applyProtection="1">
      <alignment vertical="center" wrapText="1"/>
    </xf>
    <xf numFmtId="0" fontId="47" fillId="6" borderId="0" xfId="0" applyNumberFormat="1" applyFont="1" applyFill="1" applyAlignment="1" applyProtection="1">
      <alignment vertical="center" wrapText="1"/>
      <protection locked="0"/>
    </xf>
    <xf numFmtId="0" fontId="44" fillId="0" borderId="0" xfId="0" applyFont="1" applyFill="1" applyAlignment="1" applyProtection="1">
      <alignment vertical="center" wrapText="1"/>
      <protection locked="0"/>
    </xf>
    <xf numFmtId="0" fontId="44" fillId="0" borderId="0" xfId="0" applyNumberFormat="1" applyFont="1" applyFill="1" applyAlignment="1" applyProtection="1">
      <alignment vertical="center" wrapText="1"/>
      <protection locked="0"/>
    </xf>
    <xf numFmtId="0" fontId="159" fillId="6" borderId="1" xfId="12" applyFont="1" applyFill="1" applyBorder="1" applyAlignment="1" applyProtection="1">
      <alignment horizontal="left" vertical="center" wrapText="1"/>
    </xf>
    <xf numFmtId="0" fontId="158" fillId="0" borderId="0" xfId="12" applyAlignment="1" applyProtection="1">
      <alignment horizontal="left"/>
      <protection locked="0"/>
    </xf>
    <xf numFmtId="14" fontId="159" fillId="6" borderId="1" xfId="12" applyNumberFormat="1" applyFont="1" applyFill="1" applyBorder="1" applyAlignment="1" applyProtection="1">
      <alignment horizontal="left" vertical="center" wrapText="1"/>
    </xf>
    <xf numFmtId="0" fontId="158" fillId="6" borderId="1" xfId="12" applyFill="1" applyBorder="1" applyAlignment="1" applyProtection="1">
      <alignment horizontal="left" vertical="center"/>
    </xf>
    <xf numFmtId="0" fontId="159" fillId="6" borderId="13" xfId="12" applyFont="1" applyFill="1" applyBorder="1" applyAlignment="1" applyProtection="1">
      <alignment horizontal="left" vertical="center" wrapText="1"/>
    </xf>
    <xf numFmtId="0" fontId="95" fillId="0" borderId="1" xfId="12" applyFont="1" applyFill="1" applyBorder="1" applyAlignment="1" applyProtection="1">
      <alignment horizontal="left"/>
      <protection locked="0"/>
    </xf>
    <xf numFmtId="0" fontId="159" fillId="0" borderId="13" xfId="12" applyFont="1" applyFill="1" applyBorder="1" applyAlignment="1" applyProtection="1">
      <alignment horizontal="left" vertical="center" wrapText="1"/>
      <protection locked="0"/>
    </xf>
    <xf numFmtId="0" fontId="158" fillId="0" borderId="1" xfId="12" applyBorder="1" applyAlignment="1" applyProtection="1">
      <alignment horizontal="left"/>
      <protection locked="0"/>
    </xf>
    <xf numFmtId="0" fontId="159" fillId="0" borderId="1" xfId="12" applyFont="1" applyFill="1" applyBorder="1" applyAlignment="1" applyProtection="1">
      <alignment horizontal="left" vertical="center" wrapText="1"/>
      <protection locked="0"/>
    </xf>
    <xf numFmtId="0" fontId="122" fillId="7" borderId="0" xfId="0" applyFont="1" applyFill="1" applyProtection="1">
      <alignment vertical="center"/>
    </xf>
    <xf numFmtId="0" fontId="100" fillId="7" borderId="0" xfId="0" applyFont="1" applyFill="1" applyProtection="1">
      <alignment vertical="center"/>
    </xf>
    <xf numFmtId="0" fontId="99" fillId="6" borderId="1" xfId="0" applyFont="1" applyFill="1" applyBorder="1" applyAlignment="1" applyProtection="1">
      <alignment horizontal="left" vertical="center" wrapText="1"/>
    </xf>
    <xf numFmtId="0" fontId="47" fillId="7" borderId="0" xfId="0" applyFont="1" applyFill="1" applyAlignment="1" applyProtection="1">
      <alignment horizontal="left" vertical="center"/>
      <protection locked="0"/>
    </xf>
    <xf numFmtId="0" fontId="47" fillId="6" borderId="0" xfId="0" applyFont="1" applyFill="1" applyAlignment="1" applyProtection="1">
      <alignment horizontal="left" vertical="center"/>
      <protection locked="0"/>
    </xf>
    <xf numFmtId="181" fontId="47" fillId="6" borderId="0" xfId="0" applyNumberFormat="1" applyFont="1" applyFill="1" applyAlignment="1" applyProtection="1">
      <alignment horizontal="left" vertical="center"/>
    </xf>
    <xf numFmtId="9" fontId="47" fillId="6" borderId="24" xfId="0" applyNumberFormat="1" applyFont="1" applyFill="1" applyBorder="1" applyAlignment="1" applyProtection="1">
      <alignment horizontal="left" vertical="center"/>
    </xf>
    <xf numFmtId="9" fontId="47" fillId="6" borderId="0" xfId="0" applyNumberFormat="1" applyFont="1" applyFill="1" applyAlignment="1" applyProtection="1">
      <alignment horizontal="left" vertical="center"/>
      <protection locked="0"/>
    </xf>
    <xf numFmtId="10" fontId="47" fillId="6" borderId="2" xfId="0" applyNumberFormat="1" applyFont="1" applyFill="1" applyBorder="1" applyAlignment="1" applyProtection="1">
      <alignment horizontal="left" vertical="center"/>
    </xf>
    <xf numFmtId="0" fontId="48" fillId="0" borderId="24" xfId="0" applyFont="1" applyFill="1" applyBorder="1" applyAlignment="1" applyProtection="1">
      <alignment horizontal="left" vertical="center" wrapText="1"/>
      <protection locked="0"/>
    </xf>
    <xf numFmtId="0" fontId="47" fillId="5" borderId="3" xfId="0" applyFont="1" applyFill="1" applyBorder="1" applyAlignment="1" applyProtection="1">
      <alignment horizontal="left" vertical="center"/>
      <protection locked="0"/>
    </xf>
    <xf numFmtId="0" fontId="47" fillId="6" borderId="14" xfId="0" applyFont="1" applyFill="1" applyBorder="1" applyAlignment="1" applyProtection="1">
      <alignment horizontal="left" vertical="center" wrapText="1"/>
    </xf>
    <xf numFmtId="0" fontId="47" fillId="6" borderId="58" xfId="0" applyFont="1" applyFill="1" applyBorder="1" applyAlignment="1" applyProtection="1">
      <alignment horizontal="left" vertical="center"/>
    </xf>
    <xf numFmtId="0" fontId="47" fillId="6" borderId="41" xfId="0"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xf>
    <xf numFmtId="0" fontId="47" fillId="6" borderId="24" xfId="0" applyFont="1" applyFill="1" applyBorder="1" applyAlignment="1" applyProtection="1">
      <alignment horizontal="left" vertical="center"/>
    </xf>
    <xf numFmtId="0" fontId="48" fillId="6" borderId="0" xfId="0" applyFont="1" applyFill="1" applyAlignment="1" applyProtection="1">
      <alignment horizontal="left" vertical="center"/>
      <protection locked="0"/>
    </xf>
    <xf numFmtId="0" fontId="112" fillId="0" borderId="24" xfId="0" applyFont="1" applyFill="1" applyBorder="1" applyAlignment="1" applyProtection="1">
      <alignment horizontal="left" vertical="center" wrapText="1"/>
      <protection locked="0"/>
    </xf>
    <xf numFmtId="0" fontId="47" fillId="2" borderId="3" xfId="0" applyFont="1" applyFill="1" applyBorder="1" applyAlignment="1" applyProtection="1">
      <alignment horizontal="left" vertical="center" wrapText="1"/>
      <protection locked="0"/>
    </xf>
    <xf numFmtId="0" fontId="47" fillId="6" borderId="0" xfId="0" applyFont="1" applyFill="1" applyBorder="1" applyAlignment="1" applyProtection="1">
      <alignment horizontal="left" vertical="center" wrapText="1"/>
      <protection locked="0"/>
    </xf>
    <xf numFmtId="0" fontId="47" fillId="18" borderId="33" xfId="0" applyFont="1" applyFill="1" applyBorder="1" applyAlignment="1" applyProtection="1">
      <alignment horizontal="left" vertical="center"/>
    </xf>
    <xf numFmtId="0" fontId="47" fillId="18" borderId="32" xfId="0" applyFont="1" applyFill="1" applyBorder="1" applyAlignment="1" applyProtection="1">
      <alignment horizontal="left" vertical="center" wrapText="1"/>
    </xf>
    <xf numFmtId="10" fontId="47" fillId="18" borderId="32" xfId="0" applyNumberFormat="1" applyFont="1" applyFill="1" applyBorder="1" applyAlignment="1" applyProtection="1">
      <alignment horizontal="left" vertical="center"/>
    </xf>
    <xf numFmtId="0" fontId="112" fillId="0" borderId="49" xfId="0" applyFont="1" applyFill="1" applyBorder="1" applyAlignment="1" applyProtection="1">
      <alignment horizontal="left" vertical="center" wrapText="1"/>
      <protection locked="0"/>
    </xf>
    <xf numFmtId="177" fontId="54" fillId="6" borderId="2" xfId="0" applyNumberFormat="1" applyFont="1" applyFill="1" applyBorder="1" applyAlignment="1" applyProtection="1">
      <alignment horizontal="left" vertical="center" wrapText="1"/>
    </xf>
    <xf numFmtId="177" fontId="53" fillId="6" borderId="1" xfId="0" applyNumberFormat="1" applyFont="1" applyFill="1" applyBorder="1" applyAlignment="1" applyProtection="1">
      <alignment horizontal="left" vertical="center" wrapText="1"/>
    </xf>
    <xf numFmtId="177" fontId="53" fillId="0" borderId="1" xfId="0" applyNumberFormat="1" applyFont="1" applyFill="1" applyBorder="1" applyAlignment="1" applyProtection="1">
      <alignment horizontal="left" vertical="center" wrapText="1"/>
      <protection locked="0"/>
    </xf>
    <xf numFmtId="0" fontId="54" fillId="0" borderId="1" xfId="0" applyFont="1" applyFill="1" applyBorder="1" applyAlignment="1" applyProtection="1">
      <alignment horizontal="left" vertical="center" wrapText="1"/>
      <protection locked="0"/>
    </xf>
    <xf numFmtId="177" fontId="54" fillId="6" borderId="1" xfId="0" applyNumberFormat="1" applyFont="1" applyFill="1" applyBorder="1" applyAlignment="1" applyProtection="1">
      <alignment horizontal="left" vertical="center" wrapText="1"/>
    </xf>
    <xf numFmtId="177" fontId="54" fillId="6" borderId="32" xfId="0" applyNumberFormat="1" applyFont="1" applyFill="1" applyBorder="1" applyAlignment="1" applyProtection="1">
      <alignment horizontal="left" vertical="center" wrapText="1"/>
    </xf>
    <xf numFmtId="10" fontId="53" fillId="6" borderId="32" xfId="0" applyNumberFormat="1" applyFont="1" applyFill="1" applyBorder="1" applyAlignment="1" applyProtection="1">
      <alignment horizontal="left" vertical="center" wrapText="1"/>
    </xf>
    <xf numFmtId="0" fontId="53" fillId="0" borderId="1" xfId="0" applyFont="1" applyFill="1" applyBorder="1" applyAlignment="1" applyProtection="1">
      <alignment horizontal="left" vertical="center" wrapText="1"/>
      <protection locked="0"/>
    </xf>
    <xf numFmtId="0" fontId="44" fillId="2" borderId="1" xfId="2" applyFont="1" applyFill="1" applyBorder="1" applyAlignment="1" applyProtection="1">
      <alignment horizontal="left" vertical="center" wrapText="1"/>
      <protection locked="0"/>
    </xf>
    <xf numFmtId="177" fontId="53" fillId="0" borderId="24" xfId="0" applyNumberFormat="1" applyFont="1" applyFill="1" applyBorder="1" applyAlignment="1" applyProtection="1">
      <alignment horizontal="left" vertical="center" wrapText="1"/>
      <protection locked="0"/>
    </xf>
    <xf numFmtId="9" fontId="44" fillId="6" borderId="0" xfId="0" applyNumberFormat="1" applyFont="1" applyFill="1" applyBorder="1" applyAlignment="1" applyProtection="1">
      <alignment horizontal="left" vertical="center"/>
    </xf>
    <xf numFmtId="10" fontId="53" fillId="6" borderId="1" xfId="0" applyNumberFormat="1" applyFont="1" applyFill="1" applyBorder="1" applyAlignment="1" applyProtection="1">
      <alignment horizontal="left" vertical="center" wrapText="1"/>
    </xf>
    <xf numFmtId="190" fontId="53" fillId="6" borderId="1" xfId="0" applyNumberFormat="1" applyFont="1" applyFill="1" applyBorder="1" applyAlignment="1" applyProtection="1">
      <alignment horizontal="left" vertical="center" wrapText="1"/>
    </xf>
    <xf numFmtId="10" fontId="52" fillId="6" borderId="5" xfId="0" applyNumberFormat="1" applyFont="1" applyFill="1" applyBorder="1" applyAlignment="1" applyProtection="1">
      <alignment horizontal="left" vertical="center" wrapText="1"/>
    </xf>
    <xf numFmtId="181" fontId="54" fillId="6" borderId="1" xfId="0" applyNumberFormat="1" applyFont="1" applyFill="1" applyBorder="1" applyAlignment="1" applyProtection="1">
      <alignment horizontal="left" vertical="center" wrapText="1"/>
    </xf>
    <xf numFmtId="0" fontId="52" fillId="6" borderId="32" xfId="0" applyFont="1" applyFill="1" applyBorder="1" applyAlignment="1" applyProtection="1">
      <alignment horizontal="left" vertical="center" wrapText="1"/>
    </xf>
    <xf numFmtId="0" fontId="53" fillId="6" borderId="32" xfId="0" applyFont="1" applyFill="1" applyBorder="1" applyAlignment="1" applyProtection="1">
      <alignment horizontal="left" vertical="center" wrapText="1"/>
    </xf>
    <xf numFmtId="0" fontId="53" fillId="6" borderId="5" xfId="0" applyFont="1" applyFill="1" applyBorder="1" applyAlignment="1" applyProtection="1">
      <alignment horizontal="left" vertical="center" wrapText="1"/>
    </xf>
    <xf numFmtId="190" fontId="53" fillId="0" borderId="1" xfId="0" applyNumberFormat="1" applyFont="1" applyFill="1" applyBorder="1" applyAlignment="1" applyProtection="1">
      <alignment horizontal="left" vertical="center" wrapText="1"/>
      <protection locked="0"/>
    </xf>
    <xf numFmtId="10" fontId="52" fillId="5" borderId="5" xfId="0" applyNumberFormat="1" applyFont="1" applyFill="1" applyBorder="1" applyAlignment="1" applyProtection="1">
      <alignment horizontal="left" vertical="center" wrapText="1"/>
      <protection locked="0"/>
    </xf>
    <xf numFmtId="0" fontId="124" fillId="6" borderId="1" xfId="0" applyFont="1" applyFill="1" applyBorder="1" applyAlignment="1" applyProtection="1">
      <alignment horizontal="left" vertical="center" wrapText="1"/>
    </xf>
    <xf numFmtId="0" fontId="104" fillId="6" borderId="1" xfId="0" applyFont="1" applyFill="1" applyBorder="1" applyAlignment="1" applyProtection="1">
      <alignment horizontal="left" vertical="center" wrapText="1"/>
    </xf>
    <xf numFmtId="0" fontId="104" fillId="6" borderId="24" xfId="0" applyFont="1" applyFill="1" applyBorder="1" applyAlignment="1" applyProtection="1">
      <alignment horizontal="left" vertical="center" wrapText="1"/>
    </xf>
    <xf numFmtId="0" fontId="104" fillId="6" borderId="13" xfId="0" applyFont="1" applyFill="1" applyBorder="1" applyAlignment="1" applyProtection="1">
      <alignment horizontal="left" vertical="center" wrapText="1"/>
    </xf>
    <xf numFmtId="0" fontId="104" fillId="6" borderId="61" xfId="0" applyFont="1" applyFill="1" applyBorder="1" applyAlignment="1" applyProtection="1">
      <alignment horizontal="left" vertical="center" wrapText="1"/>
    </xf>
    <xf numFmtId="0" fontId="124" fillId="6" borderId="5" xfId="0" applyFont="1" applyFill="1" applyBorder="1" applyAlignment="1" applyProtection="1">
      <alignment horizontal="left" vertical="center" wrapText="1"/>
    </xf>
    <xf numFmtId="0" fontId="104" fillId="6" borderId="5" xfId="0" applyFont="1" applyFill="1" applyBorder="1" applyAlignment="1" applyProtection="1">
      <alignment horizontal="left" vertical="center" wrapText="1"/>
    </xf>
    <xf numFmtId="0" fontId="104" fillId="6" borderId="48" xfId="0" applyFont="1" applyFill="1" applyBorder="1" applyAlignment="1" applyProtection="1">
      <alignment horizontal="left" vertical="center" wrapText="1"/>
    </xf>
    <xf numFmtId="0" fontId="124" fillId="6" borderId="33" xfId="0" applyFont="1" applyFill="1" applyBorder="1" applyAlignment="1" applyProtection="1">
      <alignment horizontal="left" vertical="center" wrapText="1"/>
    </xf>
    <xf numFmtId="0" fontId="104" fillId="6" borderId="33" xfId="0" applyFont="1" applyFill="1" applyBorder="1" applyAlignment="1" applyProtection="1">
      <alignment horizontal="left" vertical="center" wrapText="1"/>
    </xf>
    <xf numFmtId="0" fontId="104" fillId="6" borderId="68" xfId="0" applyFont="1" applyFill="1" applyBorder="1" applyAlignment="1" applyProtection="1">
      <alignment horizontal="left" vertical="center" wrapText="1"/>
    </xf>
    <xf numFmtId="0" fontId="46" fillId="6" borderId="24" xfId="0" applyFont="1" applyFill="1" applyBorder="1" applyAlignment="1" applyProtection="1">
      <alignment horizontal="left" vertical="center"/>
    </xf>
    <xf numFmtId="0" fontId="44" fillId="18" borderId="24" xfId="0" applyFont="1" applyFill="1" applyBorder="1" applyAlignment="1" applyProtection="1">
      <alignment horizontal="left" vertical="center"/>
    </xf>
    <xf numFmtId="0" fontId="44" fillId="6" borderId="24" xfId="0" applyFont="1" applyFill="1" applyBorder="1" applyAlignment="1" applyProtection="1">
      <alignment horizontal="left" vertical="center"/>
    </xf>
    <xf numFmtId="0" fontId="52" fillId="6" borderId="24" xfId="0" applyFont="1" applyFill="1" applyBorder="1" applyAlignment="1" applyProtection="1">
      <alignment horizontal="left" vertical="center"/>
    </xf>
    <xf numFmtId="0" fontId="44" fillId="6" borderId="49" xfId="0" applyFont="1" applyFill="1" applyBorder="1" applyAlignment="1" applyProtection="1">
      <alignment horizontal="left" vertical="center"/>
    </xf>
    <xf numFmtId="0" fontId="44" fillId="6" borderId="1" xfId="0" applyFont="1" applyFill="1" applyBorder="1" applyAlignment="1" applyProtection="1">
      <alignment horizontal="left" vertical="center" wrapText="1"/>
      <protection locked="0"/>
    </xf>
    <xf numFmtId="0" fontId="98" fillId="6" borderId="5" xfId="0" applyFont="1" applyFill="1" applyBorder="1" applyAlignment="1">
      <alignment horizontal="right" vertical="center"/>
    </xf>
    <xf numFmtId="0" fontId="98" fillId="6" borderId="1" xfId="0" applyFont="1" applyFill="1" applyBorder="1" applyAlignment="1">
      <alignment horizontal="right" vertical="center"/>
    </xf>
    <xf numFmtId="0" fontId="203" fillId="6" borderId="23" xfId="0" applyFont="1" applyFill="1" applyBorder="1" applyAlignment="1">
      <alignment horizontal="left" vertical="center"/>
    </xf>
    <xf numFmtId="0" fontId="98" fillId="6" borderId="23" xfId="0" applyFont="1" applyFill="1" applyBorder="1" applyAlignment="1">
      <alignment horizontal="left" vertical="center"/>
    </xf>
    <xf numFmtId="0" fontId="98" fillId="6" borderId="25" xfId="0" applyFont="1" applyFill="1" applyBorder="1" applyAlignment="1">
      <alignment horizontal="left" vertical="center"/>
    </xf>
    <xf numFmtId="0" fontId="98" fillId="6" borderId="5" xfId="0" applyFont="1" applyFill="1" applyBorder="1" applyAlignment="1" applyProtection="1">
      <alignment horizontal="left" vertical="center"/>
    </xf>
    <xf numFmtId="0" fontId="98" fillId="6" borderId="24" xfId="0" applyFont="1" applyFill="1" applyBorder="1" applyAlignment="1" applyProtection="1">
      <alignment horizontal="left" vertical="center"/>
    </xf>
    <xf numFmtId="0" fontId="123" fillId="6" borderId="1" xfId="0" applyFont="1" applyFill="1" applyBorder="1" applyAlignment="1">
      <alignment horizontal="left" vertical="center" wrapText="1"/>
    </xf>
    <xf numFmtId="0" fontId="123" fillId="5" borderId="1" xfId="0" applyFont="1" applyFill="1" applyBorder="1" applyAlignment="1" applyProtection="1">
      <alignment horizontal="left" vertical="center"/>
      <protection locked="0"/>
    </xf>
    <xf numFmtId="0" fontId="123" fillId="6" borderId="1" xfId="0" applyFont="1" applyFill="1" applyBorder="1" applyAlignment="1">
      <alignment horizontal="center" vertical="center"/>
    </xf>
    <xf numFmtId="0" fontId="123" fillId="6" borderId="1" xfId="0" applyFont="1" applyFill="1" applyBorder="1" applyAlignment="1">
      <alignment horizontal="left" vertical="center"/>
    </xf>
    <xf numFmtId="0" fontId="98" fillId="6" borderId="1" xfId="0" applyFont="1" applyFill="1" applyBorder="1" applyAlignment="1">
      <alignment horizontal="left" vertical="center"/>
    </xf>
    <xf numFmtId="49" fontId="47" fillId="6" borderId="0" xfId="0" applyNumberFormat="1" applyFont="1" applyFill="1" applyAlignment="1" applyProtection="1">
      <alignment horizontal="center" vertical="center" wrapText="1"/>
      <protection locked="0"/>
    </xf>
    <xf numFmtId="0" fontId="47" fillId="6" borderId="58" xfId="0" applyNumberFormat="1" applyFont="1" applyFill="1" applyBorder="1" applyAlignment="1" applyProtection="1">
      <alignment horizontal="left" vertical="center"/>
      <protection locked="0"/>
    </xf>
    <xf numFmtId="0" fontId="47" fillId="6" borderId="58" xfId="0" applyNumberFormat="1" applyFont="1" applyFill="1" applyBorder="1" applyAlignment="1" applyProtection="1">
      <alignment horizontal="center" vertical="center" wrapText="1"/>
      <protection locked="0"/>
    </xf>
    <xf numFmtId="4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center" vertical="center" wrapText="1"/>
      <protection locked="0"/>
    </xf>
    <xf numFmtId="179" fontId="47" fillId="6" borderId="58" xfId="0" applyNumberFormat="1" applyFont="1" applyFill="1" applyBorder="1" applyAlignment="1" applyProtection="1">
      <alignment horizontal="left" vertical="center"/>
      <protection locked="0"/>
    </xf>
    <xf numFmtId="0" fontId="47" fillId="6" borderId="58" xfId="0" applyFont="1" applyFill="1" applyBorder="1" applyAlignment="1" applyProtection="1">
      <alignment horizontal="center" vertical="center" wrapText="1"/>
      <protection locked="0"/>
    </xf>
    <xf numFmtId="0" fontId="47" fillId="6" borderId="1" xfId="0" applyFont="1" applyFill="1" applyBorder="1" applyAlignment="1" applyProtection="1">
      <alignment horizontal="center" vertical="center" wrapText="1"/>
      <protection locked="0"/>
    </xf>
    <xf numFmtId="0" fontId="47" fillId="6" borderId="1" xfId="0" applyFont="1" applyFill="1" applyBorder="1" applyAlignment="1" applyProtection="1">
      <alignment vertical="center" wrapText="1"/>
      <protection locked="0"/>
    </xf>
    <xf numFmtId="0" fontId="52" fillId="6" borderId="151" xfId="0" applyFont="1" applyFill="1" applyBorder="1" applyAlignment="1" applyProtection="1">
      <alignment vertical="center" wrapText="1"/>
      <protection locked="0"/>
    </xf>
    <xf numFmtId="0" fontId="52" fillId="6" borderId="152" xfId="0" applyFont="1" applyFill="1" applyBorder="1" applyAlignment="1" applyProtection="1">
      <alignment vertical="center" wrapText="1"/>
      <protection locked="0"/>
    </xf>
    <xf numFmtId="0" fontId="52" fillId="6" borderId="151" xfId="0" applyFont="1" applyFill="1" applyBorder="1" applyAlignment="1" applyProtection="1">
      <alignment horizontal="center" vertical="center" wrapText="1"/>
      <protection locked="0"/>
    </xf>
    <xf numFmtId="0" fontId="52" fillId="0" borderId="151" xfId="0" applyFont="1" applyBorder="1" applyAlignment="1" applyProtection="1">
      <alignment vertical="center" wrapText="1"/>
      <protection locked="0"/>
    </xf>
    <xf numFmtId="49" fontId="47" fillId="6" borderId="5" xfId="0" applyNumberFormat="1" applyFont="1" applyFill="1" applyBorder="1" applyAlignment="1" applyProtection="1">
      <alignment horizontal="center" vertical="center" wrapText="1"/>
      <protection locked="0"/>
    </xf>
    <xf numFmtId="49" fontId="47" fillId="6" borderId="1" xfId="0" applyNumberFormat="1" applyFont="1" applyFill="1" applyBorder="1" applyAlignment="1" applyProtection="1">
      <alignment horizontal="center" vertical="center" wrapText="1"/>
      <protection locked="0"/>
    </xf>
    <xf numFmtId="49" fontId="47" fillId="0" borderId="58" xfId="0" applyNumberFormat="1" applyFont="1" applyBorder="1" applyAlignment="1" applyProtection="1">
      <alignment horizontal="center" vertical="center" wrapText="1"/>
      <protection locked="0"/>
    </xf>
    <xf numFmtId="49" fontId="47" fillId="0" borderId="0" xfId="0" applyNumberFormat="1" applyFont="1" applyAlignment="1" applyProtection="1">
      <alignment horizontal="center" vertical="center" wrapText="1"/>
      <protection locked="0"/>
    </xf>
    <xf numFmtId="0" fontId="47" fillId="16" borderId="15" xfId="0" applyNumberFormat="1" applyFont="1" applyFill="1" applyBorder="1" applyAlignment="1" applyProtection="1">
      <alignment vertical="center" wrapText="1"/>
    </xf>
    <xf numFmtId="0" fontId="47" fillId="16" borderId="78" xfId="0" applyNumberFormat="1" applyFont="1" applyFill="1" applyBorder="1" applyAlignment="1" applyProtection="1">
      <alignment vertical="center" wrapText="1"/>
    </xf>
    <xf numFmtId="0" fontId="47" fillId="6" borderId="5" xfId="0" applyFont="1" applyFill="1" applyBorder="1" applyAlignment="1" applyProtection="1">
      <alignment vertical="center" wrapText="1"/>
    </xf>
    <xf numFmtId="0" fontId="47" fillId="5" borderId="23" xfId="0" applyFont="1" applyFill="1" applyBorder="1" applyAlignment="1" applyProtection="1">
      <alignment vertical="center" wrapText="1"/>
      <protection locked="0"/>
    </xf>
    <xf numFmtId="0" fontId="47" fillId="5" borderId="24" xfId="0" applyFont="1" applyFill="1" applyBorder="1" applyAlignment="1" applyProtection="1">
      <alignment vertical="center" wrapText="1"/>
      <protection locked="0"/>
    </xf>
    <xf numFmtId="0" fontId="47" fillId="5" borderId="5" xfId="0" applyFont="1" applyFill="1" applyBorder="1" applyAlignment="1" applyProtection="1">
      <alignment vertical="center" wrapText="1"/>
      <protection locked="0"/>
    </xf>
    <xf numFmtId="0" fontId="47" fillId="5" borderId="23" xfId="0" applyFont="1" applyFill="1" applyBorder="1" applyAlignment="1" applyProtection="1">
      <alignment vertical="center" wrapText="1" shrinkToFit="1"/>
      <protection locked="0"/>
    </xf>
    <xf numFmtId="0" fontId="47" fillId="6" borderId="18" xfId="0" applyFont="1" applyFill="1" applyBorder="1" applyAlignment="1" applyProtection="1">
      <alignment vertical="center" wrapText="1"/>
    </xf>
    <xf numFmtId="183" fontId="167" fillId="0" borderId="24" xfId="0" applyNumberFormat="1" applyFont="1" applyFill="1" applyBorder="1" applyAlignment="1" applyProtection="1">
      <alignment vertical="center" shrinkToFit="1"/>
      <protection locked="0"/>
    </xf>
    <xf numFmtId="0" fontId="47" fillId="6" borderId="16" xfId="0" applyFont="1" applyFill="1" applyBorder="1" applyAlignment="1" applyProtection="1">
      <alignment vertical="center" wrapText="1"/>
    </xf>
    <xf numFmtId="183" fontId="167" fillId="0" borderId="21" xfId="0" applyNumberFormat="1" applyFont="1" applyFill="1" applyBorder="1" applyAlignment="1" applyProtection="1">
      <alignment vertical="center" shrinkToFit="1"/>
      <protection locked="0"/>
    </xf>
    <xf numFmtId="0" fontId="167" fillId="0" borderId="24" xfId="0" applyFont="1" applyFill="1" applyBorder="1" applyAlignment="1" applyProtection="1">
      <alignment vertical="center" wrapText="1"/>
      <protection locked="0"/>
    </xf>
    <xf numFmtId="0" fontId="167" fillId="0" borderId="48" xfId="0" applyFont="1" applyFill="1" applyBorder="1" applyAlignment="1" applyProtection="1">
      <alignment vertical="center" wrapText="1"/>
      <protection locked="0"/>
    </xf>
    <xf numFmtId="0" fontId="47" fillId="6" borderId="89" xfId="0" applyFont="1" applyFill="1" applyBorder="1" applyAlignment="1" applyProtection="1">
      <alignment vertical="center" wrapText="1"/>
    </xf>
    <xf numFmtId="0" fontId="47" fillId="6" borderId="91" xfId="0" applyFont="1" applyFill="1" applyBorder="1" applyAlignment="1" applyProtection="1">
      <alignment vertical="center" wrapText="1"/>
    </xf>
    <xf numFmtId="0" fontId="167" fillId="0" borderId="79" xfId="0" applyFont="1" applyFill="1" applyBorder="1" applyAlignment="1" applyProtection="1">
      <alignment vertical="center" wrapText="1"/>
      <protection locked="0"/>
    </xf>
    <xf numFmtId="0" fontId="167" fillId="0" borderId="90" xfId="0" applyFont="1" applyFill="1" applyBorder="1" applyAlignment="1" applyProtection="1">
      <alignment vertical="center" wrapText="1"/>
      <protection locked="0"/>
    </xf>
    <xf numFmtId="0" fontId="47" fillId="6" borderId="27" xfId="0" applyFont="1" applyFill="1" applyBorder="1" applyAlignment="1" applyProtection="1">
      <alignment horizontal="left" vertical="center"/>
    </xf>
    <xf numFmtId="0" fontId="47" fillId="0" borderId="96" xfId="0" applyFont="1" applyBorder="1" applyAlignment="1" applyProtection="1">
      <alignment horizontal="left" vertical="center" wrapText="1"/>
      <protection locked="0"/>
    </xf>
    <xf numFmtId="0" fontId="44" fillId="0" borderId="0" xfId="0" applyFont="1" applyFill="1" applyProtection="1">
      <alignment vertical="center"/>
      <protection locked="0"/>
    </xf>
    <xf numFmtId="0" fontId="44" fillId="6" borderId="51" xfId="0" applyFont="1" applyFill="1" applyBorder="1" applyProtection="1">
      <alignment vertical="center"/>
    </xf>
    <xf numFmtId="0" fontId="44" fillId="6" borderId="20" xfId="0" applyFont="1" applyFill="1" applyBorder="1" applyProtection="1">
      <alignment vertical="center"/>
    </xf>
    <xf numFmtId="0" fontId="44" fillId="6" borderId="41" xfId="0" applyFont="1" applyFill="1" applyBorder="1" applyProtection="1">
      <alignment vertical="center"/>
    </xf>
    <xf numFmtId="0" fontId="44" fillId="6" borderId="14" xfId="0" applyFont="1" applyFill="1" applyBorder="1" applyProtection="1">
      <alignment vertical="center"/>
    </xf>
    <xf numFmtId="0" fontId="44" fillId="6" borderId="61" xfId="0" applyFont="1" applyFill="1" applyBorder="1" applyAlignment="1" applyProtection="1">
      <alignment horizontal="center" vertical="center"/>
    </xf>
    <xf numFmtId="0" fontId="44" fillId="6" borderId="38" xfId="0" applyFont="1" applyFill="1" applyBorder="1" applyProtection="1">
      <alignment vertical="center"/>
    </xf>
    <xf numFmtId="0" fontId="44" fillId="6" borderId="66" xfId="0" applyFont="1" applyFill="1" applyBorder="1" applyProtection="1">
      <alignment vertical="center"/>
    </xf>
    <xf numFmtId="0" fontId="44" fillId="0" borderId="49" xfId="0" applyFont="1" applyFill="1" applyBorder="1" applyAlignment="1" applyProtection="1">
      <alignment horizontal="center" vertical="center"/>
      <protection locked="0"/>
    </xf>
    <xf numFmtId="0" fontId="47" fillId="6" borderId="82" xfId="0" applyFont="1" applyFill="1" applyBorder="1" applyAlignment="1" applyProtection="1">
      <alignment horizontal="center" vertical="center"/>
    </xf>
    <xf numFmtId="0" fontId="44" fillId="12" borderId="0" xfId="0" applyFont="1" applyFill="1" applyProtection="1">
      <alignment vertical="center"/>
      <protection locked="0"/>
    </xf>
    <xf numFmtId="0" fontId="44" fillId="12" borderId="0" xfId="0" applyFont="1" applyFill="1" applyBorder="1" applyProtection="1">
      <alignment vertical="center"/>
      <protection locked="0"/>
    </xf>
    <xf numFmtId="0" fontId="44" fillId="12" borderId="0" xfId="0" applyFont="1" applyFill="1" applyAlignment="1" applyProtection="1">
      <alignment horizontal="center" vertical="center"/>
      <protection locked="0"/>
    </xf>
    <xf numFmtId="0" fontId="47" fillId="12" borderId="0" xfId="0" applyFont="1" applyFill="1" applyBorder="1" applyAlignment="1" applyProtection="1">
      <alignment horizontal="center" vertical="center" wrapText="1"/>
      <protection locked="0"/>
    </xf>
    <xf numFmtId="0" fontId="47" fillId="12" borderId="0" xfId="0" applyFont="1" applyFill="1" applyBorder="1" applyAlignment="1" applyProtection="1">
      <alignment vertical="center" wrapText="1"/>
      <protection locked="0"/>
    </xf>
    <xf numFmtId="0" fontId="47" fillId="12" borderId="0" xfId="0" applyFont="1" applyFill="1" applyAlignment="1" applyProtection="1">
      <alignment vertical="center" wrapText="1"/>
      <protection locked="0"/>
    </xf>
    <xf numFmtId="0" fontId="47" fillId="12" borderId="87" xfId="0" applyFont="1" applyFill="1" applyBorder="1" applyAlignment="1" applyProtection="1">
      <alignment vertical="center" wrapText="1"/>
      <protection locked="0"/>
    </xf>
    <xf numFmtId="49" fontId="167" fillId="12" borderId="4" xfId="0" applyNumberFormat="1" applyFont="1" applyFill="1" applyBorder="1" applyAlignment="1" applyProtection="1">
      <alignment horizontal="left" vertical="center"/>
      <protection locked="0"/>
    </xf>
    <xf numFmtId="0" fontId="47" fillId="12" borderId="60" xfId="0" applyFont="1" applyFill="1" applyBorder="1" applyAlignment="1" applyProtection="1">
      <alignment vertical="center" wrapText="1"/>
    </xf>
    <xf numFmtId="0" fontId="47" fillId="12" borderId="60" xfId="0" applyFont="1" applyFill="1" applyBorder="1" applyAlignment="1" applyProtection="1">
      <alignment horizontal="center" vertical="center" wrapText="1"/>
    </xf>
    <xf numFmtId="0" fontId="47" fillId="12" borderId="7" xfId="0" applyFont="1" applyFill="1" applyBorder="1" applyAlignment="1" applyProtection="1">
      <alignment vertical="center" wrapText="1"/>
    </xf>
    <xf numFmtId="0" fontId="47" fillId="12" borderId="0" xfId="0" applyFont="1" applyFill="1" applyBorder="1" applyAlignment="1" applyProtection="1">
      <alignment vertical="center" wrapText="1"/>
    </xf>
    <xf numFmtId="0" fontId="47" fillId="12" borderId="0" xfId="0" applyFont="1" applyFill="1" applyAlignment="1" applyProtection="1">
      <alignment vertical="center"/>
      <protection locked="0"/>
    </xf>
    <xf numFmtId="0" fontId="47" fillId="12" borderId="0" xfId="0" applyFont="1" applyFill="1" applyAlignment="1" applyProtection="1">
      <alignment horizontal="center" vertical="center"/>
      <protection locked="0"/>
    </xf>
    <xf numFmtId="0" fontId="44" fillId="12" borderId="0" xfId="0" applyFont="1" applyFill="1" applyAlignment="1" applyProtection="1">
      <alignment vertical="center"/>
      <protection locked="0"/>
    </xf>
    <xf numFmtId="0" fontId="44" fillId="12" borderId="0" xfId="0" applyFont="1" applyFill="1" applyBorder="1" applyAlignment="1" applyProtection="1">
      <alignment vertical="center"/>
      <protection locked="0"/>
    </xf>
    <xf numFmtId="179" fontId="47" fillId="12" borderId="0" xfId="0" applyNumberFormat="1" applyFont="1" applyFill="1" applyAlignment="1" applyProtection="1">
      <alignment vertical="center"/>
      <protection locked="0"/>
    </xf>
    <xf numFmtId="179" fontId="44" fillId="12" borderId="0" xfId="0" applyNumberFormat="1" applyFont="1" applyFill="1" applyAlignment="1" applyProtection="1">
      <alignment vertical="center"/>
      <protection locked="0"/>
    </xf>
    <xf numFmtId="0" fontId="44" fillId="12" borderId="67" xfId="0" applyFont="1" applyFill="1" applyBorder="1" applyAlignment="1" applyProtection="1">
      <alignment horizontal="center" vertical="center"/>
      <protection locked="0"/>
    </xf>
    <xf numFmtId="0" fontId="100" fillId="12" borderId="0" xfId="0" applyFont="1" applyFill="1" applyAlignment="1" applyProtection="1">
      <alignment horizontal="left" vertical="center"/>
      <protection locked="0"/>
    </xf>
    <xf numFmtId="179" fontId="44" fillId="12" borderId="0" xfId="0" applyNumberFormat="1" applyFont="1" applyFill="1" applyAlignment="1" applyProtection="1">
      <alignment horizontal="center" vertical="center"/>
      <protection locked="0"/>
    </xf>
    <xf numFmtId="0" fontId="100" fillId="12" borderId="0" xfId="0" applyFont="1" applyFill="1" applyAlignment="1" applyProtection="1">
      <alignment horizontal="center" vertical="center"/>
      <protection locked="0"/>
    </xf>
    <xf numFmtId="0" fontId="112" fillId="12" borderId="0" xfId="0" applyFont="1" applyFill="1" applyAlignment="1" applyProtection="1">
      <alignment vertical="center"/>
      <protection locked="0"/>
    </xf>
    <xf numFmtId="0" fontId="47" fillId="12" borderId="0" xfId="0" applyFont="1" applyFill="1" applyAlignment="1" applyProtection="1">
      <alignment vertical="center"/>
    </xf>
    <xf numFmtId="181" fontId="98" fillId="12" borderId="0" xfId="0" applyNumberFormat="1" applyFont="1" applyFill="1" applyAlignment="1" applyProtection="1">
      <alignment horizontal="center" vertical="center"/>
    </xf>
    <xf numFmtId="179" fontId="100" fillId="12" borderId="0" xfId="0" applyNumberFormat="1" applyFont="1" applyFill="1" applyAlignment="1" applyProtection="1">
      <alignment vertical="center"/>
      <protection locked="0"/>
    </xf>
    <xf numFmtId="0" fontId="44" fillId="12" borderId="0" xfId="0" applyFont="1" applyFill="1" applyAlignment="1" applyProtection="1">
      <alignment vertical="center"/>
    </xf>
    <xf numFmtId="0" fontId="159" fillId="12" borderId="0" xfId="12" applyFont="1" applyFill="1" applyBorder="1" applyAlignment="1" applyProtection="1">
      <alignment horizontal="left" vertical="center" wrapText="1"/>
      <protection locked="0"/>
    </xf>
    <xf numFmtId="0" fontId="158" fillId="12" borderId="0" xfId="12" applyFill="1" applyBorder="1" applyAlignment="1" applyProtection="1">
      <alignment horizontal="left"/>
      <protection locked="0"/>
    </xf>
    <xf numFmtId="0" fontId="158" fillId="12" borderId="0" xfId="12" applyFill="1" applyAlignment="1" applyProtection="1">
      <alignment horizontal="left"/>
      <protection locked="0"/>
    </xf>
    <xf numFmtId="0" fontId="176" fillId="17" borderId="154" xfId="0" applyFont="1" applyFill="1" applyBorder="1" applyAlignment="1" applyProtection="1">
      <alignment horizontal="right"/>
      <protection locked="0"/>
    </xf>
    <xf numFmtId="181" fontId="47" fillId="6" borderId="0" xfId="0" applyNumberFormat="1" applyFont="1" applyFill="1" applyProtection="1">
      <alignment vertical="center"/>
      <protection locked="0"/>
    </xf>
    <xf numFmtId="0" fontId="98" fillId="0" borderId="0" xfId="0" applyFont="1" applyFill="1" applyProtection="1">
      <alignment vertical="center"/>
      <protection locked="0"/>
    </xf>
    <xf numFmtId="0" fontId="63" fillId="6" borderId="0" xfId="0" applyFont="1" applyFill="1" applyAlignment="1" applyProtection="1">
      <alignment vertical="center"/>
      <protection locked="0"/>
    </xf>
    <xf numFmtId="49" fontId="62" fillId="6" borderId="0" xfId="0" applyNumberFormat="1" applyFont="1" applyFill="1" applyBorder="1" applyAlignment="1" applyProtection="1">
      <alignment horizontal="center"/>
      <protection locked="0"/>
    </xf>
    <xf numFmtId="49" fontId="62"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center"/>
      <protection locked="0"/>
    </xf>
    <xf numFmtId="49" fontId="54" fillId="6" borderId="0" xfId="0" applyNumberFormat="1" applyFont="1" applyFill="1" applyBorder="1" applyAlignment="1" applyProtection="1">
      <alignment horizontal="left"/>
      <protection locked="0"/>
    </xf>
    <xf numFmtId="49" fontId="54" fillId="6" borderId="0" xfId="0" applyNumberFormat="1" applyFont="1" applyFill="1" applyBorder="1" applyAlignment="1" applyProtection="1">
      <alignment horizontal="left" vertical="center"/>
      <protection locked="0"/>
    </xf>
    <xf numFmtId="0" fontId="53" fillId="6" borderId="0" xfId="0" applyFont="1" applyFill="1" applyBorder="1" applyAlignment="1" applyProtection="1">
      <alignment horizontal="left" vertical="center"/>
      <protection locked="0"/>
    </xf>
    <xf numFmtId="179" fontId="60" fillId="6" borderId="0" xfId="0" applyNumberFormat="1" applyFont="1" applyFill="1" applyBorder="1" applyAlignment="1" applyProtection="1">
      <alignment horizontal="center" vertical="center"/>
      <protection locked="0"/>
    </xf>
    <xf numFmtId="0" fontId="99" fillId="6" borderId="0" xfId="0" applyFont="1" applyFill="1" applyAlignment="1" applyProtection="1">
      <protection locked="0"/>
    </xf>
    <xf numFmtId="0" fontId="99" fillId="6" borderId="0" xfId="0" applyFont="1" applyFill="1" applyAlignment="1" applyProtection="1">
      <alignment horizontal="left"/>
      <protection locked="0"/>
    </xf>
    <xf numFmtId="0" fontId="52" fillId="6" borderId="0" xfId="0" applyFont="1" applyFill="1" applyAlignment="1" applyProtection="1">
      <alignment horizontal="left"/>
      <protection locked="0"/>
    </xf>
    <xf numFmtId="0" fontId="52" fillId="6" borderId="0" xfId="0" applyFont="1" applyFill="1" applyAlignment="1" applyProtection="1">
      <protection locked="0"/>
    </xf>
    <xf numFmtId="0" fontId="53" fillId="6" borderId="0" xfId="0" applyFont="1" applyFill="1" applyAlignment="1" applyProtection="1">
      <alignment horizontal="left" vertical="center"/>
      <protection locked="0"/>
    </xf>
    <xf numFmtId="0" fontId="138" fillId="6" borderId="0" xfId="0" applyFont="1" applyFill="1" applyAlignment="1" applyProtection="1">
      <alignment vertical="center"/>
      <protection locked="0"/>
    </xf>
    <xf numFmtId="177" fontId="54" fillId="7" borderId="0" xfId="0" applyNumberFormat="1" applyFont="1" applyFill="1" applyBorder="1" applyAlignment="1" applyProtection="1">
      <protection locked="0"/>
    </xf>
    <xf numFmtId="0" fontId="98" fillId="12" borderId="0" xfId="0" applyFont="1" applyFill="1">
      <alignment vertical="center"/>
    </xf>
    <xf numFmtId="0" fontId="203" fillId="12" borderId="0" xfId="0" applyFont="1" applyFill="1" applyBorder="1">
      <alignment vertical="center"/>
    </xf>
    <xf numFmtId="0" fontId="98" fillId="12" borderId="0" xfId="0" applyFont="1" applyFill="1" applyBorder="1">
      <alignment vertical="center"/>
    </xf>
    <xf numFmtId="0" fontId="98" fillId="12" borderId="47" xfId="0" applyFont="1" applyFill="1" applyBorder="1">
      <alignment vertical="center"/>
    </xf>
    <xf numFmtId="0" fontId="98" fillId="12" borderId="56" xfId="0" applyFont="1" applyFill="1" applyBorder="1" applyProtection="1">
      <alignment vertical="center"/>
    </xf>
    <xf numFmtId="0" fontId="57" fillId="12" borderId="18" xfId="1" applyFont="1" applyFill="1" applyBorder="1" applyAlignment="1" applyProtection="1">
      <alignment vertical="center"/>
    </xf>
    <xf numFmtId="181" fontId="57" fillId="12" borderId="0" xfId="0" applyNumberFormat="1" applyFont="1" applyFill="1" applyBorder="1" applyAlignment="1" applyProtection="1">
      <alignment vertical="center"/>
      <protection locked="0"/>
    </xf>
    <xf numFmtId="0" fontId="57"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protection locked="0"/>
    </xf>
    <xf numFmtId="181" fontId="44" fillId="12" borderId="0" xfId="0" applyNumberFormat="1" applyFont="1" applyFill="1" applyBorder="1" applyAlignment="1" applyProtection="1">
      <alignment horizontal="center" vertical="center" wrapText="1"/>
      <protection locked="0"/>
    </xf>
    <xf numFmtId="0" fontId="44" fillId="12" borderId="0" xfId="0" applyFont="1" applyFill="1" applyBorder="1" applyAlignment="1" applyProtection="1">
      <alignment horizontal="center" vertical="center"/>
      <protection locked="0"/>
    </xf>
    <xf numFmtId="181" fontId="67" fillId="12" borderId="0" xfId="0" applyNumberFormat="1" applyFont="1" applyFill="1" applyBorder="1" applyAlignment="1" applyProtection="1">
      <alignment horizontal="center" vertical="center" wrapText="1"/>
      <protection locked="0"/>
    </xf>
    <xf numFmtId="0" fontId="67" fillId="12" borderId="0" xfId="0" applyFont="1" applyFill="1" applyBorder="1" applyAlignment="1" applyProtection="1">
      <alignment horizontal="center" vertical="center"/>
      <protection locked="0"/>
    </xf>
    <xf numFmtId="181" fontId="49" fillId="12" borderId="0" xfId="0" applyNumberFormat="1" applyFont="1" applyFill="1" applyBorder="1" applyAlignment="1" applyProtection="1">
      <alignment horizontal="center" vertical="center" wrapText="1"/>
      <protection locked="0"/>
    </xf>
    <xf numFmtId="181" fontId="68" fillId="12" borderId="0" xfId="0" applyNumberFormat="1"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protection locked="0"/>
    </xf>
    <xf numFmtId="181" fontId="51" fillId="12" borderId="0" xfId="0" applyNumberFormat="1" applyFont="1" applyFill="1" applyBorder="1" applyAlignment="1" applyProtection="1">
      <alignment vertical="center" wrapText="1"/>
      <protection locked="0"/>
    </xf>
    <xf numFmtId="0" fontId="51" fillId="12" borderId="0" xfId="0" applyFont="1" applyFill="1" applyAlignment="1" applyProtection="1">
      <alignment horizontal="center" vertical="center"/>
      <protection locked="0"/>
    </xf>
    <xf numFmtId="181" fontId="51" fillId="12" borderId="0" xfId="0" applyNumberFormat="1" applyFont="1" applyFill="1" applyAlignment="1" applyProtection="1">
      <alignment horizontal="center" vertical="center"/>
      <protection locked="0"/>
    </xf>
    <xf numFmtId="181" fontId="68" fillId="12" borderId="0" xfId="0" applyNumberFormat="1" applyFont="1" applyFill="1" applyAlignment="1" applyProtection="1">
      <alignment horizontal="center" vertical="center"/>
      <protection locked="0"/>
    </xf>
    <xf numFmtId="0" fontId="68" fillId="12" borderId="0" xfId="0" applyFont="1" applyFill="1" applyAlignment="1" applyProtection="1">
      <alignment horizontal="center" vertical="center"/>
      <protection locked="0"/>
    </xf>
    <xf numFmtId="9" fontId="51" fillId="12" borderId="0" xfId="0" applyNumberFormat="1" applyFont="1" applyFill="1" applyAlignment="1" applyProtection="1">
      <alignment horizontal="center" vertical="center"/>
      <protection locked="0"/>
    </xf>
    <xf numFmtId="188" fontId="51" fillId="12" borderId="0" xfId="0" applyNumberFormat="1" applyFont="1" applyFill="1" applyAlignment="1" applyProtection="1">
      <alignment horizontal="center" vertical="center"/>
      <protection locked="0"/>
    </xf>
    <xf numFmtId="14" fontId="51" fillId="12" borderId="0" xfId="0" applyNumberFormat="1" applyFont="1" applyFill="1" applyAlignment="1" applyProtection="1">
      <alignment horizontal="center" vertical="center"/>
      <protection locked="0"/>
    </xf>
    <xf numFmtId="176" fontId="51" fillId="12" borderId="0" xfId="0" applyNumberFormat="1" applyFont="1" applyFill="1" applyAlignment="1" applyProtection="1">
      <alignment horizontal="center" vertical="center"/>
      <protection locked="0"/>
    </xf>
    <xf numFmtId="188" fontId="68" fillId="12" borderId="0" xfId="0" applyNumberFormat="1" applyFont="1" applyFill="1" applyAlignment="1" applyProtection="1">
      <alignment horizontal="center" vertical="center"/>
      <protection locked="0"/>
    </xf>
    <xf numFmtId="181" fontId="62" fillId="12" borderId="0" xfId="0" applyNumberFormat="1" applyFont="1" applyFill="1" applyBorder="1" applyAlignment="1" applyProtection="1">
      <alignment vertical="center"/>
      <protection locked="0"/>
    </xf>
    <xf numFmtId="0" fontId="62" fillId="12" borderId="0" xfId="0" applyFont="1" applyFill="1" applyBorder="1" applyAlignment="1" applyProtection="1">
      <alignment horizontal="center" vertical="center"/>
      <protection locked="0"/>
    </xf>
    <xf numFmtId="0" fontId="51" fillId="12" borderId="18" xfId="0" applyFont="1" applyFill="1" applyBorder="1" applyAlignment="1" applyProtection="1">
      <alignment horizontal="center" vertical="center"/>
      <protection locked="0"/>
    </xf>
    <xf numFmtId="0" fontId="68" fillId="12" borderId="18" xfId="0" applyFont="1" applyFill="1" applyBorder="1" applyAlignment="1" applyProtection="1">
      <alignment horizontal="center" vertical="center"/>
      <protection locked="0"/>
    </xf>
    <xf numFmtId="0" fontId="51" fillId="12" borderId="18" xfId="0" applyFont="1" applyFill="1" applyBorder="1" applyAlignment="1" applyProtection="1">
      <protection locked="0"/>
    </xf>
    <xf numFmtId="9" fontId="44" fillId="12" borderId="0" xfId="0" applyNumberFormat="1" applyFont="1" applyFill="1" applyBorder="1" applyAlignment="1" applyProtection="1">
      <alignment horizontal="center" vertical="center" wrapText="1"/>
      <protection locked="0"/>
    </xf>
    <xf numFmtId="49" fontId="44" fillId="12" borderId="18" xfId="0" applyNumberFormat="1" applyFont="1" applyFill="1" applyBorder="1" applyAlignment="1" applyProtection="1">
      <alignment horizontal="center" vertical="center"/>
      <protection locked="0"/>
    </xf>
    <xf numFmtId="49" fontId="44" fillId="12" borderId="0" xfId="0" applyNumberFormat="1" applyFont="1" applyFill="1" applyAlignment="1" applyProtection="1">
      <alignment horizontal="center" vertical="center"/>
      <protection locked="0"/>
    </xf>
    <xf numFmtId="9" fontId="44" fillId="12" borderId="18" xfId="0" applyNumberFormat="1" applyFont="1" applyFill="1" applyBorder="1" applyAlignment="1" applyProtection="1">
      <alignment horizontal="center" vertical="center" wrapText="1"/>
      <protection locked="0"/>
    </xf>
    <xf numFmtId="0" fontId="98" fillId="12" borderId="18" xfId="0" applyFont="1" applyFill="1" applyBorder="1" applyAlignment="1" applyProtection="1">
      <alignment vertical="center"/>
      <protection locked="0"/>
    </xf>
    <xf numFmtId="0" fontId="44" fillId="12" borderId="18" xfId="0" applyFont="1" applyFill="1" applyBorder="1" applyAlignment="1" applyProtection="1">
      <alignment horizontal="center" vertical="center" wrapText="1"/>
      <protection locked="0"/>
    </xf>
    <xf numFmtId="0" fontId="49" fillId="12" borderId="18" xfId="0" applyFont="1" applyFill="1" applyBorder="1" applyAlignment="1" applyProtection="1">
      <alignment horizontal="center" vertical="center" wrapText="1"/>
      <protection locked="0"/>
    </xf>
    <xf numFmtId="9" fontId="49" fillId="12" borderId="0" xfId="0" applyNumberFormat="1" applyFont="1" applyFill="1" applyBorder="1" applyAlignment="1" applyProtection="1">
      <alignment horizontal="center" vertical="center" wrapText="1"/>
      <protection locked="0"/>
    </xf>
    <xf numFmtId="0" fontId="49" fillId="12" borderId="0" xfId="0" applyFont="1" applyFill="1" applyAlignment="1" applyProtection="1">
      <alignment horizontal="center" vertical="center"/>
      <protection locked="0"/>
    </xf>
    <xf numFmtId="0" fontId="49" fillId="12" borderId="18" xfId="0" applyFont="1" applyFill="1" applyBorder="1" applyAlignment="1" applyProtection="1">
      <alignment horizontal="center" vertical="center"/>
      <protection locked="0"/>
    </xf>
    <xf numFmtId="9" fontId="49" fillId="12" borderId="0" xfId="0" applyNumberFormat="1" applyFont="1" applyFill="1" applyBorder="1" applyAlignment="1" applyProtection="1">
      <alignment horizontal="center" vertical="center"/>
      <protection locked="0"/>
    </xf>
    <xf numFmtId="0" fontId="49" fillId="12" borderId="18" xfId="0" applyFont="1" applyFill="1" applyBorder="1" applyAlignment="1" applyProtection="1">
      <alignment vertical="center" wrapText="1"/>
      <protection locked="0"/>
    </xf>
    <xf numFmtId="0" fontId="44" fillId="12" borderId="18" xfId="0" applyFont="1" applyFill="1" applyBorder="1" applyAlignment="1" applyProtection="1">
      <alignment vertical="center" wrapText="1"/>
      <protection locked="0"/>
    </xf>
    <xf numFmtId="0" fontId="44" fillId="12" borderId="0" xfId="0" applyNumberFormat="1" applyFont="1" applyFill="1" applyBorder="1" applyAlignment="1" applyProtection="1">
      <alignment horizontal="center" vertical="center" wrapText="1"/>
      <protection locked="0"/>
    </xf>
    <xf numFmtId="0" fontId="68" fillId="12" borderId="0" xfId="0" applyNumberFormat="1" applyFont="1" applyFill="1" applyBorder="1" applyAlignment="1" applyProtection="1">
      <alignment horizontal="center" vertical="center" wrapText="1"/>
      <protection locked="0"/>
    </xf>
    <xf numFmtId="0" fontId="51" fillId="12" borderId="0" xfId="0" applyNumberFormat="1" applyFont="1" applyFill="1" applyBorder="1" applyAlignment="1" applyProtection="1">
      <alignment horizontal="center" vertical="center" wrapText="1"/>
      <protection locked="0"/>
    </xf>
    <xf numFmtId="0" fontId="49" fillId="12" borderId="0" xfId="0" applyNumberFormat="1" applyFont="1" applyFill="1" applyBorder="1" applyAlignment="1" applyProtection="1">
      <alignment horizontal="center" vertical="center" wrapText="1"/>
      <protection locked="0"/>
    </xf>
    <xf numFmtId="0" fontId="51" fillId="12" borderId="58" xfId="0" applyFont="1" applyFill="1" applyBorder="1" applyAlignment="1" applyProtection="1">
      <alignment horizontal="center" vertical="center"/>
      <protection locked="0"/>
    </xf>
    <xf numFmtId="0" fontId="68" fillId="12" borderId="58" xfId="0" applyFont="1" applyFill="1" applyBorder="1" applyAlignment="1" applyProtection="1">
      <alignment horizontal="center" vertical="center"/>
      <protection locked="0"/>
    </xf>
    <xf numFmtId="0" fontId="51" fillId="12" borderId="58" xfId="0" applyFont="1" applyFill="1" applyBorder="1" applyAlignment="1" applyProtection="1">
      <protection locked="0"/>
    </xf>
    <xf numFmtId="49" fontId="44" fillId="12" borderId="58" xfId="0" applyNumberFormat="1" applyFont="1" applyFill="1" applyBorder="1" applyAlignment="1" applyProtection="1">
      <alignment horizontal="center" vertical="center"/>
      <protection locked="0"/>
    </xf>
    <xf numFmtId="9" fontId="44" fillId="12" borderId="58" xfId="0" applyNumberFormat="1" applyFont="1" applyFill="1" applyBorder="1" applyAlignment="1" applyProtection="1">
      <alignment horizontal="center" vertical="center" wrapText="1"/>
      <protection locked="0"/>
    </xf>
    <xf numFmtId="0" fontId="98" fillId="12" borderId="58" xfId="0" applyFont="1" applyFill="1" applyBorder="1" applyAlignment="1" applyProtection="1">
      <alignment vertical="center"/>
      <protection locked="0"/>
    </xf>
    <xf numFmtId="0" fontId="44"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wrapText="1"/>
      <protection locked="0"/>
    </xf>
    <xf numFmtId="0" fontId="49" fillId="12" borderId="58" xfId="0" applyFont="1" applyFill="1" applyBorder="1" applyAlignment="1" applyProtection="1">
      <alignment horizontal="center" vertical="center"/>
      <protection locked="0"/>
    </xf>
    <xf numFmtId="0" fontId="49" fillId="12" borderId="58" xfId="0" applyFont="1" applyFill="1" applyBorder="1" applyAlignment="1" applyProtection="1">
      <alignment vertical="center" wrapText="1"/>
      <protection locked="0"/>
    </xf>
    <xf numFmtId="0" fontId="44" fillId="12" borderId="58" xfId="0" applyFont="1" applyFill="1" applyBorder="1" applyAlignment="1" applyProtection="1">
      <alignment vertical="center" wrapText="1"/>
      <protection locked="0"/>
    </xf>
    <xf numFmtId="0" fontId="51" fillId="12" borderId="58" xfId="0" applyFont="1" applyFill="1" applyBorder="1" applyAlignment="1" applyProtection="1">
      <alignment horizontal="center" vertical="center" wrapText="1"/>
      <protection locked="0"/>
    </xf>
    <xf numFmtId="9" fontId="51" fillId="12" borderId="0" xfId="0" applyNumberFormat="1" applyFont="1" applyFill="1" applyBorder="1" applyAlignment="1" applyProtection="1">
      <alignment horizontal="center" vertical="center" wrapText="1"/>
      <protection locked="0"/>
    </xf>
    <xf numFmtId="0" fontId="51" fillId="12" borderId="0" xfId="0" applyFont="1" applyFill="1" applyBorder="1" applyAlignment="1" applyProtection="1">
      <protection locked="0"/>
    </xf>
    <xf numFmtId="0" fontId="44" fillId="0" borderId="74" xfId="0" applyNumberFormat="1" applyFont="1" applyFill="1" applyBorder="1" applyAlignment="1" applyProtection="1">
      <alignment horizontal="center" vertical="center" wrapText="1"/>
    </xf>
    <xf numFmtId="0" fontId="44" fillId="0" borderId="76" xfId="0" applyNumberFormat="1" applyFont="1" applyFill="1" applyBorder="1" applyAlignment="1" applyProtection="1">
      <alignment horizontal="center" vertical="center" wrapText="1"/>
    </xf>
    <xf numFmtId="0" fontId="44" fillId="12" borderId="35" xfId="0" applyFont="1" applyFill="1" applyBorder="1" applyAlignment="1" applyProtection="1">
      <alignment horizontal="center" vertical="center"/>
      <protection locked="0"/>
    </xf>
    <xf numFmtId="0" fontId="67" fillId="12" borderId="35" xfId="0" applyFont="1" applyFill="1" applyBorder="1" applyAlignment="1" applyProtection="1">
      <alignment horizontal="center" vertical="center"/>
      <protection locked="0"/>
    </xf>
    <xf numFmtId="0" fontId="51" fillId="12" borderId="35" xfId="0" applyFont="1" applyFill="1" applyBorder="1" applyAlignment="1" applyProtection="1">
      <alignment horizontal="center" vertical="center"/>
      <protection locked="0"/>
    </xf>
    <xf numFmtId="0" fontId="49" fillId="12" borderId="35" xfId="0" applyFont="1" applyFill="1" applyBorder="1" applyAlignment="1" applyProtection="1">
      <alignment horizontal="center" vertical="center"/>
      <protection locked="0"/>
    </xf>
    <xf numFmtId="49" fontId="44" fillId="12" borderId="0" xfId="0" applyNumberFormat="1" applyFont="1" applyFill="1" applyBorder="1" applyAlignment="1" applyProtection="1">
      <alignment horizontal="center" vertical="center"/>
      <protection locked="0"/>
    </xf>
    <xf numFmtId="0" fontId="98" fillId="12" borderId="0" xfId="0" applyFont="1" applyFill="1" applyBorder="1" applyAlignment="1" applyProtection="1">
      <alignment vertical="center"/>
      <protection locked="0"/>
    </xf>
    <xf numFmtId="0" fontId="44" fillId="12" borderId="0" xfId="0" applyFont="1" applyFill="1" applyBorder="1" applyAlignment="1" applyProtection="1">
      <alignment horizontal="center" vertical="center" wrapText="1"/>
      <protection locked="0"/>
    </xf>
    <xf numFmtId="0" fontId="49" fillId="12" borderId="0" xfId="0" applyFont="1" applyFill="1" applyBorder="1" applyAlignment="1" applyProtection="1">
      <alignment horizontal="center" vertical="center" wrapText="1"/>
      <protection locked="0"/>
    </xf>
    <xf numFmtId="0" fontId="44" fillId="12" borderId="0" xfId="0" applyFont="1" applyFill="1" applyBorder="1" applyAlignment="1" applyProtection="1">
      <alignment vertical="center" wrapText="1"/>
      <protection locked="0"/>
    </xf>
    <xf numFmtId="0" fontId="51" fillId="12" borderId="0" xfId="0" applyFont="1" applyFill="1" applyBorder="1" applyAlignment="1" applyProtection="1">
      <alignment horizontal="center" vertical="center" wrapText="1"/>
      <protection locked="0"/>
    </xf>
    <xf numFmtId="0" fontId="72" fillId="12" borderId="0" xfId="0" applyFont="1" applyFill="1" applyAlignment="1" applyProtection="1">
      <alignment horizontal="center" vertical="center"/>
      <protection locked="0"/>
    </xf>
    <xf numFmtId="0" fontId="53" fillId="12" borderId="0" xfId="0" applyFont="1" applyFill="1" applyAlignment="1" applyProtection="1">
      <protection locked="0"/>
    </xf>
    <xf numFmtId="0" fontId="49" fillId="12" borderId="0" xfId="0" applyFont="1" applyFill="1" applyBorder="1" applyAlignment="1" applyProtection="1">
      <alignment vertical="center" wrapText="1"/>
      <protection locked="0"/>
    </xf>
    <xf numFmtId="0" fontId="51" fillId="6" borderId="40" xfId="8" applyFont="1" applyFill="1" applyBorder="1" applyAlignment="1" applyProtection="1">
      <alignment horizontal="center" vertical="center" wrapText="1"/>
      <protection locked="0"/>
    </xf>
    <xf numFmtId="0" fontId="51" fillId="6" borderId="0" xfId="8" applyFont="1" applyFill="1" applyBorder="1" applyAlignment="1" applyProtection="1">
      <alignment vertical="center" wrapText="1"/>
      <protection locked="0"/>
    </xf>
    <xf numFmtId="10" fontId="53" fillId="6" borderId="61" xfId="8" applyNumberFormat="1" applyFont="1" applyFill="1" applyBorder="1" applyAlignment="1" applyProtection="1">
      <alignment horizontal="center" vertical="center" wrapText="1"/>
    </xf>
    <xf numFmtId="0" fontId="51" fillId="0" borderId="0" xfId="0" applyFont="1" applyAlignment="1" applyProtection="1">
      <alignment vertical="center" wrapText="1"/>
      <protection locked="0"/>
    </xf>
    <xf numFmtId="0" fontId="53" fillId="7" borderId="0" xfId="8" applyFont="1" applyFill="1" applyAlignment="1" applyProtection="1">
      <alignment horizontal="center" vertical="center" wrapText="1"/>
      <protection locked="0"/>
    </xf>
    <xf numFmtId="0" fontId="53" fillId="0" borderId="0" xfId="8" applyFont="1" applyAlignment="1" applyProtection="1">
      <alignment horizontal="center" vertical="center" wrapText="1"/>
      <protection locked="0"/>
    </xf>
    <xf numFmtId="10" fontId="53" fillId="0" borderId="0" xfId="0" applyNumberFormat="1" applyFont="1" applyAlignment="1" applyProtection="1">
      <alignment horizontal="center" vertical="center" wrapText="1"/>
      <protection locked="0"/>
    </xf>
    <xf numFmtId="0" fontId="51" fillId="0" borderId="0" xfId="0" applyFont="1" applyAlignment="1" applyProtection="1">
      <alignment horizontal="center" vertical="center" wrapText="1"/>
      <protection locked="0"/>
    </xf>
    <xf numFmtId="0" fontId="98" fillId="12" borderId="0" xfId="0" applyFont="1" applyFill="1" applyProtection="1">
      <alignment vertical="center"/>
      <protection locked="0"/>
    </xf>
    <xf numFmtId="0" fontId="123" fillId="12" borderId="0" xfId="0" applyFont="1" applyFill="1" applyProtection="1">
      <alignment vertical="center"/>
      <protection locked="0"/>
    </xf>
    <xf numFmtId="0" fontId="47" fillId="0" borderId="3" xfId="0" applyFont="1" applyFill="1" applyBorder="1" applyProtection="1">
      <alignment vertical="center"/>
      <protection locked="0"/>
    </xf>
    <xf numFmtId="0" fontId="47" fillId="0" borderId="24" xfId="0" applyFont="1" applyFill="1" applyBorder="1" applyProtection="1">
      <alignment vertical="center"/>
      <protection locked="0"/>
    </xf>
    <xf numFmtId="0" fontId="44" fillId="0" borderId="22" xfId="0" applyFont="1" applyFill="1" applyBorder="1" applyProtection="1">
      <alignment vertical="center"/>
      <protection locked="0"/>
    </xf>
    <xf numFmtId="0" fontId="44" fillId="0" borderId="61" xfId="0" applyFont="1" applyFill="1" applyBorder="1" applyProtection="1">
      <alignment vertical="center"/>
      <protection locked="0"/>
    </xf>
    <xf numFmtId="0" fontId="122" fillId="12" borderId="0" xfId="0" applyFont="1" applyFill="1" applyAlignment="1" applyProtection="1">
      <alignment vertical="center"/>
    </xf>
    <xf numFmtId="0" fontId="100" fillId="12" borderId="0" xfId="0" applyFont="1" applyFill="1" applyAlignment="1" applyProtection="1">
      <alignment vertical="center"/>
    </xf>
    <xf numFmtId="0" fontId="239" fillId="12" borderId="0" xfId="0" applyFont="1" applyFill="1" applyAlignment="1" applyProtection="1">
      <alignment horizontal="left" vertical="center"/>
    </xf>
    <xf numFmtId="0" fontId="100" fillId="12" borderId="0" xfId="0" applyFont="1" applyFill="1" applyAlignment="1" applyProtection="1">
      <alignment horizontal="left" vertical="center"/>
    </xf>
    <xf numFmtId="0" fontId="112" fillId="12" borderId="0" xfId="0" applyFont="1" applyFill="1" applyAlignment="1" applyProtection="1">
      <alignment vertical="center"/>
    </xf>
    <xf numFmtId="0" fontId="238" fillId="12" borderId="0" xfId="0" applyFont="1" applyFill="1" applyAlignment="1" applyProtection="1">
      <alignment vertical="center"/>
    </xf>
    <xf numFmtId="0" fontId="122" fillId="12" borderId="0" xfId="0" applyFont="1" applyFill="1" applyAlignment="1" applyProtection="1">
      <alignment horizontal="left" vertical="center"/>
    </xf>
    <xf numFmtId="0" fontId="45" fillId="12" borderId="0" xfId="1" applyFont="1" applyFill="1" applyBorder="1" applyAlignment="1" applyProtection="1">
      <alignment vertical="center"/>
    </xf>
    <xf numFmtId="0" fontId="45" fillId="6" borderId="0" xfId="1" applyFont="1" applyFill="1" applyBorder="1" applyAlignment="1" applyProtection="1">
      <alignment horizontal="center" vertical="center"/>
    </xf>
    <xf numFmtId="49" fontId="138" fillId="6" borderId="0" xfId="0" applyNumberFormat="1" applyFont="1" applyFill="1" applyBorder="1" applyAlignment="1" applyProtection="1">
      <alignment horizontal="left" vertical="center"/>
      <protection locked="0"/>
    </xf>
    <xf numFmtId="0" fontId="142" fillId="11" borderId="125" xfId="9" applyFont="1" applyFill="1" applyBorder="1" applyAlignment="1" applyProtection="1">
      <alignment horizontal="left" vertical="center" wrapText="1"/>
    </xf>
    <xf numFmtId="0" fontId="102" fillId="6" borderId="1" xfId="0" applyFont="1" applyFill="1" applyBorder="1" applyAlignment="1" applyProtection="1">
      <alignment horizontal="center" vertical="center"/>
    </xf>
    <xf numFmtId="0" fontId="102" fillId="2" borderId="1" xfId="0" applyFont="1" applyFill="1" applyBorder="1" applyAlignment="1" applyProtection="1">
      <alignment horizontal="center" vertical="center"/>
      <protection locked="0"/>
    </xf>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10" fontId="112" fillId="0" borderId="23" xfId="0" applyNumberFormat="1" applyFont="1" applyFill="1" applyBorder="1" applyAlignment="1" applyProtection="1">
      <alignment vertical="center"/>
      <protection locked="0"/>
    </xf>
    <xf numFmtId="0" fontId="44" fillId="5" borderId="11" xfId="0" applyFont="1" applyFill="1" applyBorder="1" applyAlignment="1" applyProtection="1">
      <alignment vertical="center" wrapText="1"/>
      <protection locked="0"/>
    </xf>
    <xf numFmtId="0" fontId="156" fillId="6" borderId="1" xfId="2" applyFont="1" applyFill="1" applyBorder="1" applyAlignment="1">
      <alignment horizontal="left" vertical="center" wrapText="1"/>
    </xf>
    <xf numFmtId="0" fontId="19" fillId="6" borderId="1" xfId="2" applyFont="1" applyFill="1" applyBorder="1" applyAlignment="1">
      <alignment horizontal="center" wrapText="1"/>
    </xf>
    <xf numFmtId="14" fontId="19" fillId="6" borderId="1" xfId="2" applyNumberFormat="1" applyFont="1" applyFill="1" applyBorder="1" applyAlignment="1">
      <alignment horizontal="center" wrapText="1"/>
    </xf>
    <xf numFmtId="14" fontId="128" fillId="6" borderId="1" xfId="2" applyNumberFormat="1" applyFont="1" applyFill="1" applyBorder="1" applyAlignment="1">
      <alignment horizontal="center" wrapText="1"/>
    </xf>
    <xf numFmtId="0" fontId="128" fillId="6" borderId="1" xfId="2" applyFont="1" applyFill="1" applyBorder="1" applyAlignment="1">
      <alignment horizontal="center" wrapText="1"/>
    </xf>
    <xf numFmtId="194" fontId="156" fillId="6" borderId="1" xfId="2" applyNumberFormat="1" applyFont="1" applyFill="1" applyBorder="1" applyAlignment="1">
      <alignment horizontal="center" vertical="center" wrapText="1"/>
    </xf>
    <xf numFmtId="0" fontId="156" fillId="6" borderId="1" xfId="2" applyFont="1" applyFill="1" applyBorder="1" applyAlignment="1">
      <alignment horizontal="center" vertical="center" wrapText="1"/>
    </xf>
    <xf numFmtId="0" fontId="132" fillId="6" borderId="0" xfId="2" applyFont="1" applyFill="1" applyAlignment="1">
      <alignment vertical="center"/>
    </xf>
    <xf numFmtId="0" fontId="132" fillId="6" borderId="1" xfId="2" applyFont="1" applyFill="1" applyBorder="1" applyAlignment="1">
      <alignment horizontal="left" vertical="center" wrapText="1"/>
    </xf>
    <xf numFmtId="14" fontId="121" fillId="6" borderId="1" xfId="2" applyNumberFormat="1" applyFont="1" applyFill="1" applyBorder="1" applyAlignment="1">
      <alignment horizontal="center" wrapText="1"/>
    </xf>
    <xf numFmtId="0" fontId="121" fillId="6" borderId="1" xfId="2" applyFont="1" applyFill="1" applyBorder="1" applyAlignment="1">
      <alignment horizontal="center" wrapText="1"/>
    </xf>
    <xf numFmtId="179" fontId="240" fillId="6" borderId="1" xfId="2" applyNumberFormat="1" applyFont="1" applyFill="1" applyBorder="1" applyAlignment="1">
      <alignment horizontal="center"/>
    </xf>
    <xf numFmtId="0" fontId="95" fillId="0" borderId="0" xfId="0" applyFont="1" applyAlignment="1"/>
    <xf numFmtId="0" fontId="142" fillId="11" borderId="125"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49" fontId="64" fillId="6" borderId="60" xfId="4" applyNumberFormat="1" applyFont="1" applyFill="1" applyBorder="1" applyAlignment="1" applyProtection="1"/>
    <xf numFmtId="0" fontId="63" fillId="6" borderId="0" xfId="4" applyFont="1" applyFill="1" applyAlignment="1" applyProtection="1">
      <alignment horizontal="center" vertical="center"/>
    </xf>
    <xf numFmtId="49" fontId="58" fillId="6" borderId="0" xfId="4" applyNumberFormat="1" applyFont="1" applyFill="1" applyBorder="1" applyAlignment="1" applyProtection="1">
      <alignment horizontal="center"/>
    </xf>
    <xf numFmtId="0" fontId="58" fillId="6" borderId="0" xfId="4" applyNumberFormat="1" applyFont="1" applyFill="1" applyBorder="1" applyAlignment="1" applyProtection="1">
      <alignment horizontal="center"/>
    </xf>
    <xf numFmtId="0" fontId="58" fillId="0" borderId="0" xfId="4" applyNumberFormat="1" applyFont="1" applyFill="1" applyBorder="1" applyAlignment="1" applyProtection="1">
      <alignment horizontal="center"/>
      <protection locked="0"/>
    </xf>
    <xf numFmtId="0" fontId="3" fillId="0" borderId="0" xfId="4" applyFont="1" applyAlignment="1" applyProtection="1">
      <alignment horizontal="left"/>
      <protection locked="0"/>
    </xf>
    <xf numFmtId="0" fontId="241" fillId="0" borderId="0" xfId="4" applyFont="1" applyAlignment="1" applyProtection="1">
      <alignment horizontal="left"/>
      <protection locked="0"/>
    </xf>
    <xf numFmtId="0" fontId="54" fillId="5" borderId="16" xfId="4" applyFont="1" applyFill="1" applyBorder="1" applyAlignment="1" applyProtection="1">
      <alignment vertical="center"/>
      <protection locked="0"/>
    </xf>
    <xf numFmtId="0" fontId="54" fillId="5" borderId="19" xfId="4" applyFont="1" applyFill="1" applyBorder="1" applyAlignment="1" applyProtection="1">
      <alignment vertical="center"/>
      <protection locked="0"/>
    </xf>
    <xf numFmtId="0" fontId="54" fillId="5" borderId="31" xfId="4" applyFont="1" applyFill="1" applyBorder="1" applyAlignment="1" applyProtection="1">
      <alignment vertical="center"/>
      <protection locked="0"/>
    </xf>
    <xf numFmtId="0" fontId="53" fillId="0" borderId="0" xfId="4" applyFont="1" applyAlignment="1" applyProtection="1">
      <alignment horizontal="left" vertical="center"/>
      <protection locked="0"/>
    </xf>
    <xf numFmtId="0" fontId="3" fillId="0" borderId="0" xfId="4" applyFont="1" applyAlignment="1">
      <alignment horizontal="left"/>
    </xf>
    <xf numFmtId="185" fontId="52" fillId="6" borderId="1" xfId="4" applyNumberFormat="1" applyFont="1" applyFill="1" applyBorder="1" applyAlignment="1" applyProtection="1">
      <alignment horizontal="right" vertical="center"/>
    </xf>
    <xf numFmtId="0" fontId="53" fillId="6" borderId="0" xfId="4" applyFont="1" applyFill="1" applyBorder="1" applyAlignment="1" applyProtection="1">
      <alignment vertical="center"/>
    </xf>
    <xf numFmtId="49" fontId="53" fillId="6" borderId="0" xfId="4" applyNumberFormat="1" applyFont="1" applyFill="1" applyBorder="1" applyAlignment="1" applyProtection="1"/>
    <xf numFmtId="49" fontId="54" fillId="6" borderId="0" xfId="4" applyNumberFormat="1" applyFont="1" applyFill="1" applyBorder="1" applyAlignment="1" applyProtection="1"/>
    <xf numFmtId="49" fontId="54" fillId="0" borderId="0" xfId="4" applyNumberFormat="1" applyFont="1" applyFill="1" applyBorder="1" applyAlignment="1" applyProtection="1">
      <protection locked="0"/>
    </xf>
    <xf numFmtId="0" fontId="19" fillId="0" borderId="0" xfId="4" applyFont="1" applyAlignment="1" applyProtection="1">
      <alignment horizontal="left"/>
      <protection locked="0"/>
    </xf>
    <xf numFmtId="0" fontId="53" fillId="0" borderId="0" xfId="4" applyFont="1" applyAlignment="1" applyProtection="1">
      <alignment horizontal="left"/>
      <protection locked="0"/>
    </xf>
    <xf numFmtId="0" fontId="54" fillId="0" borderId="1" xfId="4" applyFont="1" applyFill="1" applyBorder="1" applyAlignment="1" applyProtection="1">
      <alignment horizontal="left" vertical="center"/>
      <protection locked="0"/>
    </xf>
    <xf numFmtId="0" fontId="54" fillId="0" borderId="24" xfId="4" applyFont="1" applyFill="1" applyBorder="1" applyAlignment="1" applyProtection="1">
      <alignment horizontal="left" vertical="center"/>
      <protection locked="0"/>
    </xf>
    <xf numFmtId="0" fontId="54" fillId="6" borderId="24" xfId="4" applyFont="1" applyFill="1" applyBorder="1" applyAlignment="1" applyProtection="1">
      <alignment horizontal="left" vertical="center"/>
      <protection locked="0"/>
    </xf>
    <xf numFmtId="0" fontId="19" fillId="0" borderId="0" xfId="4" applyFont="1" applyAlignment="1">
      <alignment horizontal="left"/>
    </xf>
    <xf numFmtId="0" fontId="54" fillId="6" borderId="13" xfId="1" applyFont="1" applyFill="1" applyBorder="1" applyAlignment="1" applyProtection="1">
      <alignment vertical="center"/>
    </xf>
    <xf numFmtId="0" fontId="52" fillId="6" borderId="13" xfId="4" applyFont="1" applyFill="1" applyBorder="1" applyAlignment="1" applyProtection="1">
      <alignment horizontal="right" vertical="center"/>
    </xf>
    <xf numFmtId="177" fontId="99" fillId="0" borderId="1" xfId="1" applyNumberFormat="1" applyFont="1" applyBorder="1" applyAlignment="1" applyProtection="1">
      <alignment horizontal="left" vertical="center"/>
      <protection locked="0" hidden="1"/>
    </xf>
    <xf numFmtId="177" fontId="99" fillId="0" borderId="24" xfId="1" applyNumberFormat="1" applyFont="1" applyBorder="1" applyAlignment="1" applyProtection="1">
      <alignment horizontal="left" vertical="center"/>
      <protection locked="0" hidden="1"/>
    </xf>
    <xf numFmtId="177" fontId="53" fillId="6" borderId="24" xfId="4" applyNumberFormat="1" applyFont="1" applyFill="1" applyBorder="1" applyAlignment="1" applyProtection="1">
      <alignment horizontal="left" vertical="center"/>
      <protection locked="0"/>
    </xf>
    <xf numFmtId="0" fontId="19" fillId="6" borderId="1" xfId="4" applyFont="1" applyFill="1" applyBorder="1" applyAlignment="1" applyProtection="1">
      <alignment vertical="center"/>
    </xf>
    <xf numFmtId="0" fontId="53" fillId="0" borderId="1" xfId="4" applyFont="1" applyFill="1" applyBorder="1" applyAlignment="1" applyProtection="1">
      <alignment horizontal="left" vertical="center"/>
      <protection locked="0"/>
    </xf>
    <xf numFmtId="0" fontId="53" fillId="0" borderId="13" xfId="4" applyFont="1" applyFill="1" applyBorder="1" applyAlignment="1" applyProtection="1">
      <alignment horizontal="left" vertical="center"/>
      <protection locked="0"/>
    </xf>
    <xf numFmtId="0" fontId="53" fillId="0" borderId="61" xfId="4" applyFont="1" applyFill="1" applyBorder="1" applyAlignment="1" applyProtection="1">
      <alignment horizontal="left" vertical="center"/>
      <protection locked="0"/>
    </xf>
    <xf numFmtId="0" fontId="53" fillId="6" borderId="61" xfId="4" applyFont="1" applyFill="1" applyBorder="1" applyAlignment="1" applyProtection="1">
      <alignment horizontal="left" vertical="center"/>
      <protection locked="0"/>
    </xf>
    <xf numFmtId="0" fontId="80" fillId="6" borderId="0" xfId="1" applyFont="1" applyFill="1" applyBorder="1" applyAlignment="1" applyProtection="1">
      <alignment vertical="center"/>
    </xf>
    <xf numFmtId="0" fontId="47" fillId="0" borderId="32" xfId="4" applyFont="1" applyFill="1" applyBorder="1" applyAlignment="1" applyProtection="1">
      <alignment horizontal="left" vertical="center"/>
      <protection locked="0"/>
    </xf>
    <xf numFmtId="0" fontId="19" fillId="6" borderId="58" xfId="4" applyFont="1" applyFill="1" applyBorder="1" applyAlignment="1" applyProtection="1">
      <alignment vertical="center"/>
    </xf>
    <xf numFmtId="0" fontId="102" fillId="6" borderId="37" xfId="4" applyFont="1" applyFill="1" applyBorder="1" applyAlignment="1" applyProtection="1">
      <alignment vertical="center"/>
      <protection locked="0"/>
    </xf>
    <xf numFmtId="0" fontId="102" fillId="6" borderId="54" xfId="4" applyFont="1" applyFill="1" applyBorder="1" applyAlignment="1" applyProtection="1">
      <alignment vertical="center"/>
      <protection locked="0"/>
    </xf>
    <xf numFmtId="0" fontId="54" fillId="6" borderId="54" xfId="4" applyFont="1" applyFill="1" applyBorder="1" applyAlignment="1" applyProtection="1">
      <alignment vertical="center"/>
      <protection locked="0"/>
    </xf>
    <xf numFmtId="0" fontId="54" fillId="0" borderId="34" xfId="4" applyFont="1" applyFill="1" applyBorder="1" applyAlignment="1" applyProtection="1">
      <alignment horizontal="left" vertical="center"/>
      <protection locked="0"/>
    </xf>
    <xf numFmtId="0" fontId="54" fillId="6" borderId="64" xfId="4" applyFont="1" applyFill="1" applyBorder="1" applyAlignment="1">
      <alignment vertical="center"/>
    </xf>
    <xf numFmtId="0" fontId="54" fillId="6" borderId="65" xfId="4" applyFont="1" applyFill="1" applyBorder="1" applyAlignment="1">
      <alignment vertical="center"/>
    </xf>
    <xf numFmtId="0" fontId="54" fillId="0" borderId="0" xfId="4" applyFont="1" applyFill="1" applyBorder="1" applyAlignment="1" applyProtection="1">
      <alignment vertical="center"/>
      <protection locked="0"/>
    </xf>
    <xf numFmtId="0" fontId="53" fillId="6" borderId="5" xfId="4" applyFont="1" applyFill="1" applyBorder="1" applyAlignment="1" applyProtection="1">
      <alignment vertical="center"/>
      <protection locked="0"/>
    </xf>
    <xf numFmtId="0" fontId="53" fillId="6" borderId="1" xfId="4" applyFont="1" applyFill="1" applyBorder="1" applyAlignment="1" applyProtection="1">
      <alignment horizontal="left" vertical="center"/>
      <protection locked="0"/>
    </xf>
    <xf numFmtId="0" fontId="54" fillId="6" borderId="69" xfId="4" applyFont="1" applyFill="1" applyBorder="1" applyAlignment="1">
      <alignment horizontal="left" vertical="center"/>
    </xf>
    <xf numFmtId="0" fontId="54" fillId="6" borderId="60" xfId="4" applyFont="1" applyFill="1" applyBorder="1" applyAlignment="1">
      <alignment horizontal="left" vertical="center"/>
    </xf>
    <xf numFmtId="0" fontId="54" fillId="6" borderId="7" xfId="4" applyFont="1" applyFill="1" applyBorder="1" applyAlignment="1">
      <alignment horizontal="left" vertical="center"/>
    </xf>
    <xf numFmtId="185" fontId="54" fillId="6" borderId="4" xfId="4" applyNumberFormat="1" applyFont="1" applyFill="1" applyBorder="1" applyAlignment="1">
      <alignment horizontal="left" vertical="center"/>
    </xf>
    <xf numFmtId="10" fontId="54" fillId="6" borderId="60" xfId="4" applyNumberFormat="1" applyFont="1" applyFill="1" applyBorder="1" applyAlignment="1">
      <alignment horizontal="left" vertical="center"/>
    </xf>
    <xf numFmtId="185" fontId="54" fillId="6" borderId="71" xfId="4" applyNumberFormat="1" applyFont="1" applyFill="1" applyBorder="1" applyAlignment="1">
      <alignment horizontal="left" vertical="center"/>
    </xf>
    <xf numFmtId="185" fontId="54" fillId="0" borderId="0" xfId="4" applyNumberFormat="1" applyFont="1" applyFill="1" applyBorder="1" applyAlignment="1" applyProtection="1">
      <alignment horizontal="left" vertical="center"/>
      <protection locked="0"/>
    </xf>
    <xf numFmtId="0" fontId="53" fillId="0" borderId="5" xfId="4" applyFont="1" applyFill="1" applyBorder="1" applyAlignment="1" applyProtection="1">
      <alignment vertical="center"/>
      <protection locked="0"/>
    </xf>
    <xf numFmtId="0" fontId="99" fillId="0" borderId="1" xfId="4" applyFont="1" applyFill="1" applyBorder="1" applyAlignment="1" applyProtection="1">
      <alignment horizontal="left" vertical="center"/>
      <protection locked="0"/>
    </xf>
    <xf numFmtId="9" fontId="53" fillId="0" borderId="1" xfId="4" applyNumberFormat="1" applyFont="1" applyFill="1" applyBorder="1" applyAlignment="1" applyProtection="1">
      <alignment horizontal="left" vertical="center"/>
      <protection locked="0"/>
    </xf>
    <xf numFmtId="177" fontId="53" fillId="0" borderId="1" xfId="4" applyNumberFormat="1" applyFont="1" applyFill="1" applyBorder="1" applyAlignment="1" applyProtection="1">
      <alignment horizontal="left" vertical="center"/>
      <protection locked="0"/>
    </xf>
    <xf numFmtId="0" fontId="53" fillId="0" borderId="24" xfId="4" applyFont="1" applyFill="1" applyBorder="1" applyAlignment="1" applyProtection="1">
      <alignment horizontal="left" vertical="center"/>
      <protection locked="0"/>
    </xf>
    <xf numFmtId="0" fontId="54" fillId="6" borderId="23" xfId="4" applyFont="1" applyFill="1" applyBorder="1" applyAlignment="1">
      <alignment horizontal="left" vertical="center"/>
    </xf>
    <xf numFmtId="185" fontId="54" fillId="6" borderId="1" xfId="4" applyNumberFormat="1" applyFont="1" applyFill="1" applyBorder="1" applyAlignment="1">
      <alignment horizontal="left" vertical="center"/>
    </xf>
    <xf numFmtId="0" fontId="54" fillId="6" borderId="1" xfId="4" applyFont="1" applyFill="1" applyBorder="1" applyAlignment="1">
      <alignment horizontal="left" vertical="center"/>
    </xf>
    <xf numFmtId="0" fontId="54" fillId="6" borderId="24" xfId="4" applyFont="1" applyFill="1" applyBorder="1" applyAlignment="1">
      <alignment horizontal="left" vertical="center"/>
    </xf>
    <xf numFmtId="0" fontId="54" fillId="0" borderId="0" xfId="4" applyFont="1" applyFill="1" applyBorder="1" applyAlignment="1" applyProtection="1">
      <alignment horizontal="left" vertical="center"/>
      <protection locked="0"/>
    </xf>
    <xf numFmtId="9" fontId="54" fillId="0" borderId="1" xfId="4" applyNumberFormat="1" applyFont="1" applyFill="1" applyBorder="1" applyAlignment="1" applyProtection="1">
      <alignment horizontal="left" vertical="center"/>
      <protection locked="0"/>
    </xf>
    <xf numFmtId="0" fontId="54" fillId="6" borderId="24" xfId="4" applyFont="1" applyFill="1" applyBorder="1" applyAlignment="1">
      <alignment vertical="center"/>
    </xf>
    <xf numFmtId="181" fontId="54" fillId="6" borderId="1" xfId="4" applyNumberFormat="1" applyFont="1" applyFill="1" applyBorder="1" applyAlignment="1">
      <alignment horizontal="left" vertical="center"/>
    </xf>
    <xf numFmtId="49" fontId="53" fillId="6" borderId="23" xfId="4" applyNumberFormat="1" applyFont="1" applyFill="1" applyBorder="1" applyAlignment="1">
      <alignment horizontal="left" vertical="center"/>
    </xf>
    <xf numFmtId="185" fontId="53" fillId="6" borderId="1" xfId="4" applyNumberFormat="1" applyFont="1" applyFill="1" applyBorder="1" applyAlignment="1">
      <alignment horizontal="left" vertical="center"/>
    </xf>
    <xf numFmtId="181" fontId="53" fillId="6" borderId="1" xfId="4" applyNumberFormat="1" applyFont="1" applyFill="1" applyBorder="1" applyAlignment="1">
      <alignment horizontal="left" vertical="center"/>
    </xf>
    <xf numFmtId="0" fontId="53" fillId="6" borderId="5" xfId="4" applyFont="1" applyFill="1" applyBorder="1" applyAlignment="1">
      <alignment horizontal="left" vertical="center"/>
    </xf>
    <xf numFmtId="0" fontId="19" fillId="6" borderId="3" xfId="4" applyFont="1" applyFill="1" applyBorder="1" applyAlignment="1">
      <alignment horizontal="right" vertical="center"/>
    </xf>
    <xf numFmtId="176" fontId="53" fillId="0" borderId="1" xfId="4" applyNumberFormat="1" applyFont="1" applyFill="1" applyBorder="1" applyAlignment="1" applyProtection="1">
      <alignment horizontal="left" vertical="center"/>
      <protection locked="0"/>
    </xf>
    <xf numFmtId="181" fontId="53" fillId="6" borderId="3" xfId="4" applyNumberFormat="1" applyFont="1" applyFill="1" applyBorder="1" applyAlignment="1">
      <alignment horizontal="right" vertical="center"/>
    </xf>
    <xf numFmtId="0" fontId="54" fillId="6" borderId="5" xfId="4" applyFont="1" applyFill="1" applyBorder="1" applyAlignment="1" applyProtection="1">
      <alignment vertical="center"/>
      <protection locked="0"/>
    </xf>
    <xf numFmtId="0" fontId="102" fillId="6" borderId="1" xfId="4" applyFont="1" applyFill="1" applyBorder="1" applyAlignment="1" applyProtection="1">
      <alignment horizontal="left" vertical="center"/>
      <protection locked="0"/>
    </xf>
    <xf numFmtId="9" fontId="54" fillId="6" borderId="1" xfId="4" applyNumberFormat="1" applyFont="1" applyFill="1" applyBorder="1" applyAlignment="1" applyProtection="1">
      <alignment horizontal="left" vertical="center"/>
      <protection locked="0"/>
    </xf>
    <xf numFmtId="177" fontId="54" fillId="6" borderId="1" xfId="4" applyNumberFormat="1" applyFont="1" applyFill="1" applyBorder="1" applyAlignment="1" applyProtection="1">
      <alignment horizontal="left" vertical="center"/>
      <protection locked="0"/>
    </xf>
    <xf numFmtId="177" fontId="53" fillId="0" borderId="24" xfId="4" applyNumberFormat="1" applyFont="1" applyFill="1" applyBorder="1" applyAlignment="1" applyProtection="1">
      <alignment horizontal="left" vertical="center"/>
      <protection locked="0"/>
    </xf>
    <xf numFmtId="185" fontId="53" fillId="0" borderId="1" xfId="4" applyNumberFormat="1" applyFont="1" applyFill="1" applyBorder="1" applyAlignment="1" applyProtection="1">
      <alignment horizontal="left" vertical="center"/>
      <protection locked="0"/>
    </xf>
    <xf numFmtId="181" fontId="53" fillId="0" borderId="1" xfId="4" applyNumberFormat="1" applyFont="1" applyFill="1" applyBorder="1" applyAlignment="1" applyProtection="1">
      <alignment horizontal="left" vertical="center"/>
      <protection locked="0"/>
    </xf>
    <xf numFmtId="0" fontId="54" fillId="6" borderId="25" xfId="4" applyFont="1" applyFill="1" applyBorder="1" applyAlignment="1">
      <alignment horizontal="left" vertical="center"/>
    </xf>
    <xf numFmtId="185" fontId="54" fillId="6" borderId="32" xfId="4" applyNumberFormat="1" applyFont="1" applyFill="1" applyBorder="1" applyAlignment="1">
      <alignment horizontal="left" vertical="center"/>
    </xf>
    <xf numFmtId="181" fontId="54" fillId="0" borderId="32" xfId="4" applyNumberFormat="1" applyFont="1" applyFill="1" applyBorder="1" applyAlignment="1" applyProtection="1">
      <alignment horizontal="left" vertical="center"/>
      <protection locked="0"/>
    </xf>
    <xf numFmtId="0" fontId="54" fillId="6" borderId="49" xfId="4" applyFont="1" applyFill="1" applyBorder="1" applyAlignment="1">
      <alignment vertical="center"/>
    </xf>
    <xf numFmtId="185" fontId="54" fillId="6" borderId="60" xfId="4" applyNumberFormat="1" applyFont="1" applyFill="1" applyBorder="1" applyAlignment="1">
      <alignment horizontal="left" vertical="center"/>
    </xf>
    <xf numFmtId="181" fontId="54" fillId="0" borderId="60" xfId="4" applyNumberFormat="1" applyFont="1" applyFill="1" applyBorder="1" applyAlignment="1" applyProtection="1">
      <alignment horizontal="left" vertical="center"/>
      <protection locked="0"/>
    </xf>
    <xf numFmtId="0" fontId="54" fillId="6" borderId="56" xfId="4" applyFont="1" applyFill="1" applyBorder="1" applyAlignment="1">
      <alignment vertical="center"/>
    </xf>
    <xf numFmtId="0" fontId="54" fillId="6" borderId="63" xfId="4" applyFont="1" applyFill="1" applyBorder="1" applyAlignment="1">
      <alignment vertical="center"/>
    </xf>
    <xf numFmtId="177" fontId="53" fillId="5" borderId="1" xfId="4" applyNumberFormat="1" applyFont="1" applyFill="1" applyBorder="1" applyAlignment="1" applyProtection="1">
      <alignment horizontal="left" vertical="center"/>
      <protection locked="0"/>
    </xf>
    <xf numFmtId="0" fontId="102" fillId="6" borderId="24" xfId="4" applyFont="1" applyFill="1" applyBorder="1" applyAlignment="1" applyProtection="1">
      <alignment horizontal="left" vertical="center"/>
      <protection locked="0"/>
    </xf>
    <xf numFmtId="0" fontId="54" fillId="6" borderId="71" xfId="4" applyFont="1" applyFill="1" applyBorder="1" applyAlignment="1">
      <alignment horizontal="left" vertical="center"/>
    </xf>
    <xf numFmtId="0" fontId="99" fillId="0" borderId="1" xfId="4" applyFont="1" applyFill="1" applyBorder="1" applyAlignment="1" applyProtection="1">
      <alignment horizontal="left" vertical="center" wrapText="1"/>
      <protection locked="0"/>
    </xf>
    <xf numFmtId="0" fontId="53" fillId="0" borderId="0" xfId="4" applyFont="1" applyFill="1" applyAlignment="1" applyProtection="1">
      <alignment horizontal="left" vertical="center"/>
      <protection locked="0"/>
    </xf>
    <xf numFmtId="0" fontId="54" fillId="6" borderId="5" xfId="4" applyFont="1" applyFill="1" applyBorder="1" applyAlignment="1">
      <alignment horizontal="left" vertical="center"/>
    </xf>
    <xf numFmtId="0" fontId="54" fillId="6" borderId="158" xfId="4" applyFont="1" applyFill="1" applyBorder="1" applyAlignment="1">
      <alignment horizontal="left" vertical="center"/>
    </xf>
    <xf numFmtId="0" fontId="54" fillId="6" borderId="3" xfId="4" applyFont="1" applyFill="1" applyBorder="1" applyAlignment="1">
      <alignment horizontal="left" vertical="center"/>
    </xf>
    <xf numFmtId="0" fontId="99" fillId="0" borderId="24" xfId="4" applyFont="1" applyFill="1" applyBorder="1" applyAlignment="1" applyProtection="1">
      <alignment horizontal="left" vertical="center"/>
      <protection locked="0"/>
    </xf>
    <xf numFmtId="0" fontId="242" fillId="0" borderId="5" xfId="4" applyFont="1" applyFill="1" applyBorder="1" applyAlignment="1" applyProtection="1">
      <alignment horizontal="left" vertical="center"/>
      <protection locked="0"/>
    </xf>
    <xf numFmtId="0" fontId="242" fillId="0" borderId="158" xfId="4" applyFont="1" applyFill="1" applyBorder="1" applyAlignment="1" applyProtection="1">
      <alignment horizontal="left" vertical="center"/>
      <protection locked="0"/>
    </xf>
    <xf numFmtId="0" fontId="242" fillId="0" borderId="3" xfId="4" applyFont="1" applyFill="1" applyBorder="1" applyAlignment="1" applyProtection="1">
      <alignment horizontal="left" vertical="center"/>
      <protection locked="0"/>
    </xf>
    <xf numFmtId="0" fontId="53" fillId="0" borderId="0" xfId="4" applyFont="1" applyFill="1" applyBorder="1" applyAlignment="1" applyProtection="1">
      <alignment horizontal="left" vertical="center"/>
      <protection locked="0"/>
    </xf>
    <xf numFmtId="0" fontId="53" fillId="6" borderId="37" xfId="4" applyFont="1" applyFill="1" applyBorder="1" applyAlignment="1">
      <alignment horizontal="left" vertical="center"/>
    </xf>
    <xf numFmtId="0" fontId="53" fillId="6" borderId="1" xfId="4" applyFont="1" applyFill="1" applyBorder="1" applyAlignment="1">
      <alignment horizontal="left" vertical="center"/>
    </xf>
    <xf numFmtId="185" fontId="53" fillId="6" borderId="5" xfId="4" applyNumberFormat="1" applyFont="1" applyFill="1" applyBorder="1" applyAlignment="1">
      <alignment horizontal="left" vertical="center"/>
    </xf>
    <xf numFmtId="185" fontId="53" fillId="6" borderId="158" xfId="4" applyNumberFormat="1" applyFont="1" applyFill="1" applyBorder="1" applyAlignment="1">
      <alignment horizontal="left" vertical="center"/>
    </xf>
    <xf numFmtId="185" fontId="53" fillId="6" borderId="3" xfId="4" applyNumberFormat="1" applyFont="1" applyFill="1" applyBorder="1" applyAlignment="1">
      <alignment horizontal="left" vertical="center"/>
    </xf>
    <xf numFmtId="0" fontId="53" fillId="6" borderId="24" xfId="4" applyFont="1" applyFill="1" applyBorder="1" applyAlignment="1">
      <alignment horizontal="left" vertical="center"/>
    </xf>
    <xf numFmtId="0" fontId="53" fillId="0" borderId="0" xfId="4" applyFont="1" applyFill="1" applyBorder="1" applyAlignment="1" applyProtection="1">
      <alignment horizontal="right" vertical="center"/>
      <protection locked="0"/>
    </xf>
    <xf numFmtId="0" fontId="53" fillId="6" borderId="37" xfId="4" applyFont="1" applyFill="1" applyBorder="1" applyAlignment="1">
      <alignment horizontal="right" vertical="center"/>
    </xf>
    <xf numFmtId="0" fontId="53" fillId="6" borderId="1" xfId="4" applyFont="1" applyFill="1" applyBorder="1" applyAlignment="1">
      <alignment horizontal="right" vertical="center"/>
    </xf>
    <xf numFmtId="185" fontId="53" fillId="6" borderId="5" xfId="4" applyNumberFormat="1" applyFont="1" applyFill="1" applyBorder="1" applyAlignment="1">
      <alignment horizontal="right" vertical="center"/>
    </xf>
    <xf numFmtId="181" fontId="53" fillId="0" borderId="158" xfId="4" applyNumberFormat="1" applyFont="1" applyFill="1" applyBorder="1" applyAlignment="1" applyProtection="1">
      <alignment horizontal="right" vertical="center"/>
      <protection locked="0"/>
    </xf>
    <xf numFmtId="181" fontId="53" fillId="0" borderId="3" xfId="4" applyNumberFormat="1" applyFont="1" applyFill="1" applyBorder="1" applyAlignment="1" applyProtection="1">
      <alignment horizontal="right" vertical="center"/>
      <protection locked="0"/>
    </xf>
    <xf numFmtId="0" fontId="53" fillId="6" borderId="24" xfId="4" applyFont="1" applyFill="1" applyBorder="1" applyAlignment="1">
      <alignment horizontal="right" vertical="center"/>
    </xf>
    <xf numFmtId="0" fontId="54" fillId="6" borderId="23" xfId="4" applyFont="1" applyFill="1" applyBorder="1" applyAlignment="1" applyProtection="1">
      <alignment horizontal="left" vertical="center" wrapText="1"/>
      <protection locked="0"/>
    </xf>
    <xf numFmtId="0" fontId="54" fillId="6" borderId="5" xfId="4" applyFont="1" applyFill="1" applyBorder="1" applyAlignment="1" applyProtection="1">
      <alignment vertical="center" wrapText="1"/>
      <protection locked="0"/>
    </xf>
    <xf numFmtId="0" fontId="54" fillId="6" borderId="54" xfId="4" applyFont="1" applyFill="1" applyBorder="1" applyAlignment="1" applyProtection="1">
      <alignment vertical="center" wrapText="1"/>
      <protection locked="0"/>
    </xf>
    <xf numFmtId="0" fontId="54" fillId="6" borderId="3" xfId="4" applyFont="1" applyFill="1" applyBorder="1" applyAlignment="1" applyProtection="1">
      <alignment vertical="center" wrapText="1"/>
      <protection locked="0"/>
    </xf>
    <xf numFmtId="9" fontId="99" fillId="0" borderId="1" xfId="4" applyNumberFormat="1" applyFont="1" applyFill="1" applyBorder="1" applyAlignment="1" applyProtection="1">
      <alignment horizontal="left" vertical="center"/>
      <protection locked="0"/>
    </xf>
    <xf numFmtId="0" fontId="53" fillId="0" borderId="0" xfId="4" applyFont="1" applyAlignment="1" applyProtection="1">
      <alignment horizontal="right"/>
      <protection locked="0"/>
    </xf>
    <xf numFmtId="0" fontId="19" fillId="0" borderId="0" xfId="4" applyFont="1" applyAlignment="1">
      <alignment horizontal="right"/>
    </xf>
    <xf numFmtId="0" fontId="102" fillId="6" borderId="46" xfId="4" applyFont="1" applyFill="1" applyBorder="1" applyAlignment="1" applyProtection="1">
      <alignment vertical="center"/>
      <protection locked="0"/>
    </xf>
    <xf numFmtId="0" fontId="102" fillId="6" borderId="36" xfId="4" applyFont="1" applyFill="1" applyBorder="1" applyAlignment="1" applyProtection="1">
      <alignment vertical="center"/>
      <protection locked="0"/>
    </xf>
    <xf numFmtId="0" fontId="102" fillId="6" borderId="22" xfId="4" applyFont="1" applyFill="1" applyBorder="1" applyAlignment="1" applyProtection="1">
      <alignment vertical="center"/>
      <protection locked="0"/>
    </xf>
    <xf numFmtId="0" fontId="99" fillId="6" borderId="1" xfId="4" applyFont="1" applyFill="1" applyBorder="1" applyAlignment="1" applyProtection="1">
      <alignment horizontal="left" vertical="center"/>
      <protection locked="0"/>
    </xf>
    <xf numFmtId="9" fontId="99" fillId="6" borderId="1" xfId="4" applyNumberFormat="1" applyFont="1" applyFill="1" applyBorder="1" applyAlignment="1" applyProtection="1">
      <alignment horizontal="left" vertical="center"/>
      <protection locked="0"/>
    </xf>
    <xf numFmtId="0" fontId="54" fillId="0" borderId="0" xfId="4" applyFont="1" applyFill="1" applyAlignment="1" applyProtection="1">
      <alignment horizontal="left" vertical="center"/>
      <protection locked="0"/>
    </xf>
    <xf numFmtId="181" fontId="53" fillId="6" borderId="5" xfId="4" applyNumberFormat="1" applyFont="1" applyFill="1" applyBorder="1" applyAlignment="1">
      <alignment horizontal="right" vertical="center"/>
    </xf>
    <xf numFmtId="0" fontId="19" fillId="0" borderId="0" xfId="4" applyFont="1" applyAlignment="1" applyProtection="1">
      <alignment horizontal="right"/>
      <protection locked="0"/>
    </xf>
    <xf numFmtId="0" fontId="102" fillId="6" borderId="4" xfId="4" applyFont="1" applyFill="1" applyBorder="1" applyAlignment="1" applyProtection="1">
      <alignment vertical="center"/>
      <protection locked="0"/>
    </xf>
    <xf numFmtId="0" fontId="102" fillId="6" borderId="60" xfId="4" applyFont="1" applyFill="1" applyBorder="1" applyAlignment="1" applyProtection="1">
      <alignment vertical="center"/>
      <protection locked="0"/>
    </xf>
    <xf numFmtId="0" fontId="102" fillId="6" borderId="7" xfId="4" applyFont="1" applyFill="1" applyBorder="1" applyAlignment="1" applyProtection="1">
      <alignment vertical="center"/>
      <protection locked="0"/>
    </xf>
    <xf numFmtId="0" fontId="102" fillId="0" borderId="1" xfId="4" applyFont="1" applyFill="1" applyBorder="1" applyAlignment="1" applyProtection="1">
      <alignment horizontal="left" vertical="center"/>
      <protection locked="0"/>
    </xf>
    <xf numFmtId="9" fontId="102" fillId="0" borderId="1" xfId="4" applyNumberFormat="1" applyFont="1" applyFill="1" applyBorder="1" applyAlignment="1" applyProtection="1">
      <alignment horizontal="left" vertical="center"/>
      <protection locked="0"/>
    </xf>
    <xf numFmtId="0" fontId="80" fillId="6" borderId="12" xfId="4" applyFont="1" applyFill="1" applyBorder="1" applyAlignment="1" applyProtection="1">
      <alignment horizontal="left" vertical="center" wrapText="1"/>
      <protection locked="0"/>
    </xf>
    <xf numFmtId="0" fontId="135" fillId="6" borderId="74" xfId="4" applyFont="1" applyFill="1" applyBorder="1" applyAlignment="1" applyProtection="1">
      <alignment vertical="center"/>
      <protection locked="0"/>
    </xf>
    <xf numFmtId="0" fontId="19" fillId="6" borderId="74" xfId="4" applyFont="1" applyFill="1" applyBorder="1" applyAlignment="1" applyProtection="1">
      <alignment vertical="center"/>
      <protection locked="0"/>
    </xf>
    <xf numFmtId="0" fontId="36" fillId="0" borderId="74" xfId="4" applyFill="1" applyBorder="1" applyAlignment="1" applyProtection="1">
      <alignment horizontal="left" vertical="center"/>
      <protection locked="0"/>
    </xf>
    <xf numFmtId="9" fontId="53" fillId="0" borderId="32" xfId="4" applyNumberFormat="1" applyFont="1" applyFill="1" applyBorder="1" applyAlignment="1" applyProtection="1">
      <alignment horizontal="left" vertical="center"/>
      <protection locked="0"/>
    </xf>
    <xf numFmtId="181" fontId="99" fillId="0" borderId="32" xfId="4" applyNumberFormat="1" applyFont="1" applyFill="1" applyBorder="1" applyAlignment="1" applyProtection="1">
      <alignment horizontal="left" vertical="center"/>
      <protection locked="0"/>
    </xf>
    <xf numFmtId="0" fontId="134" fillId="0" borderId="76" xfId="4" applyFont="1" applyFill="1" applyBorder="1" applyAlignment="1" applyProtection="1">
      <alignment horizontal="left" vertical="center"/>
      <protection locked="0"/>
    </xf>
    <xf numFmtId="181" fontId="53" fillId="6" borderId="158" xfId="4" applyNumberFormat="1" applyFont="1" applyFill="1" applyBorder="1" applyAlignment="1">
      <alignment horizontal="right" vertical="center"/>
    </xf>
    <xf numFmtId="181" fontId="53" fillId="0" borderId="5" xfId="4" applyNumberFormat="1" applyFont="1" applyFill="1" applyBorder="1" applyAlignment="1" applyProtection="1">
      <alignment horizontal="right" vertical="center"/>
      <protection locked="0"/>
    </xf>
    <xf numFmtId="0" fontId="54" fillId="6" borderId="1" xfId="4" applyFont="1" applyFill="1" applyBorder="1" applyAlignment="1" applyProtection="1">
      <alignment horizontal="left" vertical="center"/>
      <protection locked="0"/>
    </xf>
    <xf numFmtId="0" fontId="53" fillId="6" borderId="158" xfId="4" applyFont="1" applyFill="1" applyBorder="1" applyAlignment="1">
      <alignment horizontal="left" vertical="center"/>
    </xf>
    <xf numFmtId="0" fontId="53" fillId="6" borderId="3" xfId="4" applyFont="1" applyFill="1" applyBorder="1" applyAlignment="1">
      <alignment horizontal="left" vertical="center"/>
    </xf>
    <xf numFmtId="177" fontId="53" fillId="6" borderId="1" xfId="4" applyNumberFormat="1" applyFont="1" applyFill="1" applyBorder="1" applyAlignment="1" applyProtection="1">
      <alignment horizontal="left" vertical="center"/>
      <protection locked="0"/>
    </xf>
    <xf numFmtId="10" fontId="53" fillId="0" borderId="5" xfId="4" applyNumberFormat="1" applyFont="1" applyFill="1" applyBorder="1" applyAlignment="1" applyProtection="1">
      <alignment horizontal="left" vertical="center"/>
      <protection locked="0"/>
    </xf>
    <xf numFmtId="10" fontId="53" fillId="0" borderId="158" xfId="4" applyNumberFormat="1" applyFont="1" applyFill="1" applyBorder="1" applyAlignment="1" applyProtection="1">
      <alignment horizontal="left" vertical="center"/>
      <protection locked="0"/>
    </xf>
    <xf numFmtId="10" fontId="53" fillId="0" borderId="3" xfId="4" applyNumberFormat="1" applyFont="1" applyFill="1" applyBorder="1" applyAlignment="1" applyProtection="1">
      <alignment horizontal="left" vertical="center"/>
      <protection locked="0"/>
    </xf>
    <xf numFmtId="0" fontId="53" fillId="6" borderId="13" xfId="4" applyFont="1" applyFill="1" applyBorder="1" applyAlignment="1" applyProtection="1">
      <alignment horizontal="left" vertical="center"/>
      <protection locked="0"/>
    </xf>
    <xf numFmtId="181" fontId="53" fillId="0" borderId="5" xfId="4" applyNumberFormat="1" applyFont="1" applyFill="1" applyBorder="1" applyAlignment="1" applyProtection="1">
      <alignment horizontal="left" vertical="center"/>
      <protection locked="0"/>
    </xf>
    <xf numFmtId="181" fontId="53" fillId="0" borderId="158" xfId="4" applyNumberFormat="1" applyFont="1" applyFill="1" applyBorder="1" applyAlignment="1" applyProtection="1">
      <alignment horizontal="left" vertical="center"/>
      <protection locked="0"/>
    </xf>
    <xf numFmtId="181" fontId="53" fillId="0" borderId="3" xfId="4" applyNumberFormat="1" applyFont="1" applyFill="1" applyBorder="1" applyAlignment="1" applyProtection="1">
      <alignment horizontal="left" vertical="center"/>
      <protection locked="0"/>
    </xf>
    <xf numFmtId="176" fontId="53" fillId="0" borderId="0" xfId="4" applyNumberFormat="1" applyFont="1" applyFill="1" applyBorder="1" applyAlignment="1" applyProtection="1">
      <alignment horizontal="left" vertical="center"/>
      <protection locked="0"/>
    </xf>
    <xf numFmtId="0" fontId="54" fillId="6" borderId="5" xfId="4" applyFont="1" applyFill="1" applyBorder="1" applyAlignment="1" applyProtection="1">
      <alignment horizontal="left" vertical="center"/>
      <protection locked="0"/>
    </xf>
    <xf numFmtId="0" fontId="53" fillId="6" borderId="32" xfId="4" applyFont="1" applyFill="1" applyBorder="1" applyAlignment="1">
      <alignment horizontal="left" vertical="center"/>
    </xf>
    <xf numFmtId="176" fontId="53" fillId="0" borderId="33" xfId="4" applyNumberFormat="1" applyFont="1" applyFill="1" applyBorder="1" applyAlignment="1" applyProtection="1">
      <alignment horizontal="left" vertical="center"/>
      <protection locked="0"/>
    </xf>
    <xf numFmtId="176" fontId="53" fillId="0" borderId="159" xfId="4" applyNumberFormat="1" applyFont="1" applyFill="1" applyBorder="1" applyAlignment="1" applyProtection="1">
      <alignment horizontal="left" vertical="center"/>
      <protection locked="0"/>
    </xf>
    <xf numFmtId="176" fontId="53" fillId="0" borderId="66" xfId="4" applyNumberFormat="1" applyFont="1" applyFill="1" applyBorder="1" applyAlignment="1" applyProtection="1">
      <alignment horizontal="left" vertical="center"/>
      <protection locked="0"/>
    </xf>
    <xf numFmtId="176" fontId="53" fillId="6" borderId="24" xfId="4" applyNumberFormat="1" applyFont="1" applyFill="1" applyBorder="1" applyAlignment="1">
      <alignment horizontal="left" vertical="center"/>
    </xf>
    <xf numFmtId="0" fontId="53" fillId="0" borderId="0" xfId="4" applyFont="1" applyFill="1" applyBorder="1" applyAlignment="1" applyProtection="1">
      <alignment horizontal="left"/>
      <protection locked="0"/>
    </xf>
    <xf numFmtId="0" fontId="53" fillId="6" borderId="23" xfId="4" applyFont="1" applyFill="1" applyBorder="1" applyAlignment="1">
      <alignment horizontal="left" vertical="center"/>
    </xf>
    <xf numFmtId="185" fontId="53" fillId="6" borderId="1" xfId="4" applyNumberFormat="1" applyFont="1" applyFill="1" applyBorder="1" applyAlignment="1">
      <alignment horizontal="left"/>
    </xf>
    <xf numFmtId="0" fontId="53" fillId="6" borderId="1" xfId="4" applyFont="1" applyFill="1" applyBorder="1" applyAlignment="1">
      <alignment horizontal="left"/>
    </xf>
    <xf numFmtId="0" fontId="53" fillId="6" borderId="24" xfId="4" applyFont="1" applyFill="1" applyBorder="1" applyAlignment="1">
      <alignment horizontal="left"/>
    </xf>
    <xf numFmtId="0" fontId="53" fillId="6" borderId="25" xfId="4" applyFont="1" applyFill="1" applyBorder="1" applyAlignment="1">
      <alignment horizontal="left" vertical="center"/>
    </xf>
    <xf numFmtId="185" fontId="53" fillId="6" borderId="32" xfId="4" applyNumberFormat="1" applyFont="1" applyFill="1" applyBorder="1" applyAlignment="1">
      <alignment horizontal="left" vertical="center"/>
    </xf>
    <xf numFmtId="0" fontId="53" fillId="6" borderId="32" xfId="4" applyFont="1" applyFill="1" applyBorder="1" applyAlignment="1">
      <alignment horizontal="left"/>
    </xf>
    <xf numFmtId="0" fontId="53" fillId="6" borderId="49" xfId="4" applyFont="1" applyFill="1" applyBorder="1" applyAlignment="1">
      <alignment horizontal="left" vertical="center"/>
    </xf>
    <xf numFmtId="0" fontId="19" fillId="0" borderId="0" xfId="4" applyFont="1" applyFill="1" applyAlignment="1" applyProtection="1">
      <alignment horizontal="left"/>
      <protection locked="0"/>
    </xf>
    <xf numFmtId="0" fontId="3" fillId="0" borderId="0" xfId="4" applyFont="1" applyFill="1" applyAlignment="1" applyProtection="1">
      <alignment horizontal="left"/>
      <protection locked="0"/>
    </xf>
    <xf numFmtId="0" fontId="241" fillId="0" borderId="0" xfId="4" applyFont="1" applyAlignment="1" applyProtection="1">
      <alignment horizontal="left" vertical="center"/>
      <protection locked="0"/>
    </xf>
    <xf numFmtId="0" fontId="241" fillId="0" borderId="0" xfId="4" applyFont="1" applyAlignment="1">
      <alignment horizontal="left"/>
    </xf>
    <xf numFmtId="0" fontId="80" fillId="6" borderId="74" xfId="4" applyFont="1" applyFill="1" applyBorder="1" applyAlignment="1" applyProtection="1">
      <alignment vertical="center"/>
      <protection locked="0"/>
    </xf>
    <xf numFmtId="0" fontId="142" fillId="11" borderId="125" xfId="9" applyFont="1" applyFill="1" applyBorder="1" applyAlignment="1" applyProtection="1">
      <alignment horizontal="left" vertical="center" wrapText="1"/>
    </xf>
    <xf numFmtId="0" fontId="99" fillId="6" borderId="11" xfId="0" applyFont="1" applyFill="1" applyBorder="1" applyAlignment="1" applyProtection="1">
      <alignment vertical="center"/>
    </xf>
    <xf numFmtId="0" fontId="99" fillId="6" borderId="14" xfId="0" applyFont="1" applyFill="1" applyBorder="1" applyAlignment="1" applyProtection="1">
      <alignment vertical="center"/>
    </xf>
    <xf numFmtId="0" fontId="99" fillId="6" borderId="41" xfId="0" applyFont="1" applyFill="1" applyBorder="1" applyAlignment="1" applyProtection="1">
      <alignment vertical="center"/>
    </xf>
    <xf numFmtId="0" fontId="0" fillId="0" borderId="0" xfId="0" applyNumberFormat="1">
      <alignment vertical="center"/>
    </xf>
    <xf numFmtId="0" fontId="99" fillId="6" borderId="1" xfId="0" applyFont="1" applyFill="1" applyBorder="1" applyAlignment="1" applyProtection="1">
      <alignment horizontal="left" vertical="center" wrapText="1"/>
    </xf>
    <xf numFmtId="0" fontId="138" fillId="6" borderId="15" xfId="0" applyFont="1" applyFill="1" applyBorder="1" applyAlignment="1" applyProtection="1">
      <alignment vertical="center" wrapText="1"/>
    </xf>
    <xf numFmtId="0" fontId="137" fillId="6" borderId="13" xfId="0" applyFont="1" applyFill="1" applyBorder="1" applyAlignment="1" applyProtection="1">
      <alignment vertical="center" wrapText="1"/>
    </xf>
    <xf numFmtId="0" fontId="107" fillId="6" borderId="16" xfId="0" applyNumberFormat="1" applyFont="1" applyFill="1" applyBorder="1" applyAlignment="1" applyProtection="1">
      <alignment horizontal="left" vertical="center"/>
      <protection locked="0"/>
    </xf>
    <xf numFmtId="0" fontId="0" fillId="6" borderId="19" xfId="0" applyNumberFormat="1" applyFill="1" applyBorder="1" applyAlignment="1" applyProtection="1">
      <alignment horizontal="left" vertical="center"/>
      <protection locked="0"/>
    </xf>
    <xf numFmtId="0" fontId="0" fillId="6" borderId="31" xfId="0" applyNumberFormat="1" applyFill="1" applyBorder="1" applyAlignment="1" applyProtection="1">
      <alignment horizontal="left" vertical="center"/>
      <protection locked="0"/>
    </xf>
    <xf numFmtId="0" fontId="0" fillId="0" borderId="0" xfId="0" applyNumberFormat="1" applyAlignment="1" applyProtection="1">
      <alignment horizontal="left" vertical="center"/>
      <protection locked="0"/>
    </xf>
    <xf numFmtId="0" fontId="0" fillId="6" borderId="18" xfId="0" applyNumberFormat="1" applyFill="1" applyBorder="1" applyAlignment="1" applyProtection="1">
      <alignment horizontal="left" vertical="center"/>
      <protection locked="0"/>
    </xf>
    <xf numFmtId="0" fontId="0" fillId="6" borderId="0" xfId="0" applyNumberFormat="1" applyFill="1" applyBorder="1" applyAlignment="1" applyProtection="1">
      <alignment horizontal="left" vertical="center"/>
      <protection locked="0"/>
    </xf>
    <xf numFmtId="0" fontId="0" fillId="6" borderId="56" xfId="0" applyNumberFormat="1" applyFill="1" applyBorder="1" applyAlignment="1" applyProtection="1">
      <alignment horizontal="left" vertical="center"/>
      <protection locked="0"/>
    </xf>
    <xf numFmtId="0" fontId="0" fillId="6" borderId="23" xfId="0" applyNumberFormat="1" applyFill="1" applyBorder="1" applyAlignment="1" applyProtection="1">
      <alignment horizontal="left" vertical="center"/>
    </xf>
    <xf numFmtId="14" fontId="0" fillId="0" borderId="1" xfId="0" applyNumberFormat="1" applyBorder="1" applyAlignment="1" applyProtection="1">
      <alignment horizontal="left" vertical="center"/>
      <protection locked="0"/>
    </xf>
    <xf numFmtId="0" fontId="0" fillId="6" borderId="1" xfId="0" applyNumberFormat="1" applyFill="1" applyBorder="1" applyAlignment="1" applyProtection="1">
      <alignment horizontal="left" vertical="center"/>
      <protection locked="0"/>
    </xf>
    <xf numFmtId="0" fontId="0" fillId="6" borderId="1" xfId="0" applyNumberFormat="1" applyFill="1" applyBorder="1" applyAlignment="1" applyProtection="1">
      <alignment horizontal="left" vertical="center"/>
    </xf>
    <xf numFmtId="0" fontId="0" fillId="0" borderId="23" xfId="0" applyNumberFormat="1" applyBorder="1" applyAlignment="1" applyProtection="1">
      <alignment horizontal="left" vertical="center"/>
      <protection locked="0"/>
    </xf>
    <xf numFmtId="195" fontId="0" fillId="6" borderId="1" xfId="0" applyNumberFormat="1" applyFill="1" applyBorder="1" applyAlignment="1" applyProtection="1">
      <alignment horizontal="left" vertical="center"/>
    </xf>
    <xf numFmtId="10" fontId="0" fillId="0" borderId="1" xfId="17" applyNumberFormat="1" applyFont="1" applyBorder="1" applyAlignment="1" applyProtection="1">
      <alignment horizontal="left" vertical="center"/>
      <protection locked="0"/>
    </xf>
    <xf numFmtId="0" fontId="0" fillId="6" borderId="24" xfId="0" applyNumberFormat="1" applyFill="1" applyBorder="1" applyAlignment="1" applyProtection="1">
      <alignment horizontal="left" vertical="center"/>
    </xf>
    <xf numFmtId="0" fontId="0" fillId="0" borderId="1" xfId="0" applyNumberFormat="1" applyFill="1" applyBorder="1" applyAlignment="1" applyProtection="1">
      <alignment horizontal="left" vertical="center"/>
      <protection locked="0"/>
    </xf>
    <xf numFmtId="0" fontId="0" fillId="0" borderId="1" xfId="0" applyNumberFormat="1" applyBorder="1" applyAlignment="1" applyProtection="1">
      <alignment horizontal="left" vertical="center"/>
      <protection locked="0"/>
    </xf>
    <xf numFmtId="195" fontId="0" fillId="6" borderId="24" xfId="0" applyNumberFormat="1" applyFill="1" applyBorder="1" applyAlignment="1" applyProtection="1">
      <alignment horizontal="left" vertical="center"/>
    </xf>
    <xf numFmtId="0" fontId="0" fillId="6" borderId="25" xfId="0" applyNumberFormat="1" applyFill="1" applyBorder="1" applyAlignment="1" applyProtection="1">
      <alignment horizontal="left" vertical="center"/>
    </xf>
    <xf numFmtId="0" fontId="0" fillId="6" borderId="32" xfId="0" applyNumberFormat="1" applyFill="1" applyBorder="1" applyAlignment="1" applyProtection="1">
      <alignment horizontal="left" vertical="center"/>
    </xf>
    <xf numFmtId="0" fontId="0" fillId="6" borderId="47" xfId="0" applyNumberFormat="1" applyFill="1" applyBorder="1" applyAlignment="1" applyProtection="1">
      <alignment horizontal="left" vertical="center"/>
      <protection locked="0"/>
    </xf>
    <xf numFmtId="0" fontId="0" fillId="6" borderId="43" xfId="0" applyNumberFormat="1" applyFill="1" applyBorder="1" applyAlignment="1" applyProtection="1">
      <alignment horizontal="left" vertical="center"/>
      <protection locked="0"/>
    </xf>
    <xf numFmtId="0" fontId="245" fillId="6" borderId="23" xfId="0" applyFont="1" applyFill="1" applyBorder="1" applyAlignment="1" applyProtection="1">
      <alignment horizontal="left" vertical="center"/>
    </xf>
    <xf numFmtId="0" fontId="245" fillId="6" borderId="1" xfId="0" applyFont="1" applyFill="1" applyBorder="1" applyAlignment="1" applyProtection="1">
      <alignment horizontal="left" vertical="center"/>
    </xf>
    <xf numFmtId="0" fontId="245" fillId="6" borderId="24" xfId="0" applyFont="1" applyFill="1" applyBorder="1" applyAlignment="1" applyProtection="1">
      <alignment horizontal="left" vertical="center"/>
    </xf>
    <xf numFmtId="0" fontId="245" fillId="0" borderId="1" xfId="0" applyFont="1" applyBorder="1" applyAlignment="1" applyProtection="1">
      <alignment horizontal="left" vertical="center"/>
      <protection locked="0"/>
    </xf>
    <xf numFmtId="9" fontId="245" fillId="0" borderId="1" xfId="0" applyNumberFormat="1" applyFont="1" applyBorder="1" applyAlignment="1" applyProtection="1">
      <alignment horizontal="left" vertical="center"/>
      <protection locked="0"/>
    </xf>
    <xf numFmtId="0" fontId="245" fillId="6" borderId="18" xfId="0" applyFont="1" applyFill="1" applyBorder="1" applyAlignment="1" applyProtection="1">
      <alignment horizontal="left" vertical="center"/>
    </xf>
    <xf numFmtId="0" fontId="245" fillId="6" borderId="0" xfId="0" applyFont="1" applyFill="1" applyBorder="1" applyAlignment="1" applyProtection="1">
      <alignment horizontal="left" vertical="center"/>
    </xf>
    <xf numFmtId="0" fontId="245" fillId="6" borderId="56" xfId="0" applyFont="1" applyFill="1" applyBorder="1" applyAlignment="1" applyProtection="1">
      <alignment horizontal="left" vertical="center"/>
    </xf>
    <xf numFmtId="0" fontId="245" fillId="6" borderId="18" xfId="0" applyFont="1" applyFill="1" applyBorder="1" applyAlignment="1" applyProtection="1">
      <alignment horizontal="left"/>
    </xf>
    <xf numFmtId="0" fontId="245" fillId="6" borderId="0" xfId="0" applyFont="1" applyFill="1" applyBorder="1" applyAlignment="1" applyProtection="1">
      <alignment horizontal="left"/>
    </xf>
    <xf numFmtId="0" fontId="245" fillId="6" borderId="56" xfId="0" applyFont="1" applyFill="1" applyBorder="1" applyAlignment="1" applyProtection="1">
      <alignment horizontal="left"/>
    </xf>
    <xf numFmtId="0" fontId="245" fillId="6" borderId="23" xfId="0" applyFont="1" applyFill="1" applyBorder="1" applyAlignment="1" applyProtection="1">
      <alignment horizontal="left"/>
    </xf>
    <xf numFmtId="0" fontId="245" fillId="20" borderId="1" xfId="0" applyFont="1" applyFill="1" applyBorder="1" applyAlignment="1" applyProtection="1">
      <alignment horizontal="left"/>
    </xf>
    <xf numFmtId="0" fontId="245" fillId="6" borderId="1" xfId="0" applyFont="1" applyFill="1" applyBorder="1" applyAlignment="1" applyProtection="1">
      <alignment horizontal="left"/>
    </xf>
    <xf numFmtId="0" fontId="245" fillId="6" borderId="5" xfId="0" applyFont="1" applyFill="1" applyBorder="1" applyAlignment="1" applyProtection="1">
      <alignment horizontal="left"/>
    </xf>
    <xf numFmtId="0" fontId="245" fillId="6" borderId="54" xfId="0" applyFont="1" applyFill="1" applyBorder="1" applyAlignment="1" applyProtection="1">
      <alignment horizontal="left"/>
    </xf>
    <xf numFmtId="0" fontId="245" fillId="6" borderId="48" xfId="0" applyFont="1" applyFill="1" applyBorder="1" applyAlignment="1" applyProtection="1">
      <alignment horizontal="left"/>
    </xf>
    <xf numFmtId="9" fontId="245" fillId="6" borderId="1" xfId="0" applyNumberFormat="1" applyFont="1" applyFill="1" applyBorder="1" applyAlignment="1" applyProtection="1">
      <alignment horizontal="left"/>
    </xf>
    <xf numFmtId="0" fontId="245" fillId="6" borderId="25" xfId="0" applyFont="1" applyFill="1" applyBorder="1" applyAlignment="1" applyProtection="1">
      <alignment horizontal="left"/>
    </xf>
    <xf numFmtId="0" fontId="245" fillId="20" borderId="32" xfId="0" applyFont="1" applyFill="1" applyBorder="1" applyAlignment="1" applyProtection="1">
      <alignment horizontal="left"/>
    </xf>
    <xf numFmtId="0" fontId="245" fillId="6" borderId="32" xfId="0" applyFont="1" applyFill="1" applyBorder="1" applyAlignment="1" applyProtection="1">
      <alignment horizontal="left"/>
    </xf>
    <xf numFmtId="0" fontId="245" fillId="6" borderId="47" xfId="0" applyFont="1" applyFill="1" applyBorder="1" applyAlignment="1" applyProtection="1">
      <alignment horizontal="left"/>
    </xf>
    <xf numFmtId="0" fontId="245" fillId="6" borderId="43" xfId="0" applyFont="1" applyFill="1" applyBorder="1" applyAlignment="1" applyProtection="1">
      <alignment horizontal="left"/>
    </xf>
    <xf numFmtId="0" fontId="245" fillId="0" borderId="0" xfId="0" applyNumberFormat="1" applyFont="1" applyAlignment="1" applyProtection="1">
      <alignment horizontal="left" vertical="center"/>
      <protection locked="0"/>
    </xf>
    <xf numFmtId="0" fontId="77" fillId="6" borderId="1" xfId="0" applyFont="1" applyFill="1" applyBorder="1" applyAlignment="1" applyProtection="1">
      <alignment horizontal="center" vertical="center" wrapText="1"/>
      <protection locked="0"/>
    </xf>
    <xf numFmtId="49" fontId="47" fillId="6" borderId="0" xfId="0" applyNumberFormat="1" applyFont="1" applyFill="1" applyBorder="1" applyAlignment="1" applyProtection="1">
      <alignment horizontal="center" vertical="center" wrapText="1"/>
      <protection locked="0"/>
    </xf>
    <xf numFmtId="0" fontId="47" fillId="6" borderId="35" xfId="0" applyFont="1" applyFill="1" applyBorder="1" applyAlignment="1" applyProtection="1">
      <alignment vertical="center" wrapText="1"/>
      <protection locked="0"/>
    </xf>
    <xf numFmtId="49" fontId="47" fillId="6" borderId="15" xfId="0" applyNumberFormat="1" applyFont="1" applyFill="1" applyBorder="1" applyAlignment="1" applyProtection="1">
      <alignment horizontal="center" vertical="center" wrapText="1"/>
      <protection locked="0"/>
    </xf>
    <xf numFmtId="177" fontId="47" fillId="6" borderId="15" xfId="0" applyNumberFormat="1" applyFont="1" applyFill="1" applyBorder="1" applyAlignment="1" applyProtection="1">
      <alignment horizontal="center" vertical="center" wrapText="1"/>
      <protection locked="0"/>
    </xf>
    <xf numFmtId="179" fontId="47" fillId="6" borderId="15" xfId="0" applyNumberFormat="1" applyFont="1" applyFill="1" applyBorder="1" applyAlignment="1" applyProtection="1">
      <alignment horizontal="center" vertical="center" wrapText="1"/>
      <protection locked="0"/>
    </xf>
    <xf numFmtId="0" fontId="77" fillId="6" borderId="1" xfId="0" applyNumberFormat="1" applyFont="1" applyFill="1" applyBorder="1" applyAlignment="1" applyProtection="1">
      <alignment horizontal="center" vertical="center" wrapText="1"/>
      <protection locked="0"/>
    </xf>
    <xf numFmtId="0" fontId="107" fillId="6" borderId="160" xfId="0" applyNumberFormat="1" applyFont="1" applyFill="1" applyBorder="1" applyAlignment="1" applyProtection="1">
      <alignment horizontal="left" vertical="center"/>
    </xf>
    <xf numFmtId="0" fontId="0" fillId="6" borderId="161" xfId="0" applyNumberFormat="1" applyFill="1" applyBorder="1" applyAlignment="1" applyProtection="1">
      <alignment horizontal="left" vertical="center"/>
    </xf>
    <xf numFmtId="0" fontId="0" fillId="6" borderId="162" xfId="0" applyNumberFormat="1" applyFill="1" applyBorder="1" applyAlignment="1" applyProtection="1">
      <alignment horizontal="left" vertical="center"/>
    </xf>
    <xf numFmtId="0" fontId="0" fillId="0" borderId="161" xfId="0" applyNumberFormat="1" applyBorder="1" applyAlignment="1" applyProtection="1">
      <alignment horizontal="left" vertical="center"/>
      <protection locked="0"/>
    </xf>
    <xf numFmtId="0" fontId="245" fillId="0" borderId="161" xfId="0" applyNumberFormat="1" applyFont="1" applyBorder="1" applyAlignment="1" applyProtection="1">
      <alignment horizontal="left" vertical="center"/>
      <protection locked="0"/>
    </xf>
    <xf numFmtId="0" fontId="0" fillId="6" borderId="40" xfId="0" applyNumberFormat="1" applyFill="1" applyBorder="1" applyAlignment="1" applyProtection="1">
      <alignment horizontal="left" vertical="center"/>
    </xf>
    <xf numFmtId="0" fontId="0" fillId="6" borderId="17" xfId="0" applyNumberFormat="1" applyFill="1" applyBorder="1" applyAlignment="1" applyProtection="1">
      <alignment horizontal="left" vertical="center"/>
    </xf>
    <xf numFmtId="0" fontId="0" fillId="6" borderId="62" xfId="0" applyNumberFormat="1" applyFill="1" applyBorder="1" applyAlignment="1" applyProtection="1">
      <alignment horizontal="left" vertical="center"/>
    </xf>
    <xf numFmtId="0" fontId="0" fillId="0" borderId="0" xfId="0" applyNumberFormat="1" applyAlignment="1" applyProtection="1">
      <alignment horizontal="left" vertical="center"/>
    </xf>
    <xf numFmtId="0" fontId="0" fillId="6" borderId="6" xfId="0" applyNumberFormat="1" applyFill="1" applyBorder="1" applyAlignment="1" applyProtection="1">
      <alignment horizontal="left" vertical="center"/>
    </xf>
    <xf numFmtId="0" fontId="0" fillId="6" borderId="9" xfId="0" applyNumberFormat="1" applyFill="1" applyBorder="1" applyAlignment="1" applyProtection="1">
      <alignment horizontal="left" vertical="center"/>
    </xf>
    <xf numFmtId="0" fontId="0" fillId="6" borderId="28" xfId="0" applyNumberFormat="1" applyFill="1" applyBorder="1" applyAlignment="1" applyProtection="1">
      <alignment horizontal="left" vertical="center"/>
    </xf>
    <xf numFmtId="0" fontId="0" fillId="6" borderId="10" xfId="0" applyNumberFormat="1" applyFill="1" applyBorder="1" applyAlignment="1" applyProtection="1">
      <alignment horizontal="left" vertical="center"/>
    </xf>
    <xf numFmtId="0" fontId="0" fillId="6" borderId="5" xfId="0" applyNumberFormat="1" applyFill="1" applyBorder="1" applyAlignment="1" applyProtection="1">
      <alignment horizontal="left" vertical="center"/>
    </xf>
    <xf numFmtId="0" fontId="95" fillId="6" borderId="23" xfId="0" applyNumberFormat="1" applyFont="1" applyFill="1" applyBorder="1" applyAlignment="1" applyProtection="1">
      <alignment horizontal="left" vertical="center"/>
    </xf>
    <xf numFmtId="0" fontId="95" fillId="6" borderId="14" xfId="0" applyNumberFormat="1" applyFont="1" applyFill="1" applyBorder="1" applyAlignment="1" applyProtection="1">
      <alignment horizontal="left" vertical="center"/>
    </xf>
    <xf numFmtId="0" fontId="0" fillId="6" borderId="58" xfId="0" applyNumberFormat="1" applyFill="1" applyBorder="1" applyAlignment="1" applyProtection="1">
      <alignment horizontal="left" vertical="center"/>
    </xf>
    <xf numFmtId="0" fontId="0" fillId="6" borderId="15" xfId="0" applyNumberFormat="1" applyFill="1" applyBorder="1" applyAlignment="1" applyProtection="1">
      <alignment horizontal="left" vertical="center"/>
    </xf>
    <xf numFmtId="0" fontId="0" fillId="6" borderId="53" xfId="0" applyNumberFormat="1" applyFill="1" applyBorder="1" applyAlignment="1" applyProtection="1">
      <alignment horizontal="left" vertical="center"/>
    </xf>
    <xf numFmtId="0" fontId="95" fillId="6" borderId="25" xfId="0" applyNumberFormat="1" applyFont="1" applyFill="1" applyBorder="1" applyAlignment="1" applyProtection="1">
      <alignment horizontal="left" vertical="center"/>
    </xf>
    <xf numFmtId="0" fontId="0" fillId="6" borderId="33" xfId="0" applyNumberFormat="1" applyFill="1" applyBorder="1" applyAlignment="1" applyProtection="1">
      <alignment horizontal="left" vertical="center"/>
    </xf>
    <xf numFmtId="0" fontId="0" fillId="6" borderId="49" xfId="0" applyNumberFormat="1" applyFill="1" applyBorder="1" applyAlignment="1" applyProtection="1">
      <alignment horizontal="left" vertical="center"/>
    </xf>
    <xf numFmtId="0" fontId="106" fillId="6" borderId="6" xfId="0" applyNumberFormat="1" applyFont="1" applyFill="1" applyBorder="1" applyAlignment="1" applyProtection="1">
      <alignment horizontal="left" vertical="center" wrapText="1"/>
    </xf>
    <xf numFmtId="0" fontId="106" fillId="6" borderId="9" xfId="0" applyNumberFormat="1" applyFont="1" applyFill="1" applyBorder="1" applyAlignment="1" applyProtection="1">
      <alignment horizontal="left" vertical="center" wrapText="1"/>
    </xf>
    <xf numFmtId="0" fontId="106" fillId="6" borderId="10" xfId="0" applyNumberFormat="1" applyFont="1" applyFill="1" applyBorder="1" applyAlignment="1" applyProtection="1">
      <alignment horizontal="left" vertical="center" wrapText="1"/>
    </xf>
    <xf numFmtId="0" fontId="106" fillId="6" borderId="23" xfId="0" applyNumberFormat="1" applyFont="1" applyFill="1" applyBorder="1" applyAlignment="1" applyProtection="1">
      <alignment horizontal="left" vertical="center" wrapText="1"/>
    </xf>
    <xf numFmtId="0" fontId="106" fillId="6" borderId="1" xfId="0" applyNumberFormat="1" applyFont="1" applyFill="1" applyBorder="1" applyAlignment="1" applyProtection="1">
      <alignment horizontal="left" vertical="center" wrapText="1"/>
    </xf>
    <xf numFmtId="0" fontId="106" fillId="6" borderId="24" xfId="0" applyNumberFormat="1" applyFont="1" applyFill="1" applyBorder="1" applyAlignment="1" applyProtection="1">
      <alignment horizontal="left" vertical="center" wrapText="1"/>
    </xf>
    <xf numFmtId="0" fontId="106" fillId="6" borderId="11" xfId="0" applyNumberFormat="1" applyFont="1" applyFill="1" applyBorder="1" applyAlignment="1" applyProtection="1">
      <alignment horizontal="left" vertical="center" wrapText="1"/>
    </xf>
    <xf numFmtId="0" fontId="106" fillId="6" borderId="13" xfId="0" applyNumberFormat="1" applyFont="1" applyFill="1" applyBorder="1" applyAlignment="1" applyProtection="1">
      <alignment horizontal="left" vertical="center" wrapText="1"/>
    </xf>
    <xf numFmtId="0" fontId="106" fillId="6" borderId="61" xfId="0" applyNumberFormat="1" applyFont="1" applyFill="1" applyBorder="1" applyAlignment="1" applyProtection="1">
      <alignment horizontal="left" vertical="center" wrapText="1"/>
    </xf>
    <xf numFmtId="0" fontId="219" fillId="6" borderId="60" xfId="0" applyNumberFormat="1" applyFont="1" applyFill="1" applyBorder="1" applyAlignment="1" applyProtection="1">
      <alignment horizontal="left" vertical="center"/>
    </xf>
    <xf numFmtId="0" fontId="219" fillId="6" borderId="0" xfId="0" applyNumberFormat="1" applyFont="1" applyFill="1" applyBorder="1" applyAlignment="1" applyProtection="1">
      <alignment horizontal="left" vertical="center"/>
    </xf>
    <xf numFmtId="0" fontId="247" fillId="0" borderId="0" xfId="0" applyNumberFormat="1" applyFont="1" applyAlignment="1" applyProtection="1">
      <alignment horizontal="left" vertical="center"/>
    </xf>
    <xf numFmtId="0" fontId="106" fillId="6" borderId="46" xfId="0" applyNumberFormat="1" applyFont="1" applyFill="1" applyBorder="1" applyAlignment="1" applyProtection="1">
      <alignment horizontal="left" vertical="center" wrapText="1"/>
    </xf>
    <xf numFmtId="0" fontId="106" fillId="6" borderId="22" xfId="0" applyNumberFormat="1" applyFont="1" applyFill="1" applyBorder="1" applyAlignment="1" applyProtection="1">
      <alignment horizontal="left" vertical="center" wrapText="1"/>
    </xf>
    <xf numFmtId="0" fontId="106" fillId="6" borderId="0" xfId="0" applyNumberFormat="1" applyFont="1" applyFill="1" applyBorder="1" applyAlignment="1" applyProtection="1">
      <alignment horizontal="left" vertical="center" wrapText="1"/>
    </xf>
    <xf numFmtId="0" fontId="106" fillId="6" borderId="28" xfId="0" applyNumberFormat="1" applyFont="1" applyFill="1" applyBorder="1" applyAlignment="1" applyProtection="1">
      <alignment horizontal="left" vertical="center"/>
    </xf>
    <xf numFmtId="0" fontId="106" fillId="6" borderId="30" xfId="0" applyNumberFormat="1" applyFont="1" applyFill="1" applyBorder="1" applyAlignment="1" applyProtection="1">
      <alignment horizontal="left" vertical="center"/>
    </xf>
    <xf numFmtId="0" fontId="106" fillId="6" borderId="10" xfId="0" applyNumberFormat="1" applyFont="1" applyFill="1" applyBorder="1" applyAlignment="1" applyProtection="1">
      <alignment horizontal="left" vertical="center"/>
    </xf>
    <xf numFmtId="0" fontId="106" fillId="6" borderId="0" xfId="0" applyNumberFormat="1" applyFont="1" applyFill="1" applyBorder="1" applyAlignment="1" applyProtection="1">
      <alignment horizontal="left" vertical="center"/>
    </xf>
    <xf numFmtId="0" fontId="106" fillId="6" borderId="5" xfId="0" applyNumberFormat="1" applyFont="1" applyFill="1" applyBorder="1" applyAlignment="1" applyProtection="1">
      <alignment horizontal="left" vertical="center"/>
    </xf>
    <xf numFmtId="0" fontId="106" fillId="6" borderId="3" xfId="0" applyNumberFormat="1" applyFont="1" applyFill="1" applyBorder="1" applyAlignment="1" applyProtection="1">
      <alignment horizontal="left" vertical="center"/>
    </xf>
    <xf numFmtId="0" fontId="106" fillId="6" borderId="24" xfId="0" applyNumberFormat="1" applyFont="1" applyFill="1" applyBorder="1" applyAlignment="1" applyProtection="1">
      <alignment horizontal="left" vertical="center"/>
    </xf>
    <xf numFmtId="0" fontId="106" fillId="6" borderId="33" xfId="0" applyNumberFormat="1" applyFont="1" applyFill="1" applyBorder="1" applyAlignment="1" applyProtection="1">
      <alignment horizontal="left" vertical="center"/>
    </xf>
    <xf numFmtId="0" fontId="106" fillId="6" borderId="66" xfId="0" applyNumberFormat="1" applyFont="1" applyFill="1" applyBorder="1" applyAlignment="1" applyProtection="1">
      <alignment horizontal="left" vertical="center"/>
    </xf>
    <xf numFmtId="0" fontId="106" fillId="6" borderId="49" xfId="0" applyNumberFormat="1" applyFont="1" applyFill="1" applyBorder="1" applyAlignment="1" applyProtection="1">
      <alignment horizontal="left" vertical="center"/>
    </xf>
    <xf numFmtId="0" fontId="106" fillId="6" borderId="26" xfId="0" applyNumberFormat="1" applyFont="1" applyFill="1" applyBorder="1" applyAlignment="1" applyProtection="1">
      <alignment horizontal="left" vertical="center"/>
    </xf>
    <xf numFmtId="0" fontId="106" fillId="6" borderId="84" xfId="0" applyNumberFormat="1" applyFont="1" applyFill="1" applyBorder="1" applyAlignment="1" applyProtection="1">
      <alignment horizontal="left" vertical="center"/>
    </xf>
    <xf numFmtId="0" fontId="106" fillId="6" borderId="34" xfId="0" applyNumberFormat="1" applyFont="1" applyFill="1" applyBorder="1" applyAlignment="1" applyProtection="1">
      <alignment horizontal="left" vertical="center"/>
    </xf>
    <xf numFmtId="0" fontId="106" fillId="6" borderId="70" xfId="0" applyNumberFormat="1" applyFont="1" applyFill="1" applyBorder="1" applyAlignment="1" applyProtection="1">
      <alignment horizontal="left" vertical="center"/>
    </xf>
    <xf numFmtId="0" fontId="106" fillId="6" borderId="67" xfId="0" applyNumberFormat="1" applyFont="1" applyFill="1" applyBorder="1" applyAlignment="1" applyProtection="1">
      <alignment horizontal="left" vertical="center"/>
    </xf>
    <xf numFmtId="0" fontId="106" fillId="6" borderId="1" xfId="0" applyNumberFormat="1" applyFont="1" applyFill="1" applyBorder="1" applyAlignment="1" applyProtection="1">
      <alignment horizontal="left" vertical="center"/>
    </xf>
    <xf numFmtId="0" fontId="106" fillId="0" borderId="0" xfId="0" applyNumberFormat="1" applyFont="1" applyBorder="1" applyAlignment="1" applyProtection="1">
      <alignment horizontal="left" vertical="center"/>
    </xf>
    <xf numFmtId="0" fontId="106" fillId="6" borderId="4"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wrapText="1"/>
    </xf>
    <xf numFmtId="0" fontId="106" fillId="6" borderId="7" xfId="0" applyNumberFormat="1" applyFont="1" applyFill="1" applyBorder="1" applyAlignment="1" applyProtection="1">
      <alignment horizontal="left" vertical="center" wrapText="1"/>
    </xf>
    <xf numFmtId="0" fontId="106" fillId="6" borderId="3" xfId="0" applyNumberFormat="1" applyFont="1" applyFill="1" applyBorder="1" applyAlignment="1" applyProtection="1">
      <alignment horizontal="left" vertical="center" wrapText="1"/>
    </xf>
    <xf numFmtId="0" fontId="106" fillId="6" borderId="2" xfId="0" applyNumberFormat="1" applyFont="1" applyFill="1" applyBorder="1" applyAlignment="1" applyProtection="1">
      <alignment horizontal="left" vertical="center"/>
    </xf>
    <xf numFmtId="0" fontId="106" fillId="6" borderId="0" xfId="0" applyNumberFormat="1" applyFont="1" applyFill="1" applyAlignment="1" applyProtection="1">
      <alignment horizontal="left" vertical="center"/>
    </xf>
    <xf numFmtId="0" fontId="111" fillId="6" borderId="60" xfId="0" applyNumberFormat="1" applyFont="1" applyFill="1" applyBorder="1" applyAlignment="1" applyProtection="1">
      <alignment horizontal="left" vertical="center"/>
    </xf>
    <xf numFmtId="176" fontId="248" fillId="0" borderId="0" xfId="3" applyNumberFormat="1" applyFont="1" applyBorder="1" applyAlignment="1" applyProtection="1">
      <alignment horizontal="left" vertical="center"/>
    </xf>
    <xf numFmtId="176" fontId="249" fillId="6" borderId="6"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xf>
    <xf numFmtId="176" fontId="249" fillId="6" borderId="9" xfId="3" applyNumberFormat="1" applyFont="1" applyFill="1" applyBorder="1" applyAlignment="1" applyProtection="1">
      <alignment horizontal="left" vertical="center" wrapText="1"/>
    </xf>
    <xf numFmtId="176" fontId="249" fillId="6" borderId="17" xfId="3" applyNumberFormat="1" applyFont="1" applyFill="1" applyBorder="1" applyAlignment="1" applyProtection="1">
      <alignment horizontal="left" vertical="center"/>
    </xf>
    <xf numFmtId="176" fontId="249" fillId="6" borderId="62"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xf>
    <xf numFmtId="176" fontId="250" fillId="6" borderId="1" xfId="3" applyNumberFormat="1" applyFont="1" applyFill="1" applyBorder="1" applyAlignment="1" applyProtection="1">
      <alignment horizontal="left" vertical="center"/>
    </xf>
    <xf numFmtId="176" fontId="250" fillId="6" borderId="24" xfId="3" applyNumberFormat="1" applyFont="1" applyFill="1" applyBorder="1" applyAlignment="1" applyProtection="1">
      <alignment horizontal="left" vertical="center"/>
    </xf>
    <xf numFmtId="176" fontId="249" fillId="6" borderId="23" xfId="3" applyNumberFormat="1" applyFont="1" applyFill="1" applyBorder="1" applyAlignment="1" applyProtection="1">
      <alignment horizontal="left" vertical="center" wrapText="1"/>
    </xf>
    <xf numFmtId="176" fontId="249" fillId="6" borderId="25" xfId="3" applyNumberFormat="1" applyFont="1" applyFill="1" applyBorder="1" applyAlignment="1" applyProtection="1">
      <alignment horizontal="left" vertical="center" wrapText="1"/>
    </xf>
    <xf numFmtId="176" fontId="250" fillId="6" borderId="32" xfId="3" applyNumberFormat="1" applyFont="1" applyFill="1" applyBorder="1" applyAlignment="1" applyProtection="1">
      <alignment horizontal="left" vertical="center"/>
    </xf>
    <xf numFmtId="176" fontId="250" fillId="6" borderId="49" xfId="3" applyNumberFormat="1" applyFont="1" applyFill="1" applyBorder="1" applyAlignment="1" applyProtection="1">
      <alignment horizontal="left" vertical="center"/>
    </xf>
    <xf numFmtId="176" fontId="247" fillId="0" borderId="0" xfId="0" applyNumberFormat="1" applyFont="1" applyAlignment="1" applyProtection="1">
      <alignment horizontal="left" vertical="center"/>
    </xf>
    <xf numFmtId="176" fontId="245" fillId="0" borderId="0" xfId="0" applyNumberFormat="1" applyFont="1" applyAlignment="1" applyProtection="1">
      <alignment horizontal="left" vertical="center"/>
    </xf>
    <xf numFmtId="176" fontId="245" fillId="6" borderId="1" xfId="0" applyNumberFormat="1" applyFont="1" applyFill="1" applyBorder="1" applyAlignment="1" applyProtection="1">
      <alignment horizontal="left" vertical="center"/>
    </xf>
    <xf numFmtId="0" fontId="102" fillId="0" borderId="119" xfId="9" applyNumberFormat="1" applyFont="1" applyBorder="1" applyAlignment="1" applyProtection="1">
      <alignment horizontal="left" vertical="center"/>
    </xf>
    <xf numFmtId="0" fontId="102" fillId="6" borderId="120" xfId="9" applyNumberFormat="1" applyFont="1" applyFill="1" applyBorder="1" applyAlignment="1" applyProtection="1">
      <alignment horizontal="left" vertical="center"/>
    </xf>
    <xf numFmtId="0" fontId="102" fillId="6" borderId="119" xfId="9" applyNumberFormat="1" applyFont="1" applyFill="1" applyBorder="1" applyAlignment="1" applyProtection="1">
      <alignment horizontal="left" vertical="center"/>
    </xf>
    <xf numFmtId="0" fontId="97" fillId="6" borderId="119" xfId="10" applyNumberFormat="1" applyFont="1" applyFill="1" applyBorder="1" applyAlignment="1" applyProtection="1">
      <alignment horizontal="left" vertical="center"/>
    </xf>
    <xf numFmtId="0" fontId="22" fillId="6" borderId="119" xfId="10" applyNumberFormat="1" applyFont="1" applyFill="1" applyBorder="1" applyAlignment="1" applyProtection="1">
      <alignment horizontal="left" vertical="center"/>
    </xf>
    <xf numFmtId="0" fontId="102" fillId="17" borderId="119" xfId="9" applyNumberFormat="1" applyFont="1" applyFill="1" applyBorder="1" applyAlignment="1" applyProtection="1">
      <alignment horizontal="left" vertical="center"/>
    </xf>
    <xf numFmtId="0" fontId="251" fillId="15" borderId="0" xfId="9" applyNumberFormat="1" applyFont="1" applyFill="1" applyAlignment="1" applyProtection="1">
      <alignment horizontal="left" vertical="center"/>
    </xf>
    <xf numFmtId="0" fontId="242" fillId="15" borderId="121" xfId="9" applyNumberFormat="1" applyFont="1" applyFill="1" applyBorder="1" applyAlignment="1" applyProtection="1">
      <alignment horizontal="left" vertical="center"/>
    </xf>
    <xf numFmtId="0" fontId="242" fillId="15" borderId="0" xfId="9" applyNumberFormat="1" applyFont="1" applyFill="1" applyBorder="1" applyAlignment="1" applyProtection="1">
      <alignment horizontal="left" vertical="center"/>
    </xf>
    <xf numFmtId="0" fontId="242" fillId="17" borderId="0" xfId="9" applyNumberFormat="1" applyFont="1" applyFill="1" applyAlignment="1" applyProtection="1">
      <alignment horizontal="left" vertical="center"/>
    </xf>
    <xf numFmtId="10" fontId="242" fillId="15" borderId="121" xfId="9" applyNumberFormat="1" applyFont="1" applyFill="1" applyBorder="1" applyAlignment="1" applyProtection="1">
      <alignment horizontal="left" vertical="center"/>
    </xf>
    <xf numFmtId="10" fontId="242" fillId="15" borderId="0" xfId="9" applyNumberFormat="1" applyFont="1" applyFill="1" applyAlignment="1" applyProtection="1">
      <alignment horizontal="left" vertical="center"/>
    </xf>
    <xf numFmtId="0" fontId="167" fillId="15" borderId="0" xfId="9" applyNumberFormat="1" applyFont="1" applyFill="1" applyAlignment="1" applyProtection="1">
      <alignment horizontal="left" vertical="center"/>
    </xf>
    <xf numFmtId="0" fontId="167" fillId="15" borderId="163" xfId="9" applyNumberFormat="1" applyFont="1" applyFill="1" applyBorder="1" applyAlignment="1" applyProtection="1">
      <alignment horizontal="left" vertical="center"/>
    </xf>
    <xf numFmtId="10" fontId="167" fillId="15" borderId="0" xfId="9" applyNumberFormat="1" applyFont="1" applyFill="1" applyAlignment="1" applyProtection="1">
      <alignment horizontal="left" vertical="center"/>
    </xf>
    <xf numFmtId="10" fontId="167" fillId="15" borderId="163" xfId="9" applyNumberFormat="1" applyFont="1" applyFill="1" applyBorder="1" applyAlignment="1" applyProtection="1">
      <alignment horizontal="left" vertical="center"/>
    </xf>
    <xf numFmtId="10" fontId="167" fillId="15" borderId="164" xfId="9" applyNumberFormat="1" applyFont="1" applyFill="1" applyBorder="1" applyAlignment="1" applyProtection="1">
      <alignment horizontal="left" vertical="center"/>
    </xf>
    <xf numFmtId="10" fontId="167" fillId="15" borderId="165" xfId="9" applyNumberFormat="1" applyFont="1" applyFill="1" applyBorder="1" applyAlignment="1" applyProtection="1">
      <alignment horizontal="left" vertical="center"/>
    </xf>
    <xf numFmtId="0" fontId="242" fillId="15" borderId="0" xfId="9" applyNumberFormat="1" applyFont="1" applyFill="1" applyAlignment="1" applyProtection="1">
      <alignment horizontal="left" vertical="center"/>
    </xf>
    <xf numFmtId="0" fontId="102" fillId="0" borderId="0" xfId="9" applyNumberFormat="1" applyFont="1" applyFill="1" applyAlignment="1" applyProtection="1">
      <alignment horizontal="left" vertical="center"/>
    </xf>
    <xf numFmtId="0" fontId="102" fillId="0" borderId="121" xfId="9" applyNumberFormat="1" applyFont="1" applyFill="1" applyBorder="1" applyAlignment="1" applyProtection="1">
      <alignment horizontal="left" vertical="center"/>
    </xf>
    <xf numFmtId="0" fontId="102" fillId="0" borderId="0" xfId="9" applyNumberFormat="1" applyFont="1" applyFill="1" applyBorder="1" applyAlignment="1" applyProtection="1">
      <alignment horizontal="left" vertical="center"/>
    </xf>
    <xf numFmtId="0" fontId="102" fillId="17" borderId="0" xfId="9" applyNumberFormat="1" applyFont="1" applyFill="1" applyAlignment="1" applyProtection="1">
      <alignment horizontal="left" vertical="center"/>
    </xf>
    <xf numFmtId="10" fontId="102" fillId="0" borderId="121" xfId="9" applyNumberFormat="1" applyFont="1" applyFill="1" applyBorder="1" applyAlignment="1" applyProtection="1">
      <alignment horizontal="left" vertical="center"/>
    </xf>
    <xf numFmtId="10" fontId="102" fillId="0" borderId="0" xfId="9" applyNumberFormat="1" applyFont="1" applyFill="1" applyAlignment="1" applyProtection="1">
      <alignment horizontal="left" vertical="center"/>
    </xf>
    <xf numFmtId="0" fontId="99" fillId="0" borderId="0" xfId="9" applyNumberFormat="1" applyFont="1" applyAlignment="1" applyProtection="1">
      <alignment horizontal="left" vertical="center"/>
    </xf>
    <xf numFmtId="0" fontId="99" fillId="0" borderId="163" xfId="9" applyNumberFormat="1" applyFont="1" applyBorder="1" applyAlignment="1" applyProtection="1">
      <alignment horizontal="left" vertical="center"/>
    </xf>
    <xf numFmtId="0" fontId="99" fillId="0" borderId="164" xfId="9" applyNumberFormat="1" applyFont="1" applyBorder="1" applyAlignment="1" applyProtection="1">
      <alignment horizontal="left" vertical="center"/>
    </xf>
    <xf numFmtId="0" fontId="99" fillId="0" borderId="165" xfId="9" applyNumberFormat="1" applyFont="1" applyBorder="1" applyAlignment="1" applyProtection="1">
      <alignment horizontal="left" vertical="center"/>
    </xf>
    <xf numFmtId="10" fontId="99" fillId="0" borderId="0" xfId="9" applyNumberFormat="1" applyFont="1" applyAlignment="1" applyProtection="1">
      <alignment horizontal="left" vertical="center"/>
    </xf>
    <xf numFmtId="10" fontId="99" fillId="0" borderId="163" xfId="9" applyNumberFormat="1" applyFont="1" applyBorder="1" applyAlignment="1" applyProtection="1">
      <alignment horizontal="left" vertical="center"/>
    </xf>
    <xf numFmtId="10" fontId="99" fillId="0" borderId="164" xfId="9" applyNumberFormat="1" applyFont="1" applyBorder="1" applyAlignment="1" applyProtection="1">
      <alignment horizontal="left" vertical="center"/>
    </xf>
    <xf numFmtId="10" fontId="99" fillId="0" borderId="165" xfId="9" applyNumberFormat="1" applyFont="1" applyBorder="1" applyAlignment="1" applyProtection="1">
      <alignment horizontal="left" vertical="center"/>
    </xf>
    <xf numFmtId="0" fontId="53" fillId="6" borderId="1" xfId="9" applyNumberFormat="1" applyFont="1" applyFill="1" applyBorder="1" applyAlignment="1" applyProtection="1">
      <alignment horizontal="left" vertical="center" wrapText="1"/>
    </xf>
    <xf numFmtId="0" fontId="142" fillId="11" borderId="125" xfId="9" applyNumberFormat="1" applyFont="1" applyFill="1" applyBorder="1" applyAlignment="1" applyProtection="1">
      <alignment horizontal="left" vertical="center" wrapText="1"/>
    </xf>
    <xf numFmtId="0" fontId="142" fillId="12" borderId="126" xfId="9" applyNumberFormat="1" applyFont="1" applyFill="1" applyBorder="1" applyAlignment="1" applyProtection="1">
      <alignment horizontal="left" vertical="center" wrapText="1"/>
    </xf>
    <xf numFmtId="0" fontId="142" fillId="12" borderId="126" xfId="16" applyNumberFormat="1" applyFont="1" applyFill="1" applyBorder="1" applyAlignment="1" applyProtection="1">
      <alignment horizontal="left" vertical="center" wrapText="1"/>
    </xf>
    <xf numFmtId="0" fontId="142" fillId="12" borderId="130" xfId="16" applyNumberFormat="1" applyFont="1" applyFill="1" applyBorder="1" applyAlignment="1" applyProtection="1">
      <alignment horizontal="left" vertical="center" wrapText="1"/>
    </xf>
    <xf numFmtId="0" fontId="99" fillId="17" borderId="0" xfId="9" applyNumberFormat="1" applyFont="1" applyFill="1" applyAlignment="1" applyProtection="1">
      <alignment horizontal="left" vertical="center"/>
    </xf>
    <xf numFmtId="10" fontId="99" fillId="0" borderId="121" xfId="9" applyNumberFormat="1" applyFont="1" applyBorder="1" applyAlignment="1" applyProtection="1">
      <alignment horizontal="left" vertical="center"/>
    </xf>
    <xf numFmtId="0" fontId="99" fillId="0" borderId="0" xfId="9" applyNumberFormat="1" applyFont="1" applyFill="1" applyAlignment="1" applyProtection="1">
      <alignment horizontal="left" vertical="center"/>
    </xf>
    <xf numFmtId="10" fontId="99" fillId="0" borderId="0" xfId="9" applyNumberFormat="1" applyFont="1" applyFill="1" applyAlignment="1" applyProtection="1">
      <alignment horizontal="left" vertical="center"/>
    </xf>
    <xf numFmtId="0" fontId="143" fillId="13" borderId="0" xfId="9" applyNumberFormat="1" applyFont="1" applyFill="1" applyAlignment="1" applyProtection="1">
      <alignment horizontal="left" vertical="center"/>
    </xf>
    <xf numFmtId="0" fontId="54" fillId="21" borderId="1" xfId="9" applyNumberFormat="1" applyFont="1" applyFill="1" applyBorder="1" applyAlignment="1" applyProtection="1">
      <alignment horizontal="left" vertical="center" wrapText="1"/>
    </xf>
    <xf numFmtId="0" fontId="252" fillId="21" borderId="125" xfId="9" applyNumberFormat="1" applyFont="1" applyFill="1" applyBorder="1" applyAlignment="1" applyProtection="1">
      <alignment horizontal="left" vertical="center" wrapText="1"/>
    </xf>
    <xf numFmtId="0" fontId="252" fillId="21" borderId="126" xfId="9" applyNumberFormat="1" applyFont="1" applyFill="1" applyBorder="1" applyAlignment="1" applyProtection="1">
      <alignment horizontal="left" vertical="center" wrapText="1"/>
    </xf>
    <xf numFmtId="0" fontId="252" fillId="21" borderId="126" xfId="16" applyNumberFormat="1" applyFont="1" applyFill="1" applyBorder="1" applyAlignment="1" applyProtection="1">
      <alignment horizontal="left" vertical="center" wrapText="1"/>
    </xf>
    <xf numFmtId="0" fontId="252" fillId="21" borderId="135" xfId="16" applyNumberFormat="1" applyFont="1" applyFill="1" applyBorder="1" applyAlignment="1" applyProtection="1">
      <alignment horizontal="left" vertical="center" wrapText="1"/>
    </xf>
    <xf numFmtId="0" fontId="252" fillId="21" borderId="130" xfId="16" applyNumberFormat="1" applyFont="1" applyFill="1" applyBorder="1" applyAlignment="1" applyProtection="1">
      <alignment horizontal="left" vertical="center" wrapText="1"/>
    </xf>
    <xf numFmtId="0" fontId="102" fillId="21" borderId="0" xfId="9" applyNumberFormat="1" applyFont="1" applyFill="1" applyAlignment="1" applyProtection="1">
      <alignment horizontal="left" vertical="center"/>
    </xf>
    <xf numFmtId="10" fontId="102" fillId="21" borderId="121" xfId="9" applyNumberFormat="1" applyFont="1" applyFill="1" applyBorder="1" applyAlignment="1" applyProtection="1">
      <alignment horizontal="left" vertical="center"/>
    </xf>
    <xf numFmtId="10" fontId="102" fillId="21" borderId="0" xfId="9" applyNumberFormat="1" applyFont="1" applyFill="1" applyAlignment="1" applyProtection="1">
      <alignment horizontal="left" vertical="center"/>
    </xf>
    <xf numFmtId="0" fontId="143" fillId="21" borderId="0" xfId="9" applyNumberFormat="1" applyFont="1" applyFill="1" applyAlignment="1" applyProtection="1">
      <alignment horizontal="left" vertical="center"/>
    </xf>
    <xf numFmtId="0" fontId="142" fillId="12" borderId="135" xfId="16" applyNumberFormat="1" applyFont="1" applyFill="1" applyBorder="1" applyAlignment="1" applyProtection="1">
      <alignment horizontal="left" vertical="center" wrapText="1"/>
    </xf>
    <xf numFmtId="0" fontId="53" fillId="18" borderId="166" xfId="9" applyNumberFormat="1" applyFont="1" applyFill="1" applyBorder="1" applyAlignment="1" applyProtection="1">
      <alignment horizontal="left" vertical="center" wrapText="1"/>
    </xf>
    <xf numFmtId="0" fontId="142" fillId="18" borderId="167" xfId="9" applyNumberFormat="1" applyFont="1" applyFill="1" applyBorder="1" applyAlignment="1" applyProtection="1">
      <alignment horizontal="left" vertical="center" wrapText="1"/>
    </xf>
    <xf numFmtId="0" fontId="142" fillId="18" borderId="168" xfId="9" applyNumberFormat="1" applyFont="1" applyFill="1" applyBorder="1" applyAlignment="1" applyProtection="1">
      <alignment horizontal="left" vertical="center" wrapText="1"/>
    </xf>
    <xf numFmtId="0" fontId="142" fillId="18" borderId="168" xfId="16" applyNumberFormat="1" applyFont="1" applyFill="1" applyBorder="1" applyAlignment="1" applyProtection="1">
      <alignment horizontal="left" vertical="center" wrapText="1"/>
    </xf>
    <xf numFmtId="0" fontId="142" fillId="18" borderId="169" xfId="16" applyNumberFormat="1" applyFont="1" applyFill="1" applyBorder="1" applyAlignment="1" applyProtection="1">
      <alignment horizontal="left" vertical="center" wrapText="1"/>
    </xf>
    <xf numFmtId="0" fontId="142" fillId="18" borderId="170" xfId="16" applyNumberFormat="1" applyFont="1" applyFill="1" applyBorder="1" applyAlignment="1" applyProtection="1">
      <alignment horizontal="left" vertical="center" wrapText="1"/>
    </xf>
    <xf numFmtId="0" fontId="99" fillId="17" borderId="171" xfId="9" applyNumberFormat="1" applyFont="1" applyFill="1" applyBorder="1" applyAlignment="1" applyProtection="1">
      <alignment horizontal="left" vertical="center"/>
    </xf>
    <xf numFmtId="10" fontId="99" fillId="18" borderId="172" xfId="9" applyNumberFormat="1" applyFont="1" applyFill="1" applyBorder="1" applyAlignment="1" applyProtection="1">
      <alignment horizontal="left" vertical="center"/>
    </xf>
    <xf numFmtId="10" fontId="99" fillId="18" borderId="171" xfId="9" applyNumberFormat="1" applyFont="1" applyFill="1" applyBorder="1" applyAlignment="1" applyProtection="1">
      <alignment horizontal="left" vertical="center"/>
    </xf>
    <xf numFmtId="0" fontId="99" fillId="18" borderId="171" xfId="9" applyNumberFormat="1" applyFont="1" applyFill="1" applyBorder="1" applyAlignment="1" applyProtection="1">
      <alignment horizontal="left" vertical="center"/>
    </xf>
    <xf numFmtId="0" fontId="143" fillId="18" borderId="171" xfId="9" applyNumberFormat="1" applyFont="1" applyFill="1" applyBorder="1" applyAlignment="1" applyProtection="1">
      <alignment horizontal="left" vertical="center"/>
    </xf>
    <xf numFmtId="0" fontId="95" fillId="0" borderId="0" xfId="0" applyNumberFormat="1" applyFont="1">
      <alignment vertical="center"/>
    </xf>
    <xf numFmtId="0" fontId="102" fillId="0" borderId="0" xfId="9" applyNumberFormat="1" applyFont="1" applyAlignment="1" applyProtection="1">
      <alignment horizontal="left" vertical="center"/>
    </xf>
    <xf numFmtId="0" fontId="140" fillId="0" borderId="0" xfId="9" applyNumberFormat="1" applyFont="1" applyAlignment="1" applyProtection="1">
      <alignment vertical="center"/>
    </xf>
    <xf numFmtId="0" fontId="102" fillId="0" borderId="0" xfId="9" applyNumberFormat="1" applyFont="1" applyAlignment="1" applyProtection="1">
      <alignment vertical="center"/>
    </xf>
    <xf numFmtId="10" fontId="99" fillId="0" borderId="163" xfId="9" applyNumberFormat="1" applyFont="1" applyFill="1" applyBorder="1" applyAlignment="1" applyProtection="1">
      <alignment horizontal="left" vertical="center"/>
    </xf>
    <xf numFmtId="10" fontId="99" fillId="0" borderId="165" xfId="9" applyNumberFormat="1" applyFont="1" applyFill="1" applyBorder="1" applyAlignment="1" applyProtection="1">
      <alignment horizontal="left" vertical="center"/>
    </xf>
    <xf numFmtId="10" fontId="99" fillId="0" borderId="164" xfId="9" applyNumberFormat="1" applyFont="1" applyFill="1" applyBorder="1" applyAlignment="1" applyProtection="1">
      <alignment horizontal="left" vertical="center"/>
    </xf>
    <xf numFmtId="10" fontId="102" fillId="21" borderId="163" xfId="9" applyNumberFormat="1" applyFont="1" applyFill="1" applyBorder="1" applyAlignment="1" applyProtection="1">
      <alignment horizontal="left" vertical="center"/>
    </xf>
    <xf numFmtId="10" fontId="102" fillId="21" borderId="164" xfId="9" applyNumberFormat="1" applyFont="1" applyFill="1" applyBorder="1" applyAlignment="1" applyProtection="1">
      <alignment horizontal="left" vertical="center"/>
    </xf>
    <xf numFmtId="10" fontId="102" fillId="21" borderId="165" xfId="9" applyNumberFormat="1" applyFont="1" applyFill="1" applyBorder="1" applyAlignment="1" applyProtection="1">
      <alignment horizontal="left" vertical="center"/>
    </xf>
    <xf numFmtId="10" fontId="99" fillId="18" borderId="173" xfId="9" applyNumberFormat="1" applyFont="1" applyFill="1" applyBorder="1" applyAlignment="1" applyProtection="1">
      <alignment horizontal="left" vertical="center"/>
    </xf>
    <xf numFmtId="10" fontId="99" fillId="18" borderId="174" xfId="9" applyNumberFormat="1" applyFont="1" applyFill="1" applyBorder="1" applyAlignment="1" applyProtection="1">
      <alignment horizontal="left" vertical="center"/>
    </xf>
    <xf numFmtId="10" fontId="99" fillId="18" borderId="175" xfId="9" applyNumberFormat="1" applyFont="1" applyFill="1" applyBorder="1" applyAlignment="1" applyProtection="1">
      <alignment horizontal="left" vertical="center"/>
    </xf>
    <xf numFmtId="14" fontId="0" fillId="6" borderId="0" xfId="0" applyNumberFormat="1" applyFill="1" applyAlignment="1">
      <alignment horizontal="left" vertical="center"/>
    </xf>
    <xf numFmtId="0" fontId="245" fillId="6" borderId="18" xfId="0" applyNumberFormat="1" applyFont="1" applyFill="1" applyBorder="1" applyAlignment="1" applyProtection="1">
      <alignment horizontal="left" vertical="center"/>
    </xf>
    <xf numFmtId="0" fontId="245" fillId="6" borderId="40" xfId="0" applyNumberFormat="1" applyFont="1" applyFill="1" applyBorder="1" applyAlignment="1" applyProtection="1">
      <alignment horizontal="left" vertical="center"/>
    </xf>
    <xf numFmtId="0" fontId="245" fillId="6" borderId="17" xfId="0" applyNumberFormat="1" applyFont="1" applyFill="1" applyBorder="1" applyAlignment="1" applyProtection="1">
      <alignment horizontal="left" vertical="center"/>
    </xf>
    <xf numFmtId="0" fontId="245" fillId="6" borderId="62" xfId="0" applyNumberFormat="1" applyFont="1" applyFill="1" applyBorder="1" applyAlignment="1" applyProtection="1">
      <alignment horizontal="left" vertical="center"/>
    </xf>
    <xf numFmtId="0" fontId="245" fillId="6" borderId="0" xfId="0" applyNumberFormat="1" applyFont="1" applyFill="1" applyAlignment="1" applyProtection="1">
      <alignment horizontal="left" vertical="center"/>
    </xf>
    <xf numFmtId="0" fontId="254" fillId="6" borderId="47" xfId="0" applyNumberFormat="1" applyFont="1" applyFill="1" applyBorder="1" applyAlignment="1" applyProtection="1">
      <alignment vertical="center"/>
    </xf>
    <xf numFmtId="0" fontId="254" fillId="6" borderId="43" xfId="0" applyNumberFormat="1" applyFont="1" applyFill="1" applyBorder="1" applyAlignment="1" applyProtection="1">
      <alignment horizontal="right" vertical="center"/>
    </xf>
    <xf numFmtId="0" fontId="254" fillId="6" borderId="9" xfId="0" applyNumberFormat="1" applyFont="1" applyFill="1" applyBorder="1" applyAlignment="1" applyProtection="1">
      <alignment horizontal="left" vertical="center" wrapText="1"/>
    </xf>
    <xf numFmtId="0" fontId="255" fillId="6" borderId="19" xfId="0" applyNumberFormat="1" applyFont="1" applyFill="1" applyBorder="1" applyAlignment="1" applyProtection="1">
      <alignment horizontal="left" vertical="center"/>
    </xf>
    <xf numFmtId="0" fontId="253" fillId="6" borderId="28" xfId="0" applyNumberFormat="1" applyFont="1" applyFill="1" applyBorder="1" applyAlignment="1" applyProtection="1">
      <alignment horizontal="left" vertical="center"/>
    </xf>
    <xf numFmtId="0" fontId="255" fillId="6" borderId="18" xfId="0" applyNumberFormat="1" applyFont="1" applyFill="1" applyBorder="1" applyAlignment="1" applyProtection="1">
      <alignment horizontal="left" vertical="center"/>
    </xf>
    <xf numFmtId="0" fontId="254" fillId="6" borderId="1" xfId="0" applyNumberFormat="1" applyFont="1" applyFill="1" applyBorder="1" applyAlignment="1" applyProtection="1">
      <alignment horizontal="left" vertical="center" wrapText="1"/>
    </xf>
    <xf numFmtId="0" fontId="254" fillId="6" borderId="2" xfId="0" applyNumberFormat="1" applyFont="1" applyFill="1" applyBorder="1" applyAlignment="1" applyProtection="1">
      <alignment horizontal="left" vertical="center" wrapText="1"/>
    </xf>
    <xf numFmtId="0" fontId="255" fillId="6" borderId="0" xfId="0" applyNumberFormat="1" applyFont="1" applyFill="1" applyAlignment="1" applyProtection="1">
      <alignment horizontal="left" vertical="center"/>
    </xf>
    <xf numFmtId="0" fontId="253" fillId="6" borderId="32" xfId="0" applyNumberFormat="1" applyFont="1" applyFill="1" applyBorder="1" applyAlignment="1" applyProtection="1">
      <alignment horizontal="left" vertical="center"/>
    </xf>
    <xf numFmtId="0" fontId="253" fillId="6" borderId="33" xfId="0" applyNumberFormat="1" applyFont="1" applyFill="1" applyBorder="1" applyAlignment="1" applyProtection="1">
      <alignment horizontal="left" vertical="center"/>
    </xf>
    <xf numFmtId="0" fontId="254" fillId="6" borderId="40" xfId="0" applyNumberFormat="1" applyFont="1" applyFill="1" applyBorder="1" applyAlignment="1" applyProtection="1">
      <alignment horizontal="left" vertical="center" wrapText="1"/>
    </xf>
    <xf numFmtId="0" fontId="254" fillId="6" borderId="74" xfId="0" applyNumberFormat="1" applyFont="1" applyFill="1" applyBorder="1" applyAlignment="1" applyProtection="1">
      <alignment horizontal="left" vertical="center" wrapText="1"/>
    </xf>
    <xf numFmtId="0" fontId="254" fillId="6" borderId="32" xfId="0" applyNumberFormat="1" applyFont="1" applyFill="1" applyBorder="1" applyAlignment="1" applyProtection="1">
      <alignment horizontal="left" vertical="center" wrapText="1"/>
    </xf>
    <xf numFmtId="0" fontId="254" fillId="6" borderId="14" xfId="0" applyNumberFormat="1" applyFont="1" applyFill="1" applyBorder="1" applyAlignment="1" applyProtection="1">
      <alignment horizontal="left" vertical="center" wrapText="1"/>
    </xf>
    <xf numFmtId="0" fontId="254" fillId="6" borderId="1" xfId="18" applyNumberFormat="1" applyFont="1" applyFill="1" applyBorder="1" applyAlignment="1" applyProtection="1">
      <alignment horizontal="left" vertical="center" wrapText="1"/>
    </xf>
    <xf numFmtId="0" fontId="254" fillId="6" borderId="15" xfId="0" applyNumberFormat="1" applyFont="1" applyFill="1" applyBorder="1" applyAlignment="1" applyProtection="1">
      <alignment horizontal="left" vertical="center" wrapText="1"/>
    </xf>
    <xf numFmtId="0" fontId="254" fillId="6" borderId="13" xfId="0" applyNumberFormat="1" applyFont="1" applyFill="1" applyBorder="1" applyAlignment="1" applyProtection="1">
      <alignment horizontal="left" vertical="center" wrapText="1"/>
    </xf>
    <xf numFmtId="0" fontId="254" fillId="6" borderId="10" xfId="0" applyNumberFormat="1" applyFont="1" applyFill="1" applyBorder="1" applyAlignment="1" applyProtection="1">
      <alignment horizontal="left" vertical="center" wrapText="1"/>
    </xf>
    <xf numFmtId="0" fontId="254" fillId="6" borderId="24" xfId="0" applyNumberFormat="1" applyFont="1" applyFill="1" applyBorder="1" applyAlignment="1" applyProtection="1">
      <alignment horizontal="left" vertical="center" wrapText="1"/>
    </xf>
    <xf numFmtId="0" fontId="254" fillId="6" borderId="12" xfId="0" applyNumberFormat="1" applyFont="1" applyFill="1" applyBorder="1" applyAlignment="1" applyProtection="1">
      <alignment horizontal="left" vertical="center" wrapText="1"/>
    </xf>
    <xf numFmtId="0" fontId="254" fillId="6" borderId="49" xfId="0" applyNumberFormat="1" applyFont="1" applyFill="1" applyBorder="1" applyAlignment="1" applyProtection="1">
      <alignment horizontal="left" vertical="center" wrapText="1"/>
    </xf>
    <xf numFmtId="0" fontId="254" fillId="6" borderId="61" xfId="0" applyNumberFormat="1" applyFont="1" applyFill="1" applyBorder="1" applyAlignment="1" applyProtection="1">
      <alignment horizontal="left" vertical="center" wrapText="1"/>
    </xf>
    <xf numFmtId="0" fontId="254" fillId="6" borderId="6" xfId="0" applyNumberFormat="1" applyFont="1" applyFill="1" applyBorder="1" applyAlignment="1" applyProtection="1">
      <alignment horizontal="left" vertical="center" wrapText="1"/>
    </xf>
    <xf numFmtId="0" fontId="254" fillId="6" borderId="23" xfId="0" applyNumberFormat="1" applyFont="1" applyFill="1" applyBorder="1" applyAlignment="1" applyProtection="1">
      <alignment horizontal="left" vertical="center" wrapText="1"/>
    </xf>
    <xf numFmtId="0" fontId="254" fillId="6" borderId="25" xfId="0" applyNumberFormat="1" applyFont="1" applyFill="1" applyBorder="1" applyAlignment="1" applyProtection="1">
      <alignment horizontal="left" vertical="center" wrapText="1"/>
    </xf>
    <xf numFmtId="0" fontId="0" fillId="6" borderId="0" xfId="0" applyFill="1" applyAlignment="1">
      <alignment horizontal="left" vertical="center"/>
    </xf>
    <xf numFmtId="0" fontId="0" fillId="0" borderId="0" xfId="0" applyAlignment="1">
      <alignment horizontal="left" vertical="center"/>
    </xf>
    <xf numFmtId="0" fontId="120" fillId="6" borderId="0" xfId="0" applyFont="1" applyFill="1" applyAlignment="1" applyProtection="1">
      <alignment horizontal="left" vertical="center"/>
    </xf>
    <xf numFmtId="0" fontId="110" fillId="6" borderId="29" xfId="0" applyFont="1" applyFill="1" applyBorder="1" applyAlignment="1" applyProtection="1">
      <alignment horizontal="left" vertical="center"/>
    </xf>
    <xf numFmtId="0" fontId="110" fillId="6" borderId="40" xfId="0" applyFont="1" applyFill="1" applyBorder="1" applyAlignment="1" applyProtection="1">
      <alignment horizontal="left" vertical="center" wrapText="1"/>
    </xf>
    <xf numFmtId="0" fontId="110" fillId="6" borderId="13" xfId="0" applyFont="1" applyFill="1" applyBorder="1" applyAlignment="1" applyProtection="1">
      <alignment horizontal="left" vertical="center"/>
    </xf>
    <xf numFmtId="0" fontId="109" fillId="6" borderId="6" xfId="0" applyFont="1" applyFill="1" applyBorder="1" applyAlignment="1" applyProtection="1">
      <alignment horizontal="left" vertical="center" wrapText="1"/>
    </xf>
    <xf numFmtId="0" fontId="257" fillId="6" borderId="9" xfId="0" applyFont="1" applyFill="1" applyBorder="1" applyAlignment="1" applyProtection="1">
      <alignment horizontal="left" vertical="center" wrapText="1"/>
    </xf>
    <xf numFmtId="10" fontId="258" fillId="6" borderId="9" xfId="0" applyNumberFormat="1" applyFont="1" applyFill="1" applyBorder="1" applyAlignment="1">
      <alignment horizontal="left" vertical="center" wrapText="1"/>
    </xf>
    <xf numFmtId="10" fontId="258" fillId="6" borderId="10" xfId="0" applyNumberFormat="1" applyFont="1" applyFill="1" applyBorder="1" applyAlignment="1">
      <alignment horizontal="left" vertical="center" wrapText="1"/>
    </xf>
    <xf numFmtId="0" fontId="109" fillId="6" borderId="23" xfId="0" applyFont="1" applyFill="1" applyBorder="1" applyAlignment="1" applyProtection="1">
      <alignment horizontal="left" vertical="center" wrapText="1"/>
    </xf>
    <xf numFmtId="0" fontId="257" fillId="6" borderId="1" xfId="0" applyFont="1" applyFill="1" applyBorder="1" applyAlignment="1" applyProtection="1">
      <alignment horizontal="left" vertical="center" wrapText="1"/>
    </xf>
    <xf numFmtId="10" fontId="258" fillId="6" borderId="1" xfId="0" applyNumberFormat="1" applyFont="1" applyFill="1" applyBorder="1" applyAlignment="1">
      <alignment horizontal="left" vertical="center" wrapText="1"/>
    </xf>
    <xf numFmtId="10" fontId="258" fillId="6" borderId="24" xfId="0" applyNumberFormat="1" applyFont="1" applyFill="1" applyBorder="1" applyAlignment="1">
      <alignment horizontal="left" vertical="center" wrapText="1"/>
    </xf>
    <xf numFmtId="0" fontId="109" fillId="6" borderId="11" xfId="0" applyFont="1" applyFill="1" applyBorder="1" applyAlignment="1" applyProtection="1">
      <alignment horizontal="left" vertical="center" wrapText="1"/>
    </xf>
    <xf numFmtId="0" fontId="257" fillId="6" borderId="13" xfId="0" applyFont="1" applyFill="1" applyBorder="1" applyAlignment="1" applyProtection="1">
      <alignment horizontal="left" vertical="center" wrapText="1"/>
    </xf>
    <xf numFmtId="10" fontId="258" fillId="6" borderId="13" xfId="0" applyNumberFormat="1" applyFont="1" applyFill="1" applyBorder="1" applyAlignment="1">
      <alignment horizontal="left" vertical="center" wrapText="1"/>
    </xf>
    <xf numFmtId="10" fontId="0" fillId="6" borderId="13" xfId="0" applyNumberFormat="1" applyFill="1" applyBorder="1" applyAlignment="1">
      <alignment horizontal="left" vertical="center"/>
    </xf>
    <xf numFmtId="10" fontId="258" fillId="6" borderId="61" xfId="0" applyNumberFormat="1" applyFont="1" applyFill="1" applyBorder="1" applyAlignment="1">
      <alignment horizontal="left" vertical="center" wrapText="1"/>
    </xf>
    <xf numFmtId="0" fontId="259" fillId="6" borderId="1" xfId="0" applyFont="1" applyFill="1" applyBorder="1" applyAlignment="1">
      <alignment horizontal="left" vertical="center" wrapText="1"/>
    </xf>
    <xf numFmtId="0" fontId="259" fillId="6" borderId="13" xfId="0" applyFont="1" applyFill="1" applyBorder="1" applyAlignment="1">
      <alignment horizontal="left" vertical="center" wrapText="1"/>
    </xf>
    <xf numFmtId="0" fontId="257" fillId="6" borderId="6" xfId="0" applyFont="1" applyFill="1" applyBorder="1" applyAlignment="1" applyProtection="1">
      <alignment horizontal="left" vertical="center" wrapText="1"/>
    </xf>
    <xf numFmtId="0" fontId="257" fillId="6" borderId="23" xfId="0" applyFont="1" applyFill="1" applyBorder="1" applyAlignment="1" applyProtection="1">
      <alignment horizontal="left" vertical="center" wrapText="1"/>
    </xf>
    <xf numFmtId="10" fontId="0" fillId="6" borderId="1" xfId="0" applyNumberFormat="1" applyFill="1" applyBorder="1" applyAlignment="1">
      <alignment horizontal="left" vertical="center"/>
    </xf>
    <xf numFmtId="10" fontId="0" fillId="6" borderId="24" xfId="0" applyNumberFormat="1" applyFill="1" applyBorder="1" applyAlignment="1">
      <alignment horizontal="left" vertical="center"/>
    </xf>
    <xf numFmtId="0" fontId="257" fillId="6" borderId="11" xfId="0" applyFont="1" applyFill="1" applyBorder="1" applyAlignment="1" applyProtection="1">
      <alignment horizontal="left" vertical="center" wrapText="1"/>
    </xf>
    <xf numFmtId="10" fontId="99" fillId="6" borderId="13" xfId="0" applyNumberFormat="1" applyFont="1" applyFill="1" applyBorder="1" applyAlignment="1">
      <alignment horizontal="left" vertical="center" wrapText="1"/>
    </xf>
    <xf numFmtId="10" fontId="0" fillId="6" borderId="61" xfId="0" applyNumberFormat="1" applyFill="1" applyBorder="1" applyAlignment="1">
      <alignment horizontal="left" vertical="center"/>
    </xf>
    <xf numFmtId="10" fontId="99" fillId="6" borderId="1" xfId="0" applyNumberFormat="1" applyFont="1" applyFill="1" applyBorder="1" applyAlignment="1">
      <alignment horizontal="left" vertical="center" wrapText="1"/>
    </xf>
    <xf numFmtId="10" fontId="99" fillId="6" borderId="24" xfId="0" applyNumberFormat="1" applyFont="1" applyFill="1" applyBorder="1" applyAlignment="1">
      <alignment horizontal="left" vertical="center" wrapText="1"/>
    </xf>
    <xf numFmtId="10" fontId="99" fillId="6" borderId="61" xfId="0" applyNumberFormat="1" applyFont="1" applyFill="1" applyBorder="1" applyAlignment="1">
      <alignment horizontal="left" vertical="center" wrapText="1"/>
    </xf>
    <xf numFmtId="192" fontId="257" fillId="6" borderId="1" xfId="18" applyFont="1" applyFill="1" applyBorder="1" applyAlignment="1" applyProtection="1">
      <alignment horizontal="left" vertical="center" wrapText="1"/>
    </xf>
    <xf numFmtId="0" fontId="257" fillId="6" borderId="25" xfId="0" applyFont="1" applyFill="1" applyBorder="1" applyAlignment="1" applyProtection="1">
      <alignment horizontal="left" vertical="center" wrapText="1"/>
    </xf>
    <xf numFmtId="0" fontId="257" fillId="6" borderId="32" xfId="0" applyFont="1" applyFill="1" applyBorder="1" applyAlignment="1" applyProtection="1">
      <alignment horizontal="left" vertical="center" wrapText="1"/>
    </xf>
    <xf numFmtId="10" fontId="258" fillId="6" borderId="32" xfId="0" applyNumberFormat="1" applyFont="1" applyFill="1" applyBorder="1" applyAlignment="1">
      <alignment horizontal="left" vertical="center" wrapText="1"/>
    </xf>
    <xf numFmtId="10" fontId="258" fillId="6" borderId="49" xfId="0" applyNumberFormat="1" applyFont="1" applyFill="1" applyBorder="1" applyAlignment="1">
      <alignment horizontal="left" vertical="center" wrapText="1"/>
    </xf>
    <xf numFmtId="0" fontId="0" fillId="6" borderId="0" xfId="0" applyFill="1" applyAlignment="1" applyProtection="1">
      <alignment horizontal="left" vertical="center"/>
    </xf>
    <xf numFmtId="0" fontId="0" fillId="0" borderId="0" xfId="0" applyNumberFormat="1" applyAlignment="1">
      <alignment horizontal="left" vertical="center"/>
    </xf>
    <xf numFmtId="0" fontId="262" fillId="0" borderId="0" xfId="0" applyNumberFormat="1" applyFont="1" applyFill="1" applyAlignment="1">
      <alignment horizontal="left" vertical="center"/>
    </xf>
    <xf numFmtId="0" fontId="0" fillId="0" borderId="0" xfId="0" applyNumberFormat="1" applyFill="1" applyAlignment="1">
      <alignment horizontal="left" vertical="center"/>
    </xf>
    <xf numFmtId="0" fontId="95" fillId="0" borderId="0" xfId="0" applyNumberFormat="1" applyFont="1" applyFill="1" applyAlignment="1">
      <alignment horizontal="right" vertical="center"/>
    </xf>
    <xf numFmtId="0" fontId="263" fillId="0" borderId="1" xfId="0" applyNumberFormat="1" applyFont="1" applyFill="1" applyBorder="1" applyAlignment="1">
      <alignment horizontal="left" vertical="center"/>
    </xf>
    <xf numFmtId="0" fontId="263" fillId="0" borderId="1" xfId="0" applyNumberFormat="1" applyFont="1" applyFill="1" applyBorder="1" applyAlignment="1">
      <alignment horizontal="left" vertical="center" wrapText="1"/>
    </xf>
    <xf numFmtId="0" fontId="264" fillId="0" borderId="1" xfId="0" applyNumberFormat="1" applyFont="1" applyFill="1" applyBorder="1" applyAlignment="1">
      <alignment horizontal="left" vertical="center"/>
    </xf>
    <xf numFmtId="0" fontId="265" fillId="0" borderId="1" xfId="0" applyNumberFormat="1" applyFont="1" applyFill="1" applyBorder="1" applyAlignment="1">
      <alignment horizontal="left" vertical="center" wrapText="1"/>
    </xf>
    <xf numFmtId="49" fontId="98" fillId="6" borderId="14" xfId="0" applyNumberFormat="1" applyFont="1" applyFill="1" applyBorder="1" applyAlignment="1" applyProtection="1">
      <alignment vertical="center" wrapText="1"/>
    </xf>
    <xf numFmtId="49" fontId="53" fillId="6" borderId="14" xfId="0" applyNumberFormat="1" applyFont="1" applyFill="1" applyBorder="1" applyAlignment="1" applyProtection="1">
      <alignment vertical="center" wrapText="1"/>
    </xf>
    <xf numFmtId="0" fontId="98" fillId="6" borderId="0" xfId="0" applyNumberFormat="1" applyFont="1" applyFill="1" applyBorder="1" applyAlignment="1" applyProtection="1">
      <alignment horizontal="center" vertical="center"/>
    </xf>
    <xf numFmtId="0" fontId="98" fillId="6" borderId="0" xfId="0" applyNumberFormat="1" applyFont="1" applyFill="1" applyBorder="1" applyProtection="1">
      <alignment vertical="center"/>
    </xf>
    <xf numFmtId="10" fontId="53" fillId="6" borderId="0" xfId="0" applyNumberFormat="1" applyFont="1" applyFill="1" applyBorder="1" applyAlignment="1" applyProtection="1">
      <alignment vertical="center" wrapText="1"/>
    </xf>
    <xf numFmtId="49" fontId="53" fillId="6" borderId="12" xfId="0" applyNumberFormat="1" applyFont="1" applyFill="1" applyBorder="1" applyAlignment="1" applyProtection="1">
      <alignment vertical="center" wrapText="1"/>
    </xf>
    <xf numFmtId="49" fontId="80" fillId="6" borderId="26" xfId="0" applyNumberFormat="1" applyFont="1" applyFill="1" applyBorder="1" applyAlignment="1" applyProtection="1">
      <alignment horizontal="center" vertical="center" wrapText="1"/>
    </xf>
    <xf numFmtId="0" fontId="54" fillId="6" borderId="84" xfId="0" applyNumberFormat="1" applyFont="1" applyFill="1" applyBorder="1" applyAlignment="1" applyProtection="1">
      <alignment horizontal="left" vertical="center" wrapText="1"/>
    </xf>
    <xf numFmtId="0" fontId="53" fillId="0" borderId="34" xfId="0" applyNumberFormat="1" applyFont="1" applyFill="1" applyBorder="1" applyAlignment="1" applyProtection="1">
      <alignment horizontal="left" vertical="center" wrapText="1"/>
      <protection locked="0"/>
    </xf>
    <xf numFmtId="0" fontId="53" fillId="6" borderId="34" xfId="0" applyNumberFormat="1" applyFont="1" applyFill="1" applyBorder="1" applyAlignment="1" applyProtection="1">
      <alignment horizontal="left" vertical="center" wrapText="1"/>
    </xf>
    <xf numFmtId="0" fontId="19" fillId="6" borderId="3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protection locked="0"/>
    </xf>
    <xf numFmtId="0" fontId="53" fillId="6" borderId="64" xfId="0" applyNumberFormat="1" applyFont="1" applyFill="1" applyBorder="1" applyAlignment="1" applyProtection="1">
      <alignment horizontal="left" vertical="center" wrapText="1"/>
      <protection locked="0"/>
    </xf>
    <xf numFmtId="0" fontId="53" fillId="6" borderId="65"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protection locked="0"/>
    </xf>
    <xf numFmtId="0" fontId="48" fillId="6" borderId="4" xfId="0" applyNumberFormat="1" applyFont="1" applyFill="1" applyBorder="1" applyAlignment="1" applyProtection="1">
      <alignment horizontal="left" vertical="center"/>
    </xf>
    <xf numFmtId="0" fontId="51" fillId="6" borderId="0" xfId="0" applyNumberFormat="1" applyFont="1" applyFill="1" applyAlignment="1" applyProtection="1">
      <alignment horizontal="left" vertical="center" wrapText="1"/>
    </xf>
    <xf numFmtId="0" fontId="53" fillId="6" borderId="0" xfId="0" applyNumberFormat="1" applyFont="1" applyFill="1" applyBorder="1" applyAlignment="1" applyProtection="1">
      <alignment horizontal="left" vertical="center" wrapText="1"/>
    </xf>
    <xf numFmtId="0" fontId="112" fillId="6" borderId="60" xfId="0" applyNumberFormat="1" applyFont="1" applyFill="1" applyBorder="1" applyAlignment="1" applyProtection="1">
      <alignment horizontal="left" vertical="center"/>
    </xf>
    <xf numFmtId="0" fontId="112" fillId="6" borderId="71" xfId="0" applyNumberFormat="1" applyFont="1" applyFill="1" applyBorder="1" applyAlignment="1" applyProtection="1">
      <alignment horizontal="left" vertical="center"/>
    </xf>
    <xf numFmtId="0" fontId="53" fillId="0" borderId="13" xfId="0" applyNumberFormat="1" applyFont="1" applyFill="1" applyBorder="1" applyAlignment="1" applyProtection="1">
      <alignment horizontal="left" vertical="center" wrapText="1"/>
      <protection locked="0"/>
    </xf>
    <xf numFmtId="0" fontId="53" fillId="0" borderId="61" xfId="0" applyNumberFormat="1" applyFont="1" applyFill="1" applyBorder="1" applyAlignment="1" applyProtection="1">
      <alignment horizontal="left" vertical="center" wrapText="1"/>
      <protection locked="0"/>
    </xf>
    <xf numFmtId="0" fontId="99" fillId="6" borderId="15" xfId="0" applyFont="1" applyFill="1" applyBorder="1" applyAlignment="1" applyProtection="1">
      <alignment horizontal="left" vertical="center" wrapText="1"/>
    </xf>
    <xf numFmtId="0" fontId="80" fillId="6" borderId="9" xfId="0" applyNumberFormat="1" applyFont="1" applyFill="1" applyBorder="1" applyAlignment="1" applyProtection="1">
      <alignment horizontal="left" vertical="center" wrapText="1"/>
    </xf>
    <xf numFmtId="0" fontId="19" fillId="6" borderId="9" xfId="0" applyNumberFormat="1" applyFont="1" applyFill="1" applyBorder="1" applyAlignment="1" applyProtection="1">
      <alignment horizontal="left" vertical="center" wrapText="1"/>
      <protection locked="0"/>
    </xf>
    <xf numFmtId="0" fontId="19" fillId="6" borderId="1" xfId="0" applyNumberFormat="1" applyFont="1" applyFill="1" applyBorder="1" applyAlignment="1" applyProtection="1">
      <alignment horizontal="left" vertical="center"/>
    </xf>
    <xf numFmtId="0" fontId="19" fillId="6" borderId="1" xfId="0" applyNumberFormat="1" applyFont="1" applyFill="1" applyBorder="1" applyAlignment="1" applyProtection="1">
      <alignment horizontal="left" vertical="center" wrapText="1"/>
    </xf>
    <xf numFmtId="0" fontId="54" fillId="6" borderId="2" xfId="0" applyFont="1" applyFill="1" applyBorder="1" applyAlignment="1" applyProtection="1">
      <alignment horizontal="center" vertical="center" wrapText="1"/>
    </xf>
    <xf numFmtId="0" fontId="53" fillId="5" borderId="2" xfId="0" applyFont="1" applyFill="1" applyBorder="1" applyAlignment="1" applyProtection="1">
      <alignment horizontal="center" vertical="center" wrapText="1"/>
      <protection locked="0"/>
    </xf>
    <xf numFmtId="0" fontId="53" fillId="5" borderId="4" xfId="0" applyFont="1" applyFill="1" applyBorder="1" applyAlignment="1" applyProtection="1">
      <alignment horizontal="center" vertical="center" wrapText="1"/>
      <protection locked="0"/>
    </xf>
    <xf numFmtId="0" fontId="53" fillId="6" borderId="1" xfId="0" applyNumberFormat="1" applyFont="1" applyFill="1" applyBorder="1" applyAlignment="1" applyProtection="1">
      <alignment horizontal="left" vertical="center" wrapText="1"/>
      <protection locked="0"/>
    </xf>
    <xf numFmtId="0" fontId="53" fillId="0" borderId="1" xfId="0" applyNumberFormat="1" applyFont="1" applyFill="1" applyBorder="1" applyAlignment="1" applyProtection="1">
      <alignment horizontal="left" vertical="center" wrapText="1"/>
      <protection locked="0"/>
    </xf>
    <xf numFmtId="49" fontId="80" fillId="6" borderId="6" xfId="0" applyNumberFormat="1" applyFont="1" applyFill="1" applyBorder="1" applyAlignment="1" applyProtection="1">
      <alignment horizontal="center" vertical="center" wrapText="1"/>
    </xf>
    <xf numFmtId="0" fontId="53" fillId="6" borderId="9" xfId="0" applyNumberFormat="1" applyFont="1" applyFill="1" applyBorder="1" applyAlignment="1" applyProtection="1">
      <alignment horizontal="left" vertical="center" wrapText="1"/>
      <protection locked="0"/>
    </xf>
    <xf numFmtId="0" fontId="53" fillId="6" borderId="10" xfId="0" applyNumberFormat="1" applyFont="1" applyFill="1" applyBorder="1" applyAlignment="1" applyProtection="1">
      <alignment horizontal="left" vertical="center" wrapText="1"/>
      <protection locked="0"/>
    </xf>
    <xf numFmtId="49" fontId="98" fillId="6" borderId="23" xfId="0" applyNumberFormat="1" applyFont="1" applyFill="1" applyBorder="1" applyAlignment="1" applyProtection="1">
      <alignment vertical="center" wrapText="1"/>
    </xf>
    <xf numFmtId="0" fontId="53" fillId="6" borderId="24" xfId="0" applyNumberFormat="1" applyFont="1" applyFill="1" applyBorder="1" applyAlignment="1" applyProtection="1">
      <alignment horizontal="left" vertical="center" wrapText="1"/>
      <protection locked="0"/>
    </xf>
    <xf numFmtId="49" fontId="98" fillId="6" borderId="25" xfId="0" applyNumberFormat="1" applyFont="1" applyFill="1" applyBorder="1" applyAlignment="1" applyProtection="1">
      <alignment vertical="center" wrapText="1"/>
    </xf>
    <xf numFmtId="0" fontId="99" fillId="6" borderId="32" xfId="0" applyFont="1" applyFill="1" applyBorder="1" applyAlignment="1" applyProtection="1">
      <alignment horizontal="left" vertical="center" wrapText="1"/>
    </xf>
    <xf numFmtId="0" fontId="53" fillId="6" borderId="32" xfId="0" applyNumberFormat="1" applyFont="1" applyFill="1" applyBorder="1" applyAlignment="1" applyProtection="1">
      <alignment horizontal="left" vertical="center" wrapText="1"/>
      <protection locked="0"/>
    </xf>
    <xf numFmtId="0" fontId="53" fillId="0" borderId="32" xfId="0" applyNumberFormat="1" applyFont="1" applyFill="1" applyBorder="1" applyAlignment="1" applyProtection="1">
      <alignment horizontal="left" vertical="center" wrapText="1"/>
      <protection locked="0"/>
    </xf>
    <xf numFmtId="0" fontId="19" fillId="6" borderId="32" xfId="0" applyNumberFormat="1" applyFont="1" applyFill="1" applyBorder="1" applyAlignment="1" applyProtection="1">
      <alignment horizontal="left" vertical="center" wrapText="1"/>
      <protection locked="0"/>
    </xf>
    <xf numFmtId="0" fontId="53" fillId="6" borderId="49" xfId="0" applyNumberFormat="1" applyFont="1" applyFill="1" applyBorder="1" applyAlignment="1" applyProtection="1">
      <alignment horizontal="left" vertical="center" wrapText="1"/>
      <protection locked="0"/>
    </xf>
    <xf numFmtId="0" fontId="53" fillId="6" borderId="28" xfId="0" applyFont="1" applyFill="1" applyBorder="1" applyAlignment="1" applyProtection="1">
      <alignment vertical="center" wrapText="1"/>
    </xf>
    <xf numFmtId="0" fontId="53" fillId="6" borderId="30" xfId="0" applyFont="1" applyFill="1" applyBorder="1" applyAlignment="1" applyProtection="1">
      <alignment vertical="center" wrapText="1"/>
    </xf>
    <xf numFmtId="0" fontId="53" fillId="5" borderId="84" xfId="8" applyFont="1" applyFill="1" applyBorder="1" applyAlignment="1" applyProtection="1">
      <alignment horizontal="center" vertical="center" wrapText="1"/>
      <protection locked="0"/>
    </xf>
    <xf numFmtId="10" fontId="53" fillId="6" borderId="64" xfId="0" applyNumberFormat="1" applyFont="1" applyFill="1" applyBorder="1" applyAlignment="1" applyProtection="1">
      <alignment horizontal="center" vertical="center" wrapText="1"/>
    </xf>
    <xf numFmtId="0" fontId="51" fillId="6" borderId="1" xfId="0" applyNumberFormat="1" applyFont="1" applyFill="1" applyBorder="1" applyAlignment="1" applyProtection="1">
      <alignment horizontal="left" vertical="center" wrapText="1"/>
    </xf>
    <xf numFmtId="0" fontId="77" fillId="6" borderId="5" xfId="0" applyFont="1" applyFill="1" applyBorder="1" applyAlignment="1" applyProtection="1">
      <alignment vertical="center"/>
    </xf>
    <xf numFmtId="0" fontId="19" fillId="6" borderId="20" xfId="0" applyFont="1" applyFill="1" applyBorder="1" applyAlignment="1" applyProtection="1">
      <alignment vertical="center"/>
    </xf>
    <xf numFmtId="0" fontId="53" fillId="6" borderId="24"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xf>
    <xf numFmtId="0" fontId="53" fillId="7" borderId="0" xfId="0" applyNumberFormat="1" applyFont="1" applyFill="1" applyAlignment="1" applyProtection="1">
      <alignment horizontal="left" vertical="center" wrapText="1"/>
    </xf>
    <xf numFmtId="0" fontId="53" fillId="6" borderId="6" xfId="0" applyFont="1" applyFill="1" applyBorder="1" applyAlignment="1" applyProtection="1">
      <alignment horizontal="left" vertical="center" wrapText="1"/>
    </xf>
    <xf numFmtId="0" fontId="53" fillId="6" borderId="9" xfId="0" applyFont="1" applyFill="1" applyBorder="1" applyAlignment="1" applyProtection="1">
      <alignment horizontal="left" vertical="center" wrapText="1"/>
    </xf>
    <xf numFmtId="0" fontId="53" fillId="6" borderId="23" xfId="0" applyFont="1" applyFill="1" applyBorder="1" applyAlignment="1" applyProtection="1">
      <alignment horizontal="left" vertical="center" wrapText="1"/>
    </xf>
    <xf numFmtId="9" fontId="53" fillId="6" borderId="25" xfId="0" applyNumberFormat="1" applyFont="1" applyFill="1" applyBorder="1" applyAlignment="1" applyProtection="1">
      <alignment horizontal="left" vertical="center" wrapText="1"/>
    </xf>
    <xf numFmtId="10" fontId="19" fillId="7" borderId="10" xfId="0" applyNumberFormat="1" applyFont="1" applyFill="1" applyBorder="1" applyAlignment="1" applyProtection="1">
      <alignment horizontal="left" vertical="center" wrapText="1"/>
      <protection locked="0"/>
    </xf>
    <xf numFmtId="10" fontId="53" fillId="7" borderId="49" xfId="0" applyNumberFormat="1" applyFont="1" applyFill="1" applyBorder="1" applyAlignment="1" applyProtection="1">
      <alignment horizontal="left" vertical="center" wrapText="1"/>
      <protection locked="0"/>
    </xf>
    <xf numFmtId="0" fontId="53" fillId="7" borderId="0" xfId="0" applyNumberFormat="1" applyFont="1" applyFill="1" applyAlignment="1" applyProtection="1">
      <alignment horizontal="left" vertical="center" wrapText="1"/>
      <protection locked="0"/>
    </xf>
    <xf numFmtId="0" fontId="53" fillId="6" borderId="32" xfId="0" applyNumberFormat="1" applyFont="1" applyFill="1" applyBorder="1" applyAlignment="1" applyProtection="1">
      <alignment horizontal="left" vertical="center" wrapText="1"/>
    </xf>
    <xf numFmtId="0" fontId="19" fillId="7" borderId="0" xfId="0" applyNumberFormat="1" applyFont="1" applyFill="1" applyAlignment="1" applyProtection="1">
      <alignment horizontal="left" vertical="center" wrapText="1"/>
      <protection locked="0"/>
    </xf>
    <xf numFmtId="0" fontId="53" fillId="6" borderId="23" xfId="0" applyNumberFormat="1" applyFont="1" applyFill="1" applyBorder="1" applyAlignment="1" applyProtection="1">
      <alignment horizontal="left" vertical="center"/>
    </xf>
    <xf numFmtId="0" fontId="58" fillId="6" borderId="1" xfId="8" applyNumberFormat="1" applyFont="1" applyFill="1" applyBorder="1" applyAlignment="1" applyProtection="1">
      <alignment horizontal="left" vertical="center" wrapText="1"/>
    </xf>
    <xf numFmtId="0" fontId="99" fillId="6" borderId="1" xfId="8" applyNumberFormat="1" applyFont="1" applyFill="1" applyBorder="1" applyAlignment="1" applyProtection="1">
      <alignment horizontal="left" vertical="center"/>
    </xf>
    <xf numFmtId="0" fontId="112" fillId="0" borderId="1" xfId="8" applyNumberFormat="1" applyFont="1" applyFill="1" applyBorder="1" applyAlignment="1" applyProtection="1">
      <alignment horizontal="left" vertical="center"/>
      <protection locked="0"/>
    </xf>
    <xf numFmtId="0" fontId="112" fillId="6" borderId="1" xfId="8" applyNumberFormat="1" applyFont="1" applyFill="1" applyBorder="1" applyAlignment="1" applyProtection="1">
      <alignment horizontal="left" vertical="center"/>
    </xf>
    <xf numFmtId="0" fontId="112" fillId="6" borderId="1" xfId="8" applyNumberFormat="1" applyFont="1" applyFill="1" applyBorder="1" applyAlignment="1" applyProtection="1">
      <alignment horizontal="left" vertical="center" wrapText="1"/>
    </xf>
    <xf numFmtId="0" fontId="99" fillId="6" borderId="1" xfId="0" applyNumberFormat="1" applyFont="1" applyFill="1" applyBorder="1" applyAlignment="1" applyProtection="1">
      <alignment horizontal="left" vertical="center" wrapText="1"/>
    </xf>
    <xf numFmtId="9" fontId="99" fillId="6" borderId="1" xfId="17" applyFont="1" applyFill="1" applyBorder="1" applyAlignment="1" applyProtection="1">
      <alignment horizontal="left" vertical="center" wrapText="1"/>
    </xf>
    <xf numFmtId="9" fontId="99" fillId="6" borderId="32" xfId="17" applyFont="1" applyFill="1" applyBorder="1" applyAlignment="1" applyProtection="1">
      <alignment horizontal="left" vertical="center" wrapText="1"/>
    </xf>
    <xf numFmtId="0" fontId="121" fillId="6" borderId="23" xfId="0" applyNumberFormat="1" applyFont="1" applyFill="1" applyBorder="1" applyAlignment="1" applyProtection="1">
      <alignment horizontal="left" vertical="center" wrapText="1"/>
    </xf>
    <xf numFmtId="0" fontId="99" fillId="6" borderId="0" xfId="0" applyNumberFormat="1" applyFont="1" applyFill="1" applyBorder="1" applyAlignment="1" applyProtection="1">
      <alignment horizontal="center" vertical="center" wrapText="1"/>
    </xf>
    <xf numFmtId="0" fontId="99" fillId="5" borderId="0" xfId="0" applyFont="1" applyFill="1" applyBorder="1" applyAlignment="1" applyProtection="1">
      <alignment horizontal="center" vertical="center" wrapText="1"/>
      <protection locked="0"/>
    </xf>
    <xf numFmtId="10" fontId="99" fillId="6" borderId="0" xfId="0" applyNumberFormat="1" applyFont="1" applyFill="1" applyBorder="1" applyAlignment="1" applyProtection="1">
      <alignment horizontal="center" vertical="center" wrapText="1"/>
    </xf>
    <xf numFmtId="10" fontId="98" fillId="0" borderId="0" xfId="0" applyNumberFormat="1" applyFont="1" applyBorder="1" applyAlignment="1" applyProtection="1">
      <alignment horizontal="center" vertical="center"/>
      <protection locked="0"/>
    </xf>
    <xf numFmtId="10" fontId="98" fillId="6" borderId="0" xfId="0" applyNumberFormat="1" applyFont="1" applyFill="1" applyBorder="1" applyAlignment="1" applyProtection="1">
      <alignment horizontal="center" vertical="center"/>
    </xf>
    <xf numFmtId="9" fontId="99" fillId="6" borderId="0" xfId="17" applyFont="1" applyFill="1" applyBorder="1" applyAlignment="1" applyProtection="1">
      <alignment horizontal="left" vertical="center" wrapText="1"/>
    </xf>
    <xf numFmtId="10" fontId="51" fillId="6" borderId="0" xfId="0" applyNumberFormat="1" applyFont="1" applyFill="1" applyBorder="1" applyAlignment="1" applyProtection="1">
      <alignment horizontal="center" vertical="center" wrapText="1"/>
    </xf>
    <xf numFmtId="0" fontId="108" fillId="6" borderId="51" xfId="0" applyNumberFormat="1" applyFont="1" applyFill="1" applyBorder="1" applyAlignment="1" applyProtection="1">
      <alignment horizontal="left" vertical="center"/>
    </xf>
    <xf numFmtId="0" fontId="203" fillId="6" borderId="19" xfId="0" applyNumberFormat="1" applyFont="1" applyFill="1" applyBorder="1" applyAlignment="1" applyProtection="1">
      <alignment horizontal="left" vertical="center" wrapText="1"/>
    </xf>
    <xf numFmtId="0" fontId="99" fillId="6" borderId="23" xfId="0" applyNumberFormat="1" applyFont="1" applyFill="1" applyBorder="1" applyAlignment="1" applyProtection="1">
      <alignment horizontal="left" vertical="center" wrapText="1"/>
    </xf>
    <xf numFmtId="0" fontId="99" fillId="6" borderId="25" xfId="0" applyNumberFormat="1" applyFont="1" applyFill="1" applyBorder="1" applyAlignment="1" applyProtection="1">
      <alignment horizontal="left" vertical="center" wrapText="1"/>
    </xf>
    <xf numFmtId="0" fontId="112" fillId="6" borderId="58" xfId="0" applyNumberFormat="1" applyFont="1" applyFill="1" applyBorder="1" applyAlignment="1" applyProtection="1">
      <alignment horizontal="left" vertical="center" wrapText="1"/>
    </xf>
    <xf numFmtId="0" fontId="53" fillId="6" borderId="61" xfId="0" applyNumberFormat="1" applyFont="1" applyFill="1" applyBorder="1" applyAlignment="1" applyProtection="1">
      <alignment horizontal="left" vertical="center" wrapText="1"/>
    </xf>
    <xf numFmtId="0" fontId="53" fillId="6" borderId="53" xfId="0" applyNumberFormat="1" applyFont="1" applyFill="1" applyBorder="1" applyAlignment="1" applyProtection="1">
      <alignment horizontal="left" vertical="center" wrapText="1"/>
    </xf>
    <xf numFmtId="0" fontId="53" fillId="6" borderId="76" xfId="0" applyNumberFormat="1" applyFont="1" applyFill="1" applyBorder="1" applyAlignment="1" applyProtection="1">
      <alignment horizontal="left" vertical="center" wrapText="1"/>
    </xf>
    <xf numFmtId="0" fontId="167" fillId="0" borderId="1" xfId="0" applyNumberFormat="1" applyFont="1" applyFill="1" applyBorder="1" applyAlignment="1" applyProtection="1">
      <alignment horizontal="left" vertical="center" wrapText="1"/>
      <protection locked="0"/>
    </xf>
    <xf numFmtId="0" fontId="167" fillId="0" borderId="13" xfId="0" applyNumberFormat="1" applyFont="1" applyFill="1" applyBorder="1" applyAlignment="1" applyProtection="1">
      <alignment horizontal="left" vertical="center" wrapText="1"/>
      <protection locked="0"/>
    </xf>
    <xf numFmtId="49" fontId="99" fillId="6" borderId="0" xfId="0" applyNumberFormat="1" applyFont="1" applyFill="1" applyBorder="1" applyAlignment="1" applyProtection="1">
      <alignment horizontal="center" vertical="center" wrapText="1"/>
    </xf>
    <xf numFmtId="0" fontId="112" fillId="6" borderId="1" xfId="0" applyNumberFormat="1" applyFont="1" applyFill="1" applyBorder="1" applyAlignment="1" applyProtection="1">
      <alignment horizontal="left" vertical="center" wrapText="1"/>
    </xf>
    <xf numFmtId="0" fontId="44" fillId="6" borderId="1" xfId="0" applyNumberFormat="1" applyFont="1" applyFill="1" applyBorder="1" applyAlignment="1" applyProtection="1">
      <alignment horizontal="left" vertical="center" wrapText="1"/>
    </xf>
    <xf numFmtId="0" fontId="102" fillId="6" borderId="0" xfId="0" applyNumberFormat="1" applyFont="1" applyFill="1" applyAlignment="1" applyProtection="1">
      <alignment horizontal="left" vertical="center"/>
    </xf>
    <xf numFmtId="0" fontId="99" fillId="6" borderId="5" xfId="0" applyNumberFormat="1" applyFont="1" applyFill="1" applyBorder="1" applyAlignment="1" applyProtection="1">
      <alignment horizontal="left" vertical="center"/>
    </xf>
    <xf numFmtId="0" fontId="99" fillId="6" borderId="54" xfId="0" applyNumberFormat="1" applyFont="1" applyFill="1" applyBorder="1" applyAlignment="1" applyProtection="1">
      <alignment horizontal="left" vertical="center"/>
    </xf>
    <xf numFmtId="0" fontId="99" fillId="6" borderId="3" xfId="0" applyNumberFormat="1" applyFont="1" applyFill="1" applyBorder="1" applyAlignment="1" applyProtection="1">
      <alignment horizontal="left" vertical="center"/>
    </xf>
    <xf numFmtId="0" fontId="99" fillId="6" borderId="0" xfId="0" applyNumberFormat="1" applyFont="1" applyFill="1" applyBorder="1" applyAlignment="1" applyProtection="1">
      <alignment horizontal="left" vertical="center"/>
    </xf>
    <xf numFmtId="0" fontId="99" fillId="6" borderId="1" xfId="0" applyNumberFormat="1" applyFont="1" applyFill="1" applyBorder="1" applyAlignment="1" applyProtection="1">
      <alignment horizontal="left" vertical="center"/>
    </xf>
    <xf numFmtId="0" fontId="112" fillId="6" borderId="1"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0" borderId="0" xfId="0" applyNumberFormat="1" applyFont="1" applyAlignment="1" applyProtection="1">
      <alignment horizontal="left" vertical="center" wrapText="1"/>
      <protection locked="0"/>
    </xf>
    <xf numFmtId="0" fontId="53" fillId="6" borderId="15" xfId="0" applyNumberFormat="1" applyFont="1" applyFill="1" applyBorder="1" applyAlignment="1" applyProtection="1">
      <alignment horizontal="left" vertical="center" wrapText="1"/>
    </xf>
    <xf numFmtId="0" fontId="53" fillId="6" borderId="17" xfId="0" applyNumberFormat="1" applyFont="1" applyFill="1" applyBorder="1" applyAlignment="1" applyProtection="1">
      <alignment horizontal="left" vertical="center" wrapText="1"/>
    </xf>
    <xf numFmtId="0" fontId="112" fillId="6" borderId="19" xfId="0" applyNumberFormat="1" applyFont="1" applyFill="1" applyBorder="1" applyAlignment="1" applyProtection="1">
      <alignment horizontal="left" vertical="center" wrapText="1"/>
    </xf>
    <xf numFmtId="0" fontId="169" fillId="6" borderId="1" xfId="3" applyNumberFormat="1" applyFont="1" applyFill="1" applyBorder="1" applyAlignment="1" applyProtection="1">
      <alignment horizontal="left" vertical="center"/>
    </xf>
    <xf numFmtId="0" fontId="98" fillId="0" borderId="0" xfId="0" applyNumberFormat="1" applyFont="1" applyAlignment="1" applyProtection="1">
      <alignment horizontal="left" vertical="center"/>
    </xf>
    <xf numFmtId="0" fontId="53" fillId="6" borderId="16" xfId="0" applyNumberFormat="1" applyFont="1" applyFill="1" applyBorder="1" applyAlignment="1" applyProtection="1">
      <alignment horizontal="left" vertical="center" wrapText="1"/>
    </xf>
    <xf numFmtId="0" fontId="53" fillId="6" borderId="9"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xf>
    <xf numFmtId="0" fontId="53" fillId="6" borderId="2" xfId="3" applyNumberFormat="1" applyFont="1" applyFill="1" applyBorder="1" applyAlignment="1" applyProtection="1">
      <alignment horizontal="left" vertical="center" wrapText="1"/>
    </xf>
    <xf numFmtId="0" fontId="53" fillId="6" borderId="17" xfId="3" applyNumberFormat="1" applyFont="1" applyFill="1" applyBorder="1" applyAlignment="1" applyProtection="1">
      <alignment horizontal="left" vertical="center"/>
    </xf>
    <xf numFmtId="0" fontId="53" fillId="6" borderId="62" xfId="3" applyNumberFormat="1" applyFont="1" applyFill="1" applyBorder="1" applyAlignment="1" applyProtection="1">
      <alignment horizontal="left" vertical="center"/>
    </xf>
    <xf numFmtId="0" fontId="53" fillId="6" borderId="23" xfId="0" applyNumberFormat="1" applyFont="1" applyFill="1" applyBorder="1" applyAlignment="1" applyProtection="1">
      <alignment horizontal="left" vertical="center" wrapText="1"/>
    </xf>
    <xf numFmtId="0" fontId="112" fillId="6" borderId="24" xfId="0" applyNumberFormat="1" applyFont="1" applyFill="1" applyBorder="1" applyAlignment="1" applyProtection="1">
      <alignment horizontal="left" vertical="center" wrapText="1"/>
    </xf>
    <xf numFmtId="0" fontId="53" fillId="6" borderId="25" xfId="0" applyNumberFormat="1" applyFont="1" applyFill="1" applyBorder="1" applyAlignment="1" applyProtection="1">
      <alignment horizontal="left" vertical="center" wrapText="1"/>
    </xf>
    <xf numFmtId="0" fontId="112" fillId="6" borderId="32" xfId="0" applyNumberFormat="1" applyFont="1" applyFill="1" applyBorder="1" applyAlignment="1" applyProtection="1">
      <alignment horizontal="left" vertical="center" wrapText="1"/>
    </xf>
    <xf numFmtId="0" fontId="112" fillId="6" borderId="49" xfId="0" applyNumberFormat="1" applyFont="1" applyFill="1" applyBorder="1" applyAlignment="1" applyProtection="1">
      <alignment horizontal="left" vertical="center" wrapText="1"/>
    </xf>
    <xf numFmtId="0" fontId="19" fillId="0" borderId="0" xfId="0" applyNumberFormat="1" applyFont="1" applyAlignment="1" applyProtection="1">
      <alignment horizontal="left" vertical="center" wrapText="1"/>
    </xf>
    <xf numFmtId="179" fontId="112" fillId="6" borderId="15" xfId="0" applyNumberFormat="1" applyFont="1" applyFill="1" applyBorder="1" applyAlignment="1" applyProtection="1">
      <alignment horizontal="left" vertical="center" wrapText="1"/>
    </xf>
    <xf numFmtId="177" fontId="77" fillId="0" borderId="1" xfId="1" applyNumberFormat="1" applyFont="1" applyFill="1" applyBorder="1" applyAlignment="1" applyProtection="1">
      <alignment vertical="center"/>
      <protection locked="0" hidden="1"/>
    </xf>
    <xf numFmtId="177" fontId="127" fillId="0" borderId="1" xfId="1" applyNumberFormat="1" applyFont="1" applyFill="1" applyBorder="1" applyAlignment="1" applyProtection="1">
      <alignment vertical="center"/>
      <protection locked="0"/>
    </xf>
    <xf numFmtId="0" fontId="58" fillId="0" borderId="1" xfId="8" applyFont="1" applyFill="1" applyBorder="1" applyAlignment="1" applyProtection="1">
      <alignment horizontal="center" vertical="center" wrapText="1"/>
    </xf>
    <xf numFmtId="0" fontId="19" fillId="5" borderId="1" xfId="0" applyNumberFormat="1" applyFont="1" applyFill="1" applyBorder="1" applyAlignment="1" applyProtection="1">
      <alignment vertical="center" wrapText="1"/>
      <protection locked="0"/>
    </xf>
    <xf numFmtId="10" fontId="98" fillId="6" borderId="1" xfId="17" applyNumberFormat="1" applyFont="1" applyFill="1" applyBorder="1" applyAlignment="1" applyProtection="1">
      <alignment horizontal="left" vertical="center"/>
    </xf>
    <xf numFmtId="0" fontId="53" fillId="5" borderId="1" xfId="0" applyNumberFormat="1" applyFont="1" applyFill="1" applyBorder="1" applyAlignment="1" applyProtection="1">
      <alignment horizontal="left" vertical="center" wrapText="1"/>
      <protection locked="0"/>
    </xf>
    <xf numFmtId="0" fontId="47" fillId="5" borderId="13" xfId="0" applyFont="1" applyFill="1" applyBorder="1" applyAlignment="1" applyProtection="1">
      <alignment horizontal="left" vertical="center" wrapText="1"/>
      <protection locked="0"/>
    </xf>
    <xf numFmtId="186" fontId="57" fillId="6" borderId="1" xfId="1" applyNumberFormat="1" applyFont="1" applyFill="1" applyBorder="1" applyAlignment="1" applyProtection="1">
      <alignment horizontal="right" vertical="center"/>
    </xf>
    <xf numFmtId="186" fontId="52" fillId="6" borderId="1" xfId="0" applyNumberFormat="1" applyFont="1" applyFill="1" applyBorder="1" applyAlignment="1" applyProtection="1">
      <alignment horizontal="right" vertical="center"/>
    </xf>
    <xf numFmtId="0" fontId="62" fillId="5" borderId="118" xfId="0" applyFont="1" applyFill="1" applyBorder="1" applyAlignment="1" applyProtection="1">
      <alignment vertical="center"/>
      <protection locked="0"/>
    </xf>
    <xf numFmtId="186" fontId="57" fillId="6" borderId="2" xfId="0" applyNumberFormat="1" applyFont="1" applyFill="1" applyBorder="1" applyAlignment="1" applyProtection="1">
      <alignment horizontal="right" vertical="center"/>
    </xf>
    <xf numFmtId="179" fontId="44" fillId="0" borderId="23" xfId="0" applyNumberFormat="1" applyFont="1" applyBorder="1" applyAlignment="1" applyProtection="1">
      <alignment horizontal="center" vertical="center"/>
      <protection locked="0"/>
    </xf>
    <xf numFmtId="179" fontId="47" fillId="0" borderId="23" xfId="0" applyNumberFormat="1" applyFont="1" applyBorder="1" applyAlignment="1" applyProtection="1">
      <alignment horizontal="center" vertical="center"/>
      <protection locked="0"/>
    </xf>
    <xf numFmtId="179" fontId="44" fillId="0" borderId="23" xfId="0" applyNumberFormat="1" applyFont="1" applyBorder="1" applyAlignment="1" applyProtection="1">
      <alignment vertical="center"/>
      <protection locked="0"/>
    </xf>
    <xf numFmtId="0" fontId="137" fillId="7" borderId="0" xfId="0" applyFont="1" applyFill="1" applyAlignment="1" applyProtection="1">
      <protection locked="0"/>
    </xf>
    <xf numFmtId="0" fontId="77" fillId="6" borderId="0" xfId="0" applyFont="1" applyFill="1" applyAlignment="1" applyProtection="1">
      <protection locked="0"/>
    </xf>
    <xf numFmtId="0" fontId="62" fillId="5" borderId="88" xfId="0" applyFont="1" applyFill="1" applyBorder="1" applyAlignment="1" applyProtection="1">
      <alignment vertical="center"/>
      <protection locked="0"/>
    </xf>
    <xf numFmtId="176" fontId="44" fillId="0" borderId="23" xfId="0" applyNumberFormat="1" applyFont="1" applyFill="1" applyBorder="1" applyAlignment="1" applyProtection="1">
      <alignment horizontal="center" vertical="center" wrapText="1"/>
      <protection locked="0"/>
    </xf>
    <xf numFmtId="176" fontId="44" fillId="0" borderId="3" xfId="0" applyNumberFormat="1" applyFont="1" applyFill="1" applyBorder="1" applyAlignment="1" applyProtection="1">
      <alignment horizontal="center" vertical="center" wrapText="1"/>
      <protection locked="0"/>
    </xf>
    <xf numFmtId="0" fontId="142" fillId="11" borderId="125" xfId="9" applyFont="1" applyFill="1" applyBorder="1" applyAlignment="1" applyProtection="1">
      <alignment horizontal="left" vertical="center" wrapText="1"/>
    </xf>
    <xf numFmtId="0" fontId="107" fillId="6" borderId="16" xfId="0" applyNumberFormat="1" applyFont="1" applyFill="1" applyBorder="1" applyAlignment="1" applyProtection="1">
      <alignment horizontal="left" vertical="center"/>
    </xf>
    <xf numFmtId="0" fontId="0" fillId="6" borderId="0" xfId="0" applyNumberFormat="1" applyFill="1" applyAlignment="1" applyProtection="1">
      <alignment horizontal="left" vertical="center"/>
    </xf>
    <xf numFmtId="0" fontId="245" fillId="6" borderId="1" xfId="0" applyNumberFormat="1" applyFont="1" applyFill="1" applyBorder="1" applyAlignment="1" applyProtection="1">
      <alignment horizontal="left" vertical="center"/>
    </xf>
    <xf numFmtId="0" fontId="95" fillId="6" borderId="1" xfId="0" applyNumberFormat="1" applyFont="1" applyFill="1" applyBorder="1" applyAlignment="1" applyProtection="1">
      <alignment horizontal="left" vertical="center"/>
    </xf>
    <xf numFmtId="0" fontId="159" fillId="12" borderId="1" xfId="12" applyFont="1" applyFill="1" applyBorder="1" applyAlignment="1" applyProtection="1">
      <alignment horizontal="left" vertical="center" wrapText="1"/>
      <protection locked="0"/>
    </xf>
    <xf numFmtId="9" fontId="158" fillId="12" borderId="1" xfId="12" applyNumberFormat="1" applyFill="1" applyBorder="1" applyAlignment="1" applyProtection="1">
      <alignment horizontal="left"/>
      <protection locked="0"/>
    </xf>
    <xf numFmtId="0" fontId="53" fillId="5" borderId="0" xfId="4" applyFont="1" applyFill="1" applyBorder="1" applyAlignment="1" applyProtection="1">
      <alignment vertical="center"/>
      <protection locked="0"/>
    </xf>
    <xf numFmtId="176" fontId="53" fillId="0" borderId="0" xfId="4" applyNumberFormat="1" applyFont="1" applyFill="1" applyBorder="1" applyAlignment="1" applyProtection="1">
      <protection locked="0"/>
    </xf>
    <xf numFmtId="0" fontId="158" fillId="6" borderId="1" xfId="12" applyFill="1" applyBorder="1" applyAlignment="1" applyProtection="1">
      <alignment horizontal="left"/>
    </xf>
    <xf numFmtId="0" fontId="53" fillId="5" borderId="65" xfId="0" applyFont="1" applyFill="1" applyBorder="1" applyAlignment="1" applyProtection="1">
      <alignment vertical="center" wrapText="1"/>
      <protection locked="0"/>
    </xf>
    <xf numFmtId="10" fontId="53" fillId="7" borderId="0" xfId="0" applyNumberFormat="1" applyFont="1" applyFill="1" applyAlignment="1" applyProtection="1">
      <alignment horizontal="left" vertical="center" wrapText="1"/>
      <protection locked="0"/>
    </xf>
    <xf numFmtId="0" fontId="267" fillId="0" borderId="0" xfId="9" applyNumberFormat="1" applyFont="1" applyAlignment="1" applyProtection="1">
      <alignment vertical="center"/>
    </xf>
    <xf numFmtId="0" fontId="77" fillId="7" borderId="150" xfId="0" applyFont="1" applyFill="1" applyBorder="1" applyAlignment="1" applyProtection="1">
      <alignment vertical="center" wrapText="1"/>
      <protection locked="0"/>
    </xf>
    <xf numFmtId="0" fontId="77" fillId="7" borderId="5" xfId="0" applyFont="1" applyFill="1" applyBorder="1" applyAlignment="1" applyProtection="1">
      <alignment vertical="center"/>
      <protection locked="0"/>
    </xf>
    <xf numFmtId="0" fontId="77" fillId="7" borderId="5" xfId="0" applyFont="1" applyFill="1" applyBorder="1" applyAlignment="1" applyProtection="1">
      <alignment vertical="center" wrapText="1"/>
      <protection locked="0"/>
    </xf>
    <xf numFmtId="0" fontId="77" fillId="0" borderId="1" xfId="0" applyFont="1" applyBorder="1" applyAlignment="1" applyProtection="1">
      <alignment horizontal="left" vertical="center" wrapText="1"/>
      <protection locked="0"/>
    </xf>
    <xf numFmtId="0" fontId="127" fillId="0" borderId="2" xfId="0" applyFont="1" applyBorder="1" applyAlignment="1" applyProtection="1">
      <alignment horizontal="left" vertical="center" wrapText="1"/>
      <protection locked="0"/>
    </xf>
    <xf numFmtId="0" fontId="264" fillId="0" borderId="82" xfId="0" applyFont="1" applyBorder="1" applyAlignment="1">
      <alignment horizontal="justify" vertical="center" wrapText="1"/>
    </xf>
    <xf numFmtId="0" fontId="264" fillId="0" borderId="65" xfId="0" applyFont="1" applyBorder="1" applyAlignment="1">
      <alignment horizontal="justify" vertical="center"/>
    </xf>
    <xf numFmtId="0" fontId="264" fillId="0" borderId="65" xfId="0" applyFont="1" applyBorder="1" applyAlignment="1">
      <alignment horizontal="justify" vertical="center" wrapText="1"/>
    </xf>
    <xf numFmtId="0" fontId="268" fillId="0" borderId="81" xfId="0" applyFont="1" applyBorder="1" applyAlignment="1">
      <alignment horizontal="justify" vertical="center" wrapText="1"/>
    </xf>
    <xf numFmtId="0" fontId="264" fillId="0" borderId="43" xfId="0" applyFont="1" applyBorder="1" applyAlignment="1">
      <alignment horizontal="justify" vertical="center"/>
    </xf>
    <xf numFmtId="0" fontId="268" fillId="0" borderId="43" xfId="0" applyFont="1" applyBorder="1" applyAlignment="1">
      <alignment horizontal="justify" vertical="center" wrapText="1"/>
    </xf>
    <xf numFmtId="0" fontId="264" fillId="0" borderId="43" xfId="0" applyFont="1" applyBorder="1" applyAlignment="1">
      <alignment horizontal="justify" vertical="center" wrapText="1"/>
    </xf>
    <xf numFmtId="0" fontId="264" fillId="0" borderId="81" xfId="0" applyFont="1" applyBorder="1" applyAlignment="1">
      <alignment horizontal="justify" vertical="center" wrapText="1"/>
    </xf>
    <xf numFmtId="0" fontId="95" fillId="0" borderId="0" xfId="0" applyFont="1">
      <alignment vertical="center"/>
    </xf>
    <xf numFmtId="0" fontId="268" fillId="0" borderId="56" xfId="0" applyFont="1" applyFill="1" applyBorder="1" applyAlignment="1">
      <alignment horizontal="justify" vertical="center" wrapText="1"/>
    </xf>
    <xf numFmtId="0" fontId="0" fillId="0" borderId="0" xfId="0" applyProtection="1">
      <alignment vertical="center"/>
      <protection locked="0"/>
    </xf>
    <xf numFmtId="0" fontId="47" fillId="12" borderId="1" xfId="0" applyFont="1" applyFill="1" applyBorder="1" applyAlignment="1" applyProtection="1">
      <alignment horizontal="left" vertical="center"/>
      <protection locked="0"/>
    </xf>
    <xf numFmtId="0" fontId="77" fillId="12" borderId="1" xfId="0" applyFont="1" applyFill="1" applyBorder="1" applyAlignment="1" applyProtection="1">
      <alignment horizontal="left" vertical="center"/>
      <protection locked="0"/>
    </xf>
    <xf numFmtId="0" fontId="79" fillId="12" borderId="1" xfId="0" applyFont="1" applyFill="1" applyBorder="1" applyAlignment="1" applyProtection="1">
      <alignment horizontal="left" vertical="center"/>
      <protection locked="0"/>
    </xf>
    <xf numFmtId="0" fontId="52" fillId="12" borderId="1" xfId="0" applyFont="1" applyFill="1" applyBorder="1" applyAlignment="1" applyProtection="1">
      <alignment horizontal="left" vertical="center"/>
      <protection locked="0"/>
    </xf>
    <xf numFmtId="176" fontId="47" fillId="12" borderId="1" xfId="0" applyNumberFormat="1" applyFont="1" applyFill="1" applyBorder="1" applyAlignment="1" applyProtection="1">
      <alignment horizontal="left" vertical="center"/>
      <protection locked="0"/>
    </xf>
    <xf numFmtId="0" fontId="47" fillId="12" borderId="0" xfId="0" applyFont="1" applyFill="1" applyAlignment="1" applyProtection="1">
      <alignment horizontal="left" vertical="center"/>
      <protection locked="0"/>
    </xf>
    <xf numFmtId="0" fontId="52" fillId="0" borderId="1" xfId="0" applyFont="1" applyFill="1" applyBorder="1" applyAlignment="1" applyProtection="1">
      <alignment horizontal="left" vertical="center"/>
      <protection locked="0"/>
    </xf>
    <xf numFmtId="0" fontId="77" fillId="12" borderId="0" xfId="0" applyFont="1" applyFill="1" applyAlignment="1" applyProtection="1">
      <alignment vertical="center"/>
      <protection locked="0"/>
    </xf>
    <xf numFmtId="9" fontId="47" fillId="12" borderId="0" xfId="0" applyNumberFormat="1" applyFont="1" applyFill="1" applyAlignment="1" applyProtection="1">
      <alignment vertical="center"/>
      <protection locked="0"/>
    </xf>
    <xf numFmtId="0" fontId="270" fillId="0" borderId="0" xfId="19" applyNumberFormat="1"/>
    <xf numFmtId="14" fontId="270" fillId="0" borderId="0" xfId="19" applyNumberFormat="1"/>
    <xf numFmtId="49" fontId="221" fillId="0" borderId="10" xfId="0" applyNumberFormat="1" applyFont="1" applyFill="1" applyBorder="1" applyAlignment="1" applyProtection="1">
      <alignment vertical="center" wrapText="1"/>
      <protection locked="0"/>
    </xf>
    <xf numFmtId="49" fontId="221" fillId="0" borderId="24" xfId="0" applyNumberFormat="1" applyFont="1" applyFill="1" applyBorder="1" applyAlignment="1" applyProtection="1">
      <alignment vertical="center" wrapText="1"/>
      <protection locked="0"/>
    </xf>
    <xf numFmtId="0" fontId="221" fillId="0" borderId="8" xfId="0" applyNumberFormat="1" applyFont="1" applyFill="1" applyBorder="1" applyAlignment="1" applyProtection="1">
      <alignment vertical="center" wrapText="1"/>
      <protection locked="0"/>
    </xf>
    <xf numFmtId="0" fontId="221" fillId="0" borderId="24" xfId="0" applyFont="1" applyBorder="1" applyAlignment="1" applyProtection="1">
      <alignment vertical="center" wrapText="1"/>
      <protection locked="0"/>
    </xf>
    <xf numFmtId="0" fontId="221" fillId="0" borderId="49" xfId="0" applyNumberFormat="1" applyFont="1" applyFill="1" applyBorder="1" applyAlignment="1" applyProtection="1">
      <alignment vertical="center" wrapText="1"/>
      <protection locked="0"/>
    </xf>
    <xf numFmtId="0" fontId="94" fillId="0" borderId="9" xfId="0" applyNumberFormat="1" applyFont="1" applyFill="1" applyBorder="1" applyAlignment="1" applyProtection="1">
      <alignment horizontal="center" vertical="center" wrapText="1"/>
      <protection locked="0"/>
    </xf>
    <xf numFmtId="0" fontId="94" fillId="0" borderId="44" xfId="0" applyNumberFormat="1" applyFont="1" applyFill="1" applyBorder="1" applyAlignment="1" applyProtection="1">
      <alignment horizontal="center" vertical="center" wrapText="1"/>
      <protection locked="0"/>
    </xf>
    <xf numFmtId="10" fontId="53" fillId="6" borderId="1" xfId="0" applyNumberFormat="1" applyFont="1" applyFill="1" applyBorder="1" applyAlignment="1" applyProtection="1">
      <alignment horizontal="left" vertical="center"/>
    </xf>
    <xf numFmtId="9" fontId="53" fillId="6" borderId="1" xfId="0" applyNumberFormat="1" applyFont="1" applyFill="1" applyBorder="1" applyAlignment="1" applyProtection="1">
      <alignment horizontal="left" vertical="center"/>
    </xf>
    <xf numFmtId="9" fontId="53" fillId="6" borderId="13" xfId="0" applyNumberFormat="1" applyFont="1" applyFill="1" applyBorder="1" applyAlignment="1" applyProtection="1">
      <alignment horizontal="left" vertical="center"/>
    </xf>
    <xf numFmtId="0" fontId="53" fillId="6" borderId="46" xfId="0" applyFont="1" applyFill="1" applyBorder="1" applyAlignment="1" applyProtection="1">
      <alignment horizontal="left" vertical="center" wrapText="1"/>
    </xf>
    <xf numFmtId="0" fontId="53" fillId="6" borderId="36" xfId="0" applyFont="1" applyFill="1" applyBorder="1" applyAlignment="1" applyProtection="1">
      <alignment horizontal="left" vertical="center" wrapText="1"/>
    </xf>
    <xf numFmtId="0" fontId="53" fillId="6" borderId="22" xfId="0" applyFont="1" applyFill="1" applyBorder="1" applyAlignment="1" applyProtection="1">
      <alignment horizontal="left" vertical="center" wrapText="1"/>
    </xf>
    <xf numFmtId="0" fontId="53" fillId="6" borderId="54" xfId="0" applyFont="1" applyFill="1" applyBorder="1" applyAlignment="1" applyProtection="1">
      <alignment horizontal="left" vertical="center"/>
    </xf>
    <xf numFmtId="0" fontId="53" fillId="6" borderId="58" xfId="0" applyFont="1" applyFill="1" applyBorder="1" applyAlignment="1" applyProtection="1">
      <alignment horizontal="left" vertical="center" wrapText="1"/>
    </xf>
    <xf numFmtId="0" fontId="53" fillId="6" borderId="0" xfId="0" applyFont="1" applyFill="1" applyBorder="1" applyAlignment="1" applyProtection="1">
      <alignment horizontal="left" vertical="center" wrapText="1"/>
    </xf>
    <xf numFmtId="0" fontId="53" fillId="6" borderId="35" xfId="0" applyFont="1" applyFill="1" applyBorder="1" applyAlignment="1" applyProtection="1">
      <alignment horizontal="left" vertical="center" wrapText="1"/>
    </xf>
    <xf numFmtId="0" fontId="53" fillId="6" borderId="4" xfId="0" applyFont="1" applyFill="1" applyBorder="1" applyAlignment="1" applyProtection="1">
      <alignment horizontal="left" vertical="center" wrapText="1"/>
    </xf>
    <xf numFmtId="0" fontId="53" fillId="6" borderId="60" xfId="0" applyFont="1" applyFill="1" applyBorder="1" applyAlignment="1" applyProtection="1">
      <alignment horizontal="left" vertical="center" wrapText="1"/>
    </xf>
    <xf numFmtId="0" fontId="53" fillId="6" borderId="7" xfId="0" applyFont="1" applyFill="1" applyBorder="1" applyAlignment="1" applyProtection="1">
      <alignment horizontal="left" vertical="center" wrapText="1"/>
    </xf>
    <xf numFmtId="0" fontId="112" fillId="9" borderId="1" xfId="0" applyFont="1" applyFill="1" applyBorder="1" applyAlignment="1" applyProtection="1">
      <alignment horizontal="left" vertical="center" wrapText="1"/>
    </xf>
    <xf numFmtId="0" fontId="77" fillId="7" borderId="0" xfId="0" applyFont="1" applyFill="1" applyAlignment="1" applyProtection="1">
      <alignment horizontal="center" vertical="center"/>
      <protection locked="0"/>
    </xf>
    <xf numFmtId="0" fontId="77" fillId="7" borderId="0" xfId="0" applyFont="1" applyFill="1" applyAlignment="1" applyProtection="1">
      <alignment horizontal="left" vertical="center"/>
      <protection locked="0"/>
    </xf>
    <xf numFmtId="0" fontId="101" fillId="7" borderId="154" xfId="0" applyFont="1" applyFill="1" applyBorder="1" applyAlignment="1" applyProtection="1">
      <alignment horizontal="left"/>
      <protection locked="0"/>
    </xf>
    <xf numFmtId="0" fontId="270" fillId="22" borderId="0" xfId="19" applyNumberFormat="1" applyFill="1"/>
    <xf numFmtId="181" fontId="99" fillId="7" borderId="1" xfId="0" applyNumberFormat="1" applyFont="1" applyFill="1" applyBorder="1" applyAlignment="1" applyProtection="1">
      <alignment horizontal="center" vertical="center"/>
      <protection locked="0"/>
    </xf>
    <xf numFmtId="0" fontId="263" fillId="0" borderId="176" xfId="0" applyFont="1" applyBorder="1" applyAlignment="1">
      <alignment horizontal="justify" vertical="center"/>
    </xf>
    <xf numFmtId="0" fontId="263" fillId="0" borderId="177" xfId="0" applyFont="1" applyBorder="1" applyAlignment="1">
      <alignment horizontal="justify" vertical="center"/>
    </xf>
    <xf numFmtId="0" fontId="263" fillId="0" borderId="177" xfId="0" applyFont="1" applyBorder="1" applyAlignment="1">
      <alignment horizontal="justify" vertical="center" wrapText="1"/>
    </xf>
    <xf numFmtId="0" fontId="265" fillId="0" borderId="178" xfId="0" applyFont="1" applyBorder="1" applyAlignment="1">
      <alignment horizontal="justify" vertical="center"/>
    </xf>
    <xf numFmtId="0" fontId="263" fillId="0" borderId="179" xfId="0" applyFont="1" applyBorder="1" applyAlignment="1">
      <alignment horizontal="justify" vertical="center"/>
    </xf>
    <xf numFmtId="0" fontId="265" fillId="0" borderId="179" xfId="0" applyFont="1" applyBorder="1" applyAlignment="1">
      <alignment horizontal="justify" vertical="center"/>
    </xf>
    <xf numFmtId="0" fontId="265" fillId="0" borderId="179" xfId="0" applyFont="1" applyBorder="1" applyAlignment="1">
      <alignment horizontal="justify" vertical="center" wrapText="1"/>
    </xf>
    <xf numFmtId="0" fontId="263" fillId="0" borderId="180" xfId="0" applyFont="1" applyBorder="1" applyAlignment="1">
      <alignment horizontal="justify" vertical="center"/>
    </xf>
    <xf numFmtId="0" fontId="265" fillId="0" borderId="181" xfId="0" applyFont="1" applyBorder="1" applyAlignment="1">
      <alignment horizontal="justify" vertical="center"/>
    </xf>
    <xf numFmtId="0" fontId="265" fillId="0" borderId="181" xfId="0" applyFont="1" applyBorder="1" applyAlignment="1">
      <alignment horizontal="justify" vertical="center" wrapText="1"/>
    </xf>
    <xf numFmtId="0" fontId="265" fillId="5" borderId="178" xfId="0" applyFont="1" applyFill="1" applyBorder="1" applyAlignment="1">
      <alignment horizontal="justify" vertical="center"/>
    </xf>
    <xf numFmtId="0" fontId="263" fillId="5" borderId="179" xfId="0" applyFont="1" applyFill="1" applyBorder="1" applyAlignment="1">
      <alignment horizontal="justify" vertical="center"/>
    </xf>
    <xf numFmtId="0" fontId="265" fillId="5" borderId="179" xfId="0" applyFont="1" applyFill="1" applyBorder="1" applyAlignment="1">
      <alignment horizontal="justify" vertical="center"/>
    </xf>
    <xf numFmtId="0" fontId="265" fillId="5" borderId="179" xfId="0" applyFont="1" applyFill="1" applyBorder="1" applyAlignment="1">
      <alignment horizontal="justify" vertical="center" wrapText="1"/>
    </xf>
    <xf numFmtId="0" fontId="185" fillId="0" borderId="0" xfId="5" applyFont="1" applyAlignment="1" applyProtection="1">
      <alignment horizontal="left" vertical="top" wrapText="1"/>
    </xf>
    <xf numFmtId="0" fontId="45" fillId="0" borderId="13" xfId="7" applyFont="1" applyFill="1" applyBorder="1" applyAlignment="1" applyProtection="1">
      <alignment horizontal="left" vertical="center" wrapText="1"/>
    </xf>
    <xf numFmtId="0" fontId="45" fillId="0" borderId="15" xfId="7" applyFont="1" applyFill="1" applyBorder="1" applyAlignment="1" applyProtection="1">
      <alignment horizontal="left" vertical="center" wrapText="1"/>
    </xf>
    <xf numFmtId="0" fontId="45" fillId="0" borderId="77" xfId="7" applyFont="1" applyFill="1" applyBorder="1" applyAlignment="1" applyProtection="1">
      <alignment horizontal="left" vertical="center" wrapText="1"/>
    </xf>
    <xf numFmtId="0" fontId="195" fillId="0" borderId="87" xfId="7" applyFont="1" applyBorder="1" applyAlignment="1" applyProtection="1">
      <alignment horizontal="center" vertical="center"/>
    </xf>
    <xf numFmtId="0" fontId="129" fillId="0" borderId="0" xfId="7" applyFont="1" applyAlignment="1" applyProtection="1">
      <alignment horizontal="left" vertical="center" wrapText="1"/>
    </xf>
    <xf numFmtId="0" fontId="195" fillId="0" borderId="0" xfId="7" applyFont="1" applyAlignment="1" applyProtection="1">
      <alignment horizontal="center" vertical="center"/>
    </xf>
    <xf numFmtId="0" fontId="45" fillId="0" borderId="2" xfId="7" applyFont="1" applyFill="1" applyBorder="1" applyAlignment="1" applyProtection="1">
      <alignment horizontal="left" vertical="center" wrapText="1"/>
    </xf>
    <xf numFmtId="0" fontId="45" fillId="0" borderId="13" xfId="7" applyFont="1" applyFill="1" applyBorder="1" applyAlignment="1" applyProtection="1">
      <alignment vertical="center" wrapText="1"/>
    </xf>
    <xf numFmtId="0" fontId="45" fillId="0" borderId="15" xfId="7" applyFont="1" applyFill="1" applyBorder="1" applyAlignment="1" applyProtection="1">
      <alignment vertical="center" wrapText="1"/>
    </xf>
    <xf numFmtId="0" fontId="45" fillId="0" borderId="2" xfId="7" applyFont="1" applyFill="1" applyBorder="1" applyAlignment="1" applyProtection="1">
      <alignment vertical="center" wrapText="1"/>
    </xf>
    <xf numFmtId="0" fontId="61" fillId="0" borderId="78" xfId="0" applyFont="1" applyFill="1" applyBorder="1" applyAlignment="1" applyProtection="1">
      <alignment horizontal="center" vertical="center" wrapText="1"/>
    </xf>
    <xf numFmtId="0" fontId="47" fillId="0" borderId="0" xfId="0" applyFont="1" applyFill="1" applyBorder="1" applyAlignment="1" applyProtection="1">
      <alignment horizontal="left" vertical="center"/>
    </xf>
    <xf numFmtId="0" fontId="45" fillId="0" borderId="1" xfId="0" applyFont="1" applyFill="1" applyBorder="1" applyAlignment="1" applyProtection="1">
      <alignment horizontal="center" vertical="center" wrapText="1"/>
    </xf>
    <xf numFmtId="0" fontId="61" fillId="0" borderId="1" xfId="0" applyFont="1" applyFill="1" applyBorder="1" applyAlignment="1" applyProtection="1">
      <alignment horizontal="center" vertical="center" wrapText="1"/>
    </xf>
    <xf numFmtId="0" fontId="61" fillId="0" borderId="5" xfId="0" applyFont="1" applyFill="1" applyBorder="1" applyAlignment="1" applyProtection="1">
      <alignment horizontal="center" vertical="center" wrapText="1"/>
    </xf>
    <xf numFmtId="0" fontId="61" fillId="0" borderId="54" xfId="0" applyFont="1" applyFill="1" applyBorder="1" applyAlignment="1" applyProtection="1">
      <alignment horizontal="center" vertical="center" wrapText="1"/>
    </xf>
    <xf numFmtId="0" fontId="61" fillId="0" borderId="3" xfId="0" applyFont="1" applyFill="1" applyBorder="1" applyAlignment="1" applyProtection="1">
      <alignment horizontal="center" vertical="center" wrapText="1"/>
    </xf>
    <xf numFmtId="0" fontId="204" fillId="0" borderId="0" xfId="0" applyFont="1" applyFill="1" applyBorder="1" applyAlignment="1" applyProtection="1">
      <alignment horizontal="center" vertical="center"/>
    </xf>
    <xf numFmtId="0" fontId="61" fillId="0" borderId="44" xfId="0" applyFont="1" applyFill="1" applyBorder="1" applyAlignment="1" applyProtection="1">
      <alignment horizontal="center" vertical="center" wrapText="1"/>
    </xf>
    <xf numFmtId="0" fontId="124" fillId="0" borderId="0" xfId="0" applyFont="1" applyBorder="1" applyAlignment="1" applyProtection="1">
      <alignment horizontal="left" vertical="center" wrapText="1"/>
    </xf>
    <xf numFmtId="192" fontId="199" fillId="0" borderId="0" xfId="0" applyNumberFormat="1" applyFont="1" applyAlignment="1" applyProtection="1">
      <alignment horizontal="right" vertical="center"/>
      <protection locked="0"/>
    </xf>
    <xf numFmtId="0" fontId="212" fillId="0" borderId="0" xfId="0" applyFont="1" applyBorder="1" applyAlignment="1" applyProtection="1">
      <alignment horizontal="left" vertical="center" wrapText="1"/>
      <protection locked="0"/>
    </xf>
    <xf numFmtId="0" fontId="98" fillId="0" borderId="0" xfId="0" applyFont="1" applyAlignment="1" applyProtection="1">
      <alignment vertical="center" wrapText="1"/>
    </xf>
    <xf numFmtId="0" fontId="165" fillId="0" borderId="0" xfId="0" applyFont="1" applyAlignment="1" applyProtection="1">
      <alignment vertical="center" wrapText="1"/>
      <protection locked="0"/>
    </xf>
    <xf numFmtId="0" fontId="123" fillId="0" borderId="0" xfId="0" applyFont="1" applyBorder="1" applyAlignment="1" applyProtection="1">
      <alignment horizontal="left" vertical="center" wrapText="1"/>
    </xf>
    <xf numFmtId="0" fontId="195" fillId="0" borderId="0" xfId="0" applyFont="1" applyBorder="1" applyAlignment="1" applyProtection="1">
      <alignment horizontal="left" vertical="center"/>
    </xf>
    <xf numFmtId="0" fontId="195" fillId="0" borderId="0" xfId="0" applyFont="1" applyBorder="1" applyAlignment="1" applyProtection="1">
      <alignment horizontal="justify" vertical="center" wrapText="1"/>
    </xf>
    <xf numFmtId="0" fontId="61" fillId="0" borderId="0" xfId="0" applyFont="1" applyBorder="1" applyAlignment="1" applyProtection="1">
      <alignment horizontal="left" vertical="center" wrapText="1"/>
    </xf>
    <xf numFmtId="0" fontId="216" fillId="0" borderId="5" xfId="0" applyFont="1" applyBorder="1" applyAlignment="1" applyProtection="1">
      <alignment horizontal="left" vertical="center"/>
    </xf>
    <xf numFmtId="0" fontId="95" fillId="0" borderId="3" xfId="0" applyFont="1" applyBorder="1" applyAlignment="1" applyProtection="1">
      <alignment horizontal="left" vertical="center"/>
    </xf>
    <xf numFmtId="0" fontId="95" fillId="0" borderId="5" xfId="0" applyFont="1" applyBorder="1" applyAlignment="1" applyProtection="1">
      <alignment horizontal="left" vertical="center"/>
    </xf>
    <xf numFmtId="0" fontId="95" fillId="0" borderId="1" xfId="0" applyFont="1" applyBorder="1" applyAlignment="1" applyProtection="1">
      <alignment horizontal="left" vertical="center"/>
    </xf>
    <xf numFmtId="0" fontId="95" fillId="9" borderId="1" xfId="0" applyFont="1" applyFill="1" applyBorder="1" applyAlignment="1" applyProtection="1">
      <alignment horizontal="left" vertical="center"/>
    </xf>
    <xf numFmtId="0" fontId="95" fillId="5" borderId="13" xfId="0" applyFont="1" applyFill="1" applyBorder="1" applyAlignment="1" applyProtection="1">
      <alignment horizontal="left" vertical="center"/>
    </xf>
    <xf numFmtId="0" fontId="95" fillId="5" borderId="15" xfId="0" applyFont="1" applyFill="1" applyBorder="1" applyAlignment="1" applyProtection="1">
      <alignment horizontal="left" vertical="center"/>
    </xf>
    <xf numFmtId="0" fontId="95" fillId="5" borderId="2" xfId="0" applyFont="1" applyFill="1" applyBorder="1" applyAlignment="1" applyProtection="1">
      <alignment horizontal="left" vertical="center"/>
    </xf>
    <xf numFmtId="0" fontId="116" fillId="5" borderId="1" xfId="5" applyFont="1" applyFill="1" applyBorder="1" applyAlignment="1">
      <alignment horizontal="left" vertical="center"/>
    </xf>
    <xf numFmtId="0" fontId="117" fillId="0" borderId="1" xfId="5" applyFont="1" applyBorder="1" applyAlignment="1">
      <alignment horizontal="left" vertical="center"/>
    </xf>
    <xf numFmtId="0" fontId="117" fillId="0" borderId="156" xfId="5" applyFont="1" applyBorder="1" applyAlignment="1">
      <alignment horizontal="left" vertical="center"/>
    </xf>
    <xf numFmtId="0" fontId="95" fillId="6" borderId="0" xfId="0" applyFont="1" applyFill="1" applyBorder="1" applyAlignment="1" applyProtection="1">
      <alignment horizontal="center" vertical="center" wrapText="1"/>
    </xf>
    <xf numFmtId="0" fontId="245" fillId="6" borderId="60" xfId="0" applyNumberFormat="1" applyFont="1" applyFill="1" applyBorder="1" applyAlignment="1" applyProtection="1">
      <alignment horizontal="left" vertical="center"/>
    </xf>
    <xf numFmtId="0" fontId="47" fillId="6" borderId="1" xfId="0" applyFont="1" applyFill="1" applyBorder="1" applyAlignment="1" applyProtection="1">
      <alignment horizontal="center" vertical="center" wrapText="1"/>
    </xf>
    <xf numFmtId="0" fontId="47" fillId="6" borderId="15" xfId="0" applyFont="1" applyFill="1" applyBorder="1" applyAlignment="1" applyProtection="1">
      <alignment horizontal="left" vertical="center"/>
    </xf>
    <xf numFmtId="0" fontId="47" fillId="6" borderId="2" xfId="0" applyFont="1" applyFill="1" applyBorder="1" applyAlignment="1" applyProtection="1">
      <alignment horizontal="left" vertical="center"/>
    </xf>
    <xf numFmtId="0" fontId="47" fillId="0" borderId="5" xfId="0" applyFont="1" applyBorder="1" applyAlignment="1" applyProtection="1">
      <alignment horizontal="left" vertical="center" wrapText="1"/>
      <protection locked="0"/>
    </xf>
    <xf numFmtId="0" fontId="47" fillId="0" borderId="3" xfId="0" applyFont="1" applyBorder="1" applyAlignment="1" applyProtection="1">
      <alignment horizontal="left" vertical="center" wrapText="1"/>
      <protection locked="0"/>
    </xf>
    <xf numFmtId="0" fontId="47" fillId="6" borderId="22" xfId="0" applyFont="1" applyFill="1" applyBorder="1" applyAlignment="1" applyProtection="1">
      <alignment horizontal="left" vertical="center"/>
    </xf>
    <xf numFmtId="0" fontId="47" fillId="6" borderId="35" xfId="0" applyFont="1" applyFill="1" applyBorder="1" applyAlignment="1" applyProtection="1">
      <alignment horizontal="left" vertical="center"/>
    </xf>
    <xf numFmtId="0" fontId="47" fillId="6" borderId="1" xfId="0" applyNumberFormat="1" applyFont="1" applyFill="1" applyBorder="1" applyAlignment="1" applyProtection="1">
      <alignment horizontal="center" vertical="center" wrapText="1"/>
    </xf>
    <xf numFmtId="0" fontId="47" fillId="6" borderId="34" xfId="0" applyFont="1" applyFill="1" applyBorder="1" applyAlignment="1" applyProtection="1">
      <alignment horizontal="left" vertical="center" wrapText="1"/>
    </xf>
    <xf numFmtId="0" fontId="47" fillId="6" borderId="64" xfId="0" applyFont="1" applyFill="1" applyBorder="1" applyAlignment="1" applyProtection="1">
      <alignment horizontal="left" vertical="center" wrapText="1"/>
    </xf>
    <xf numFmtId="0" fontId="47" fillId="6" borderId="65" xfId="0" applyFont="1" applyFill="1" applyBorder="1" applyAlignment="1" applyProtection="1">
      <alignment horizontal="left" vertical="center" wrapText="1"/>
    </xf>
    <xf numFmtId="0" fontId="47" fillId="16" borderId="13" xfId="0" applyFont="1" applyFill="1" applyBorder="1" applyAlignment="1" applyProtection="1">
      <alignment horizontal="center" vertical="center" wrapText="1"/>
    </xf>
    <xf numFmtId="0" fontId="47" fillId="16" borderId="103" xfId="0" applyFont="1" applyFill="1" applyBorder="1" applyAlignment="1" applyProtection="1">
      <alignment horizontal="center" vertical="center" wrapText="1"/>
    </xf>
    <xf numFmtId="0" fontId="47" fillId="6" borderId="58" xfId="0" applyFont="1" applyFill="1" applyBorder="1" applyAlignment="1" applyProtection="1">
      <alignment horizontal="center" vertical="center" wrapText="1"/>
    </xf>
    <xf numFmtId="0" fontId="47" fillId="6" borderId="6" xfId="0" applyFont="1" applyFill="1" applyBorder="1" applyAlignment="1" applyProtection="1">
      <alignment vertical="center"/>
    </xf>
    <xf numFmtId="0" fontId="47" fillId="6" borderId="10" xfId="0" applyFont="1" applyFill="1" applyBorder="1" applyAlignment="1" applyProtection="1">
      <alignment vertical="center"/>
    </xf>
    <xf numFmtId="0" fontId="47" fillId="6" borderId="51" xfId="0" applyFont="1" applyFill="1" applyBorder="1" applyAlignment="1" applyProtection="1">
      <alignment vertical="center"/>
    </xf>
    <xf numFmtId="0" fontId="47" fillId="6" borderId="20" xfId="0" applyFont="1" applyFill="1" applyBorder="1" applyAlignment="1" applyProtection="1">
      <alignment vertical="center"/>
    </xf>
    <xf numFmtId="49" fontId="167" fillId="0" borderId="4" xfId="0" applyNumberFormat="1" applyFont="1" applyFill="1" applyBorder="1" applyAlignment="1" applyProtection="1">
      <alignment horizontal="left" vertical="center"/>
      <protection locked="0"/>
    </xf>
    <xf numFmtId="49" fontId="167" fillId="0" borderId="54" xfId="0" applyNumberFormat="1" applyFont="1" applyFill="1" applyBorder="1" applyAlignment="1" applyProtection="1">
      <alignment horizontal="left" vertical="center"/>
      <protection locked="0"/>
    </xf>
    <xf numFmtId="49" fontId="167" fillId="0" borderId="3" xfId="0" applyNumberFormat="1" applyFont="1" applyFill="1" applyBorder="1" applyAlignment="1" applyProtection="1">
      <alignment horizontal="left" vertical="center"/>
      <protection locked="0"/>
    </xf>
    <xf numFmtId="0" fontId="167" fillId="0" borderId="5" xfId="0" applyNumberFormat="1" applyFont="1" applyBorder="1" applyAlignment="1" applyProtection="1">
      <alignment horizontal="left" vertical="center"/>
      <protection locked="0"/>
    </xf>
    <xf numFmtId="0" fontId="167" fillId="0" borderId="54" xfId="0" applyNumberFormat="1" applyFont="1" applyBorder="1" applyAlignment="1" applyProtection="1">
      <alignment horizontal="left" vertical="center"/>
      <protection locked="0"/>
    </xf>
    <xf numFmtId="0" fontId="167" fillId="0" borderId="3" xfId="0" applyNumberFormat="1" applyFont="1" applyBorder="1" applyAlignment="1" applyProtection="1">
      <alignment horizontal="left" vertical="center"/>
      <protection locked="0"/>
    </xf>
    <xf numFmtId="49" fontId="167" fillId="7" borderId="5" xfId="0" applyNumberFormat="1" applyFont="1" applyFill="1" applyBorder="1" applyAlignment="1" applyProtection="1">
      <alignment horizontal="left" vertical="center"/>
      <protection locked="0"/>
    </xf>
    <xf numFmtId="49" fontId="167" fillId="7" borderId="54" xfId="0" applyNumberFormat="1" applyFont="1" applyFill="1" applyBorder="1" applyAlignment="1" applyProtection="1">
      <alignment horizontal="left" vertical="center"/>
      <protection locked="0"/>
    </xf>
    <xf numFmtId="49" fontId="167" fillId="7" borderId="3" xfId="0" applyNumberFormat="1" applyFont="1" applyFill="1" applyBorder="1" applyAlignment="1" applyProtection="1">
      <alignment horizontal="left" vertical="center"/>
      <protection locked="0"/>
    </xf>
    <xf numFmtId="49" fontId="167" fillId="7" borderId="85" xfId="0" applyNumberFormat="1" applyFont="1" applyFill="1" applyBorder="1" applyAlignment="1" applyProtection="1">
      <alignment horizontal="left" vertical="center"/>
      <protection locked="0"/>
    </xf>
    <xf numFmtId="49" fontId="167" fillId="7" borderId="88" xfId="0" applyNumberFormat="1" applyFont="1" applyFill="1" applyBorder="1" applyAlignment="1" applyProtection="1">
      <alignment horizontal="left" vertical="center"/>
      <protection locked="0"/>
    </xf>
    <xf numFmtId="49" fontId="167" fillId="7" borderId="118" xfId="0" applyNumberFormat="1" applyFont="1" applyFill="1" applyBorder="1" applyAlignment="1" applyProtection="1">
      <alignment horizontal="left" vertical="center"/>
      <protection locked="0"/>
    </xf>
    <xf numFmtId="0" fontId="44" fillId="6" borderId="6" xfId="0" applyFont="1" applyFill="1" applyBorder="1" applyAlignment="1" applyProtection="1">
      <alignment horizontal="center" vertical="center"/>
    </xf>
    <xf numFmtId="0" fontId="44" fillId="6" borderId="9" xfId="0" applyFont="1" applyFill="1" applyBorder="1" applyAlignment="1" applyProtection="1">
      <alignment horizontal="center" vertical="center"/>
    </xf>
    <xf numFmtId="0" fontId="44" fillId="6" borderId="10" xfId="0" applyFont="1" applyFill="1" applyBorder="1" applyAlignment="1" applyProtection="1">
      <alignment horizontal="center" vertical="center"/>
    </xf>
    <xf numFmtId="0" fontId="46" fillId="6" borderId="40" xfId="0" applyFont="1" applyFill="1" applyBorder="1" applyAlignment="1" applyProtection="1">
      <alignment horizontal="center" vertical="center"/>
    </xf>
    <xf numFmtId="0" fontId="46" fillId="6" borderId="17" xfId="0" applyFont="1" applyFill="1" applyBorder="1" applyAlignment="1" applyProtection="1">
      <alignment horizontal="center" vertical="center"/>
    </xf>
    <xf numFmtId="0" fontId="46" fillId="6" borderId="62" xfId="0" applyFont="1" applyFill="1" applyBorder="1" applyAlignment="1" applyProtection="1">
      <alignment horizontal="center" vertical="center"/>
    </xf>
    <xf numFmtId="0" fontId="44" fillId="6" borderId="51" xfId="0" applyFont="1" applyFill="1" applyBorder="1" applyAlignment="1" applyProtection="1">
      <alignment horizontal="center" vertical="center"/>
    </xf>
    <xf numFmtId="0" fontId="44" fillId="6" borderId="20" xfId="0" applyFont="1" applyFill="1" applyBorder="1" applyAlignment="1" applyProtection="1">
      <alignment horizontal="center" vertical="center"/>
    </xf>
    <xf numFmtId="0" fontId="44" fillId="6" borderId="30" xfId="0" applyFont="1" applyFill="1" applyBorder="1" applyAlignment="1" applyProtection="1">
      <alignment horizontal="center" vertical="center"/>
    </xf>
    <xf numFmtId="0" fontId="46" fillId="6" borderId="1" xfId="0" applyFont="1" applyFill="1" applyBorder="1" applyAlignment="1" applyProtection="1">
      <alignment horizontal="center" vertical="center"/>
    </xf>
    <xf numFmtId="0" fontId="46" fillId="6" borderId="13" xfId="0" applyFont="1" applyFill="1" applyBorder="1" applyAlignment="1" applyProtection="1">
      <alignment horizontal="center" vertical="center"/>
    </xf>
    <xf numFmtId="0" fontId="46" fillId="6" borderId="51" xfId="0" applyFont="1" applyFill="1" applyBorder="1" applyAlignment="1" applyProtection="1">
      <alignment horizontal="center" vertical="center"/>
    </xf>
    <xf numFmtId="0" fontId="46" fillId="6" borderId="20" xfId="0" applyFont="1" applyFill="1" applyBorder="1" applyAlignment="1" applyProtection="1">
      <alignment horizontal="center" vertical="center"/>
    </xf>
    <xf numFmtId="0" fontId="46" fillId="6" borderId="30" xfId="0" applyFont="1" applyFill="1" applyBorder="1" applyAlignment="1" applyProtection="1">
      <alignment horizontal="center" vertical="center"/>
    </xf>
    <xf numFmtId="0" fontId="44" fillId="6" borderId="1" xfId="0" applyFont="1" applyFill="1" applyBorder="1" applyAlignment="1" applyProtection="1">
      <alignment horizontal="center" vertical="center"/>
    </xf>
    <xf numFmtId="0" fontId="69" fillId="6" borderId="105" xfId="0" applyFont="1" applyFill="1" applyBorder="1" applyAlignment="1" applyProtection="1">
      <alignment vertical="center"/>
    </xf>
    <xf numFmtId="0" fontId="69" fillId="6" borderId="101" xfId="0" applyFont="1" applyFill="1" applyBorder="1" applyAlignment="1" applyProtection="1">
      <alignment vertical="center"/>
    </xf>
    <xf numFmtId="0" fontId="47" fillId="6" borderId="54" xfId="0" applyFont="1" applyFill="1" applyBorder="1" applyAlignment="1" applyProtection="1">
      <alignment horizontal="left" vertical="center" wrapText="1"/>
    </xf>
    <xf numFmtId="0" fontId="44" fillId="6" borderId="1" xfId="0" applyFont="1" applyFill="1" applyBorder="1" applyAlignment="1" applyProtection="1">
      <alignment horizontal="center" vertical="center" wrapText="1"/>
    </xf>
    <xf numFmtId="0" fontId="52" fillId="6" borderId="51" xfId="0" applyFont="1" applyFill="1" applyBorder="1" applyAlignment="1" applyProtection="1">
      <alignment horizontal="center" vertical="center" wrapText="1"/>
    </xf>
    <xf numFmtId="0" fontId="52" fillId="6" borderId="20" xfId="0" applyFont="1" applyFill="1" applyBorder="1" applyAlignment="1" applyProtection="1">
      <alignment horizontal="center" vertical="center" wrapText="1"/>
    </xf>
    <xf numFmtId="0" fontId="52" fillId="6" borderId="21" xfId="0" applyFont="1" applyFill="1" applyBorder="1" applyAlignment="1" applyProtection="1">
      <alignment horizontal="center" vertical="center" wrapText="1"/>
    </xf>
    <xf numFmtId="0" fontId="52" fillId="6" borderId="46" xfId="0" applyFont="1" applyFill="1" applyBorder="1" applyAlignment="1" applyProtection="1">
      <alignment horizontal="left" vertical="center" wrapText="1"/>
    </xf>
    <xf numFmtId="0" fontId="52" fillId="6" borderId="36" xfId="0" applyFont="1" applyFill="1" applyBorder="1" applyAlignment="1" applyProtection="1">
      <alignment horizontal="left" vertical="center" wrapText="1"/>
    </xf>
    <xf numFmtId="0" fontId="52" fillId="6" borderId="22" xfId="0" applyFont="1" applyFill="1" applyBorder="1" applyAlignment="1" applyProtection="1">
      <alignment horizontal="left" vertical="center" wrapText="1"/>
    </xf>
    <xf numFmtId="0" fontId="46" fillId="6" borderId="40" xfId="0" applyFont="1" applyFill="1" applyBorder="1" applyAlignment="1" applyProtection="1">
      <alignment horizontal="left" vertical="center" wrapText="1"/>
    </xf>
    <xf numFmtId="0" fontId="46" fillId="6" borderId="41" xfId="0" applyFont="1" applyFill="1" applyBorder="1" applyAlignment="1" applyProtection="1">
      <alignment horizontal="left" vertical="center" wrapText="1"/>
    </xf>
    <xf numFmtId="10" fontId="47" fillId="6" borderId="5" xfId="0" applyNumberFormat="1" applyFont="1" applyFill="1" applyBorder="1" applyAlignment="1" applyProtection="1">
      <alignment horizontal="left" vertical="center" wrapText="1"/>
    </xf>
    <xf numFmtId="10" fontId="47" fillId="6" borderId="54" xfId="0" applyNumberFormat="1" applyFont="1" applyFill="1" applyBorder="1" applyAlignment="1" applyProtection="1">
      <alignment horizontal="left" vertical="center" wrapText="1"/>
    </xf>
    <xf numFmtId="0" fontId="46" fillId="6" borderId="21" xfId="0" applyFont="1" applyFill="1" applyBorder="1" applyAlignment="1" applyProtection="1">
      <alignment horizontal="center" vertical="center"/>
    </xf>
    <xf numFmtId="0" fontId="52" fillId="6" borderId="47" xfId="0" applyFont="1" applyFill="1" applyBorder="1" applyAlignment="1" applyProtection="1">
      <alignment horizontal="center" vertical="center"/>
    </xf>
    <xf numFmtId="0" fontId="44" fillId="6" borderId="1" xfId="0" applyFont="1" applyFill="1" applyBorder="1" applyAlignment="1" applyProtection="1">
      <alignment horizontal="left" vertical="center" wrapText="1"/>
    </xf>
    <xf numFmtId="0" fontId="47" fillId="6" borderId="23" xfId="0" applyFont="1" applyFill="1" applyBorder="1" applyAlignment="1" applyProtection="1">
      <alignment horizontal="left" vertical="center" wrapText="1"/>
    </xf>
    <xf numFmtId="0" fontId="47" fillId="6" borderId="1" xfId="0" applyFont="1" applyFill="1" applyBorder="1" applyAlignment="1" applyProtection="1">
      <alignment horizontal="left" vertical="center" wrapText="1"/>
    </xf>
    <xf numFmtId="0" fontId="44" fillId="0" borderId="13" xfId="0" applyFont="1" applyBorder="1" applyAlignment="1" applyProtection="1">
      <alignment horizontal="center" vertical="center"/>
      <protection locked="0"/>
    </xf>
    <xf numFmtId="0" fontId="44" fillId="0" borderId="15" xfId="0" applyFont="1" applyBorder="1" applyAlignment="1" applyProtection="1">
      <alignment horizontal="center" vertical="center"/>
      <protection locked="0"/>
    </xf>
    <xf numFmtId="0" fontId="44" fillId="0" borderId="2" xfId="0" applyFont="1" applyBorder="1" applyAlignment="1" applyProtection="1">
      <alignment horizontal="center" vertical="center"/>
      <protection locked="0"/>
    </xf>
    <xf numFmtId="10" fontId="47" fillId="6" borderId="48" xfId="0" applyNumberFormat="1" applyFont="1" applyFill="1" applyBorder="1" applyAlignment="1" applyProtection="1">
      <alignment horizontal="left" vertical="center" wrapText="1"/>
    </xf>
    <xf numFmtId="10" fontId="112" fillId="6" borderId="5" xfId="0" applyNumberFormat="1" applyFont="1" applyFill="1" applyBorder="1" applyAlignment="1" applyProtection="1">
      <alignment horizontal="left" vertical="center" wrapText="1"/>
    </xf>
    <xf numFmtId="10" fontId="112" fillId="6" borderId="54" xfId="0" applyNumberFormat="1" applyFont="1" applyFill="1" applyBorder="1" applyAlignment="1" applyProtection="1">
      <alignment horizontal="left" vertical="center" wrapText="1"/>
    </xf>
    <xf numFmtId="10" fontId="112" fillId="6" borderId="48" xfId="0" applyNumberFormat="1" applyFont="1" applyFill="1" applyBorder="1" applyAlignment="1" applyProtection="1">
      <alignment horizontal="left" vertical="center" wrapText="1"/>
    </xf>
    <xf numFmtId="0" fontId="128" fillId="6" borderId="58" xfId="0" applyFont="1" applyFill="1" applyBorder="1" applyAlignment="1" applyProtection="1">
      <alignment horizontal="left" vertical="center" wrapText="1"/>
    </xf>
    <xf numFmtId="0" fontId="128" fillId="6" borderId="0" xfId="0" applyFont="1" applyFill="1" applyAlignment="1" applyProtection="1">
      <alignment horizontal="left" vertical="center" wrapText="1"/>
    </xf>
    <xf numFmtId="0" fontId="47" fillId="6" borderId="5" xfId="0" applyFont="1" applyFill="1" applyBorder="1" applyAlignment="1" applyProtection="1">
      <alignment horizontal="left" vertical="center" wrapText="1"/>
    </xf>
    <xf numFmtId="0" fontId="47" fillId="6" borderId="3" xfId="0" applyFont="1" applyFill="1" applyBorder="1" applyAlignment="1" applyProtection="1">
      <alignment horizontal="left" vertical="center" wrapText="1"/>
    </xf>
    <xf numFmtId="0" fontId="46" fillId="6" borderId="40" xfId="0" applyFont="1" applyFill="1" applyBorder="1" applyAlignment="1" applyProtection="1">
      <alignment horizontal="center" vertical="center" wrapText="1"/>
    </xf>
    <xf numFmtId="0" fontId="46" fillId="6" borderId="14" xfId="0" applyFont="1" applyFill="1" applyBorder="1" applyAlignment="1" applyProtection="1">
      <alignment horizontal="center" vertical="center" wrapText="1"/>
    </xf>
    <xf numFmtId="0" fontId="46" fillId="6" borderId="12" xfId="0" applyFont="1" applyFill="1" applyBorder="1" applyAlignment="1" applyProtection="1">
      <alignment horizontal="center" vertical="center" wrapText="1"/>
    </xf>
    <xf numFmtId="0" fontId="54" fillId="6" borderId="6" xfId="0" applyFont="1" applyFill="1" applyBorder="1" applyAlignment="1" applyProtection="1">
      <alignment horizontal="left" vertical="center" wrapText="1"/>
    </xf>
    <xf numFmtId="0" fontId="54" fillId="6" borderId="9" xfId="0" applyFont="1" applyFill="1" applyBorder="1" applyAlignment="1" applyProtection="1">
      <alignment horizontal="left" vertical="center" wrapText="1"/>
    </xf>
    <xf numFmtId="0" fontId="47" fillId="6" borderId="11" xfId="0" applyFont="1" applyFill="1" applyBorder="1" applyAlignment="1" applyProtection="1">
      <alignment horizontal="left" vertical="center" wrapText="1"/>
    </xf>
    <xf numFmtId="0" fontId="100" fillId="6" borderId="63" xfId="0" applyFont="1" applyFill="1" applyBorder="1" applyAlignment="1" applyProtection="1">
      <alignment horizontal="center" vertical="center"/>
    </xf>
    <xf numFmtId="0" fontId="100" fillId="6" borderId="64" xfId="0" applyFont="1" applyFill="1" applyBorder="1" applyAlignment="1" applyProtection="1">
      <alignment horizontal="center" vertical="center"/>
    </xf>
    <xf numFmtId="0" fontId="100" fillId="6" borderId="65" xfId="0" applyFont="1" applyFill="1" applyBorder="1" applyAlignment="1" applyProtection="1">
      <alignment horizontal="center" vertical="center"/>
    </xf>
    <xf numFmtId="0" fontId="44" fillId="0" borderId="1" xfId="0" applyFont="1" applyBorder="1" applyAlignment="1" applyProtection="1">
      <alignment horizontal="center" vertical="center"/>
      <protection locked="0"/>
    </xf>
    <xf numFmtId="0" fontId="47" fillId="6" borderId="69" xfId="0" applyFont="1" applyFill="1" applyBorder="1" applyAlignment="1" applyProtection="1">
      <alignment horizontal="center" vertical="center"/>
    </xf>
    <xf numFmtId="0" fontId="47" fillId="6" borderId="60" xfId="0" applyFont="1" applyFill="1" applyBorder="1" applyAlignment="1" applyProtection="1">
      <alignment horizontal="center" vertical="center"/>
    </xf>
    <xf numFmtId="0" fontId="47" fillId="6" borderId="5" xfId="0" applyFont="1" applyFill="1" applyBorder="1" applyAlignment="1" applyProtection="1">
      <alignment horizontal="center" vertical="center" wrapText="1"/>
    </xf>
    <xf numFmtId="0" fontId="47" fillId="6" borderId="54" xfId="0" applyFont="1" applyFill="1" applyBorder="1" applyAlignment="1" applyProtection="1">
      <alignment horizontal="center" vertical="center" wrapText="1"/>
    </xf>
    <xf numFmtId="0" fontId="47" fillId="6" borderId="3" xfId="0" applyFont="1" applyFill="1" applyBorder="1" applyAlignment="1" applyProtection="1">
      <alignment horizontal="center" vertical="center" wrapText="1"/>
    </xf>
    <xf numFmtId="0" fontId="46" fillId="6" borderId="23" xfId="0" applyFont="1" applyFill="1" applyBorder="1" applyAlignment="1" applyProtection="1">
      <alignment horizontal="left" vertical="center"/>
    </xf>
    <xf numFmtId="0" fontId="46" fillId="6" borderId="1" xfId="0" applyFont="1" applyFill="1" applyBorder="1" applyAlignment="1" applyProtection="1">
      <alignment horizontal="left" vertical="center"/>
    </xf>
    <xf numFmtId="0" fontId="46" fillId="6" borderId="1" xfId="0" applyFont="1" applyFill="1" applyBorder="1" applyAlignment="1" applyProtection="1">
      <alignment horizontal="left" vertical="center" wrapText="1"/>
    </xf>
    <xf numFmtId="0" fontId="124" fillId="6" borderId="23" xfId="0" applyFont="1" applyFill="1" applyBorder="1" applyAlignment="1" applyProtection="1">
      <alignment horizontal="left" vertical="center"/>
    </xf>
    <xf numFmtId="0" fontId="124" fillId="6" borderId="25" xfId="0" applyFont="1" applyFill="1" applyBorder="1" applyAlignment="1" applyProtection="1">
      <alignment horizontal="left" vertical="center"/>
    </xf>
    <xf numFmtId="0" fontId="47" fillId="6" borderId="19" xfId="0" applyFont="1" applyFill="1" applyBorder="1" applyAlignment="1" applyProtection="1">
      <alignment horizontal="left" vertical="center" wrapText="1"/>
    </xf>
    <xf numFmtId="0" fontId="44" fillId="5" borderId="13" xfId="0" applyFont="1" applyFill="1" applyBorder="1" applyAlignment="1" applyProtection="1">
      <alignment horizontal="left" vertical="center" wrapText="1"/>
      <protection locked="0"/>
    </xf>
    <xf numFmtId="0" fontId="44" fillId="5" borderId="2" xfId="0" applyFont="1" applyFill="1" applyBorder="1" applyAlignment="1" applyProtection="1">
      <alignment horizontal="left" vertical="center" wrapText="1"/>
      <protection locked="0"/>
    </xf>
    <xf numFmtId="0" fontId="47" fillId="6" borderId="48" xfId="0" applyFont="1" applyFill="1" applyBorder="1" applyAlignment="1" applyProtection="1">
      <alignment horizontal="left" vertical="center" wrapText="1"/>
    </xf>
    <xf numFmtId="0" fontId="54" fillId="6" borderId="18" xfId="0" applyFont="1" applyFill="1" applyBorder="1" applyAlignment="1" applyProtection="1">
      <alignment horizontal="center" vertical="center" wrapText="1"/>
    </xf>
    <xf numFmtId="0" fontId="54" fillId="6" borderId="0" xfId="0" applyFont="1" applyFill="1" applyBorder="1" applyAlignment="1" applyProtection="1">
      <alignment horizontal="center" vertical="center" wrapText="1"/>
    </xf>
    <xf numFmtId="0" fontId="44" fillId="6" borderId="5" xfId="0" applyFont="1" applyFill="1" applyBorder="1" applyAlignment="1" applyProtection="1">
      <alignment horizontal="left" vertical="center" wrapText="1"/>
    </xf>
    <xf numFmtId="0" fontId="44" fillId="6" borderId="54" xfId="0" applyFont="1" applyFill="1" applyBorder="1" applyAlignment="1" applyProtection="1">
      <alignment horizontal="left" vertical="center" wrapText="1"/>
    </xf>
    <xf numFmtId="0" fontId="44" fillId="6" borderId="3" xfId="0" applyFont="1" applyFill="1" applyBorder="1" applyAlignment="1" applyProtection="1">
      <alignment horizontal="left" vertical="center" wrapText="1"/>
    </xf>
    <xf numFmtId="0" fontId="44" fillId="5" borderId="1" xfId="0" applyFont="1" applyFill="1" applyBorder="1" applyAlignment="1" applyProtection="1">
      <alignment horizontal="left" vertical="center" wrapText="1"/>
      <protection locked="0"/>
    </xf>
    <xf numFmtId="0" fontId="46" fillId="6" borderId="5" xfId="0" applyFont="1" applyFill="1" applyBorder="1" applyAlignment="1" applyProtection="1">
      <alignment horizontal="center" vertical="center"/>
    </xf>
    <xf numFmtId="0" fontId="46" fillId="6" borderId="54" xfId="0" applyFont="1" applyFill="1" applyBorder="1" applyAlignment="1" applyProtection="1">
      <alignment horizontal="center" vertical="center"/>
    </xf>
    <xf numFmtId="0" fontId="46" fillId="6" borderId="3" xfId="0" applyFont="1" applyFill="1" applyBorder="1" applyAlignment="1" applyProtection="1">
      <alignment horizontal="center" vertical="center"/>
    </xf>
    <xf numFmtId="0" fontId="47" fillId="6" borderId="36" xfId="0" applyFont="1" applyFill="1" applyBorder="1" applyAlignment="1" applyProtection="1">
      <alignment horizontal="left" vertical="center"/>
    </xf>
    <xf numFmtId="0" fontId="44" fillId="5" borderId="5" xfId="0" applyFont="1" applyFill="1" applyBorder="1" applyAlignment="1" applyProtection="1">
      <alignment horizontal="left" vertical="center" wrapText="1"/>
      <protection locked="0"/>
    </xf>
    <xf numFmtId="0" fontId="44" fillId="5" borderId="3" xfId="0" applyFont="1" applyFill="1" applyBorder="1" applyAlignment="1" applyProtection="1">
      <alignment horizontal="left" vertical="center" wrapText="1"/>
      <protection locked="0"/>
    </xf>
    <xf numFmtId="0" fontId="54" fillId="6" borderId="1" xfId="0" applyFont="1" applyFill="1" applyBorder="1" applyAlignment="1" applyProtection="1">
      <alignment horizontal="left" vertical="center" wrapText="1"/>
    </xf>
    <xf numFmtId="0" fontId="53" fillId="6" borderId="1" xfId="0" applyFont="1" applyFill="1" applyBorder="1" applyAlignment="1" applyProtection="1">
      <alignment horizontal="left" vertical="center" wrapText="1"/>
    </xf>
    <xf numFmtId="0" fontId="53" fillId="6" borderId="13" xfId="0" applyFont="1" applyFill="1" applyBorder="1" applyAlignment="1" applyProtection="1">
      <alignment horizontal="left" vertical="center" wrapText="1"/>
    </xf>
    <xf numFmtId="0" fontId="53" fillId="6" borderId="2" xfId="0" applyFont="1" applyFill="1" applyBorder="1" applyAlignment="1" applyProtection="1">
      <alignment horizontal="left" vertical="center" wrapText="1"/>
    </xf>
    <xf numFmtId="0" fontId="47" fillId="6" borderId="25" xfId="0" applyFont="1" applyFill="1" applyBorder="1" applyAlignment="1" applyProtection="1">
      <alignment horizontal="left" vertical="center" wrapText="1"/>
    </xf>
    <xf numFmtId="0" fontId="47" fillId="6" borderId="32" xfId="0" applyFont="1" applyFill="1" applyBorder="1" applyAlignment="1" applyProtection="1">
      <alignment horizontal="left" vertical="center" wrapText="1"/>
    </xf>
    <xf numFmtId="0" fontId="47" fillId="6" borderId="61" xfId="0" applyFont="1" applyFill="1" applyBorder="1" applyAlignment="1" applyProtection="1">
      <alignment horizontal="left" vertical="center"/>
    </xf>
    <xf numFmtId="0" fontId="47" fillId="6" borderId="53" xfId="0" applyFont="1" applyFill="1" applyBorder="1" applyAlignment="1" applyProtection="1">
      <alignment horizontal="left" vertical="center"/>
    </xf>
    <xf numFmtId="0" fontId="47" fillId="6" borderId="8" xfId="0" applyFont="1" applyFill="1" applyBorder="1" applyAlignment="1" applyProtection="1">
      <alignment horizontal="left" vertical="center"/>
    </xf>
    <xf numFmtId="0" fontId="104" fillId="6" borderId="106" xfId="0" applyFont="1" applyFill="1" applyBorder="1" applyProtection="1">
      <alignment vertical="center"/>
    </xf>
    <xf numFmtId="0" fontId="104" fillId="6" borderId="107" xfId="0" applyFont="1" applyFill="1" applyBorder="1" applyProtection="1">
      <alignment vertical="center"/>
    </xf>
    <xf numFmtId="0" fontId="46" fillId="6" borderId="23" xfId="0" applyFont="1" applyFill="1" applyBorder="1" applyAlignment="1" applyProtection="1">
      <alignment horizontal="left" vertical="center" wrapText="1"/>
    </xf>
    <xf numFmtId="0" fontId="46" fillId="6" borderId="25" xfId="0" applyFont="1" applyFill="1" applyBorder="1" applyAlignment="1" applyProtection="1">
      <alignment horizontal="left" vertical="center" wrapText="1"/>
    </xf>
    <xf numFmtId="0" fontId="46" fillId="6" borderId="32" xfId="0" applyFont="1" applyFill="1" applyBorder="1" applyAlignment="1" applyProtection="1">
      <alignment horizontal="left" vertical="center" wrapText="1"/>
    </xf>
    <xf numFmtId="0" fontId="46" fillId="6" borderId="5" xfId="0" applyFont="1" applyFill="1" applyBorder="1" applyAlignment="1" applyProtection="1">
      <alignment horizontal="left" vertical="center" wrapText="1"/>
    </xf>
    <xf numFmtId="0" fontId="46" fillId="6" borderId="54" xfId="0" applyFont="1" applyFill="1" applyBorder="1" applyAlignment="1" applyProtection="1">
      <alignment horizontal="left" vertical="center" wrapText="1"/>
    </xf>
    <xf numFmtId="0" fontId="46" fillId="6" borderId="3" xfId="0" applyFont="1" applyFill="1" applyBorder="1" applyAlignment="1" applyProtection="1">
      <alignment horizontal="left" vertical="center" wrapText="1"/>
    </xf>
    <xf numFmtId="0" fontId="46" fillId="5" borderId="37" xfId="0" applyFont="1" applyFill="1" applyBorder="1" applyAlignment="1" applyProtection="1">
      <alignment horizontal="left" vertical="center" wrapText="1"/>
      <protection locked="0"/>
    </xf>
    <xf numFmtId="0" fontId="46" fillId="5" borderId="3" xfId="0" applyFont="1" applyFill="1" applyBorder="1" applyAlignment="1" applyProtection="1">
      <alignment horizontal="left" vertical="center" wrapText="1"/>
      <protection locked="0"/>
    </xf>
    <xf numFmtId="0" fontId="102" fillId="6" borderId="1" xfId="0" applyFont="1" applyFill="1" applyBorder="1" applyAlignment="1" applyProtection="1">
      <alignment horizontal="center" vertical="center" wrapText="1"/>
    </xf>
    <xf numFmtId="0" fontId="102" fillId="6" borderId="1" xfId="0" applyFont="1" applyFill="1" applyBorder="1" applyAlignment="1" applyProtection="1">
      <alignment horizontal="left" vertical="center" wrapText="1"/>
    </xf>
    <xf numFmtId="0" fontId="125" fillId="6" borderId="1" xfId="0" applyFont="1" applyFill="1" applyBorder="1" applyAlignment="1" applyProtection="1">
      <alignment horizontal="center" vertical="center" wrapText="1"/>
      <protection locked="0"/>
    </xf>
    <xf numFmtId="191" fontId="54" fillId="6" borderId="1" xfId="0" applyNumberFormat="1" applyFont="1" applyFill="1" applyBorder="1" applyAlignment="1" applyProtection="1">
      <alignment horizontal="center" vertical="center" wrapText="1"/>
    </xf>
    <xf numFmtId="0" fontId="54" fillId="6" borderId="1" xfId="0" applyFont="1" applyFill="1" applyBorder="1" applyAlignment="1" applyProtection="1">
      <alignment horizontal="center" vertical="center" wrapText="1"/>
    </xf>
    <xf numFmtId="0" fontId="46" fillId="6" borderId="3" xfId="0" applyFont="1" applyFill="1" applyBorder="1" applyAlignment="1" applyProtection="1">
      <alignment horizontal="left" vertical="center"/>
    </xf>
    <xf numFmtId="0" fontId="53" fillId="6" borderId="5" xfId="0" applyFont="1" applyFill="1" applyBorder="1" applyAlignment="1" applyProtection="1">
      <alignment horizontal="left" vertical="center"/>
    </xf>
    <xf numFmtId="0" fontId="53" fillId="6" borderId="54" xfId="0" applyFont="1" applyFill="1" applyBorder="1" applyAlignment="1" applyProtection="1">
      <alignment horizontal="left" vertical="center"/>
    </xf>
    <xf numFmtId="0" fontId="163" fillId="6" borderId="1" xfId="0" applyFont="1" applyFill="1" applyBorder="1" applyAlignment="1">
      <alignment horizontal="left" vertical="center" wrapText="1"/>
    </xf>
    <xf numFmtId="0" fontId="53" fillId="6" borderId="3" xfId="0" applyFont="1" applyFill="1" applyBorder="1" applyAlignment="1" applyProtection="1">
      <alignment horizontal="left" vertical="center"/>
    </xf>
    <xf numFmtId="10" fontId="77" fillId="6" borderId="1" xfId="0" applyNumberFormat="1" applyFont="1" applyFill="1" applyBorder="1" applyAlignment="1" applyProtection="1">
      <alignment horizontal="left" vertical="center" wrapText="1"/>
    </xf>
    <xf numFmtId="10" fontId="47" fillId="6" borderId="1" xfId="0" applyNumberFormat="1" applyFont="1" applyFill="1" applyBorder="1" applyAlignment="1" applyProtection="1">
      <alignment horizontal="left" vertical="center" wrapText="1"/>
    </xf>
    <xf numFmtId="0" fontId="53" fillId="6" borderId="61" xfId="0" applyFont="1" applyFill="1" applyBorder="1" applyAlignment="1" applyProtection="1">
      <alignment horizontal="left" vertical="center"/>
    </xf>
    <xf numFmtId="0" fontId="53" fillId="6" borderId="53" xfId="0" applyFont="1" applyFill="1" applyBorder="1" applyAlignment="1" applyProtection="1">
      <alignment horizontal="left" vertical="center"/>
    </xf>
    <xf numFmtId="0" fontId="53" fillId="6" borderId="8" xfId="0" applyFont="1" applyFill="1" applyBorder="1" applyAlignment="1" applyProtection="1">
      <alignment horizontal="left" vertical="center"/>
    </xf>
    <xf numFmtId="0" fontId="47" fillId="6" borderId="13" xfId="0" applyFont="1" applyFill="1" applyBorder="1" applyAlignment="1" applyProtection="1">
      <alignment vertical="top" wrapText="1"/>
    </xf>
    <xf numFmtId="0" fontId="47" fillId="6" borderId="15" xfId="0" applyFont="1" applyFill="1" applyBorder="1" applyAlignment="1" applyProtection="1">
      <alignment vertical="top" wrapText="1"/>
    </xf>
    <xf numFmtId="0" fontId="47" fillId="6" borderId="2" xfId="0" applyFont="1" applyFill="1" applyBorder="1" applyAlignment="1" applyProtection="1">
      <alignment vertical="top" wrapText="1"/>
    </xf>
    <xf numFmtId="0" fontId="112" fillId="6" borderId="34" xfId="0" applyFont="1" applyFill="1" applyBorder="1" applyAlignment="1" applyProtection="1">
      <alignment horizontal="left" vertical="center" wrapText="1"/>
    </xf>
    <xf numFmtId="0" fontId="112" fillId="6" borderId="65" xfId="0" applyFont="1" applyFill="1" applyBorder="1" applyAlignment="1" applyProtection="1">
      <alignment horizontal="left" vertical="center" wrapText="1"/>
    </xf>
    <xf numFmtId="0" fontId="54" fillId="6" borderId="23" xfId="4" applyFont="1" applyFill="1" applyBorder="1" applyAlignment="1" applyProtection="1">
      <alignment horizontal="left" vertical="center" wrapText="1"/>
      <protection locked="0"/>
    </xf>
    <xf numFmtId="0" fontId="54" fillId="6" borderId="13" xfId="4" applyFont="1" applyFill="1" applyBorder="1" applyAlignment="1" applyProtection="1">
      <alignment horizontal="left" vertical="center" wrapText="1"/>
      <protection locked="0"/>
    </xf>
    <xf numFmtId="0" fontId="54" fillId="6" borderId="15" xfId="4" applyFont="1" applyFill="1" applyBorder="1" applyAlignment="1" applyProtection="1">
      <alignment horizontal="left" vertical="center" wrapText="1"/>
      <protection locked="0"/>
    </xf>
    <xf numFmtId="0" fontId="54" fillId="6" borderId="2" xfId="4" applyFont="1" applyFill="1" applyBorder="1" applyAlignment="1" applyProtection="1">
      <alignment horizontal="left" vertical="center" wrapText="1"/>
      <protection locked="0"/>
    </xf>
    <xf numFmtId="0" fontId="102" fillId="6" borderId="11" xfId="4" applyFont="1" applyFill="1" applyBorder="1" applyAlignment="1" applyProtection="1">
      <alignment horizontal="left" vertical="center"/>
      <protection locked="0"/>
    </xf>
    <xf numFmtId="0" fontId="102" fillId="6" borderId="41" xfId="4" applyFont="1" applyFill="1" applyBorder="1" applyAlignment="1" applyProtection="1">
      <alignment horizontal="left" vertical="center"/>
      <protection locked="0"/>
    </xf>
    <xf numFmtId="0" fontId="54" fillId="19" borderId="69" xfId="4" applyFont="1" applyFill="1" applyBorder="1" applyAlignment="1" applyProtection="1">
      <alignment vertical="center"/>
      <protection locked="0"/>
    </xf>
    <xf numFmtId="0" fontId="54" fillId="19" borderId="7" xfId="4" applyFont="1" applyFill="1" applyBorder="1" applyAlignment="1" applyProtection="1">
      <alignment vertical="center"/>
      <protection locked="0"/>
    </xf>
    <xf numFmtId="0" fontId="54" fillId="6" borderId="37" xfId="4" applyFont="1" applyFill="1" applyBorder="1" applyAlignment="1" applyProtection="1">
      <alignment horizontal="left" vertical="center"/>
      <protection locked="0"/>
    </xf>
    <xf numFmtId="0" fontId="54" fillId="6" borderId="3" xfId="4" applyFont="1" applyFill="1" applyBorder="1" applyAlignment="1" applyProtection="1">
      <alignment horizontal="left" vertical="center"/>
      <protection locked="0"/>
    </xf>
    <xf numFmtId="0" fontId="53" fillId="6" borderId="5" xfId="4" applyFont="1" applyFill="1" applyBorder="1" applyAlignment="1">
      <alignment horizontal="left" vertical="center"/>
    </xf>
    <xf numFmtId="0" fontId="53" fillId="6" borderId="3" xfId="4" applyFont="1" applyFill="1" applyBorder="1" applyAlignment="1">
      <alignment horizontal="left" vertical="center"/>
    </xf>
    <xf numFmtId="0" fontId="54" fillId="6" borderId="33" xfId="4" applyFont="1" applyFill="1" applyBorder="1" applyAlignment="1">
      <alignment horizontal="left" vertical="center"/>
    </xf>
    <xf numFmtId="0" fontId="54" fillId="6" borderId="66" xfId="4" applyFont="1" applyFill="1" applyBorder="1" applyAlignment="1">
      <alignment horizontal="left" vertical="center"/>
    </xf>
    <xf numFmtId="0" fontId="102" fillId="6" borderId="63" xfId="4" applyFont="1" applyFill="1" applyBorder="1" applyAlignment="1">
      <alignment horizontal="left" vertical="center"/>
    </xf>
    <xf numFmtId="0" fontId="102" fillId="6" borderId="64" xfId="4" applyFont="1" applyFill="1" applyBorder="1" applyAlignment="1">
      <alignment horizontal="left" vertical="center"/>
    </xf>
    <xf numFmtId="0" fontId="102" fillId="6" borderId="70" xfId="4" applyFont="1" applyFill="1" applyBorder="1" applyAlignment="1">
      <alignment horizontal="left" vertical="center"/>
    </xf>
    <xf numFmtId="0" fontId="54" fillId="6" borderId="5" xfId="4" applyFont="1" applyFill="1" applyBorder="1" applyAlignment="1">
      <alignment horizontal="left" vertical="center"/>
    </xf>
    <xf numFmtId="0" fontId="54" fillId="6" borderId="3" xfId="4" applyFont="1" applyFill="1" applyBorder="1" applyAlignment="1">
      <alignment horizontal="left" vertical="center"/>
    </xf>
    <xf numFmtId="0" fontId="203" fillId="6" borderId="5" xfId="0" applyFont="1" applyFill="1" applyBorder="1" applyAlignment="1">
      <alignment horizontal="center" vertical="center"/>
    </xf>
    <xf numFmtId="0" fontId="203" fillId="6" borderId="3" xfId="0" applyFont="1" applyFill="1" applyBorder="1" applyAlignment="1">
      <alignment horizontal="center" vertical="center"/>
    </xf>
    <xf numFmtId="0" fontId="51" fillId="6" borderId="5" xfId="0" applyFont="1" applyFill="1" applyBorder="1" applyAlignment="1" applyProtection="1">
      <alignment horizontal="center" vertical="center" wrapText="1"/>
    </xf>
    <xf numFmtId="0" fontId="51" fillId="6" borderId="3" xfId="0" applyFont="1" applyFill="1" applyBorder="1" applyAlignment="1" applyProtection="1">
      <alignment horizontal="center" vertical="center" wrapText="1"/>
    </xf>
    <xf numFmtId="0" fontId="50" fillId="18" borderId="1" xfId="0" applyNumberFormat="1" applyFont="1" applyFill="1" applyBorder="1" applyAlignment="1" applyProtection="1">
      <alignment horizontal="center" vertical="center"/>
    </xf>
    <xf numFmtId="0" fontId="51" fillId="6" borderId="1" xfId="0" applyFont="1" applyFill="1" applyBorder="1" applyAlignment="1" applyProtection="1">
      <alignment horizontal="center" vertical="center" wrapText="1"/>
    </xf>
    <xf numFmtId="0" fontId="51" fillId="6" borderId="1" xfId="0" applyNumberFormat="1" applyFont="1" applyFill="1" applyBorder="1" applyAlignment="1" applyProtection="1">
      <alignment horizontal="center" vertical="center"/>
    </xf>
    <xf numFmtId="0" fontId="51" fillId="6" borderId="13" xfId="0" applyFont="1" applyFill="1" applyBorder="1" applyAlignment="1" applyProtection="1">
      <alignment horizontal="center" vertical="center" wrapText="1"/>
    </xf>
    <xf numFmtId="0" fontId="51" fillId="6" borderId="15" xfId="0" applyFont="1" applyFill="1" applyBorder="1" applyAlignment="1" applyProtection="1">
      <alignment horizontal="center" vertical="center" wrapText="1"/>
    </xf>
    <xf numFmtId="0" fontId="51" fillId="6" borderId="11" xfId="0" applyFont="1" applyFill="1" applyBorder="1" applyAlignment="1" applyProtection="1">
      <alignment horizontal="center" vertical="center" textRotation="255" wrapText="1"/>
    </xf>
    <xf numFmtId="0" fontId="51" fillId="6" borderId="14" xfId="0" applyFont="1" applyFill="1" applyBorder="1" applyAlignment="1" applyProtection="1">
      <alignment horizontal="center" vertical="center" textRotation="255" wrapText="1"/>
    </xf>
    <xf numFmtId="0" fontId="51" fillId="6" borderId="41" xfId="0" applyFont="1" applyFill="1" applyBorder="1" applyAlignment="1" applyProtection="1">
      <alignment horizontal="center" vertical="center" textRotation="255" wrapText="1"/>
    </xf>
    <xf numFmtId="0" fontId="51" fillId="6" borderId="15" xfId="0" applyFont="1" applyFill="1" applyBorder="1" applyAlignment="1" applyProtection="1">
      <alignment horizontal="center" vertical="center" textRotation="255" wrapText="1"/>
    </xf>
    <xf numFmtId="0" fontId="51" fillId="6" borderId="2" xfId="0" applyFont="1" applyFill="1" applyBorder="1" applyAlignment="1" applyProtection="1">
      <alignment horizontal="center" vertical="center" textRotation="255" wrapText="1"/>
    </xf>
    <xf numFmtId="0" fontId="51" fillId="6" borderId="11" xfId="0" applyFont="1" applyFill="1" applyBorder="1" applyAlignment="1" applyProtection="1">
      <alignment horizontal="center" vertical="center" wrapText="1"/>
    </xf>
    <xf numFmtId="0" fontId="51" fillId="6" borderId="14" xfId="0" applyFont="1" applyFill="1" applyBorder="1" applyAlignment="1" applyProtection="1">
      <alignment horizontal="center" vertical="center" wrapText="1"/>
    </xf>
    <xf numFmtId="0" fontId="51" fillId="6" borderId="23" xfId="0" applyFont="1" applyFill="1" applyBorder="1" applyAlignment="1" applyProtection="1">
      <alignment horizontal="center" vertical="center" wrapText="1"/>
    </xf>
    <xf numFmtId="0" fontId="51" fillId="6" borderId="13" xfId="0" applyFont="1" applyFill="1" applyBorder="1" applyAlignment="1" applyProtection="1">
      <alignment horizontal="center" vertical="center"/>
    </xf>
    <xf numFmtId="0" fontId="51" fillId="6" borderId="15" xfId="0" applyFont="1" applyFill="1" applyBorder="1" applyAlignment="1" applyProtection="1">
      <alignment horizontal="center" vertical="center"/>
    </xf>
    <xf numFmtId="0" fontId="51" fillId="6" borderId="2" xfId="0" applyFont="1" applyFill="1" applyBorder="1" applyAlignment="1" applyProtection="1">
      <alignment horizontal="center" vertical="center"/>
    </xf>
    <xf numFmtId="0" fontId="51" fillId="6" borderId="6" xfId="0" applyFont="1" applyFill="1" applyBorder="1" applyAlignment="1" applyProtection="1">
      <alignment horizontal="center" vertical="center" wrapText="1"/>
    </xf>
    <xf numFmtId="0" fontId="51" fillId="6" borderId="10" xfId="0" applyFont="1" applyFill="1" applyBorder="1" applyAlignment="1" applyProtection="1">
      <alignment horizontal="center" vertical="center" wrapText="1"/>
    </xf>
    <xf numFmtId="0" fontId="51" fillId="6" borderId="30" xfId="0" applyFont="1" applyFill="1" applyBorder="1" applyAlignment="1" applyProtection="1">
      <alignment horizontal="center" vertical="center" wrapText="1"/>
    </xf>
    <xf numFmtId="0" fontId="51" fillId="6" borderId="28"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wrapText="1"/>
    </xf>
    <xf numFmtId="0" fontId="51" fillId="6" borderId="22" xfId="0" applyFont="1" applyFill="1" applyBorder="1" applyAlignment="1" applyProtection="1">
      <alignment horizontal="center" vertical="center" wrapText="1"/>
    </xf>
    <xf numFmtId="0" fontId="51" fillId="6" borderId="58" xfId="0" applyFont="1" applyFill="1" applyBorder="1" applyAlignment="1" applyProtection="1">
      <alignment horizontal="center" vertical="center" wrapText="1"/>
    </xf>
    <xf numFmtId="0" fontId="51" fillId="6" borderId="35" xfId="0" applyFont="1" applyFill="1" applyBorder="1" applyAlignment="1" applyProtection="1">
      <alignment horizontal="center" vertical="center" wrapText="1"/>
    </xf>
    <xf numFmtId="0" fontId="51" fillId="6" borderId="4" xfId="0" applyFont="1" applyFill="1" applyBorder="1" applyAlignment="1" applyProtection="1">
      <alignment horizontal="center" vertical="center" wrapText="1"/>
    </xf>
    <xf numFmtId="0" fontId="51" fillId="6" borderId="7" xfId="0" applyFont="1" applyFill="1" applyBorder="1" applyAlignment="1" applyProtection="1">
      <alignment horizontal="center" vertical="center" wrapText="1"/>
    </xf>
    <xf numFmtId="0" fontId="51" fillId="6" borderId="46" xfId="0" applyFont="1" applyFill="1" applyBorder="1" applyAlignment="1" applyProtection="1">
      <alignment horizontal="center" vertical="center"/>
    </xf>
    <xf numFmtId="0" fontId="51" fillId="6" borderId="22" xfId="0" applyFont="1" applyFill="1" applyBorder="1" applyAlignment="1" applyProtection="1">
      <alignment horizontal="center" vertical="center"/>
    </xf>
    <xf numFmtId="0" fontId="51" fillId="6" borderId="58" xfId="0" applyFont="1" applyFill="1" applyBorder="1" applyAlignment="1" applyProtection="1">
      <alignment horizontal="center" vertical="center"/>
    </xf>
    <xf numFmtId="0" fontId="51" fillId="6" borderId="35" xfId="0" applyFont="1" applyFill="1" applyBorder="1" applyAlignment="1" applyProtection="1">
      <alignment horizontal="center" vertical="center"/>
    </xf>
    <xf numFmtId="0" fontId="51" fillId="6" borderId="4" xfId="0" applyFont="1" applyFill="1" applyBorder="1" applyAlignment="1" applyProtection="1">
      <alignment horizontal="center" vertical="center"/>
    </xf>
    <xf numFmtId="0" fontId="51" fillId="6" borderId="7" xfId="0" applyFont="1" applyFill="1" applyBorder="1" applyAlignment="1" applyProtection="1">
      <alignment horizontal="center" vertical="center"/>
    </xf>
    <xf numFmtId="0" fontId="51" fillId="6" borderId="1" xfId="0" applyFont="1" applyFill="1" applyBorder="1" applyAlignment="1" applyProtection="1">
      <alignment horizontal="center" vertical="center"/>
    </xf>
    <xf numFmtId="0" fontId="165" fillId="0" borderId="11" xfId="0" applyFont="1" applyFill="1" applyBorder="1" applyAlignment="1" applyProtection="1">
      <alignment horizontal="center" vertical="center" wrapText="1"/>
      <protection locked="0"/>
    </xf>
    <xf numFmtId="0" fontId="165" fillId="0" borderId="61" xfId="0" applyFont="1" applyFill="1" applyBorder="1" applyAlignment="1" applyProtection="1">
      <alignment horizontal="center" vertical="center" wrapText="1"/>
      <protection locked="0"/>
    </xf>
    <xf numFmtId="0" fontId="165" fillId="0" borderId="23" xfId="0" applyFont="1" applyFill="1" applyBorder="1" applyAlignment="1" applyProtection="1">
      <alignment horizontal="center" vertical="center" wrapText="1"/>
      <protection locked="0"/>
    </xf>
    <xf numFmtId="0" fontId="165" fillId="0" borderId="24" xfId="0" applyFont="1" applyFill="1" applyBorder="1" applyAlignment="1" applyProtection="1">
      <alignment horizontal="center" vertical="center" wrapText="1"/>
      <protection locked="0"/>
    </xf>
    <xf numFmtId="0" fontId="44" fillId="6" borderId="5" xfId="0" applyFont="1" applyFill="1" applyBorder="1" applyAlignment="1" applyProtection="1">
      <alignment horizontal="center" vertical="center"/>
    </xf>
    <xf numFmtId="0" fontId="44" fillId="6" borderId="3" xfId="0" applyFont="1" applyFill="1" applyBorder="1" applyAlignment="1" applyProtection="1">
      <alignment horizontal="center" vertical="center"/>
    </xf>
    <xf numFmtId="0" fontId="44" fillId="6" borderId="54" xfId="0" applyFont="1" applyFill="1" applyBorder="1" applyAlignment="1" applyProtection="1">
      <alignment horizontal="center" vertical="center"/>
    </xf>
    <xf numFmtId="0" fontId="165" fillId="0" borderId="22" xfId="0" applyFont="1" applyFill="1" applyBorder="1" applyAlignment="1" applyProtection="1">
      <alignment horizontal="center" vertical="center" wrapText="1"/>
      <protection locked="0"/>
    </xf>
    <xf numFmtId="0" fontId="165" fillId="0" borderId="46" xfId="0" applyFont="1" applyFill="1" applyBorder="1" applyAlignment="1" applyProtection="1">
      <alignment horizontal="center" vertical="center" wrapText="1"/>
      <protection locked="0"/>
    </xf>
    <xf numFmtId="0" fontId="165" fillId="0" borderId="3" xfId="0" applyFont="1" applyFill="1" applyBorder="1" applyAlignment="1" applyProtection="1">
      <alignment horizontal="center" vertical="center" wrapText="1"/>
      <protection locked="0"/>
    </xf>
    <xf numFmtId="0" fontId="165" fillId="0" borderId="5" xfId="0" applyFont="1" applyFill="1" applyBorder="1" applyAlignment="1" applyProtection="1">
      <alignment horizontal="center" vertical="center" wrapText="1"/>
      <protection locked="0"/>
    </xf>
    <xf numFmtId="0" fontId="51" fillId="6" borderId="38" xfId="0" applyFont="1" applyFill="1" applyBorder="1" applyAlignment="1" applyProtection="1">
      <alignment horizontal="center" vertical="center" wrapText="1"/>
    </xf>
    <xf numFmtId="0" fontId="51" fillId="6" borderId="66" xfId="0" applyFont="1" applyFill="1" applyBorder="1" applyAlignment="1" applyProtection="1">
      <alignment horizontal="center" vertical="center" wrapText="1"/>
    </xf>
    <xf numFmtId="0" fontId="50" fillId="6" borderId="32" xfId="0" applyNumberFormat="1" applyFont="1" applyFill="1" applyBorder="1" applyAlignment="1" applyProtection="1">
      <alignment horizontal="center" vertical="center"/>
    </xf>
    <xf numFmtId="0" fontId="51" fillId="6" borderId="62" xfId="0" applyFont="1" applyFill="1" applyBorder="1" applyAlignment="1" applyProtection="1">
      <alignment horizontal="center" vertical="center"/>
    </xf>
    <xf numFmtId="0" fontId="51" fillId="6" borderId="53" xfId="0" applyFont="1" applyFill="1" applyBorder="1" applyAlignment="1" applyProtection="1">
      <alignment horizontal="center" vertical="center"/>
    </xf>
    <xf numFmtId="0" fontId="51" fillId="6" borderId="8" xfId="0" applyFont="1" applyFill="1" applyBorder="1" applyAlignment="1" applyProtection="1">
      <alignment horizontal="center" vertical="center"/>
    </xf>
    <xf numFmtId="0" fontId="51" fillId="6" borderId="16" xfId="0" applyFont="1" applyFill="1" applyBorder="1" applyAlignment="1" applyProtection="1">
      <alignment horizontal="center" vertical="center" wrapText="1"/>
    </xf>
    <xf numFmtId="0" fontId="51" fillId="6" borderId="39" xfId="0" applyFont="1" applyFill="1" applyBorder="1" applyAlignment="1" applyProtection="1">
      <alignment horizontal="center" vertical="center" wrapText="1"/>
    </xf>
    <xf numFmtId="0" fontId="51" fillId="6" borderId="18" xfId="0" applyFont="1" applyFill="1" applyBorder="1" applyAlignment="1" applyProtection="1">
      <alignment horizontal="center" vertical="center" wrapText="1"/>
    </xf>
    <xf numFmtId="0" fontId="51" fillId="6" borderId="69" xfId="0" applyFont="1" applyFill="1" applyBorder="1" applyAlignment="1" applyProtection="1">
      <alignment horizontal="center" vertical="center" wrapText="1"/>
    </xf>
    <xf numFmtId="0" fontId="51" fillId="6" borderId="29" xfId="0" applyFont="1" applyFill="1" applyBorder="1" applyAlignment="1" applyProtection="1">
      <alignment horizontal="center" vertical="center"/>
    </xf>
    <xf numFmtId="0" fontId="51" fillId="6" borderId="39" xfId="0" applyFont="1" applyFill="1" applyBorder="1" applyAlignment="1" applyProtection="1">
      <alignment horizontal="center" vertical="center"/>
    </xf>
    <xf numFmtId="0" fontId="51" fillId="6" borderId="9" xfId="0" applyFont="1" applyFill="1" applyBorder="1" applyAlignment="1" applyProtection="1">
      <alignment horizontal="center" vertical="center"/>
    </xf>
    <xf numFmtId="0" fontId="44" fillId="6" borderId="37" xfId="0" applyFont="1" applyFill="1" applyBorder="1" applyAlignment="1" applyProtection="1">
      <alignment horizontal="center" vertical="center"/>
    </xf>
    <xf numFmtId="0" fontId="51" fillId="6" borderId="17" xfId="0" applyFont="1" applyFill="1" applyBorder="1" applyAlignment="1" applyProtection="1">
      <alignment horizontal="center" vertical="center"/>
    </xf>
    <xf numFmtId="0" fontId="51" fillId="6" borderId="13" xfId="0" applyFont="1" applyFill="1" applyBorder="1" applyAlignment="1" applyProtection="1">
      <alignment horizontal="center" vertical="center" textRotation="255" wrapText="1"/>
    </xf>
    <xf numFmtId="0" fontId="50" fillId="6" borderId="1" xfId="0" applyNumberFormat="1" applyFont="1" applyFill="1" applyBorder="1" applyAlignment="1" applyProtection="1">
      <alignment horizontal="center" vertical="center"/>
    </xf>
    <xf numFmtId="185" fontId="51" fillId="6" borderId="1" xfId="0" applyNumberFormat="1" applyFont="1" applyFill="1" applyBorder="1" applyAlignment="1" applyProtection="1">
      <alignment horizontal="center" vertical="center"/>
    </xf>
    <xf numFmtId="185" fontId="50" fillId="18" borderId="1" xfId="0" applyNumberFormat="1" applyFont="1" applyFill="1" applyBorder="1" applyAlignment="1" applyProtection="1">
      <alignment horizontal="center" vertical="center"/>
    </xf>
    <xf numFmtId="0" fontId="51" fillId="6" borderId="9" xfId="0" applyFont="1" applyFill="1" applyBorder="1" applyAlignment="1" applyProtection="1">
      <alignment horizontal="center" vertical="center" wrapText="1"/>
    </xf>
    <xf numFmtId="49" fontId="165" fillId="0" borderId="23" xfId="0" applyNumberFormat="1" applyFont="1" applyFill="1" applyBorder="1" applyAlignment="1" applyProtection="1">
      <alignment horizontal="center" vertical="center" wrapText="1"/>
      <protection locked="0"/>
    </xf>
    <xf numFmtId="0" fontId="51" fillId="0" borderId="11" xfId="0" applyFont="1" applyFill="1" applyBorder="1" applyAlignment="1" applyProtection="1">
      <alignment horizontal="center" vertical="center" wrapText="1"/>
      <protection locked="0"/>
    </xf>
    <xf numFmtId="0" fontId="51" fillId="0" borderId="61" xfId="0" applyFont="1" applyFill="1" applyBorder="1" applyAlignment="1" applyProtection="1">
      <alignment horizontal="center" vertical="center" wrapText="1"/>
      <protection locked="0"/>
    </xf>
    <xf numFmtId="0" fontId="51" fillId="0" borderId="22" xfId="0" applyFont="1" applyFill="1" applyBorder="1" applyAlignment="1" applyProtection="1">
      <alignment horizontal="center" vertical="center" wrapText="1"/>
      <protection locked="0"/>
    </xf>
    <xf numFmtId="0" fontId="51" fillId="0" borderId="46" xfId="0" applyFont="1" applyFill="1" applyBorder="1" applyAlignment="1" applyProtection="1">
      <alignment horizontal="center" vertical="center" wrapText="1"/>
      <protection locked="0"/>
    </xf>
    <xf numFmtId="0" fontId="99" fillId="6" borderId="13" xfId="0" applyNumberFormat="1" applyFont="1" applyFill="1" applyBorder="1" applyAlignment="1" applyProtection="1">
      <alignment horizontal="left" vertical="center"/>
    </xf>
    <xf numFmtId="0" fontId="99" fillId="6" borderId="15" xfId="0" applyNumberFormat="1" applyFont="1" applyFill="1" applyBorder="1" applyAlignment="1" applyProtection="1">
      <alignment horizontal="left" vertical="center"/>
    </xf>
    <xf numFmtId="0" fontId="99" fillId="6" borderId="2" xfId="0" applyNumberFormat="1" applyFont="1" applyFill="1" applyBorder="1" applyAlignment="1" applyProtection="1">
      <alignment horizontal="left" vertical="center"/>
    </xf>
    <xf numFmtId="0" fontId="99" fillId="0" borderId="0" xfId="0" applyNumberFormat="1" applyFont="1" applyAlignment="1" applyProtection="1">
      <alignment horizontal="left" vertical="center"/>
    </xf>
    <xf numFmtId="0" fontId="53" fillId="6" borderId="54"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right" vertical="center" wrapText="1"/>
      <protection locked="0"/>
    </xf>
    <xf numFmtId="0" fontId="53" fillId="6" borderId="3" xfId="8" applyFont="1" applyFill="1" applyBorder="1" applyAlignment="1" applyProtection="1">
      <alignment horizontal="center" vertical="center" wrapText="1"/>
      <protection locked="0"/>
    </xf>
    <xf numFmtId="0" fontId="57" fillId="6" borderId="5" xfId="0" applyFont="1" applyFill="1" applyBorder="1" applyAlignment="1" applyProtection="1">
      <alignment horizontal="center" vertical="center" wrapText="1"/>
    </xf>
    <xf numFmtId="0" fontId="57" fillId="6" borderId="54" xfId="0" applyFont="1" applyFill="1" applyBorder="1" applyAlignment="1" applyProtection="1">
      <alignment horizontal="center" vertical="center" wrapText="1"/>
    </xf>
    <xf numFmtId="0" fontId="57" fillId="6" borderId="0" xfId="0" applyFont="1" applyFill="1" applyBorder="1" applyAlignment="1" applyProtection="1">
      <alignment horizontal="center" vertical="center" wrapText="1"/>
    </xf>
    <xf numFmtId="0" fontId="57" fillId="6" borderId="22" xfId="0" applyFont="1" applyFill="1" applyBorder="1" applyAlignment="1" applyProtection="1">
      <alignment horizontal="center" vertical="center" wrapText="1"/>
    </xf>
    <xf numFmtId="49" fontId="80" fillId="6" borderId="14" xfId="0" applyNumberFormat="1" applyFont="1" applyFill="1" applyBorder="1" applyAlignment="1" applyProtection="1">
      <alignment horizontal="center" vertical="center" wrapText="1"/>
    </xf>
    <xf numFmtId="49" fontId="54" fillId="6" borderId="12" xfId="0" applyNumberFormat="1" applyFont="1" applyFill="1" applyBorder="1" applyAlignment="1" applyProtection="1">
      <alignment horizontal="center" vertical="center" wrapText="1"/>
    </xf>
    <xf numFmtId="0" fontId="102" fillId="6" borderId="0" xfId="0" applyNumberFormat="1" applyFont="1" applyFill="1" applyAlignment="1" applyProtection="1">
      <alignment horizontal="left" vertical="center"/>
    </xf>
    <xf numFmtId="0" fontId="99" fillId="6" borderId="1" xfId="0" applyNumberFormat="1" applyFont="1" applyFill="1" applyBorder="1" applyAlignment="1" applyProtection="1">
      <alignment horizontal="left" vertical="center"/>
    </xf>
    <xf numFmtId="0" fontId="138" fillId="6" borderId="13" xfId="0" applyFont="1" applyFill="1" applyBorder="1" applyAlignment="1" applyProtection="1">
      <alignment vertical="center" wrapText="1"/>
    </xf>
    <xf numFmtId="0" fontId="138" fillId="6" borderId="15" xfId="0" applyFont="1" applyFill="1" applyBorder="1" applyAlignment="1" applyProtection="1">
      <alignment vertical="center" wrapText="1"/>
    </xf>
    <xf numFmtId="0" fontId="53" fillId="6" borderId="58" xfId="0" applyFont="1" applyFill="1" applyBorder="1" applyAlignment="1" applyProtection="1">
      <alignment horizontal="center" vertical="center" wrapText="1"/>
    </xf>
    <xf numFmtId="0" fontId="53" fillId="6" borderId="35" xfId="0" applyFont="1" applyFill="1" applyBorder="1" applyAlignment="1" applyProtection="1">
      <alignment horizontal="center" vertical="center" wrapText="1"/>
    </xf>
    <xf numFmtId="0" fontId="47" fillId="6" borderId="5" xfId="0" applyFont="1" applyFill="1" applyBorder="1" applyAlignment="1" applyProtection="1">
      <alignment horizontal="center" vertical="center"/>
    </xf>
    <xf numFmtId="0" fontId="47" fillId="6" borderId="54" xfId="0" applyFont="1" applyFill="1" applyBorder="1" applyAlignment="1" applyProtection="1">
      <alignment horizontal="center" vertical="center"/>
    </xf>
    <xf numFmtId="0" fontId="47" fillId="6" borderId="3" xfId="0" applyFont="1" applyFill="1" applyBorder="1" applyAlignment="1" applyProtection="1">
      <alignment horizontal="center" vertical="center"/>
    </xf>
    <xf numFmtId="0" fontId="47" fillId="6" borderId="75" xfId="0" applyFont="1" applyFill="1" applyBorder="1" applyAlignment="1" applyProtection="1">
      <alignment horizontal="center" vertical="center"/>
      <protection locked="0"/>
    </xf>
    <xf numFmtId="0" fontId="47" fillId="6" borderId="47" xfId="0" applyFont="1" applyFill="1" applyBorder="1" applyAlignment="1" applyProtection="1">
      <alignment horizontal="center" vertical="center"/>
      <protection locked="0"/>
    </xf>
    <xf numFmtId="0" fontId="47" fillId="6" borderId="73" xfId="0" applyFont="1" applyFill="1" applyBorder="1" applyAlignment="1" applyProtection="1">
      <alignment horizontal="center" vertical="center"/>
      <protection locked="0"/>
    </xf>
    <xf numFmtId="0" fontId="106" fillId="6" borderId="1" xfId="0" applyNumberFormat="1" applyFont="1" applyFill="1" applyBorder="1" applyAlignment="1" applyProtection="1">
      <alignment horizontal="left" vertical="center"/>
    </xf>
    <xf numFmtId="0" fontId="106" fillId="6" borderId="13" xfId="0" applyNumberFormat="1" applyFont="1" applyFill="1" applyBorder="1" applyAlignment="1" applyProtection="1">
      <alignment horizontal="left" vertical="center"/>
    </xf>
    <xf numFmtId="0" fontId="106" fillId="6" borderId="2" xfId="0" applyNumberFormat="1" applyFont="1" applyFill="1" applyBorder="1" applyAlignment="1" applyProtection="1">
      <alignment horizontal="left" vertical="center"/>
    </xf>
    <xf numFmtId="0" fontId="106" fillId="6" borderId="15" xfId="0" applyNumberFormat="1" applyFont="1" applyFill="1" applyBorder="1" applyAlignment="1" applyProtection="1">
      <alignment horizontal="left" vertical="center"/>
    </xf>
    <xf numFmtId="0" fontId="106" fillId="6" borderId="17" xfId="0" applyNumberFormat="1" applyFont="1" applyFill="1" applyBorder="1" applyAlignment="1" applyProtection="1">
      <alignment horizontal="left" vertical="center"/>
    </xf>
    <xf numFmtId="0" fontId="106" fillId="6" borderId="74" xfId="0" applyNumberFormat="1" applyFont="1" applyFill="1" applyBorder="1" applyAlignment="1" applyProtection="1">
      <alignment horizontal="left" vertical="center"/>
    </xf>
    <xf numFmtId="0" fontId="106" fillId="6" borderId="40" xfId="0" applyNumberFormat="1" applyFont="1" applyFill="1" applyBorder="1" applyAlignment="1" applyProtection="1">
      <alignment horizontal="left" vertical="center"/>
    </xf>
    <xf numFmtId="0" fontId="106" fillId="6" borderId="14" xfId="0" applyNumberFormat="1" applyFont="1" applyFill="1" applyBorder="1" applyAlignment="1" applyProtection="1">
      <alignment horizontal="left" vertical="center"/>
    </xf>
    <xf numFmtId="0" fontId="106" fillId="6" borderId="12" xfId="0" applyNumberFormat="1" applyFont="1" applyFill="1" applyBorder="1" applyAlignment="1" applyProtection="1">
      <alignment horizontal="left" vertical="center"/>
    </xf>
    <xf numFmtId="0" fontId="106" fillId="6" borderId="6" xfId="0" applyNumberFormat="1" applyFont="1" applyFill="1" applyBorder="1" applyAlignment="1" applyProtection="1">
      <alignment horizontal="left" vertical="center"/>
    </xf>
    <xf numFmtId="0" fontId="106" fillId="6" borderId="23" xfId="0" applyNumberFormat="1" applyFont="1" applyFill="1" applyBorder="1" applyAlignment="1" applyProtection="1">
      <alignment horizontal="left" vertical="center"/>
    </xf>
    <xf numFmtId="0" fontId="106" fillId="6" borderId="25" xfId="0" applyNumberFormat="1" applyFont="1" applyFill="1" applyBorder="1" applyAlignment="1" applyProtection="1">
      <alignment horizontal="left" vertical="center"/>
    </xf>
    <xf numFmtId="0" fontId="253" fillId="6" borderId="6" xfId="0" applyNumberFormat="1" applyFont="1" applyFill="1" applyBorder="1" applyAlignment="1" applyProtection="1">
      <alignment horizontal="left" vertical="center" wrapText="1"/>
    </xf>
    <xf numFmtId="0" fontId="253" fillId="6" borderId="25" xfId="0" applyNumberFormat="1" applyFont="1" applyFill="1" applyBorder="1" applyAlignment="1" applyProtection="1">
      <alignment horizontal="left" vertical="center" wrapText="1"/>
    </xf>
    <xf numFmtId="0" fontId="253" fillId="6" borderId="0" xfId="0" applyNumberFormat="1" applyFont="1" applyFill="1" applyAlignment="1" applyProtection="1">
      <alignment horizontal="center" vertical="center"/>
    </xf>
    <xf numFmtId="0" fontId="253" fillId="6" borderId="56" xfId="0" applyNumberFormat="1" applyFont="1" applyFill="1" applyBorder="1" applyAlignment="1" applyProtection="1">
      <alignment horizontal="center" vertical="center"/>
    </xf>
    <xf numFmtId="0" fontId="120" fillId="6" borderId="0" xfId="0" applyFont="1" applyFill="1" applyAlignment="1" applyProtection="1">
      <alignment horizontal="left" vertical="center"/>
    </xf>
    <xf numFmtId="0" fontId="262" fillId="0" borderId="0" xfId="0" applyNumberFormat="1" applyFont="1" applyFill="1" applyAlignment="1">
      <alignment horizontal="center" vertical="center"/>
    </xf>
    <xf numFmtId="0" fontId="262" fillId="0" borderId="35" xfId="0" applyNumberFormat="1" applyFont="1" applyFill="1" applyBorder="1" applyAlignment="1">
      <alignment horizontal="center" vertical="center"/>
    </xf>
    <xf numFmtId="0" fontId="135" fillId="0" borderId="0" xfId="9" applyNumberFormat="1" applyFont="1" applyAlignment="1" applyProtection="1">
      <alignment horizontal="left" vertical="center"/>
    </xf>
    <xf numFmtId="0" fontId="102" fillId="0" borderId="0" xfId="9" applyNumberFormat="1" applyFont="1" applyAlignment="1" applyProtection="1">
      <alignment horizontal="left" vertical="center"/>
    </xf>
    <xf numFmtId="0" fontId="142" fillId="11" borderId="131" xfId="9" applyFont="1" applyFill="1" applyBorder="1" applyAlignment="1" applyProtection="1">
      <alignment horizontal="left" vertical="center" wrapText="1"/>
    </xf>
    <xf numFmtId="0" fontId="142" fillId="11" borderId="125" xfId="9" applyFont="1" applyFill="1" applyBorder="1" applyAlignment="1" applyProtection="1">
      <alignment horizontal="left" vertical="center" wrapText="1"/>
    </xf>
    <xf numFmtId="0" fontId="142" fillId="11" borderId="127" xfId="9" applyFont="1" applyFill="1" applyBorder="1" applyAlignment="1" applyProtection="1">
      <alignment horizontal="left" vertical="center" wrapText="1"/>
    </xf>
    <xf numFmtId="0" fontId="135" fillId="0" borderId="0" xfId="9" applyFont="1" applyAlignment="1">
      <alignment horizontal="left" vertical="center"/>
    </xf>
    <xf numFmtId="0" fontId="102" fillId="0" borderId="0" xfId="9" applyFont="1" applyAlignment="1">
      <alignment horizontal="left" vertical="center"/>
    </xf>
    <xf numFmtId="0" fontId="140" fillId="0" borderId="0" xfId="9" applyFont="1" applyAlignment="1">
      <alignment horizontal="left" vertical="center"/>
    </xf>
    <xf numFmtId="0" fontId="142" fillId="11" borderId="122" xfId="9" applyFont="1" applyFill="1" applyBorder="1" applyAlignment="1" applyProtection="1">
      <alignment horizontal="left" vertical="center" wrapText="1"/>
    </xf>
    <xf numFmtId="0" fontId="99" fillId="11" borderId="131" xfId="9" applyFont="1" applyFill="1" applyBorder="1" applyAlignment="1" applyProtection="1">
      <alignment horizontal="left" vertical="center" wrapText="1"/>
    </xf>
    <xf numFmtId="0" fontId="99" fillId="11" borderId="125" xfId="9" applyFont="1" applyFill="1" applyBorder="1" applyAlignment="1" applyProtection="1">
      <alignment horizontal="left" vertical="center" wrapText="1"/>
    </xf>
    <xf numFmtId="0" fontId="99" fillId="11" borderId="127" xfId="9" applyFont="1" applyFill="1" applyBorder="1" applyAlignment="1" applyProtection="1">
      <alignment horizontal="left" vertical="center" wrapText="1"/>
    </xf>
    <xf numFmtId="0" fontId="142" fillId="11" borderId="153" xfId="9" applyFont="1" applyFill="1" applyBorder="1" applyAlignment="1" applyProtection="1">
      <alignment horizontal="left" vertical="center" wrapText="1"/>
    </xf>
    <xf numFmtId="181" fontId="44" fillId="22" borderId="1" xfId="0" applyNumberFormat="1" applyFont="1" applyFill="1" applyBorder="1" applyAlignment="1" applyProtection="1">
      <alignment vertical="center"/>
      <protection locked="0"/>
    </xf>
  </cellXfs>
  <cellStyles count="20">
    <cellStyle name="百分比" xfId="17" builtinId="5"/>
    <cellStyle name="百分比 2" xfId="14"/>
    <cellStyle name="常规" xfId="0" builtinId="0"/>
    <cellStyle name="常规 10" xfId="19"/>
    <cellStyle name="常规 11" xfId="18"/>
    <cellStyle name="常规 16" xfId="10"/>
    <cellStyle name="常规 2" xfId="1"/>
    <cellStyle name="常规 2 2" xfId="8"/>
    <cellStyle name="常规 2 2 2 2 3" xfId="15"/>
    <cellStyle name="常规 3" xfId="2"/>
    <cellStyle name="常规 3 2" xfId="3"/>
    <cellStyle name="常规 4" xfId="4"/>
    <cellStyle name="常规 5" xfId="5"/>
    <cellStyle name="常规 6" xfId="6"/>
    <cellStyle name="常规 6 2" xfId="9"/>
    <cellStyle name="常规 6 2 2" xfId="16"/>
    <cellStyle name="常规 6 2 3" xfId="13"/>
    <cellStyle name="常规 7" xfId="7"/>
    <cellStyle name="常规 8" xfId="11"/>
    <cellStyle name="常规 9" xfId="12"/>
  </cellStyles>
  <dxfs count="232">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ont>
        <b/>
        <i val="0"/>
        <color rgb="FFFF0000"/>
      </font>
    </dxf>
    <dxf>
      <font>
        <color rgb="FFFF0000"/>
      </font>
    </dxf>
    <dxf>
      <font>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bgColor theme="0" tint="-0.24994659260841701"/>
        </patternFill>
      </fill>
    </dxf>
    <dxf>
      <fill>
        <patternFill>
          <bgColor theme="0" tint="-0.24994659260841701"/>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i val="0"/>
        <color rgb="FFFF0000"/>
      </font>
    </dxf>
    <dxf>
      <font>
        <b/>
        <i val="0"/>
        <color rgb="FFFF0000"/>
      </font>
    </dxf>
    <dxf>
      <font>
        <b/>
        <i val="0"/>
        <color rgb="FFFF0000"/>
      </font>
    </dxf>
    <dxf>
      <font>
        <b/>
        <i val="0"/>
        <color rgb="FFFF0000"/>
      </font>
    </dxf>
    <dxf>
      <font>
        <b/>
        <i val="0"/>
        <color rgb="FFFF0000"/>
      </font>
    </dxf>
    <dxf>
      <fill>
        <patternFill patternType="none">
          <bgColor auto="1"/>
        </patternFill>
      </fill>
    </dxf>
    <dxf>
      <fill>
        <patternFill patternType="none">
          <bgColor auto="1"/>
        </patternFill>
      </fill>
    </dxf>
    <dxf>
      <fill>
        <patternFill patternType="none">
          <bgColor auto="1"/>
        </patternFill>
      </fill>
    </dxf>
    <dxf>
      <font>
        <color rgb="FFFF0000"/>
      </font>
    </dxf>
    <dxf>
      <font>
        <color rgb="FFFF0000"/>
      </font>
    </dxf>
    <dxf>
      <fill>
        <patternFill>
          <bgColor rgb="FFFFFF00"/>
        </patternFill>
      </fill>
    </dxf>
    <dxf>
      <fill>
        <patternFill>
          <bgColor theme="0"/>
        </patternFill>
      </fill>
    </dxf>
    <dxf>
      <fill>
        <patternFill>
          <bgColor theme="0" tint="-0.24994659260841701"/>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color rgb="FFFFFF00"/>
      </font>
      <fill>
        <patternFill>
          <bgColor rgb="FFFF0000"/>
        </patternFill>
      </fill>
    </dxf>
    <dxf>
      <font>
        <b val="0"/>
        <condense val="0"/>
        <extend val="0"/>
        <u/>
        <color indexed="10"/>
      </font>
    </dxf>
    <dxf>
      <font>
        <b/>
        <i val="0"/>
        <condense val="0"/>
        <extend val="0"/>
        <color indexed="10"/>
      </font>
      <fill>
        <patternFill>
          <fgColor indexed="64"/>
          <bgColor indexed="13"/>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val="0"/>
        <condense val="0"/>
        <extend val="0"/>
        <u/>
        <color indexed="10"/>
      </font>
    </dxf>
    <dxf>
      <font>
        <b/>
        <i val="0"/>
        <condense val="0"/>
        <extend val="0"/>
        <color indexed="10"/>
      </font>
      <fill>
        <patternFill>
          <fgColor indexed="64"/>
          <bgColor indexed="13"/>
        </patternFill>
      </fill>
    </dxf>
    <dxf>
      <font>
        <u/>
        <color rgb="FFFF0000"/>
      </font>
    </dxf>
    <dxf>
      <font>
        <b/>
        <i val="0"/>
        <color rgb="FFFF0000"/>
      </font>
      <fill>
        <patternFill>
          <bgColor rgb="FFFFFF00"/>
        </patternFill>
      </fill>
    </dxf>
    <dxf>
      <font>
        <color rgb="FFFF0000"/>
      </font>
    </dxf>
    <dxf>
      <font>
        <u/>
        <color rgb="FFFF0000"/>
      </font>
    </dxf>
    <dxf>
      <font>
        <b/>
        <i val="0"/>
        <color rgb="FFFF0000"/>
      </font>
      <fill>
        <patternFill>
          <bgColor rgb="FFFFFF00"/>
        </patternFill>
      </fill>
    </dxf>
    <dxf>
      <font>
        <u/>
        <color rgb="FFFF0000"/>
      </font>
    </dxf>
    <dxf>
      <font>
        <u/>
        <color rgb="FFFF0000"/>
      </font>
    </dxf>
    <dxf>
      <font>
        <color rgb="FFFF0000"/>
      </font>
    </dxf>
    <dxf>
      <font>
        <u/>
        <color rgb="FFFF0000"/>
      </font>
    </dxf>
    <dxf>
      <font>
        <color rgb="FFFF0000"/>
      </font>
    </dxf>
    <dxf>
      <font>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b/>
        <i val="0"/>
        <color rgb="FFFF0000"/>
      </font>
      <fill>
        <patternFill>
          <bgColor rgb="FFFFFF00"/>
        </patternFill>
      </fill>
    </dxf>
    <dxf>
      <font>
        <u/>
        <color rgb="FFFF0000"/>
      </font>
    </dxf>
    <dxf>
      <font>
        <color rgb="FFFF0000"/>
      </font>
    </dxf>
    <dxf>
      <font>
        <u/>
        <color rgb="FFFF0000"/>
      </font>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b/>
        <i val="0"/>
        <color rgb="FFFF0000"/>
      </font>
      <fill>
        <patternFill>
          <bgColor rgb="FFFFFF00"/>
        </patternFill>
      </fill>
    </dxf>
    <dxf>
      <font>
        <u/>
        <color rgb="FFFF0000"/>
      </font>
    </dxf>
    <dxf>
      <font>
        <u/>
        <color rgb="FFFF0000"/>
      </font>
    </dxf>
    <dxf>
      <font>
        <b/>
        <i val="0"/>
        <color rgb="FFFF0000"/>
      </font>
      <fill>
        <patternFill>
          <bgColor rgb="FFFFFF00"/>
        </patternFill>
      </fill>
    </dxf>
    <dxf>
      <font>
        <b/>
        <i val="0"/>
        <color rgb="FFFF0000"/>
      </font>
      <fill>
        <patternFill>
          <bgColor rgb="FFFFFF00"/>
        </patternFill>
      </fill>
    </dxf>
  </dxfs>
  <tableStyles count="0" defaultTableStyle="TableStyleMedium2" defaultPivotStyle="PivotStyleLight16"/>
  <colors>
    <mruColors>
      <color rgb="FFFFFFFF"/>
      <color rgb="FF57EF57"/>
    </mruColors>
  </colors>
  <extLst>
    <ext xmlns:x14="http://schemas.microsoft.com/office/spreadsheetml/2009/9/main" uri="{EB79DEF2-80B8-43e5-95BD-54CBDDF9020C}">
      <x14:slicerStyles defaultSlicerStyle="SlicerStyleLight1"/>
    </ext>
  </extLst>
</styleSheet>
</file>

<file path=xl/_rels/workbook.xml.rels><?xml version="1.0" encoding="UTF-8" standalone="yes"?>
<Relationships xmlns="http://schemas.openxmlformats.org/package/2006/relationships"><Relationship Id="rId13" Type="http://schemas.openxmlformats.org/officeDocument/2006/relationships/worksheet" Target="worksheets/sheet13.xml"/><Relationship Id="rId18" Type="http://schemas.openxmlformats.org/officeDocument/2006/relationships/worksheet" Target="worksheets/sheet18.xml"/><Relationship Id="rId26" Type="http://schemas.openxmlformats.org/officeDocument/2006/relationships/worksheet" Target="worksheets/sheet26.xml"/><Relationship Id="rId39" Type="http://schemas.openxmlformats.org/officeDocument/2006/relationships/worksheet" Target="worksheets/sheet39.xml"/><Relationship Id="rId21" Type="http://schemas.openxmlformats.org/officeDocument/2006/relationships/worksheet" Target="worksheets/sheet21.xml"/><Relationship Id="rId34" Type="http://schemas.openxmlformats.org/officeDocument/2006/relationships/worksheet" Target="worksheets/sheet34.xml"/><Relationship Id="rId42" Type="http://schemas.openxmlformats.org/officeDocument/2006/relationships/worksheet" Target="worksheets/sheet42.xml"/><Relationship Id="rId47" Type="http://schemas.openxmlformats.org/officeDocument/2006/relationships/worksheet" Target="worksheets/sheet47.xml"/><Relationship Id="rId50" Type="http://schemas.openxmlformats.org/officeDocument/2006/relationships/externalLink" Target="externalLinks/externalLink1.xml"/><Relationship Id="rId55" Type="http://schemas.openxmlformats.org/officeDocument/2006/relationships/sharedStrings" Target="sharedStrings.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worksheet" Target="worksheets/sheet17.xml"/><Relationship Id="rId25" Type="http://schemas.openxmlformats.org/officeDocument/2006/relationships/worksheet" Target="worksheets/sheet25.xml"/><Relationship Id="rId33" Type="http://schemas.openxmlformats.org/officeDocument/2006/relationships/worksheet" Target="worksheets/sheet33.xml"/><Relationship Id="rId38" Type="http://schemas.openxmlformats.org/officeDocument/2006/relationships/worksheet" Target="worksheets/sheet38.xml"/><Relationship Id="rId46" Type="http://schemas.openxmlformats.org/officeDocument/2006/relationships/worksheet" Target="worksheets/sheet46.xml"/><Relationship Id="rId2" Type="http://schemas.openxmlformats.org/officeDocument/2006/relationships/worksheet" Target="worksheets/sheet2.xml"/><Relationship Id="rId16" Type="http://schemas.openxmlformats.org/officeDocument/2006/relationships/worksheet" Target="worksheets/sheet16.xml"/><Relationship Id="rId20" Type="http://schemas.openxmlformats.org/officeDocument/2006/relationships/worksheet" Target="worksheets/sheet20.xml"/><Relationship Id="rId29" Type="http://schemas.openxmlformats.org/officeDocument/2006/relationships/worksheet" Target="worksheets/sheet29.xml"/><Relationship Id="rId41" Type="http://schemas.openxmlformats.org/officeDocument/2006/relationships/worksheet" Target="worksheets/sheet41.xml"/><Relationship Id="rId54" Type="http://schemas.openxmlformats.org/officeDocument/2006/relationships/styles" Target="styles.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24" Type="http://schemas.openxmlformats.org/officeDocument/2006/relationships/worksheet" Target="worksheets/sheet24.xml"/><Relationship Id="rId32" Type="http://schemas.openxmlformats.org/officeDocument/2006/relationships/worksheet" Target="worksheets/sheet32.xml"/><Relationship Id="rId37" Type="http://schemas.openxmlformats.org/officeDocument/2006/relationships/worksheet" Target="worksheets/sheet37.xml"/><Relationship Id="rId40" Type="http://schemas.openxmlformats.org/officeDocument/2006/relationships/worksheet" Target="worksheets/sheet40.xml"/><Relationship Id="rId45" Type="http://schemas.openxmlformats.org/officeDocument/2006/relationships/worksheet" Target="worksheets/sheet45.xml"/><Relationship Id="rId53" Type="http://schemas.openxmlformats.org/officeDocument/2006/relationships/theme" Target="theme/theme1.xml"/><Relationship Id="rId5" Type="http://schemas.openxmlformats.org/officeDocument/2006/relationships/worksheet" Target="worksheets/sheet5.xml"/><Relationship Id="rId15" Type="http://schemas.openxmlformats.org/officeDocument/2006/relationships/worksheet" Target="worksheets/sheet15.xml"/><Relationship Id="rId23" Type="http://schemas.openxmlformats.org/officeDocument/2006/relationships/worksheet" Target="worksheets/sheet23.xml"/><Relationship Id="rId28" Type="http://schemas.openxmlformats.org/officeDocument/2006/relationships/worksheet" Target="worksheets/sheet28.xml"/><Relationship Id="rId36" Type="http://schemas.openxmlformats.org/officeDocument/2006/relationships/worksheet" Target="worksheets/sheet36.xml"/><Relationship Id="rId49" Type="http://schemas.openxmlformats.org/officeDocument/2006/relationships/worksheet" Target="worksheets/sheet49.xml"/><Relationship Id="rId10" Type="http://schemas.openxmlformats.org/officeDocument/2006/relationships/worksheet" Target="worksheets/sheet10.xml"/><Relationship Id="rId19" Type="http://schemas.openxmlformats.org/officeDocument/2006/relationships/worksheet" Target="worksheets/sheet19.xml"/><Relationship Id="rId31" Type="http://schemas.openxmlformats.org/officeDocument/2006/relationships/worksheet" Target="worksheets/sheet31.xml"/><Relationship Id="rId44" Type="http://schemas.openxmlformats.org/officeDocument/2006/relationships/worksheet" Target="worksheets/sheet44.xml"/><Relationship Id="rId52" Type="http://schemas.openxmlformats.org/officeDocument/2006/relationships/externalLink" Target="externalLinks/externalLink3.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worksheet" Target="worksheets/sheet22.xml"/><Relationship Id="rId27" Type="http://schemas.openxmlformats.org/officeDocument/2006/relationships/worksheet" Target="worksheets/sheet27.xml"/><Relationship Id="rId30" Type="http://schemas.openxmlformats.org/officeDocument/2006/relationships/worksheet" Target="worksheets/sheet30.xml"/><Relationship Id="rId35" Type="http://schemas.openxmlformats.org/officeDocument/2006/relationships/worksheet" Target="worksheets/sheet35.xml"/><Relationship Id="rId43" Type="http://schemas.openxmlformats.org/officeDocument/2006/relationships/worksheet" Target="worksheets/sheet43.xml"/><Relationship Id="rId48" Type="http://schemas.openxmlformats.org/officeDocument/2006/relationships/worksheet" Target="worksheets/sheet48.xml"/><Relationship Id="rId56" Type="http://schemas.openxmlformats.org/officeDocument/2006/relationships/calcChain" Target="calcChain.xml"/><Relationship Id="rId8" Type="http://schemas.openxmlformats.org/officeDocument/2006/relationships/worksheet" Target="worksheets/sheet8.xml"/><Relationship Id="rId51" Type="http://schemas.openxmlformats.org/officeDocument/2006/relationships/externalLink" Target="externalLinks/externalLink2.xml"/><Relationship Id="rId3" Type="http://schemas.openxmlformats.org/officeDocument/2006/relationships/worksheet" Target="worksheets/sheet3.xml"/></Relationships>
</file>

<file path=xl/drawings/_rels/drawing1.xml.rels><?xml version="1.0" encoding="UTF-8" standalone="yes"?>
<Relationships xmlns="http://schemas.openxmlformats.org/package/2006/relationships"><Relationship Id="rId1" Type="http://schemas.openxmlformats.org/officeDocument/2006/relationships/image" Target="../media/image3.png"/></Relationships>
</file>

<file path=xl/drawings/_rels/drawing2.xml.rels><?xml version="1.0" encoding="UTF-8" standalone="yes"?>
<Relationships xmlns="http://schemas.openxmlformats.org/package/2006/relationships"><Relationship Id="rId2" Type="http://schemas.openxmlformats.org/officeDocument/2006/relationships/image" Target="../media/image5.png"/><Relationship Id="rId1" Type="http://schemas.openxmlformats.org/officeDocument/2006/relationships/image" Target="../media/image4.png"/></Relationships>
</file>

<file path=xl/drawings/_rels/drawing3.xml.rels><?xml version="1.0" encoding="UTF-8" standalone="yes"?>
<Relationships xmlns="http://schemas.openxmlformats.org/package/2006/relationships"><Relationship Id="rId2" Type="http://schemas.openxmlformats.org/officeDocument/2006/relationships/image" Target="../media/image7.png"/><Relationship Id="rId1" Type="http://schemas.openxmlformats.org/officeDocument/2006/relationships/image" Target="../media/image6.png"/></Relationships>
</file>

<file path=xl/drawings/_rels/vmlDrawing1.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2.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3.vml.rels><?xml version="1.0" encoding="UTF-8" standalone="yes"?>
<Relationships xmlns="http://schemas.openxmlformats.org/package/2006/relationships"><Relationship Id="rId1" Type="http://schemas.openxmlformats.org/officeDocument/2006/relationships/image" Target="../media/image1.jpeg"/></Relationships>
</file>

<file path=xl/drawings/_rels/vmlDrawing4.vml.rels><?xml version="1.0" encoding="UTF-8" standalone="yes"?>
<Relationships xmlns="http://schemas.openxmlformats.org/package/2006/relationships"><Relationship Id="rId1" Type="http://schemas.openxmlformats.org/officeDocument/2006/relationships/image" Target="../media/image2.jpeg"/></Relationships>
</file>

<file path=xl/drawings/_rels/vmlDrawing5.vml.rels><?xml version="1.0" encoding="UTF-8" standalone="yes"?>
<Relationships xmlns="http://schemas.openxmlformats.org/package/2006/relationships"><Relationship Id="rId1" Type="http://schemas.openxmlformats.org/officeDocument/2006/relationships/image" Target="../media/image1.jpeg"/></Relationships>
</file>

<file path=xl/drawings/drawing1.xml><?xml version="1.0" encoding="utf-8"?>
<xdr:wsDr xmlns:xdr="http://schemas.openxmlformats.org/drawingml/2006/spreadsheetDrawing" xmlns:a="http://schemas.openxmlformats.org/drawingml/2006/main">
  <xdr:twoCellAnchor editAs="oneCell">
    <xdr:from>
      <xdr:col>0</xdr:col>
      <xdr:colOff>0</xdr:colOff>
      <xdr:row>12</xdr:row>
      <xdr:rowOff>0</xdr:rowOff>
    </xdr:from>
    <xdr:to>
      <xdr:col>7</xdr:col>
      <xdr:colOff>799400</xdr:colOff>
      <xdr:row>47</xdr:row>
      <xdr:rowOff>46669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6276975"/>
          <a:ext cx="5600000" cy="764761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0</xdr:col>
      <xdr:colOff>1</xdr:colOff>
      <xdr:row>0</xdr:row>
      <xdr:rowOff>0</xdr:rowOff>
    </xdr:from>
    <xdr:to>
      <xdr:col>8</xdr:col>
      <xdr:colOff>209551</xdr:colOff>
      <xdr:row>15</xdr:row>
      <xdr:rowOff>448</xdr:rowOff>
    </xdr:to>
    <xdr:pic>
      <xdr:nvPicPr>
        <xdr:cNvPr id="2" name="图片 1"/>
        <xdr:cNvPicPr>
          <a:picLocks noChangeAspect="1"/>
        </xdr:cNvPicPr>
      </xdr:nvPicPr>
      <xdr:blipFill>
        <a:blip xmlns:r="http://schemas.openxmlformats.org/officeDocument/2006/relationships" r:embed="rId1"/>
        <a:stretch>
          <a:fillRect/>
        </a:stretch>
      </xdr:blipFill>
      <xdr:spPr>
        <a:xfrm>
          <a:off x="1" y="0"/>
          <a:ext cx="5695950" cy="2572198"/>
        </a:xfrm>
        <a:prstGeom prst="rect">
          <a:avLst/>
        </a:prstGeom>
      </xdr:spPr>
    </xdr:pic>
    <xdr:clientData/>
  </xdr:twoCellAnchor>
  <xdr:twoCellAnchor editAs="oneCell">
    <xdr:from>
      <xdr:col>0</xdr:col>
      <xdr:colOff>0</xdr:colOff>
      <xdr:row>15</xdr:row>
      <xdr:rowOff>171449</xdr:rowOff>
    </xdr:from>
    <xdr:to>
      <xdr:col>4</xdr:col>
      <xdr:colOff>532990</xdr:colOff>
      <xdr:row>52</xdr:row>
      <xdr:rowOff>132561</xdr:rowOff>
    </xdr:to>
    <xdr:pic>
      <xdr:nvPicPr>
        <xdr:cNvPr id="3" name="图片 2"/>
        <xdr:cNvPicPr>
          <a:picLocks noChangeAspect="1"/>
        </xdr:cNvPicPr>
      </xdr:nvPicPr>
      <xdr:blipFill>
        <a:blip xmlns:r="http://schemas.openxmlformats.org/officeDocument/2006/relationships" r:embed="rId2"/>
        <a:stretch>
          <a:fillRect/>
        </a:stretch>
      </xdr:blipFill>
      <xdr:spPr>
        <a:xfrm>
          <a:off x="0" y="2743199"/>
          <a:ext cx="3276190" cy="630476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0</xdr:col>
      <xdr:colOff>0</xdr:colOff>
      <xdr:row>0</xdr:row>
      <xdr:rowOff>0</xdr:rowOff>
    </xdr:from>
    <xdr:to>
      <xdr:col>13</xdr:col>
      <xdr:colOff>351267</xdr:colOff>
      <xdr:row>28</xdr:row>
      <xdr:rowOff>170829</xdr:rowOff>
    </xdr:to>
    <xdr:pic>
      <xdr:nvPicPr>
        <xdr:cNvPr id="2" name="图片 1"/>
        <xdr:cNvPicPr>
          <a:picLocks noChangeAspect="1"/>
        </xdr:cNvPicPr>
      </xdr:nvPicPr>
      <xdr:blipFill>
        <a:blip xmlns:r="http://schemas.openxmlformats.org/officeDocument/2006/relationships" r:embed="rId1"/>
        <a:stretch>
          <a:fillRect/>
        </a:stretch>
      </xdr:blipFill>
      <xdr:spPr>
        <a:xfrm>
          <a:off x="0" y="0"/>
          <a:ext cx="9266667" cy="4971429"/>
        </a:xfrm>
        <a:prstGeom prst="rect">
          <a:avLst/>
        </a:prstGeom>
      </xdr:spPr>
    </xdr:pic>
    <xdr:clientData/>
  </xdr:twoCellAnchor>
  <xdr:twoCellAnchor editAs="oneCell">
    <xdr:from>
      <xdr:col>0</xdr:col>
      <xdr:colOff>0</xdr:colOff>
      <xdr:row>29</xdr:row>
      <xdr:rowOff>0</xdr:rowOff>
    </xdr:from>
    <xdr:to>
      <xdr:col>13</xdr:col>
      <xdr:colOff>379838</xdr:colOff>
      <xdr:row>59</xdr:row>
      <xdr:rowOff>161262</xdr:rowOff>
    </xdr:to>
    <xdr:pic>
      <xdr:nvPicPr>
        <xdr:cNvPr id="3" name="图片 2"/>
        <xdr:cNvPicPr>
          <a:picLocks noChangeAspect="1"/>
        </xdr:cNvPicPr>
      </xdr:nvPicPr>
      <xdr:blipFill>
        <a:blip xmlns:r="http://schemas.openxmlformats.org/officeDocument/2006/relationships" r:embed="rId2"/>
        <a:stretch>
          <a:fillRect/>
        </a:stretch>
      </xdr:blipFill>
      <xdr:spPr>
        <a:xfrm>
          <a:off x="0" y="4972050"/>
          <a:ext cx="9295238" cy="5304762"/>
        </a:xfrm>
        <a:prstGeom prst="rect">
          <a:avLst/>
        </a:prstGeom>
      </xdr:spPr>
    </xdr:pic>
    <xdr:clientData/>
  </xdr:twoCellAnchor>
</xdr:wsDr>
</file>

<file path=xl/externalLinks/_rels/externalLink1.xml.rels><?xml version="1.0" encoding="UTF-8" standalone="yes"?>
<Relationships xmlns="http://schemas.openxmlformats.org/package/2006/relationships"><Relationship Id="rId1" Type="http://schemas.openxmlformats.org/officeDocument/2006/relationships/externalLinkPath" Target="/Users/a/Desktop/0027&#22320;&#22359;&#27979;&#31639;&#34920;-&#37026;&#36722;20240326-145840.xlsx" TargetMode="External"/></Relationships>
</file>

<file path=xl/externalLinks/_rels/externalLink2.xml.rels><?xml version="1.0" encoding="UTF-8" standalone="yes"?>
<Relationships xmlns="http://schemas.openxmlformats.org/package/2006/relationships"><Relationship Id="rId1" Type="http://schemas.openxmlformats.org/officeDocument/2006/relationships/externalLinkPath" Target="/&#23828;&#38196;/&#24037;&#20316;/&#20854;&#20182;&#24037;&#20316;/&#25216;&#26415;&#24037;&#20316;/&#27169;&#29256;/&#25253;&#21578;&#21450;&#26041;&#27861;(&#26368;&#26032;)/&#35780;&#20272;&#26041;&#27861;/&#29616;&#34892;&#29256;&#26412;/&#12304;2021&#12305;&#23545;&#20844;&#20107;&#19994;&#37096;&#8212;&#30005;&#31639;&#34920;-&#25151;&#22320;&#20135;-&#39033;&#30446;.xlsx" TargetMode="External"/></Relationships>
</file>

<file path=xl/externalLinks/_rels/externalLink3.xml.rels><?xml version="1.0" encoding="UTF-8" standalone="yes"?>
<Relationships xmlns="http://schemas.openxmlformats.org/package/2006/relationships"><Relationship Id="rId1" Type="http://schemas.openxmlformats.org/officeDocument/2006/relationships/externalLinkPath" Target="/&#29616;&#34892;/2024-1-0283-&#24314;&#34892;&#23494;&#20113;&#22303;&#22320;/&#27979;&#31639;&#34920;-&#23494;&#20113;&#20303;&#23429;&#22312;&#24314;.xlsx" TargetMode="External"/></Relationships>
</file>

<file path=xl/externalLinks/externalLink1.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1 (储备)"/>
      <sheetName val="预评函-2"/>
      <sheetName val="预评函-3"/>
      <sheetName val="使用说明"/>
      <sheetName val="估价师及机构信息"/>
      <sheetName val="定义"/>
      <sheetName val="常用公式"/>
      <sheetName val="项目基本情况"/>
      <sheetName val="Sheet1"/>
      <sheetName val="数据-基础表"/>
      <sheetName val="数据-汇总表"/>
      <sheetName val="数据-取费表"/>
      <sheetName val="估价对象房地状况"/>
      <sheetName val="系统读取表"/>
      <sheetName val="结果表"/>
      <sheetName val="剩余法-待开发"/>
      <sheetName val="剩余法-现房"/>
      <sheetName val="比较法-住宅、综合"/>
      <sheetName val="比较法-工业"/>
      <sheetName val="修正"/>
      <sheetName val="区片价"/>
      <sheetName val="区片价-范围"/>
      <sheetName val="容积率修正"/>
      <sheetName val="因素修正幅度"/>
      <sheetName val="地价"/>
      <sheetName val="地价-分区"/>
      <sheetName val="基准地价（汇总）"/>
      <sheetName val="收益还原法"/>
      <sheetName val="不动产收益法"/>
      <sheetName val="不动产收益法-酒店模型"/>
      <sheetName val="成本逼近法"/>
      <sheetName val="不动产比较法-住宅"/>
      <sheetName val="不动产比较法-商业"/>
      <sheetName val="不动产比较法-办公"/>
      <sheetName val="不动产比较法-工业"/>
      <sheetName val="不动产比较法-车位"/>
      <sheetName val="不动产比较法-仓储"/>
      <sheetName val="典型户型修正"/>
      <sheetName val="存贷款利率"/>
      <sheetName val="基准地价"/>
      <sheetName val="土地案例"/>
      <sheetName val="Sheet3"/>
      <sheetName val="Sheet4"/>
    </sheetNames>
    <sheetDataSet>
      <sheetData sheetId="0"/>
      <sheetData sheetId="1"/>
      <sheetData sheetId="2"/>
      <sheetData sheetId="3"/>
      <sheetData sheetId="4"/>
      <sheetData sheetId="5"/>
      <sheetData sheetId="6"/>
      <sheetData sheetId="7"/>
      <sheetData sheetId="8">
        <row r="1">
          <cell r="A1" t="str">
            <v>用途类型</v>
          </cell>
        </row>
        <row r="2">
          <cell r="A2" t="str">
            <v>平层住宅</v>
          </cell>
        </row>
        <row r="3">
          <cell r="A3" t="str">
            <v>LOFT住宅</v>
          </cell>
        </row>
        <row r="4">
          <cell r="A4" t="str">
            <v>普通住宅</v>
          </cell>
        </row>
        <row r="5">
          <cell r="A5" t="str">
            <v>公寓</v>
          </cell>
        </row>
        <row r="6">
          <cell r="A6" t="str">
            <v>洋房</v>
          </cell>
        </row>
        <row r="7">
          <cell r="A7" t="str">
            <v>叠拼</v>
          </cell>
        </row>
        <row r="8">
          <cell r="A8" t="str">
            <v>联排</v>
          </cell>
        </row>
        <row r="9">
          <cell r="A9" t="str">
            <v>双拼</v>
          </cell>
        </row>
        <row r="10">
          <cell r="A10" t="str">
            <v>独栋</v>
          </cell>
        </row>
        <row r="11">
          <cell r="A11" t="str">
            <v>底商</v>
          </cell>
        </row>
        <row r="12">
          <cell r="A12" t="str">
            <v>独立商业</v>
          </cell>
        </row>
        <row r="13">
          <cell r="A13" t="str">
            <v>商业街</v>
          </cell>
        </row>
        <row r="14">
          <cell r="A14" t="str">
            <v>酒店</v>
          </cell>
        </row>
        <row r="15">
          <cell r="A15" t="str">
            <v>标准厂房</v>
          </cell>
        </row>
        <row r="16">
          <cell r="A16" t="str">
            <v>特殊厂房</v>
          </cell>
        </row>
        <row r="17">
          <cell r="A17" t="str">
            <v>办公楼</v>
          </cell>
        </row>
        <row r="18">
          <cell r="A18" t="str">
            <v>宿舍</v>
          </cell>
        </row>
        <row r="19">
          <cell r="A19" t="str">
            <v>食堂</v>
          </cell>
        </row>
        <row r="20">
          <cell r="A20" t="str">
            <v>车库</v>
          </cell>
        </row>
        <row r="21">
          <cell r="A21" t="str">
            <v>戊类库房</v>
          </cell>
        </row>
        <row r="22">
          <cell r="A22" t="str">
            <v>燃品库房</v>
          </cell>
        </row>
        <row r="23">
          <cell r="A23" t="str">
            <v>非燃品库房</v>
          </cell>
        </row>
        <row r="24">
          <cell r="A24" t="str">
            <v>——</v>
          </cell>
        </row>
        <row r="25">
          <cell r="A25" t="str">
            <v>限价商品房</v>
          </cell>
        </row>
        <row r="26">
          <cell r="A26" t="str">
            <v>自住商品房</v>
          </cell>
        </row>
        <row r="27">
          <cell r="A27" t="str">
            <v>*</v>
          </cell>
        </row>
        <row r="28">
          <cell r="A28" t="str">
            <v>*</v>
          </cell>
        </row>
        <row r="29">
          <cell r="A29" t="str">
            <v>*</v>
          </cell>
        </row>
        <row r="30">
          <cell r="A30" t="str">
            <v>*</v>
          </cell>
        </row>
        <row r="31">
          <cell r="A31" t="str">
            <v>*</v>
          </cell>
        </row>
        <row r="32">
          <cell r="A32" t="str">
            <v>*</v>
          </cell>
        </row>
        <row r="33">
          <cell r="A33" t="str">
            <v>*</v>
          </cell>
        </row>
        <row r="34">
          <cell r="A34" t="str">
            <v>*</v>
          </cell>
        </row>
        <row r="35">
          <cell r="A35" t="str">
            <v>*</v>
          </cell>
        </row>
        <row r="36">
          <cell r="A36" t="str">
            <v>*</v>
          </cell>
        </row>
        <row r="37">
          <cell r="A37" t="str">
            <v>*</v>
          </cell>
        </row>
        <row r="38">
          <cell r="A38" t="str">
            <v>*</v>
          </cell>
        </row>
        <row r="39">
          <cell r="A39" t="str">
            <v>*</v>
          </cell>
        </row>
        <row r="40">
          <cell r="A40" t="str">
            <v>*</v>
          </cell>
        </row>
        <row r="41">
          <cell r="A41" t="str">
            <v>*</v>
          </cell>
        </row>
        <row r="42">
          <cell r="A42" t="str">
            <v>*</v>
          </cell>
        </row>
        <row r="43">
          <cell r="A43" t="str">
            <v>*</v>
          </cell>
        </row>
        <row r="44">
          <cell r="A44" t="str">
            <v>*</v>
          </cell>
        </row>
        <row r="45">
          <cell r="A45" t="str">
            <v>*</v>
          </cell>
        </row>
        <row r="46">
          <cell r="A46" t="str">
            <v>*</v>
          </cell>
        </row>
        <row r="47">
          <cell r="A47" t="str">
            <v>*</v>
          </cell>
        </row>
        <row r="48">
          <cell r="A48" t="str">
            <v>*</v>
          </cell>
        </row>
        <row r="49">
          <cell r="A49" t="str">
            <v>*</v>
          </cell>
        </row>
        <row r="50">
          <cell r="A50" t="str">
            <v>*</v>
          </cell>
        </row>
      </sheetData>
      <sheetData sheetId="9"/>
      <sheetData sheetId="10"/>
      <sheetData sheetId="11"/>
      <sheetData sheetId="12"/>
      <sheetData sheetId="13"/>
      <sheetData sheetId="14"/>
      <sheetData sheetId="15"/>
      <sheetData sheetId="16"/>
      <sheetData sheetId="17"/>
      <sheetData sheetId="18"/>
      <sheetData sheetId="19"/>
      <sheetData sheetId="20"/>
      <sheetData sheetId="21">
        <row r="98">
          <cell r="B98" t="str">
            <v>毗邻道路的类型与等级</v>
          </cell>
        </row>
        <row r="113">
          <cell r="B113" t="str">
            <v>宗地开发程度</v>
          </cell>
        </row>
        <row r="115">
          <cell r="B115" t="str">
            <v>工程地质条件</v>
          </cell>
        </row>
      </sheetData>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 sheetId="44"/>
      <sheetData sheetId="45"/>
    </sheetDataSet>
  </externalBook>
</externalLink>
</file>

<file path=xl/externalLinks/externalLink2.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项目基本情况"/>
      <sheetName val="数据-基础表"/>
      <sheetName val="抵押物清单（分楼）"/>
      <sheetName val="数据-汇总表"/>
      <sheetName val="数据-取费表"/>
      <sheetName val="估价对象房地状况"/>
      <sheetName val="系统读取表"/>
      <sheetName val="结果表"/>
      <sheetName val="成本法"/>
      <sheetName val="成本法 (元)"/>
      <sheetName val="假设开发法"/>
      <sheetName val="收益法"/>
      <sheetName val="收益法 (元)"/>
      <sheetName val="收益法（汇总）"/>
      <sheetName val="酒店收入计算"/>
      <sheetName val="比较法-住宅"/>
      <sheetName val="比较法-商业"/>
      <sheetName val="比较法-办公"/>
      <sheetName val="比较法-工业"/>
      <sheetName val="比较法-车位"/>
      <sheetName val="比较法-仓储"/>
      <sheetName val="土地比较法-住宅、综合"/>
      <sheetName val="土地比较法-工业"/>
      <sheetName val="基准地价修正"/>
      <sheetName val="修正"/>
      <sheetName val="容积率修正"/>
      <sheetName val="基准地价（汇总）"/>
      <sheetName val="地价"/>
      <sheetName val="典型户型修正"/>
      <sheetName val="成本法（废）"/>
      <sheetName val="区片价"/>
      <sheetName val="因素修正幅度"/>
      <sheetName val="存贷款利率"/>
      <sheetName val="区片价（范围）"/>
    </sheetNames>
    <sheetDataSet>
      <sheetData sheetId="0"/>
      <sheetData sheetId="1"/>
      <sheetData sheetId="2"/>
      <sheetData sheetId="3"/>
      <sheetData sheetId="4"/>
      <sheetData sheetId="5"/>
      <sheetData sheetId="6"/>
      <sheetData sheetId="7"/>
      <sheetData sheetId="8"/>
      <sheetData sheetId="9">
        <row r="1">
          <cell r="D1" t="str">
            <v>判定</v>
          </cell>
        </row>
      </sheetData>
      <sheetData sheetId="10"/>
      <sheetData sheetId="11"/>
      <sheetData sheetId="12"/>
      <sheetData sheetId="13">
        <row r="17">
          <cell r="C17" t="str">
            <v>项目类型</v>
          </cell>
        </row>
      </sheetData>
      <sheetData sheetId="14"/>
      <sheetData sheetId="15"/>
      <sheetData sheetId="16"/>
      <sheetData sheetId="17"/>
      <sheetData sheetId="18"/>
      <sheetData sheetId="19"/>
      <sheetData sheetId="20"/>
      <sheetData sheetId="21"/>
      <sheetData sheetId="22"/>
      <sheetData sheetId="23"/>
      <sheetData sheetId="24"/>
      <sheetData sheetId="25"/>
      <sheetData sheetId="26"/>
      <sheetData sheetId="27"/>
      <sheetData sheetId="28"/>
      <sheetData sheetId="29"/>
      <sheetData sheetId="30"/>
      <sheetData sheetId="31"/>
      <sheetData sheetId="32"/>
      <sheetData sheetId="33"/>
      <sheetData sheetId="34"/>
      <sheetData sheetId="35"/>
      <sheetData sheetId="36"/>
      <sheetData sheetId="37"/>
      <sheetData sheetId="38"/>
      <sheetData sheetId="39"/>
      <sheetData sheetId="40"/>
      <sheetData sheetId="41"/>
      <sheetData sheetId="42"/>
      <sheetData sheetId="43"/>
    </sheetDataSet>
  </externalBook>
</externalLink>
</file>

<file path=xl/externalLinks/externalLink3.xml><?xml version="1.0" encoding="utf-8"?>
<externalLink xmlns="http://schemas.openxmlformats.org/spreadsheetml/2006/main" xmlns:mc="http://schemas.openxmlformats.org/markup-compatibility/2006" xmlns:x14="http://schemas.microsoft.com/office/spreadsheetml/2009/9/main" mc:Ignorable="x14">
  <externalBook xmlns:r="http://schemas.openxmlformats.org/officeDocument/2006/relationships" r:id="rId1">
    <sheetNames>
      <sheetName val="致函链接"/>
      <sheetName val="预评函-封皮"/>
      <sheetName val="预评函-1"/>
      <sheetName val="预评函-2"/>
      <sheetName val="预评函-3"/>
      <sheetName val="预评函-4"/>
      <sheetName val="预评函-5"/>
      <sheetName val="使用说明"/>
      <sheetName val="估价师及机构信息"/>
      <sheetName val="定义"/>
      <sheetName val="常用公式"/>
      <sheetName val="项目基本情况"/>
      <sheetName val="数据-基础表"/>
      <sheetName val="指标"/>
      <sheetName val="数据-汇总表"/>
      <sheetName val="数据-取费表"/>
      <sheetName val="估价对象房地状况"/>
      <sheetName val="系统读取表"/>
      <sheetName val="结果表"/>
      <sheetName val="成本法"/>
      <sheetName val="成本法 (元)"/>
      <sheetName val="土地比较法-住宅、综合"/>
      <sheetName val="土地案例"/>
      <sheetName val="基准地价修正"/>
      <sheetName val="假设开发法"/>
      <sheetName val="比较法-住宅"/>
      <sheetName val="收益法-酒店模型"/>
      <sheetName val="收益法（汇总）"/>
      <sheetName val="比较法-商业"/>
      <sheetName val="比较法-办公"/>
      <sheetName val="比较法-工业"/>
      <sheetName val="案例"/>
      <sheetName val="比较法-车位"/>
      <sheetName val="比较法-仓储"/>
      <sheetName val="土地比较法-工业"/>
      <sheetName val="典型户型修正"/>
      <sheetName val="基准地价（汇总）"/>
      <sheetName val="修正"/>
      <sheetName val="容积率修正"/>
      <sheetName val="成本法（废）"/>
      <sheetName val="区片价"/>
      <sheetName val="因素修正幅度"/>
      <sheetName val="区片价（范围）"/>
      <sheetName val="地价-分区"/>
      <sheetName val="地价"/>
      <sheetName val="存贷款利率"/>
      <sheetName val="收益法"/>
      <sheetName val="收益法 (元)"/>
      <sheetName val="资料"/>
    </sheetNames>
    <sheetDataSet>
      <sheetData sheetId="0" refreshError="1"/>
      <sheetData sheetId="1" refreshError="1"/>
      <sheetData sheetId="2" refreshError="1"/>
      <sheetData sheetId="3" refreshError="1"/>
      <sheetData sheetId="4" refreshError="1"/>
      <sheetData sheetId="5" refreshError="1"/>
      <sheetData sheetId="6" refreshError="1"/>
      <sheetData sheetId="7" refreshError="1"/>
      <sheetData sheetId="8" refreshError="1"/>
      <sheetData sheetId="9" refreshError="1"/>
      <sheetData sheetId="10" refreshError="1"/>
      <sheetData sheetId="11" refreshError="1"/>
      <sheetData sheetId="12" refreshError="1"/>
      <sheetData sheetId="13">
        <row r="31">
          <cell r="B31">
            <v>18501.75</v>
          </cell>
        </row>
      </sheetData>
      <sheetData sheetId="14">
        <row r="30">
          <cell r="F30">
            <v>0</v>
          </cell>
          <cell r="G30">
            <v>0</v>
          </cell>
        </row>
      </sheetData>
      <sheetData sheetId="15" refreshError="1"/>
      <sheetData sheetId="16" refreshError="1"/>
      <sheetData sheetId="17" refreshError="1"/>
      <sheetData sheetId="18" refreshError="1"/>
      <sheetData sheetId="19" refreshError="1"/>
      <sheetData sheetId="20" refreshError="1"/>
      <sheetData sheetId="21" refreshError="1"/>
      <sheetData sheetId="22" refreshError="1"/>
      <sheetData sheetId="23" refreshError="1"/>
      <sheetData sheetId="24" refreshError="1"/>
      <sheetData sheetId="25" refreshError="1"/>
      <sheetData sheetId="26" refreshError="1"/>
      <sheetData sheetId="27" refreshError="1"/>
      <sheetData sheetId="28" refreshError="1"/>
      <sheetData sheetId="29" refreshError="1"/>
      <sheetData sheetId="30" refreshError="1"/>
      <sheetData sheetId="31" refreshError="1"/>
      <sheetData sheetId="32" refreshError="1"/>
      <sheetData sheetId="33" refreshError="1"/>
      <sheetData sheetId="34" refreshError="1"/>
      <sheetData sheetId="35" refreshError="1"/>
      <sheetData sheetId="36" refreshError="1"/>
      <sheetData sheetId="37" refreshError="1"/>
      <sheetData sheetId="38" refreshError="1"/>
      <sheetData sheetId="39" refreshError="1"/>
      <sheetData sheetId="40" refreshError="1"/>
      <sheetData sheetId="41" refreshError="1"/>
      <sheetData sheetId="42" refreshError="1"/>
      <sheetData sheetId="43" refreshError="1"/>
      <sheetData sheetId="44" refreshError="1"/>
      <sheetData sheetId="45" refreshError="1"/>
      <sheetData sheetId="46" refreshError="1"/>
      <sheetData sheetId="47" refreshError="1"/>
      <sheetData sheetId="48" refreshError="1"/>
    </sheetDataSet>
  </externalBook>
</externalLink>
</file>

<file path=xl/theme/theme1.xml><?xml version="1.0" encoding="utf-8"?>
<a:theme xmlns:a="http://schemas.openxmlformats.org/drawingml/2006/main" name="Office 主题​​">
  <a:themeElements>
    <a:clrScheme name="Office">
      <a:dk1>
        <a:sysClr val="windowText" lastClr="000000"/>
      </a:dk1>
      <a:lt1>
        <a:sysClr val="window" lastClr="FFFFFF"/>
      </a:lt1>
      <a:dk2>
        <a:srgbClr val="1F497D"/>
      </a:dk2>
      <a:lt2>
        <a:srgbClr val="EEECE1"/>
      </a:lt2>
      <a:accent1>
        <a:srgbClr val="4F81BD"/>
      </a:accent1>
      <a:accent2>
        <a:srgbClr val="C0504D"/>
      </a:accent2>
      <a:accent3>
        <a:srgbClr val="9BBB59"/>
      </a:accent3>
      <a:accent4>
        <a:srgbClr val="8064A2"/>
      </a:accent4>
      <a:accent5>
        <a:srgbClr val="4BACC6"/>
      </a:accent5>
      <a:accent6>
        <a:srgbClr val="F79646"/>
      </a:accent6>
      <a:hlink>
        <a:srgbClr val="0000FF"/>
      </a:hlink>
      <a:folHlink>
        <a:srgbClr val="800080"/>
      </a:folHlink>
    </a:clrScheme>
    <a:fontScheme name="Office">
      <a:majorFont>
        <a:latin typeface="Cambria"/>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tint val="50000"/>
                <a:satMod val="300000"/>
              </a:schemeClr>
            </a:gs>
            <a:gs pos="35000">
              <a:schemeClr val="phClr">
                <a:tint val="37000"/>
                <a:satMod val="300000"/>
              </a:schemeClr>
            </a:gs>
            <a:gs pos="100000">
              <a:schemeClr val="phClr">
                <a:tint val="15000"/>
                <a:satMod val="350000"/>
              </a:schemeClr>
            </a:gs>
          </a:gsLst>
          <a:lin ang="16200000" scaled="1"/>
        </a:gradFill>
        <a:gradFill rotWithShape="1">
          <a:gsLst>
            <a:gs pos="0">
              <a:schemeClr val="phClr">
                <a:shade val="51000"/>
                <a:satMod val="130000"/>
              </a:schemeClr>
            </a:gs>
            <a:gs pos="80000">
              <a:schemeClr val="phClr">
                <a:shade val="93000"/>
                <a:satMod val="130000"/>
              </a:schemeClr>
            </a:gs>
            <a:gs pos="100000">
              <a:schemeClr val="phClr">
                <a:shade val="94000"/>
                <a:satMod val="135000"/>
              </a:schemeClr>
            </a:gs>
          </a:gsLst>
          <a:lin ang="16200000" scaled="0"/>
        </a:gradFill>
      </a:fillStyleLst>
      <a:lnStyleLst>
        <a:ln w="9525" cap="flat" cmpd="sng" algn="ctr">
          <a:solidFill>
            <a:schemeClr val="phClr">
              <a:shade val="95000"/>
              <a:satMod val="105000"/>
            </a:schemeClr>
          </a:solidFill>
          <a:prstDash val="solid"/>
        </a:ln>
        <a:ln w="25400" cap="flat" cmpd="sng" algn="ctr">
          <a:solidFill>
            <a:schemeClr val="phClr"/>
          </a:solidFill>
          <a:prstDash val="solid"/>
        </a:ln>
        <a:ln w="38100" cap="flat" cmpd="sng" algn="ctr">
          <a:solidFill>
            <a:schemeClr val="phClr"/>
          </a:solidFill>
          <a:prstDash val="solid"/>
        </a:ln>
      </a:lnStyleLst>
      <a:effectStyleLst>
        <a:effectStyle>
          <a:effectLst>
            <a:outerShdw blurRad="40000" dist="20000" dir="5400000" rotWithShape="0">
              <a:srgbClr val="000000">
                <a:alpha val="38000"/>
              </a:srgbClr>
            </a:outerShdw>
          </a:effectLst>
        </a:effectStyle>
        <a:effectStyle>
          <a:effectLst>
            <a:outerShdw blurRad="40000" dist="23000" dir="5400000" rotWithShape="0">
              <a:srgbClr val="000000">
                <a:alpha val="35000"/>
              </a:srgbClr>
            </a:outerShdw>
          </a:effectLst>
        </a:effectStyle>
        <a:effectStyle>
          <a:effectLst>
            <a:outerShdw blurRad="40000" dist="23000" dir="5400000" rotWithShape="0">
              <a:srgbClr val="000000">
                <a:alpha val="35000"/>
              </a:srgbClr>
            </a:outerShdw>
          </a:effectLst>
          <a:scene3d>
            <a:camera prst="orthographicFront">
              <a:rot lat="0" lon="0" rev="0"/>
            </a:camera>
            <a:lightRig rig="threePt" dir="t">
              <a:rot lat="0" lon="0" rev="1200000"/>
            </a:lightRig>
          </a:scene3d>
          <a:sp3d>
            <a:bevelT w="63500" h="25400"/>
          </a:sp3d>
        </a:effectStyle>
      </a:effectStyleLst>
      <a:bgFillStyleLst>
        <a:solidFill>
          <a:schemeClr val="phClr"/>
        </a:solidFill>
        <a:gradFill rotWithShape="1">
          <a:gsLst>
            <a:gs pos="0">
              <a:schemeClr val="phClr">
                <a:tint val="40000"/>
                <a:satMod val="350000"/>
              </a:schemeClr>
            </a:gs>
            <a:gs pos="40000">
              <a:schemeClr val="phClr">
                <a:tint val="45000"/>
                <a:shade val="99000"/>
                <a:satMod val="350000"/>
              </a:schemeClr>
            </a:gs>
            <a:gs pos="100000">
              <a:schemeClr val="phClr">
                <a:shade val="20000"/>
                <a:satMod val="255000"/>
              </a:schemeClr>
            </a:gs>
          </a:gsLst>
          <a:path path="circle">
            <a:fillToRect l="50000" t="-80000" r="50000" b="180000"/>
          </a:path>
        </a:gradFill>
        <a:gradFill rotWithShape="1">
          <a:gsLst>
            <a:gs pos="0">
              <a:schemeClr val="phClr">
                <a:tint val="80000"/>
                <a:satMod val="300000"/>
              </a:schemeClr>
            </a:gs>
            <a:gs pos="100000">
              <a:schemeClr val="phClr">
                <a:shade val="30000"/>
                <a:satMod val="200000"/>
              </a:schemeClr>
            </a:gs>
          </a:gsLst>
          <a:path path="circle">
            <a:fillToRect l="50000" t="50000" r="50000" b="50000"/>
          </a:path>
        </a:gradFill>
      </a:bgFillStyleLst>
    </a:fmtScheme>
  </a:themeElements>
  <a:objectDefaults/>
  <a:extraClrSchemeLst/>
</a:theme>
</file>

<file path=xl/worksheets/_rels/sheet1.xml.rels><?xml version="1.0" encoding="UTF-8" standalone="yes"?>
<Relationships xmlns="http://schemas.openxmlformats.org/package/2006/relationships"><Relationship Id="rId1" Type="http://schemas.openxmlformats.org/officeDocument/2006/relationships/printerSettings" Target="../printerSettings/printerSettings1.bin"/></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vmlDrawing" Target="../drawings/vmlDrawing1.vml"/><Relationship Id="rId1" Type="http://schemas.openxmlformats.org/officeDocument/2006/relationships/printerSettings" Target="../printerSettings/printerSettings3.bin"/></Relationships>
</file>

<file path=xl/worksheets/_rels/sheet4.xml.rels><?xml version="1.0" encoding="UTF-8" standalone="yes"?>
<Relationships xmlns="http://schemas.openxmlformats.org/package/2006/relationships"><Relationship Id="rId2" Type="http://schemas.openxmlformats.org/officeDocument/2006/relationships/vmlDrawing" Target="../drawings/vmlDrawing2.vml"/><Relationship Id="rId1" Type="http://schemas.openxmlformats.org/officeDocument/2006/relationships/printerSettings" Target="../printerSettings/printerSettings4.bin"/></Relationships>
</file>

<file path=xl/worksheets/_rels/sheet5.xml.rels><?xml version="1.0" encoding="UTF-8" standalone="yes"?>
<Relationships xmlns="http://schemas.openxmlformats.org/package/2006/relationships"><Relationship Id="rId2" Type="http://schemas.openxmlformats.org/officeDocument/2006/relationships/vmlDrawing" Target="../drawings/vmlDrawing3.vml"/><Relationship Id="rId1" Type="http://schemas.openxmlformats.org/officeDocument/2006/relationships/printerSettings" Target="../printerSettings/printerSettings5.bin"/></Relationships>
</file>

<file path=xl/worksheets/_rels/sheet6.xml.rels><?xml version="1.0" encoding="UTF-8" standalone="yes"?>
<Relationships xmlns="http://schemas.openxmlformats.org/package/2006/relationships"><Relationship Id="rId2" Type="http://schemas.openxmlformats.org/officeDocument/2006/relationships/vmlDrawing" Target="../drawings/vmlDrawing4.vml"/><Relationship Id="rId1" Type="http://schemas.openxmlformats.org/officeDocument/2006/relationships/printerSettings" Target="../printerSettings/printerSettings6.bin"/></Relationships>
</file>

<file path=xl/worksheets/_rels/sheet7.xml.rels><?xml version="1.0" encoding="UTF-8" standalone="yes"?>
<Relationships xmlns="http://schemas.openxmlformats.org/package/2006/relationships"><Relationship Id="rId2" Type="http://schemas.openxmlformats.org/officeDocument/2006/relationships/vmlDrawing" Target="../drawings/vmlDrawing5.vml"/><Relationship Id="rId1" Type="http://schemas.openxmlformats.org/officeDocument/2006/relationships/printerSettings" Target="../printerSettings/printerSettings7.bin"/></Relationships>
</file>

<file path=xl/worksheets/_rels/sheet8.xml.rels><?xml version="1.0" encoding="UTF-8" standalone="yes"?>
<Relationships xmlns="http://schemas.openxmlformats.org/package/2006/relationships"><Relationship Id="rId3" Type="http://schemas.openxmlformats.org/officeDocument/2006/relationships/comments" Target="../comments1.xml"/><Relationship Id="rId2" Type="http://schemas.openxmlformats.org/officeDocument/2006/relationships/vmlDrawing" Target="../drawings/vmlDrawing6.vml"/><Relationship Id="rId1" Type="http://schemas.openxmlformats.org/officeDocument/2006/relationships/printerSettings" Target="../printerSettings/printerSettings8.bin"/></Relationships>
</file>

<file path=xl/worksheets/_rels/sheet9.xml.rels><?xml version="1.0" encoding="UTF-8" standalone="yes"?>
<Relationships xmlns="http://schemas.openxmlformats.org/package/2006/relationships"><Relationship Id="rId1" Type="http://schemas.openxmlformats.org/officeDocument/2006/relationships/printerSettings" Target="../printerSettings/printerSettings9.bin"/></Relationships>
</file>

<file path=xl/worksheets/_rels/sheet10.xml.rels><?xml version="1.0" encoding="UTF-8" standalone="yes"?>
<Relationships xmlns="http://schemas.openxmlformats.org/package/2006/relationships"><Relationship Id="rId1" Type="http://schemas.openxmlformats.org/officeDocument/2006/relationships/printerSettings" Target="../printerSettings/printerSettings10.bin"/></Relationships>
</file>

<file path=xl/worksheets/_rels/sheet12.xml.rels><?xml version="1.0" encoding="UTF-8" standalone="yes"?>
<Relationships xmlns="http://schemas.openxmlformats.org/package/2006/relationships"><Relationship Id="rId3" Type="http://schemas.openxmlformats.org/officeDocument/2006/relationships/comments" Target="../comments2.xml"/><Relationship Id="rId2" Type="http://schemas.openxmlformats.org/officeDocument/2006/relationships/vmlDrawing" Target="../drawings/vmlDrawing7.vml"/><Relationship Id="rId1" Type="http://schemas.openxmlformats.org/officeDocument/2006/relationships/printerSettings" Target="../printerSettings/printerSettings11.bin"/></Relationships>
</file>

<file path=xl/worksheets/_rels/sheet13.xml.rels><?xml version="1.0" encoding="UTF-8" standalone="yes"?>
<Relationships xmlns="http://schemas.openxmlformats.org/package/2006/relationships"><Relationship Id="rId3" Type="http://schemas.openxmlformats.org/officeDocument/2006/relationships/comments" Target="../comments3.xml"/><Relationship Id="rId2" Type="http://schemas.openxmlformats.org/officeDocument/2006/relationships/vmlDrawing" Target="../drawings/vmlDrawing8.vml"/><Relationship Id="rId1" Type="http://schemas.openxmlformats.org/officeDocument/2006/relationships/printerSettings" Target="../printerSettings/printerSettings12.bin"/></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15.xml.rels><?xml version="1.0" encoding="UTF-8" standalone="yes"?>
<Relationships xmlns="http://schemas.openxmlformats.org/package/2006/relationships"><Relationship Id="rId3" Type="http://schemas.openxmlformats.org/officeDocument/2006/relationships/comments" Target="../comments4.xml"/><Relationship Id="rId2" Type="http://schemas.openxmlformats.org/officeDocument/2006/relationships/vmlDrawing" Target="../drawings/vmlDrawing9.vml"/><Relationship Id="rId1" Type="http://schemas.openxmlformats.org/officeDocument/2006/relationships/printerSettings" Target="../printerSettings/printerSettings13.bin"/></Relationships>
</file>

<file path=xl/worksheets/_rels/sheet16.xml.rels><?xml version="1.0" encoding="UTF-8" standalone="yes"?>
<Relationships xmlns="http://schemas.openxmlformats.org/package/2006/relationships"><Relationship Id="rId3" Type="http://schemas.openxmlformats.org/officeDocument/2006/relationships/comments" Target="../comments5.xml"/><Relationship Id="rId2" Type="http://schemas.openxmlformats.org/officeDocument/2006/relationships/vmlDrawing" Target="../drawings/vmlDrawing10.vml"/><Relationship Id="rId1" Type="http://schemas.openxmlformats.org/officeDocument/2006/relationships/printerSettings" Target="../printerSettings/printerSettings14.bin"/></Relationships>
</file>

<file path=xl/worksheets/_rels/sheet17.xml.rels><?xml version="1.0" encoding="UTF-8" standalone="yes"?>
<Relationships xmlns="http://schemas.openxmlformats.org/package/2006/relationships"><Relationship Id="rId3" Type="http://schemas.openxmlformats.org/officeDocument/2006/relationships/comments" Target="../comments6.xml"/><Relationship Id="rId2" Type="http://schemas.openxmlformats.org/officeDocument/2006/relationships/vmlDrawing" Target="../drawings/vmlDrawing11.vml"/><Relationship Id="rId1" Type="http://schemas.openxmlformats.org/officeDocument/2006/relationships/printerSettings" Target="../printerSettings/printerSettings15.bin"/></Relationships>
</file>

<file path=xl/worksheets/_rels/sheet18.xml.rels><?xml version="1.0" encoding="UTF-8" standalone="yes"?>
<Relationships xmlns="http://schemas.openxmlformats.org/package/2006/relationships"><Relationship Id="rId1" Type="http://schemas.openxmlformats.org/officeDocument/2006/relationships/printerSettings" Target="../printerSettings/printerSettings16.bin"/></Relationships>
</file>

<file path=xl/worksheets/_rels/sheet19.xml.rels><?xml version="1.0" encoding="UTF-8" standalone="yes"?>
<Relationships xmlns="http://schemas.openxmlformats.org/package/2006/relationships"><Relationship Id="rId3" Type="http://schemas.openxmlformats.org/officeDocument/2006/relationships/comments" Target="../comments7.xml"/><Relationship Id="rId2" Type="http://schemas.openxmlformats.org/officeDocument/2006/relationships/vmlDrawing" Target="../drawings/vmlDrawing12.vml"/><Relationship Id="rId1" Type="http://schemas.openxmlformats.org/officeDocument/2006/relationships/printerSettings" Target="../printerSettings/printerSettings17.bin"/></Relationships>
</file>

<file path=xl/worksheets/_rels/sheet20.xml.rels><?xml version="1.0" encoding="UTF-8" standalone="yes"?>
<Relationships xmlns="http://schemas.openxmlformats.org/package/2006/relationships"><Relationship Id="rId3" Type="http://schemas.openxmlformats.org/officeDocument/2006/relationships/comments" Target="../comments8.xml"/><Relationship Id="rId2" Type="http://schemas.openxmlformats.org/officeDocument/2006/relationships/vmlDrawing" Target="../drawings/vmlDrawing13.vml"/><Relationship Id="rId1" Type="http://schemas.openxmlformats.org/officeDocument/2006/relationships/printerSettings" Target="../printerSettings/printerSettings18.bin"/></Relationships>
</file>

<file path=xl/worksheets/_rels/sheet21.xml.rels><?xml version="1.0" encoding="UTF-8" standalone="yes"?>
<Relationships xmlns="http://schemas.openxmlformats.org/package/2006/relationships"><Relationship Id="rId1" Type="http://schemas.openxmlformats.org/officeDocument/2006/relationships/printerSettings" Target="../printerSettings/printerSettings19.bin"/></Relationships>
</file>

<file path=xl/worksheets/_rels/sheet22.xml.rels><?xml version="1.0" encoding="UTF-8" standalone="yes"?>
<Relationships xmlns="http://schemas.openxmlformats.org/package/2006/relationships"><Relationship Id="rId3" Type="http://schemas.openxmlformats.org/officeDocument/2006/relationships/comments" Target="../comments9.xml"/><Relationship Id="rId2" Type="http://schemas.openxmlformats.org/officeDocument/2006/relationships/vmlDrawing" Target="../drawings/vmlDrawing14.vml"/><Relationship Id="rId1" Type="http://schemas.openxmlformats.org/officeDocument/2006/relationships/printerSettings" Target="../printerSettings/printerSettings20.bin"/></Relationships>
</file>

<file path=xl/worksheets/_rels/sheet23.xml.rels><?xml version="1.0" encoding="UTF-8" standalone="yes"?>
<Relationships xmlns="http://schemas.openxmlformats.org/package/2006/relationships"><Relationship Id="rId3" Type="http://schemas.openxmlformats.org/officeDocument/2006/relationships/comments" Target="../comments10.xml"/><Relationship Id="rId2" Type="http://schemas.openxmlformats.org/officeDocument/2006/relationships/vmlDrawing" Target="../drawings/vmlDrawing15.vml"/><Relationship Id="rId1" Type="http://schemas.openxmlformats.org/officeDocument/2006/relationships/printerSettings" Target="../printerSettings/printerSettings21.bin"/></Relationships>
</file>

<file path=xl/worksheets/_rels/sheet24.xml.rels><?xml version="1.0" encoding="UTF-8" standalone="yes"?>
<Relationships xmlns="http://schemas.openxmlformats.org/package/2006/relationships"><Relationship Id="rId1" Type="http://schemas.openxmlformats.org/officeDocument/2006/relationships/printerSettings" Target="../printerSettings/printerSettings22.bin"/></Relationships>
</file>

<file path=xl/worksheets/_rels/sheet25.xml.rels><?xml version="1.0" encoding="UTF-8" standalone="yes"?>
<Relationships xmlns="http://schemas.openxmlformats.org/package/2006/relationships"><Relationship Id="rId1" Type="http://schemas.openxmlformats.org/officeDocument/2006/relationships/printerSettings" Target="../printerSettings/printerSettings23.bin"/></Relationships>
</file>

<file path=xl/worksheets/_rels/sheet26.xml.rels><?xml version="1.0" encoding="UTF-8" standalone="yes"?>
<Relationships xmlns="http://schemas.openxmlformats.org/package/2006/relationships"><Relationship Id="rId3" Type="http://schemas.openxmlformats.org/officeDocument/2006/relationships/comments" Target="../comments11.xml"/><Relationship Id="rId2" Type="http://schemas.openxmlformats.org/officeDocument/2006/relationships/vmlDrawing" Target="../drawings/vmlDrawing16.vml"/><Relationship Id="rId1" Type="http://schemas.openxmlformats.org/officeDocument/2006/relationships/printerSettings" Target="../printerSettings/printerSettings24.bin"/></Relationships>
</file>

<file path=xl/worksheets/_rels/sheet27.xml.rels><?xml version="1.0" encoding="UTF-8" standalone="yes"?>
<Relationships xmlns="http://schemas.openxmlformats.org/package/2006/relationships"><Relationship Id="rId3" Type="http://schemas.openxmlformats.org/officeDocument/2006/relationships/comments" Target="../comments12.xml"/><Relationship Id="rId2" Type="http://schemas.openxmlformats.org/officeDocument/2006/relationships/vmlDrawing" Target="../drawings/vmlDrawing17.vml"/><Relationship Id="rId1" Type="http://schemas.openxmlformats.org/officeDocument/2006/relationships/printerSettings" Target="../printerSettings/printerSettings25.bin"/></Relationships>
</file>

<file path=xl/worksheets/_rels/sheet28.xml.rels><?xml version="1.0" encoding="UTF-8" standalone="yes"?>
<Relationships xmlns="http://schemas.openxmlformats.org/package/2006/relationships"><Relationship Id="rId3" Type="http://schemas.openxmlformats.org/officeDocument/2006/relationships/comments" Target="../comments13.xml"/><Relationship Id="rId2" Type="http://schemas.openxmlformats.org/officeDocument/2006/relationships/vmlDrawing" Target="../drawings/vmlDrawing18.vml"/><Relationship Id="rId1" Type="http://schemas.openxmlformats.org/officeDocument/2006/relationships/printerSettings" Target="../printerSettings/printerSettings26.bin"/></Relationships>
</file>

<file path=xl/worksheets/_rels/sheet29.xml.rels><?xml version="1.0" encoding="UTF-8" standalone="yes"?>
<Relationships xmlns="http://schemas.openxmlformats.org/package/2006/relationships"><Relationship Id="rId3" Type="http://schemas.openxmlformats.org/officeDocument/2006/relationships/comments" Target="../comments14.xml"/><Relationship Id="rId2" Type="http://schemas.openxmlformats.org/officeDocument/2006/relationships/vmlDrawing" Target="../drawings/vmlDrawing19.vml"/><Relationship Id="rId1" Type="http://schemas.openxmlformats.org/officeDocument/2006/relationships/printerSettings" Target="../printerSettings/printerSettings27.bin"/></Relationships>
</file>

<file path=xl/worksheets/_rels/sheet30.xml.rels><?xml version="1.0" encoding="UTF-8" standalone="yes"?>
<Relationships xmlns="http://schemas.openxmlformats.org/package/2006/relationships"><Relationship Id="rId3" Type="http://schemas.openxmlformats.org/officeDocument/2006/relationships/comments" Target="../comments15.xml"/><Relationship Id="rId2" Type="http://schemas.openxmlformats.org/officeDocument/2006/relationships/vmlDrawing" Target="../drawings/vmlDrawing20.vml"/><Relationship Id="rId1" Type="http://schemas.openxmlformats.org/officeDocument/2006/relationships/printerSettings" Target="../printerSettings/printerSettings28.bin"/></Relationships>
</file>

<file path=xl/worksheets/_rels/sheet31.xml.rels><?xml version="1.0" encoding="UTF-8" standalone="yes"?>
<Relationships xmlns="http://schemas.openxmlformats.org/package/2006/relationships"><Relationship Id="rId3" Type="http://schemas.openxmlformats.org/officeDocument/2006/relationships/comments" Target="../comments16.xml"/><Relationship Id="rId2" Type="http://schemas.openxmlformats.org/officeDocument/2006/relationships/vmlDrawing" Target="../drawings/vmlDrawing21.vml"/><Relationship Id="rId1" Type="http://schemas.openxmlformats.org/officeDocument/2006/relationships/printerSettings" Target="../printerSettings/printerSettings29.bin"/></Relationships>
</file>

<file path=xl/worksheets/_rels/sheet32.xml.rels><?xml version="1.0" encoding="UTF-8" standalone="yes"?>
<Relationships xmlns="http://schemas.openxmlformats.org/package/2006/relationships"><Relationship Id="rId3" Type="http://schemas.openxmlformats.org/officeDocument/2006/relationships/comments" Target="../comments17.xml"/><Relationship Id="rId2" Type="http://schemas.openxmlformats.org/officeDocument/2006/relationships/vmlDrawing" Target="../drawings/vmlDrawing22.vml"/><Relationship Id="rId1" Type="http://schemas.openxmlformats.org/officeDocument/2006/relationships/printerSettings" Target="../printerSettings/printerSettings30.bin"/></Relationships>
</file>

<file path=xl/worksheets/_rels/sheet33.xml.rels><?xml version="1.0" encoding="UTF-8" standalone="yes"?>
<Relationships xmlns="http://schemas.openxmlformats.org/package/2006/relationships"><Relationship Id="rId3" Type="http://schemas.openxmlformats.org/officeDocument/2006/relationships/comments" Target="../comments18.xml"/><Relationship Id="rId2" Type="http://schemas.openxmlformats.org/officeDocument/2006/relationships/vmlDrawing" Target="../drawings/vmlDrawing23.vml"/><Relationship Id="rId1" Type="http://schemas.openxmlformats.org/officeDocument/2006/relationships/printerSettings" Target="../printerSettings/printerSettings31.bin"/></Relationships>
</file>

<file path=xl/worksheets/_rels/sheet34.xml.rels><?xml version="1.0" encoding="UTF-8" standalone="yes"?>
<Relationships xmlns="http://schemas.openxmlformats.org/package/2006/relationships"><Relationship Id="rId3" Type="http://schemas.openxmlformats.org/officeDocument/2006/relationships/comments" Target="../comments19.xml"/><Relationship Id="rId2" Type="http://schemas.openxmlformats.org/officeDocument/2006/relationships/vmlDrawing" Target="../drawings/vmlDrawing24.vml"/><Relationship Id="rId1" Type="http://schemas.openxmlformats.org/officeDocument/2006/relationships/printerSettings" Target="../printerSettings/printerSettings32.bin"/></Relationships>
</file>

<file path=xl/worksheets/_rels/sheet36.xml.rels><?xml version="1.0" encoding="UTF-8" standalone="yes"?>
<Relationships xmlns="http://schemas.openxmlformats.org/package/2006/relationships"><Relationship Id="rId2" Type="http://schemas.openxmlformats.org/officeDocument/2006/relationships/comments" Target="../comments20.xml"/><Relationship Id="rId1" Type="http://schemas.openxmlformats.org/officeDocument/2006/relationships/vmlDrawing" Target="../drawings/vmlDrawing25.vml"/></Relationships>
</file>

<file path=xl/worksheets/_rels/sheet37.xml.rels><?xml version="1.0" encoding="UTF-8" standalone="yes"?>
<Relationships xmlns="http://schemas.openxmlformats.org/package/2006/relationships"><Relationship Id="rId1" Type="http://schemas.openxmlformats.org/officeDocument/2006/relationships/printerSettings" Target="../printerSettings/printerSettings33.bin"/></Relationships>
</file>

<file path=xl/worksheets/_rels/sheet38.xml.rels><?xml version="1.0" encoding="UTF-8" standalone="yes"?>
<Relationships xmlns="http://schemas.openxmlformats.org/package/2006/relationships"><Relationship Id="rId3" Type="http://schemas.openxmlformats.org/officeDocument/2006/relationships/comments" Target="../comments21.xml"/><Relationship Id="rId2" Type="http://schemas.openxmlformats.org/officeDocument/2006/relationships/vmlDrawing" Target="../drawings/vmlDrawing26.vml"/><Relationship Id="rId1" Type="http://schemas.openxmlformats.org/officeDocument/2006/relationships/printerSettings" Target="../printerSettings/printerSettings34.bin"/></Relationships>
</file>

<file path=xl/worksheets/_rels/sheet39.xml.rels><?xml version="1.0" encoding="UTF-8" standalone="yes"?>
<Relationships xmlns="http://schemas.openxmlformats.org/package/2006/relationships"><Relationship Id="rId1" Type="http://schemas.openxmlformats.org/officeDocument/2006/relationships/printerSettings" Target="../printerSettings/printerSettings35.bin"/></Relationships>
</file>

<file path=xl/worksheets/_rels/sheet41.xml.rels><?xml version="1.0" encoding="UTF-8" standalone="yes"?>
<Relationships xmlns="http://schemas.openxmlformats.org/package/2006/relationships"><Relationship Id="rId1" Type="http://schemas.openxmlformats.org/officeDocument/2006/relationships/printerSettings" Target="../printerSettings/printerSettings36.bin"/></Relationships>
</file>

<file path=xl/worksheets/_rels/sheet42.xml.rels><?xml version="1.0" encoding="UTF-8" standalone="yes"?>
<Relationships xmlns="http://schemas.openxmlformats.org/package/2006/relationships"><Relationship Id="rId1" Type="http://schemas.openxmlformats.org/officeDocument/2006/relationships/printerSettings" Target="../printerSettings/printerSettings37.bin"/></Relationships>
</file>

<file path=xl/worksheets/_rels/sheet44.xml.rels><?xml version="1.0" encoding="UTF-8" standalone="yes"?>
<Relationships xmlns="http://schemas.openxmlformats.org/package/2006/relationships"><Relationship Id="rId1" Type="http://schemas.openxmlformats.org/officeDocument/2006/relationships/printerSettings" Target="../printerSettings/printerSettings38.bin"/></Relationships>
</file>

<file path=xl/worksheets/_rels/sheet47.xml.rels><?xml version="1.0" encoding="UTF-8" standalone="yes"?>
<Relationships xmlns="http://schemas.openxmlformats.org/package/2006/relationships"><Relationship Id="rId1" Type="http://schemas.openxmlformats.org/officeDocument/2006/relationships/printerSettings" Target="../printerSettings/printerSettings39.bin"/></Relationships>
</file>

<file path=xl/worksheets/_rels/sheet48.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49.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40.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B74"/>
  <sheetViews>
    <sheetView zoomScale="80" zoomScaleNormal="80" workbookViewId="0">
      <selection activeCell="E24" sqref="E24"/>
    </sheetView>
  </sheetViews>
  <sheetFormatPr defaultColWidth="9" defaultRowHeight="14.25"/>
  <cols>
    <col min="1" max="1" width="35.625" style="1193" customWidth="1"/>
    <col min="2" max="2" width="81" style="1210" customWidth="1"/>
    <col min="3" max="16384" width="9" style="1208"/>
  </cols>
  <sheetData>
    <row r="1" spans="1:2" s="1196" customFormat="1" ht="16.5" thickBot="1">
      <c r="A1" s="1195" t="s">
        <v>521</v>
      </c>
      <c r="B1" s="1194" t="s">
        <v>600</v>
      </c>
    </row>
    <row r="2" spans="1:2" s="1199" customFormat="1" ht="15" thickTop="1">
      <c r="A2" s="1197" t="s">
        <v>522</v>
      </c>
      <c r="B2" s="1198" t="str">
        <f>'预评函-封皮'!B37:I37</f>
        <v>北京市昌平区生命园路20号院1号楼-1至4层101房地产抵押价值预评估</v>
      </c>
    </row>
    <row r="3" spans="1:2" s="1202" customFormat="1">
      <c r="A3" s="1200" t="s">
        <v>523</v>
      </c>
      <c r="B3" s="1201" t="str">
        <f>'预评函-封皮'!B40</f>
        <v>兴业银行</v>
      </c>
    </row>
    <row r="4" spans="1:2" s="1202" customFormat="1">
      <c r="A4" s="1200" t="s">
        <v>524</v>
      </c>
      <c r="B4" s="1201" t="str">
        <f ca="1">'预评函-封皮'!B46</f>
        <v>吴薇（注册号：1419970001)、郑燚（注册号：1120070131)</v>
      </c>
    </row>
    <row r="5" spans="1:2" s="1196" customFormat="1" ht="15" thickBot="1">
      <c r="A5" s="1203" t="s">
        <v>525</v>
      </c>
      <c r="B5" s="1204" t="str">
        <f>'预评函-封皮'!B49</f>
        <v>康正预评字号</v>
      </c>
    </row>
    <row r="6" spans="1:2" s="1199" customFormat="1" ht="15" thickTop="1">
      <c r="A6" s="1197" t="s">
        <v>526</v>
      </c>
      <c r="B6" s="1198" t="str">
        <f>'预评函-1'!A4</f>
        <v>受贵公司委托，我公司对北京市昌平区生命园路20号院1号楼-1至4层101房地产抵押价值进行了预评估。</v>
      </c>
    </row>
    <row r="7" spans="1:2" s="1202" customFormat="1">
      <c r="A7" s="1200" t="s">
        <v>566</v>
      </c>
      <c r="B7" s="1201" t="str">
        <f>'预评函-1'!A7</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2" s="1202" customFormat="1">
      <c r="A8" s="1200" t="s">
        <v>567</v>
      </c>
      <c r="B8" s="1201" t="str">
        <f>'预评函-1'!A8</f>
        <v>估价对象简述。项目推广名，项目类型（用途），估价对象分布，各用途面积明细情况：XX用途建筑面积XX平方米，XX用途建筑面积XX平方米，……。复杂面积清单需设‘附表’列示：抵押物清单详见附表</v>
      </c>
    </row>
    <row r="9" spans="1:2" s="1202" customFormat="1">
      <c r="A9" s="1200" t="s">
        <v>568</v>
      </c>
      <c r="B9" s="1201" t="str">
        <f>'预评函-1'!A10</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0" spans="1:2" s="1202" customFormat="1">
      <c r="A10" s="1200" t="s">
        <v>569</v>
      </c>
      <c r="B10" s="1201" t="str">
        <f>'预评函-1'!A11</f>
        <v>估价对象为局部时需描述范围，各用途面积明细情况：经营性用途用途规划建筑面积XX平方米（其中：），非经营性用途规划建筑面积XX平方米（其中：）。复杂面积或有分楼栋、分户清单时需设‘附表’列示：抵押物清单详见附表。工程进度情况。</v>
      </c>
    </row>
    <row r="11" spans="1:2" s="1202" customFormat="1">
      <c r="A11" s="1200" t="s">
        <v>527</v>
      </c>
      <c r="B11" s="1201" t="str">
        <f>'预评函-1'!A13</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2" spans="1:2" s="1202" customFormat="1">
      <c r="A12" s="1200" t="s">
        <v>528</v>
      </c>
      <c r="B12" s="1201" t="str">
        <f>'预评函-1'!A15</f>
        <v>2024年4月18日（评估专业人员实地查勘之日）</v>
      </c>
    </row>
    <row r="13" spans="1:2" s="1202" customFormat="1">
      <c r="A13" s="1200" t="s">
        <v>529</v>
      </c>
      <c r="B13" s="1201" t="str">
        <f>'预评函-1'!A18</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4" spans="1:2" s="1202" customFormat="1">
      <c r="A14" s="1200" t="s">
        <v>530</v>
      </c>
      <c r="B14" s="1201" t="str">
        <f>'预评函-1'!A19</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15" spans="1:2" s="1202" customFormat="1">
      <c r="A15" s="1200" t="s">
        <v>531</v>
      </c>
      <c r="B15" s="1201" t="str">
        <f>'预评函-1'!A20</f>
        <v>本次估价的“房地产抵押价值”是指估价对象在价值时点的“房地产价值”扣减估价师于价值时点所知悉的法定优先受偿款后的余额。</v>
      </c>
    </row>
    <row r="16" spans="1:2" s="1202" customFormat="1">
      <c r="A16" s="1200" t="s">
        <v>532</v>
      </c>
      <c r="B16" s="1201" t="str">
        <f>'预评函-1'!A21</f>
        <v>法定优先受偿款是指假定在价值时点实现抵押权时，法律规定优先于本次抵押贷款受偿的款额，包括发包人拖欠承包人的建筑工程款，已抵押担保的债权数额以及其他法定优先受偿款。</v>
      </c>
    </row>
    <row r="17" spans="1:2" s="1202" customFormat="1">
      <c r="A17" s="1200" t="s">
        <v>533</v>
      </c>
      <c r="B17" s="1201" t="str">
        <f>'预评函-1'!A22</f>
        <v>本次估价的“抵押净值”是指估价对象“房地产抵押价值”减去估价对象在价值时点以“房地产销售收入”为基数计算的预计抵押权实现进行处置时需缴纳的各项费用、税金等相关费用后的价值。</v>
      </c>
    </row>
    <row r="18" spans="1:2" s="1196" customFormat="1" ht="15" thickBot="1">
      <c r="A18" s="1203" t="s">
        <v>534</v>
      </c>
      <c r="B18" s="1204" t="str">
        <f>'预评函-1'!A24</f>
        <v>本次评估采用的主估价方法为成本法和收益法。</v>
      </c>
    </row>
    <row r="19" spans="1:2" s="1199" customFormat="1" ht="15" thickTop="1">
      <c r="A19" s="1197" t="s">
        <v>535</v>
      </c>
      <c r="B19" s="1198" t="str">
        <f>'预评函-2'!A2</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row>
    <row r="20" spans="1:2" s="1202" customFormat="1">
      <c r="A20" s="1200" t="s">
        <v>536</v>
      </c>
      <c r="B20" s="1201">
        <f ca="1">'预评函-2'!D5</f>
        <v>18265</v>
      </c>
    </row>
    <row r="21" spans="1:2" s="1202" customFormat="1">
      <c r="A21" s="1200" t="s">
        <v>537</v>
      </c>
      <c r="B21" s="1201">
        <f ca="1">'预评函-2'!D7</f>
        <v>10402</v>
      </c>
    </row>
    <row r="22" spans="1:2" s="1202" customFormat="1">
      <c r="A22" s="1200" t="s">
        <v>538</v>
      </c>
      <c r="B22" s="1201" t="str">
        <f ca="1">'预评函-2'!D6</f>
        <v>壹亿捌仟贰佰陆拾伍万元整</v>
      </c>
    </row>
    <row r="23" spans="1:2" s="1202" customFormat="1">
      <c r="A23" s="1200" t="s">
        <v>589</v>
      </c>
      <c r="B23" s="1201" t="str">
        <f>'预评函-2'!B8</f>
        <v>2.估价师知悉的法定优先受偿款</v>
      </c>
    </row>
    <row r="24" spans="1:2" s="1202" customFormat="1">
      <c r="A24" s="1200" t="s">
        <v>595</v>
      </c>
      <c r="B24" s="1201">
        <f>'预评函-2'!D8</f>
        <v>0</v>
      </c>
    </row>
    <row r="25" spans="1:2" s="1202" customFormat="1">
      <c r="A25" s="1200" t="s">
        <v>539</v>
      </c>
      <c r="B25" s="1201" t="str">
        <f>'预评函-2'!D9</f>
        <v>零元整</v>
      </c>
    </row>
    <row r="26" spans="1:2" s="1202" customFormat="1">
      <c r="A26" s="1200" t="s">
        <v>540</v>
      </c>
      <c r="B26" s="1201">
        <f>'预评函-2'!D10</f>
        <v>0</v>
      </c>
    </row>
    <row r="27" spans="1:2" s="1202" customFormat="1">
      <c r="A27" s="1200" t="s">
        <v>541</v>
      </c>
      <c r="B27" s="1201">
        <f>'预评函-2'!D11</f>
        <v>0</v>
      </c>
    </row>
    <row r="28" spans="1:2" s="1202" customFormat="1">
      <c r="A28" s="1200" t="s">
        <v>542</v>
      </c>
      <c r="B28" s="1201">
        <f>'预评函-2'!D12</f>
        <v>0</v>
      </c>
    </row>
    <row r="29" spans="1:2" s="1202" customFormat="1">
      <c r="A29" s="1200" t="s">
        <v>593</v>
      </c>
      <c r="B29" s="1201" t="str">
        <f>'预评函-2'!B13</f>
        <v>3.房地产抵押价值</v>
      </c>
    </row>
    <row r="30" spans="1:2" s="1202" customFormat="1">
      <c r="A30" s="1200" t="s">
        <v>594</v>
      </c>
      <c r="B30" s="1201">
        <f ca="1">'预评函-2'!D13</f>
        <v>18265</v>
      </c>
    </row>
    <row r="31" spans="1:2" s="1202" customFormat="1">
      <c r="A31" s="1200" t="s">
        <v>576</v>
      </c>
      <c r="B31" s="1201">
        <f ca="1">'预评函-2'!D15</f>
        <v>10402</v>
      </c>
    </row>
    <row r="32" spans="1:2" s="1202" customFormat="1">
      <c r="A32" s="1200" t="s">
        <v>543</v>
      </c>
      <c r="B32" s="1201" t="str">
        <f ca="1">'预评函-2'!D14</f>
        <v>壹亿捌仟贰佰陆拾伍万元整</v>
      </c>
    </row>
    <row r="33" spans="1:2" s="1202" customFormat="1">
      <c r="A33" s="1200" t="s">
        <v>578</v>
      </c>
      <c r="B33" s="1201" t="str">
        <f>'预评函-2'!B16</f>
        <v>——</v>
      </c>
    </row>
    <row r="34" spans="1:2" s="1202" customFormat="1">
      <c r="A34" s="1200" t="s">
        <v>596</v>
      </c>
      <c r="B34" s="1201" t="str">
        <f>'预评函-2'!D16</f>
        <v>——</v>
      </c>
    </row>
    <row r="35" spans="1:2" s="1202" customFormat="1">
      <c r="A35" s="1200" t="s">
        <v>577</v>
      </c>
      <c r="B35" s="1201" t="str">
        <f>'预评函-2'!D18</f>
        <v>——</v>
      </c>
    </row>
    <row r="36" spans="1:2" s="1202" customFormat="1">
      <c r="A36" s="1200" t="s">
        <v>544</v>
      </c>
      <c r="B36" s="1201" t="e">
        <f>'预评函-2'!D17</f>
        <v>#VALUE!</v>
      </c>
    </row>
    <row r="37" spans="1:2" s="1202" customFormat="1">
      <c r="A37" s="1200" t="s">
        <v>579</v>
      </c>
      <c r="B37" s="1201" t="str">
        <f>'预评函-2'!B19</f>
        <v>4.抵押净值</v>
      </c>
    </row>
    <row r="38" spans="1:2" s="1202" customFormat="1">
      <c r="A38" s="1200" t="s">
        <v>597</v>
      </c>
      <c r="B38" s="1201">
        <f ca="1">'预评函-2'!D19</f>
        <v>16429</v>
      </c>
    </row>
    <row r="39" spans="1:2" s="1202" customFormat="1">
      <c r="A39" s="1200" t="s">
        <v>545</v>
      </c>
      <c r="B39" s="1201">
        <f ca="1">'预评函-2'!D21</f>
        <v>9356</v>
      </c>
    </row>
    <row r="40" spans="1:2" s="1202" customFormat="1">
      <c r="A40" s="1200" t="s">
        <v>546</v>
      </c>
      <c r="B40" s="1201" t="str">
        <f ca="1">'预评函-2'!D20</f>
        <v>壹亿陆仟肆佰贰拾玖万元整</v>
      </c>
    </row>
    <row r="41" spans="1:2" s="1202" customFormat="1">
      <c r="A41" s="1200" t="s">
        <v>592</v>
      </c>
      <c r="B41" s="1201" t="str">
        <f>'预评函-3'!A4</f>
        <v>北京市昌平区生命园路20号院1号楼-1至4层101房地产</v>
      </c>
    </row>
    <row r="42" spans="1:2" s="1202" customFormat="1">
      <c r="A42" s="1200" t="s">
        <v>590</v>
      </c>
      <c r="B42" s="1201" t="str">
        <f>'预评函-3'!B2</f>
        <v>建筑面积</v>
      </c>
    </row>
    <row r="43" spans="1:2" s="1202" customFormat="1">
      <c r="A43" s="1200" t="s">
        <v>591</v>
      </c>
      <c r="B43" s="1201">
        <f>'预评函-3'!B4</f>
        <v>17559.11</v>
      </c>
    </row>
    <row r="44" spans="1:2" s="1202" customFormat="1">
      <c r="A44" s="1200" t="s">
        <v>575</v>
      </c>
      <c r="B44" s="1201" t="str">
        <f>'预评函-3'!C2</f>
        <v>(分摊)土地面积</v>
      </c>
    </row>
    <row r="45" spans="1:2" s="1202" customFormat="1">
      <c r="A45" s="1200" t="s">
        <v>547</v>
      </c>
      <c r="B45" s="1201">
        <f>'预评函-3'!C4</f>
        <v>15637.42</v>
      </c>
    </row>
    <row r="46" spans="1:2" s="1202" customFormat="1">
      <c r="A46" s="1200" t="s">
        <v>573</v>
      </c>
      <c r="B46" s="1201" t="str">
        <f>'预评函-3'!D2</f>
        <v>出让国有建设用地使用权价值</v>
      </c>
    </row>
    <row r="47" spans="1:2" s="1202" customFormat="1">
      <c r="A47" s="1200" t="s">
        <v>548</v>
      </c>
      <c r="B47" s="1201">
        <f ca="1">'预评函-3'!D4</f>
        <v>3836</v>
      </c>
    </row>
    <row r="48" spans="1:2" s="1202" customFormat="1">
      <c r="A48" s="1200" t="s">
        <v>549</v>
      </c>
      <c r="B48" s="1201">
        <f ca="1">'预评函-3'!E4</f>
        <v>2185</v>
      </c>
    </row>
    <row r="49" spans="1:2" s="1202" customFormat="1">
      <c r="A49" s="1200" t="s">
        <v>550</v>
      </c>
      <c r="B49" s="1201" t="str">
        <f ca="1">'预评函-3'!D5</f>
        <v>叁仟捌佰叁拾陆万元整</v>
      </c>
    </row>
    <row r="50" spans="1:2" s="1202" customFormat="1">
      <c r="A50" s="1200" t="s">
        <v>574</v>
      </c>
      <c r="B50" s="1201" t="str">
        <f>'预评函-3'!F2</f>
        <v>在建建筑物价值</v>
      </c>
    </row>
    <row r="51" spans="1:2" s="1202" customFormat="1">
      <c r="A51" s="1200" t="s">
        <v>551</v>
      </c>
      <c r="B51" s="1201">
        <f ca="1">'预评函-3'!F4</f>
        <v>14429</v>
      </c>
    </row>
    <row r="52" spans="1:2" s="1202" customFormat="1">
      <c r="A52" s="1200" t="s">
        <v>552</v>
      </c>
      <c r="B52" s="1201">
        <f ca="1">'预评函-3'!G4</f>
        <v>8217</v>
      </c>
    </row>
    <row r="53" spans="1:2" s="1202" customFormat="1">
      <c r="A53" s="1200" t="s">
        <v>580</v>
      </c>
      <c r="B53" s="1201" t="str">
        <f ca="1">'预评函-3'!F5</f>
        <v>壹亿肆仟肆佰贰拾玖万元整</v>
      </c>
    </row>
    <row r="54" spans="1:2" s="1202" customFormat="1">
      <c r="A54" s="1200" t="s">
        <v>598</v>
      </c>
      <c r="B54" s="1201" t="str">
        <f>'预评函-3'!A8</f>
        <v>房地产抵押价值</v>
      </c>
    </row>
    <row r="55" spans="1:2" s="1202" customFormat="1">
      <c r="A55" s="1200" t="s">
        <v>581</v>
      </c>
      <c r="B55" s="1201" t="str">
        <f>'预评函-3'!A10</f>
        <v/>
      </c>
    </row>
    <row r="56" spans="1:2" s="1202" customFormat="1">
      <c r="A56" s="1200" t="s">
        <v>582</v>
      </c>
      <c r="B56" s="1201" t="str">
        <f>'预评函-3'!A12</f>
        <v>抵押净值</v>
      </c>
    </row>
    <row r="57" spans="1:2" s="1196" customFormat="1" ht="15" thickBot="1">
      <c r="A57" s="1203" t="s">
        <v>599</v>
      </c>
      <c r="B57" s="1204" t="str">
        <f>'预评函-3'!A6</f>
        <v>估价师知悉的法定优先受偿款</v>
      </c>
    </row>
    <row r="58" spans="1:2" s="1199" customFormat="1" ht="15" thickTop="1">
      <c r="A58" s="1197" t="s">
        <v>553</v>
      </c>
      <c r="B58" s="1198" t="str">
        <f>'预评函-4'!A12</f>
        <v>2.本《评估意见函》仅供金融机构进行内部审核使用，不做其他目的之用。</v>
      </c>
    </row>
    <row r="59" spans="1:2" s="1202" customFormat="1">
      <c r="A59" s="1200" t="s">
        <v>554</v>
      </c>
      <c r="B59" s="1201" t="str">
        <f>'预评函-4'!A13</f>
        <v>3.抵押双方在办理抵押登记手续时，应使用本公司出具的正式《房地产评估报告》，特提醒报告使用者注意。</v>
      </c>
    </row>
    <row r="60" spans="1:2" s="1202" customFormat="1">
      <c r="A60" s="1200" t="s">
        <v>555</v>
      </c>
      <c r="B60" s="1201" t="str">
        <f>'预评函-4'!A14</f>
        <v>4.本次评估估价师所知悉的法定优先受偿款情况说明如下：</v>
      </c>
    </row>
    <row r="61" spans="1:2" s="1202" customFormat="1">
      <c r="A61" s="1200" t="s">
        <v>556</v>
      </c>
      <c r="B61" s="1201" t="str">
        <f>'预评函-4'!A15</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row>
    <row r="62" spans="1:2" s="1202" customFormat="1">
      <c r="A62" s="1200" t="s">
        <v>557</v>
      </c>
      <c r="B62" s="1201" t="str">
        <f>'预评函-4'!A16</f>
        <v>（2）根据《工程款支付情况说明》，截至价值时点，估价对象不存在应付未付工程款项。（只要没有施工方盖章的，均“设定”进行表述）</v>
      </c>
    </row>
    <row r="63" spans="1:2" s="1202" customFormat="1">
      <c r="A63" s="1200" t="s">
        <v>558</v>
      </c>
      <c r="B63" s="1201" t="str">
        <f>'预评函-4'!A17</f>
        <v>（3）根据《国有建设用地使用权出让合同》及附件[]以及相关款项支付凭证，截至价值时点，估价委托人依据合同已缴纳全部土地成交价款及契税。根据《建设工程规划许可证》[]/《预测报告》，估价对象规划建筑面积未超过《国有建设用地使用权出让合同》及附件的约定，本次评估设定估价对象不存在需补缴政府土地收益。OR根据《建设工程规划许可证》[]，估价对象规划建筑面积超出《国有建设用地使用权出让合同》的约定，新增地上经营性商业用房及地下车库规划建筑面积为XX平方米。根据上述《国有建设用地使用权出让合同》及附件约定的计算标准，该部分需补缴的政府土地收益及契税、印花税为XX万元。上述应补缴的政府土地收益金额仅为测算值，最终应补缴的金额应以土地管理部门的审定结果为准。如上述情况发生变化，估价结果需做相应调整。</v>
      </c>
    </row>
    <row r="64" spans="1:2" s="1202" customFormat="1">
      <c r="A64" s="1200" t="s">
        <v>570</v>
      </c>
      <c r="B64" s="1201" t="str">
        <f>'预评函-4'!A18</f>
        <v>故，本次评估不存在估价师知悉的法定优先受偿款</v>
      </c>
    </row>
    <row r="65" spans="1:2" s="1202" customFormat="1">
      <c r="A65" s="1200" t="s">
        <v>559</v>
      </c>
      <c r="B65" s="1201" t="str">
        <f>'预评函-4'!A19</f>
        <v>5.本《评估意见函》中数据全部采用电算化连续计算得出，由于在报告中计算的数据均按四舍五入保留两位小数或取整，故可能出现个别等式左右不完全相等的情况，但不影响计算结果及最终评估结论的准确性。</v>
      </c>
    </row>
    <row r="66" spans="1:2" s="1202" customFormat="1">
      <c r="A66" s="1200" t="s">
        <v>560</v>
      </c>
      <c r="B66" s="1201" t="str">
        <f>'预评函-4'!A20</f>
        <v>——</v>
      </c>
    </row>
    <row r="67" spans="1:2" s="1202" customFormat="1">
      <c r="A67" s="1200" t="s">
        <v>571</v>
      </c>
      <c r="B67" s="1201" t="str">
        <f>'预评函-4'!A21</f>
        <v>——</v>
      </c>
    </row>
    <row r="68" spans="1:2" s="1202" customFormat="1">
      <c r="A68" s="1200" t="s">
        <v>572</v>
      </c>
      <c r="B68" s="1201" t="str">
        <f>'预评函-4'!A22</f>
        <v>8.其他需特殊说明事项：无（注意调整序号）</v>
      </c>
    </row>
    <row r="69" spans="1:2" s="1196" customFormat="1" ht="15" thickBot="1">
      <c r="A69" s="1203" t="s">
        <v>561</v>
      </c>
      <c r="B69" s="1205">
        <f>'预评函-4'!C31</f>
        <v>42551</v>
      </c>
    </row>
    <row r="70" spans="1:2" ht="15" thickTop="1">
      <c r="A70" s="1206" t="s">
        <v>562</v>
      </c>
      <c r="B70" s="1207" t="str">
        <f>'预评函-4'!A4</f>
        <v>吴薇</v>
      </c>
    </row>
    <row r="71" spans="1:2">
      <c r="A71" s="1200" t="s">
        <v>563</v>
      </c>
      <c r="B71" s="1201">
        <f ca="1">'预评函-4'!B4</f>
        <v>1419970001</v>
      </c>
    </row>
    <row r="72" spans="1:2">
      <c r="A72" s="1200" t="s">
        <v>564</v>
      </c>
      <c r="B72" s="1209" t="str">
        <f>'预评函-4'!A5</f>
        <v>郑燚</v>
      </c>
    </row>
    <row r="73" spans="1:2" s="1196" customFormat="1" ht="15" thickBot="1">
      <c r="A73" s="1203" t="s">
        <v>565</v>
      </c>
      <c r="B73" s="1204">
        <f ca="1">'预评函-4'!B5</f>
        <v>1120070131</v>
      </c>
    </row>
    <row r="74" spans="1:2" ht="15" thickTop="1">
      <c r="A74" s="1193" t="s">
        <v>601</v>
      </c>
      <c r="B74" s="1210" t="str">
        <f>'预评函-4'!A8</f>
        <v>XX</v>
      </c>
    </row>
  </sheetData>
  <sheetProtection sheet="1" objects="1" scenarios="1"/>
  <phoneticPr fontId="133" type="noConversion"/>
  <pageMargins left="0.7" right="0.7" top="0.75" bottom="0.75" header="0.3" footer="0.3"/>
  <pageSetup paperSize="9" orientation="portrait" r:id="rId1"/>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36:I49"/>
  <sheetViews>
    <sheetView view="pageLayout" topLeftCell="A11" zoomScale="80" zoomScaleNormal="100" zoomScaleSheetLayoutView="100" zoomScalePageLayoutView="80" workbookViewId="0">
      <selection activeCell="B49" sqref="B49"/>
    </sheetView>
  </sheetViews>
  <sheetFormatPr defaultColWidth="9" defaultRowHeight="13.5"/>
  <cols>
    <col min="1" max="1" width="3.5" style="843" customWidth="1"/>
    <col min="2" max="9" width="10" style="843" customWidth="1"/>
    <col min="10" max="16384" width="9" style="843"/>
  </cols>
  <sheetData>
    <row r="36" spans="1:9">
      <c r="A36" s="842" t="s">
        <v>371</v>
      </c>
      <c r="B36" s="842" t="s">
        <v>372</v>
      </c>
    </row>
    <row r="37" spans="1:9" ht="27.75" customHeight="1">
      <c r="A37" s="842"/>
      <c r="B37" s="3490" t="str">
        <f>项目基本情况!B1</f>
        <v>北京市昌平区生命园路20号院1号楼-1至4层101房地产抵押价值预评估</v>
      </c>
      <c r="C37" s="3490"/>
      <c r="D37" s="3490"/>
      <c r="E37" s="3490"/>
      <c r="F37" s="3490"/>
      <c r="G37" s="3490"/>
      <c r="H37" s="3490"/>
      <c r="I37" s="3490"/>
    </row>
    <row r="38" spans="1:9">
      <c r="A38" s="844"/>
      <c r="B38" s="844"/>
    </row>
    <row r="39" spans="1:9">
      <c r="A39" s="842" t="s">
        <v>371</v>
      </c>
      <c r="B39" s="842" t="s">
        <v>373</v>
      </c>
    </row>
    <row r="40" spans="1:9">
      <c r="A40" s="842"/>
      <c r="B40" s="1473" t="str">
        <f>项目基本情况!B5</f>
        <v>兴业银行</v>
      </c>
    </row>
    <row r="41" spans="1:9">
      <c r="A41" s="842"/>
      <c r="B41" s="842"/>
    </row>
    <row r="42" spans="1:9">
      <c r="A42" s="842" t="s">
        <v>371</v>
      </c>
      <c r="B42" s="842" t="s">
        <v>374</v>
      </c>
    </row>
    <row r="43" spans="1:9">
      <c r="A43" s="842"/>
      <c r="B43" s="1473" t="s">
        <v>375</v>
      </c>
    </row>
    <row r="44" spans="1:9">
      <c r="A44" s="842"/>
      <c r="B44" s="842"/>
    </row>
    <row r="45" spans="1:9">
      <c r="A45" s="842" t="s">
        <v>371</v>
      </c>
      <c r="B45" s="842" t="s">
        <v>376</v>
      </c>
    </row>
    <row r="46" spans="1:9" s="842" customFormat="1" ht="12.75">
      <c r="B46" s="1473" t="str">
        <f ca="1">项目基本情况!K4</f>
        <v>吴薇（注册号：1419970001)、郑燚（注册号：1120070131)</v>
      </c>
    </row>
    <row r="47" spans="1:9">
      <c r="A47" s="842"/>
      <c r="B47" s="842" t="str">
        <f>项目基本情况!K5</f>
        <v>（注册号：0)、（注册号：0)</v>
      </c>
    </row>
    <row r="48" spans="1:9">
      <c r="A48" s="842" t="s">
        <v>371</v>
      </c>
      <c r="B48" s="842" t="s">
        <v>377</v>
      </c>
    </row>
    <row r="49" spans="2:2">
      <c r="B49" s="1473" t="str">
        <f>"康正预评字"&amp;项目基本情况!B2&amp;"号"</f>
        <v>康正预评字号</v>
      </c>
    </row>
  </sheetData>
  <sheetProtection sheet="1" objects="1" scenarios="1" formatCells="0" formatRows="0" insertColumns="0" deleteRows="0"/>
  <mergeCells count="1">
    <mergeCell ref="B37:I37"/>
  </mergeCells>
  <phoneticPr fontId="82" type="noConversion"/>
  <pageMargins left="0.98425196850393704" right="0.78740157480314965" top="0.98425196850393704" bottom="0.98425196850393704" header="0.59055118110236227" footer="0.78740157480314965"/>
  <pageSetup paperSize="9" orientation="portrait" r:id="rId1"/>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A48"/>
  <sheetViews>
    <sheetView view="pageLayout" zoomScale="80" zoomScaleNormal="100" zoomScaleSheetLayoutView="100" zoomScalePageLayoutView="80" workbookViewId="0">
      <selection activeCell="A14" sqref="A14"/>
    </sheetView>
  </sheetViews>
  <sheetFormatPr defaultColWidth="9" defaultRowHeight="14.25"/>
  <cols>
    <col min="1" max="1" width="84" style="1476" customWidth="1"/>
    <col min="2" max="16384" width="9" style="1476"/>
  </cols>
  <sheetData>
    <row r="1" spans="1:1" ht="23.25">
      <c r="A1" s="1475" t="s">
        <v>898</v>
      </c>
    </row>
    <row r="2" spans="1:1">
      <c r="A2" s="1477"/>
    </row>
    <row r="3" spans="1:1" ht="18">
      <c r="A3" s="1478" t="str">
        <f>项目基本情况!B5&amp;"："</f>
        <v>兴业银行：</v>
      </c>
    </row>
    <row r="4" spans="1:1" ht="36">
      <c r="A4" s="1479" t="str">
        <f>"受贵公司委托，我公司对"&amp;项目基本情况!S1&amp;"进行了预评估。"</f>
        <v>受贵公司委托，我公司对北京市昌平区生命园路20号院1号楼-1至4层101房地产抵押价值进行了预评估。</v>
      </c>
    </row>
    <row r="5" spans="1:1" ht="18.75">
      <c r="A5" s="1480" t="s">
        <v>899</v>
      </c>
    </row>
    <row r="6" spans="1:1" ht="18.75">
      <c r="A6" s="1481" t="s">
        <v>900</v>
      </c>
    </row>
    <row r="7" spans="1:1" ht="72">
      <c r="A7" s="1479" t="str">
        <f>"估价对象为"&amp;项目基本情况!S2&amp;"，为"&amp;项目基本情况!C11&amp;"所有。"&amp;IF(项目基本情况!A18="——","根据"&amp;项目基本情况!E18&amp;"，估价对象（分摊）出让国有建设用地使用权面积为"&amp;项目基本情况!C18&amp;"平方米。根据"&amp;项目基本情况!E17&amp;"，估价对象建筑面积为"&amp;项目基本情况!C17&amp;"平方米。","根据"&amp;项目基本情况!E18&amp;"，估价对象（分摊）出让国有建设用地使用权面积为"&amp;项目基本情况!C18&amp;"平方米，建筑面积为"&amp;项目基本情况!C17&amp;"平方米。")</f>
        <v>估价对象为北京市昌平区生命园路20号院1号楼-1至4层101房地产，为北京中关村生命科学园发展有限责任公司所有。根据《国有土地使用证》[]，估价对象（分摊）出让国有建设用地使用权面积为15637.42平方米，建筑面积为17559.11平方米。</v>
      </c>
    </row>
    <row r="8" spans="1:1" ht="57.75">
      <c r="A8" s="1482" t="s">
        <v>901</v>
      </c>
    </row>
    <row r="9" spans="1:1" ht="18.75">
      <c r="A9" s="1481" t="s">
        <v>902</v>
      </c>
    </row>
    <row r="10" spans="1:1" ht="72">
      <c r="A10" s="1479" t="str">
        <f>"估价对象为"&amp;项目基本情况!S2&amp;IF(结果表!I1="项目全部",",为",",属")&amp;项目基本情况!C11&amp;"开发建设的"&amp;项目基本情况!C27&amp;"，该项目尚在开发建设中。"&amp;IF(项目基本情况!A18="——","根据"&amp;项目基本情况!E18&amp;"，估价对象（分摊）出让国有建设用地使用权面积为"&amp;项目基本情况!C18&amp;"平方米。根据"&amp;项目基本情况!E17&amp;"，估价对象规划建筑面积为"&amp;项目基本情况!C17&amp;"平方米。","根据"&amp;项目基本情况!E18&amp;"，估价对象（分摊）出让国有建设用地使用权面积为"&amp;项目基本情况!C18&amp;"平方米，规划建筑面积为"&amp;项目基本情况!C17&amp;"平方米。")</f>
        <v>估价对象为北京市昌平区生命园路20号院1号楼-1至4层101房地产,属北京中关村生命科学园发展有限责任公司开发建设的办公项目，该项目尚在开发建设中。根据《国有土地使用证》[]，估价对象（分摊）出让国有建设用地使用权面积为15637.42平方米，规划建筑面积为17559.11平方米。</v>
      </c>
    </row>
    <row r="11" spans="1:1" ht="76.5">
      <c r="A11" s="1482" t="s">
        <v>903</v>
      </c>
    </row>
    <row r="12" spans="1:1" ht="18.75">
      <c r="A12" s="1480" t="s">
        <v>904</v>
      </c>
    </row>
    <row r="13" spans="1:1" ht="38.25" customHeight="1">
      <c r="A13" s="1483" t="str">
        <f>IF(项目基本情况!B8="抵押",IF(项目基本情况!B5=项目基本情况!B6,定义!C51,定义!B51),定义!D51)</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row>
    <row r="14" spans="1:1" ht="18.75">
      <c r="A14" s="1484" t="s">
        <v>905</v>
      </c>
    </row>
    <row r="15" spans="1:1" ht="18">
      <c r="A15" s="1485" t="str">
        <f>TEXT(项目基本情况!D3,"yyyy年m月d日;;")&amp;IF(项目基本情况!D3=项目基本情况!B3,"（评估专业人员实地查勘之日）","")</f>
        <v>2024年4月18日（评估专业人员实地查勘之日）</v>
      </c>
    </row>
    <row r="16" spans="1:1" ht="18.75">
      <c r="A16" s="1484" t="s">
        <v>906</v>
      </c>
    </row>
    <row r="17" spans="1:1" ht="75">
      <c r="A17" s="1479" t="s">
        <v>907</v>
      </c>
    </row>
    <row r="18" spans="1:1" ht="54">
      <c r="A18" s="1479" t="str">
        <f>IF(项目基本情况!A13="出让","本次估价的“房地产价值”是指在正常市场情况下，在价值时点"&amp;TEXT(项目基本情况!D3,"yyyy年m月d日;;")&amp;"，估价对象规划用途为"&amp;项目基本情况!B16&amp;"，土地取得方式为"&amp;项目基本情况!A13&amp;"，出让国有建设用地使用权剩余土地使用年限为"&amp;项目基本情况!F16&amp;"，假定未设立法定优先受偿款下的房地产市场价值。","本次估价的“房地产价值”是指在正常市场情况下，在价值时点"&amp;TEXT(项目基本情况!D3,"yyyy年m月d日;;")&amp;"，估价对象规划用途为"&amp;项目基本情况!B16&amp;"，土地取得方式为"&amp;项目基本情况!A13&amp;"，假定未设立法定优先受偿款下的房地产市场价值。")</f>
        <v>本次估价的“房地产价值”是指在正常市场情况下，在价值时点2024年4月18日，估价对象规划用途为，土地取得方式为出让，出让国有建设用地使用权剩余土地使用年限为，假定未设立法定优先受偿款下的房地产市场价值。</v>
      </c>
    </row>
    <row r="19" spans="1:1" ht="157.5" customHeight="1">
      <c r="A19" s="1479" t="str">
        <f>IF(项目基本情况!A13="出让","其中，“出让国有建设用地使用权价值”是指估价对象用途为"&amp;项目基本情况!B16&amp;"，实际开发程度为宗地红线外“"&amp;项目基本情况!T34&amp;"”（即"&amp;项目基本情况!T35&amp;"）、红线内场地平整条件下，剩余土地使用年限为"&amp;项目基本情况!F16&amp;"的出让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其中，“划拨国有建设用地使用权价值”是指估价对象用途为"&amp;项目基本情况!B16&amp;"，实际开发程度为宗地红线外“"&amp;项目基本情况!T34&amp;"”（即"&amp;项目基本情况!T35&amp;"）、红线内场地平整条件下，土地性质为划拨的国有建设用地使用权价值；"&amp;IF(结果表!F116="建筑物价值","“建筑物价值”是指在综合考虑估价对象特定用途、建设材料、建设技术、建设成本及建筑物建设期间产生的利润的基础上，确定的与估价对象具有同等功能效用并在相同成新度下的建筑物的正常价值。","“在建建筑物价值”是指在综合考虑估价对象特定用途、建设材料、建设技术、建设成本及建筑物建设期间产生的利润的基础上，确定的与估价对象具有同等功能效用并在相同工程形象进度下的建筑物的正常价值。"))</f>
        <v>其中，“出让国有建设用地使用权价值”是指估价对象用途为，实际开发程度为宗地红线外“七通”（即通路、通电、通讯、通上水、通下水、燃气、平整）、红线内场地平整条件下，剩余土地使用年限为的出让国有建设用地使用权价值；“在建建筑物价值”是指在综合考虑估价对象特定用途、建设材料、建设技术、建设成本及建筑物建设期间产生的利润的基础上，确定的与估价对象具有同等功能效用并在相同工程形象进度下的建筑物的正常价值。</v>
      </c>
    </row>
    <row r="20" spans="1:1" ht="36">
      <c r="A20" s="1479" t="str">
        <f>IF(项目基本情况!B9="房地产市场价值","——",IF(项目基本情况!E8="房地产抵押价值",定义!C54,IF(项目基本情况!E8="已注销",定义!C55,定义!C56)))</f>
        <v>本次估价的“房地产抵押价值”是指估价对象在价值时点的“房地产价值”扣减估价师于价值时点所知悉的法定优先受偿款后的余额。</v>
      </c>
    </row>
    <row r="21" spans="1:1" ht="54">
      <c r="A21" s="1479" t="str">
        <f>IF(项目基本情况!B9="房地产市场价值","——","法定优先受偿款是指假定在价值时点实现抵押权时，法律规定优先于本次抵押贷款受偿的款额，包括发包人拖欠承包人的建筑工程款，已抵押担保的债权数额以及其他法定优先受偿款。")</f>
        <v>法定优先受偿款是指假定在价值时点实现抵押权时，法律规定优先于本次抵押贷款受偿的款额，包括发包人拖欠承包人的建筑工程款，已抵押担保的债权数额以及其他法定优先受偿款。</v>
      </c>
    </row>
    <row r="22" spans="1:1" ht="54">
      <c r="A22" s="1479" t="str">
        <f>IF(项目基本情况!B9="房地产市场价值","——",IF(项目基本情况!E9="——","",定义!C57))</f>
        <v>本次估价的“抵押净值”是指估价对象“房地产抵押价值”减去估价对象在价值时点以“房地产销售收入”为基数计算的预计抵押权实现进行处置时需缴纳的各项费用、税金等相关费用后的价值。</v>
      </c>
    </row>
    <row r="23" spans="1:1" ht="18.75">
      <c r="A23" s="1484" t="s">
        <v>896</v>
      </c>
    </row>
    <row r="24" spans="1:1" ht="18">
      <c r="A24" s="1486" t="str">
        <f>"本次评估采用的主估价方法为"&amp;结果表!K4&amp;"和"&amp;结果表!L4&amp;"。"</f>
        <v>本次评估采用的主估价方法为成本法和收益法。</v>
      </c>
    </row>
    <row r="25" spans="1:1" ht="18">
      <c r="A25" s="1486"/>
    </row>
    <row r="26" spans="1:1" ht="18.75">
      <c r="A26" s="1487" t="s">
        <v>897</v>
      </c>
    </row>
    <row r="27" spans="1:1">
      <c r="A27" s="1488"/>
    </row>
    <row r="28" spans="1:1">
      <c r="A28" s="1488"/>
    </row>
    <row r="29" spans="1:1">
      <c r="A29" s="1488"/>
    </row>
    <row r="30" spans="1:1">
      <c r="A30" s="1488"/>
    </row>
    <row r="31" spans="1:1">
      <c r="A31" s="1488"/>
    </row>
    <row r="32" spans="1:1">
      <c r="A32" s="1488"/>
    </row>
    <row r="33" spans="1:1">
      <c r="A33" s="1488"/>
    </row>
    <row r="34" spans="1:1">
      <c r="A34" s="1488"/>
    </row>
    <row r="35" spans="1:1">
      <c r="A35" s="1488"/>
    </row>
    <row r="36" spans="1:1">
      <c r="A36" s="1488"/>
    </row>
    <row r="37" spans="1:1">
      <c r="A37" s="1488"/>
    </row>
    <row r="38" spans="1:1">
      <c r="A38" s="1488"/>
    </row>
    <row r="39" spans="1:1">
      <c r="A39" s="1488"/>
    </row>
    <row r="40" spans="1:1">
      <c r="A40" s="1488"/>
    </row>
    <row r="41" spans="1:1">
      <c r="A41" s="1488"/>
    </row>
    <row r="42" spans="1:1">
      <c r="A42" s="1488"/>
    </row>
    <row r="43" spans="1:1">
      <c r="A43" s="1488"/>
    </row>
    <row r="44" spans="1:1">
      <c r="A44" s="1488"/>
    </row>
    <row r="45" spans="1:1">
      <c r="A45" s="1488"/>
    </row>
    <row r="46" spans="1:1">
      <c r="A46" s="1488"/>
    </row>
    <row r="47" spans="1:1">
      <c r="A47" s="1488"/>
    </row>
    <row r="48" spans="1:1">
      <c r="A48" s="1488"/>
    </row>
  </sheetData>
  <sheetProtection sheet="1" objects="1" scenarios="1" formatCells="0" formatRows="0"/>
  <phoneticPr fontId="83" type="noConversion"/>
  <dataValidations count="1">
    <dataValidation type="list" allowBlank="1" showInputMessage="1" showErrorMessage="1" sqref="A26">
      <formula1>"（转下页）,（本页下方空白无内容）"</formula1>
    </dataValidation>
  </dataValidations>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E42"/>
  <sheetViews>
    <sheetView view="pageLayout" zoomScale="80" zoomScaleNormal="100" zoomScalePageLayoutView="80" workbookViewId="0">
      <selection activeCell="A3" sqref="A3:E3"/>
    </sheetView>
  </sheetViews>
  <sheetFormatPr defaultColWidth="9" defaultRowHeight="14.25"/>
  <cols>
    <col min="1" max="1" width="0.875" style="1491" customWidth="1"/>
    <col min="2" max="2" width="37.25" style="1491" customWidth="1"/>
    <col min="3" max="3" width="11.375" style="1491" customWidth="1"/>
    <col min="4" max="4" width="31.75" style="1491" customWidth="1"/>
    <col min="5" max="5" width="0.5" style="1491" customWidth="1"/>
    <col min="6" max="7" width="13" style="1491" customWidth="1"/>
    <col min="8" max="16384" width="9" style="1491"/>
  </cols>
  <sheetData>
    <row r="1" spans="1:5" ht="18.75">
      <c r="A1" s="1489" t="s">
        <v>908</v>
      </c>
      <c r="B1" s="1490"/>
      <c r="C1" s="1490"/>
      <c r="D1" s="1490"/>
      <c r="E1" s="1490"/>
    </row>
    <row r="2" spans="1:5" ht="78" customHeight="1">
      <c r="A2" s="3495" t="str">
        <f>"评估专业人员根据估价的目的，按照估价的程序，采用科学的估价方法，在认真分析现有资料的基础上，"&amp;IF(项目基本情况!B9="房地产市场价值","结合本次评估的特殊要求，","结合抵押贷款的特殊要求，")&amp;"通过仔细测算和认真分析各种影响房地产价格的因素，确定估价对象在价值时点的房地产预评估价值，详见估价结果一览表。"</f>
        <v>评估专业人员根据估价的目的，按照估价的程序，采用科学的估价方法，在认真分析现有资料的基础上，结合抵押贷款的特殊要求，通过仔细测算和认真分析各种影响房地产价格的因素，确定估价对象在价值时点的房地产预评估价值，详见估价结果一览表。</v>
      </c>
      <c r="B2" s="3495"/>
      <c r="C2" s="3495"/>
      <c r="D2" s="3495"/>
      <c r="E2" s="3495"/>
    </row>
    <row r="3" spans="1:5" ht="18">
      <c r="A3" s="3496" t="str">
        <f>IF(项目基本情况!B9="房地产市场价值","估价结果一览表（市场价值不需“结果表-1”）","估价结果一览表")</f>
        <v>估价结果一览表</v>
      </c>
      <c r="B3" s="3496"/>
      <c r="C3" s="3496"/>
      <c r="D3" s="3496"/>
      <c r="E3" s="3496"/>
    </row>
    <row r="4" spans="1:5" ht="19.5" thickBot="1">
      <c r="A4" s="1492"/>
      <c r="B4" s="3494" t="s">
        <v>917</v>
      </c>
      <c r="C4" s="3494"/>
      <c r="D4" s="3494"/>
      <c r="E4" s="1492"/>
    </row>
    <row r="5" spans="1:5" ht="16.5" thickTop="1">
      <c r="A5" s="1490"/>
      <c r="B5" s="3492" t="s">
        <v>909</v>
      </c>
      <c r="C5" s="1493" t="s">
        <v>910</v>
      </c>
      <c r="D5" s="850">
        <f ca="1">结果表!H101</f>
        <v>18265</v>
      </c>
      <c r="E5" s="1490"/>
    </row>
    <row r="6" spans="1:5" ht="15.75">
      <c r="A6" s="1490"/>
      <c r="B6" s="3492"/>
      <c r="C6" s="1493" t="s">
        <v>911</v>
      </c>
      <c r="D6" s="850" t="str">
        <f ca="1">NUMBERSTRING(INT(D5*10000),2)&amp;"元整"</f>
        <v>壹亿捌仟贰佰陆拾伍万元整</v>
      </c>
      <c r="E6" s="1490"/>
    </row>
    <row r="7" spans="1:5" ht="15.75">
      <c r="A7" s="1490"/>
      <c r="B7" s="3497"/>
      <c r="C7" s="1494" t="s">
        <v>912</v>
      </c>
      <c r="D7" s="851">
        <f ca="1">结果表!H102</f>
        <v>10402</v>
      </c>
      <c r="E7" s="1490"/>
    </row>
    <row r="8" spans="1:5" ht="15.75">
      <c r="A8" s="1490"/>
      <c r="B8" s="3498" t="str">
        <f>结果表!E103</f>
        <v>2.估价师知悉的法定优先受偿款</v>
      </c>
      <c r="C8" s="1495" t="s">
        <v>913</v>
      </c>
      <c r="D8" s="851">
        <f>结果表!H103</f>
        <v>0</v>
      </c>
      <c r="E8" s="1490"/>
    </row>
    <row r="9" spans="1:5" ht="15.75">
      <c r="A9" s="1490"/>
      <c r="B9" s="3500"/>
      <c r="C9" s="1493" t="s">
        <v>911</v>
      </c>
      <c r="D9" s="850" t="str">
        <f>NUMBERSTRING(INT(D8*10000),2)&amp;"元整"</f>
        <v>零元整</v>
      </c>
      <c r="E9" s="1490"/>
    </row>
    <row r="10" spans="1:5" ht="15">
      <c r="A10" s="1490"/>
      <c r="B10" s="1496" t="s">
        <v>916</v>
      </c>
      <c r="C10" s="1497" t="s">
        <v>914</v>
      </c>
      <c r="D10" s="852">
        <f>结果表!H104</f>
        <v>0</v>
      </c>
      <c r="E10" s="1490"/>
    </row>
    <row r="11" spans="1:5" ht="15">
      <c r="A11" s="1490"/>
      <c r="B11" s="1496" t="s">
        <v>918</v>
      </c>
      <c r="C11" s="1497" t="s">
        <v>919</v>
      </c>
      <c r="D11" s="852">
        <f>结果表!H105</f>
        <v>0</v>
      </c>
      <c r="E11" s="1490"/>
    </row>
    <row r="12" spans="1:5" ht="15">
      <c r="A12" s="1490"/>
      <c r="B12" s="1496" t="s">
        <v>920</v>
      </c>
      <c r="C12" s="1497" t="s">
        <v>919</v>
      </c>
      <c r="D12" s="852">
        <f>结果表!H106</f>
        <v>0</v>
      </c>
      <c r="E12" s="1490"/>
    </row>
    <row r="13" spans="1:5" ht="15.75">
      <c r="A13" s="1490"/>
      <c r="B13" s="3491" t="str">
        <f>结果表!E107</f>
        <v>3.房地产抵押价值</v>
      </c>
      <c r="C13" s="1498" t="s">
        <v>910</v>
      </c>
      <c r="D13" s="853">
        <f ca="1">结果表!H107</f>
        <v>18265</v>
      </c>
      <c r="E13" s="1490"/>
    </row>
    <row r="14" spans="1:5" ht="15.75">
      <c r="A14" s="1490"/>
      <c r="B14" s="3492"/>
      <c r="C14" s="1493" t="s">
        <v>911</v>
      </c>
      <c r="D14" s="850" t="str">
        <f ca="1">NUMBERSTRING(INT(D13*10000),2)&amp;"元整"</f>
        <v>壹亿捌仟贰佰陆拾伍万元整</v>
      </c>
      <c r="E14" s="1490"/>
    </row>
    <row r="15" spans="1:5" ht="15">
      <c r="A15" s="1490"/>
      <c r="B15" s="3497"/>
      <c r="C15" s="1494" t="s">
        <v>921</v>
      </c>
      <c r="D15" s="859">
        <f ca="1">结果表!H108</f>
        <v>10402</v>
      </c>
      <c r="E15" s="1490"/>
    </row>
    <row r="16" spans="1:5" ht="15">
      <c r="A16" s="1490"/>
      <c r="B16" s="3498" t="str">
        <f>结果表!E109</f>
        <v>——</v>
      </c>
      <c r="C16" s="1498" t="s">
        <v>922</v>
      </c>
      <c r="D16" s="1499" t="str">
        <f>结果表!H109</f>
        <v>——</v>
      </c>
      <c r="E16" s="1490"/>
    </row>
    <row r="17" spans="1:5" ht="15.75">
      <c r="A17" s="1490"/>
      <c r="B17" s="3499"/>
      <c r="C17" s="1493" t="s">
        <v>923</v>
      </c>
      <c r="D17" s="850" t="e">
        <f>NUMBERSTRING(INT(D16*10000),2)&amp;"元整"</f>
        <v>#VALUE!</v>
      </c>
      <c r="E17" s="1490"/>
    </row>
    <row r="18" spans="1:5" ht="15">
      <c r="A18" s="1490"/>
      <c r="B18" s="3500"/>
      <c r="C18" s="1494" t="s">
        <v>912</v>
      </c>
      <c r="D18" s="859" t="str">
        <f>结果表!H110</f>
        <v>——</v>
      </c>
      <c r="E18" s="1490"/>
    </row>
    <row r="19" spans="1:5" ht="15.75">
      <c r="A19" s="1490"/>
      <c r="B19" s="3491" t="str">
        <f>结果表!E111</f>
        <v>4.抵押净值</v>
      </c>
      <c r="C19" s="1498" t="s">
        <v>910</v>
      </c>
      <c r="D19" s="851">
        <f ca="1">结果表!H111</f>
        <v>16429</v>
      </c>
      <c r="E19" s="1490"/>
    </row>
    <row r="20" spans="1:5" ht="15.75">
      <c r="A20" s="1490"/>
      <c r="B20" s="3492"/>
      <c r="C20" s="1493" t="s">
        <v>923</v>
      </c>
      <c r="D20" s="850" t="str">
        <f ca="1">NUMBERSTRING(INT(D19*10000),2)&amp;"元整"</f>
        <v>壹亿陆仟肆佰贰拾玖万元整</v>
      </c>
      <c r="E20" s="1490"/>
    </row>
    <row r="21" spans="1:5" ht="15.75" thickBot="1">
      <c r="A21" s="1490"/>
      <c r="B21" s="3493"/>
      <c r="C21" s="1500" t="s">
        <v>921</v>
      </c>
      <c r="D21" s="860">
        <f ca="1">结果表!H112</f>
        <v>9356</v>
      </c>
      <c r="E21" s="1490"/>
    </row>
    <row r="22" spans="1:5" ht="15" thickTop="1">
      <c r="A22" s="1490"/>
      <c r="B22" s="1501" t="s">
        <v>924</v>
      </c>
      <c r="C22" s="1490"/>
      <c r="D22" s="1490"/>
      <c r="E22" s="1490"/>
    </row>
    <row r="23" spans="1:5">
      <c r="A23" s="1490"/>
      <c r="B23" s="1490"/>
      <c r="C23" s="1490"/>
      <c r="D23" s="1490"/>
      <c r="E23" s="1490"/>
    </row>
    <row r="24" spans="1:5" ht="18.75">
      <c r="A24" s="1502"/>
      <c r="B24" s="1503" t="s">
        <v>915</v>
      </c>
      <c r="C24" s="1502"/>
      <c r="D24" s="1502"/>
      <c r="E24" s="1502"/>
    </row>
    <row r="25" spans="1:5">
      <c r="A25" s="1502"/>
      <c r="B25" s="1502"/>
      <c r="C25" s="1502"/>
      <c r="D25" s="1502"/>
      <c r="E25" s="1502"/>
    </row>
    <row r="26" spans="1:5">
      <c r="A26" s="1502"/>
      <c r="B26" s="1502"/>
      <c r="C26" s="1502"/>
      <c r="D26" s="1502"/>
      <c r="E26" s="1502"/>
    </row>
    <row r="27" spans="1:5">
      <c r="A27" s="1502"/>
      <c r="B27" s="1502"/>
      <c r="C27" s="1502"/>
      <c r="D27" s="1502"/>
      <c r="E27" s="1502"/>
    </row>
    <row r="28" spans="1:5">
      <c r="A28" s="1502"/>
      <c r="B28" s="1502"/>
      <c r="C28" s="1502"/>
      <c r="D28" s="1502"/>
      <c r="E28" s="1502"/>
    </row>
    <row r="29" spans="1:5">
      <c r="A29" s="1502"/>
      <c r="B29" s="1502"/>
      <c r="C29" s="1502"/>
      <c r="D29" s="1502"/>
      <c r="E29" s="1502"/>
    </row>
    <row r="30" spans="1:5">
      <c r="A30" s="1502"/>
      <c r="B30" s="1502"/>
      <c r="C30" s="1502"/>
      <c r="D30" s="1502"/>
      <c r="E30" s="1502"/>
    </row>
    <row r="31" spans="1:5">
      <c r="A31" s="1502"/>
      <c r="B31" s="1502"/>
      <c r="C31" s="1502"/>
      <c r="D31" s="1502"/>
      <c r="E31" s="1502"/>
    </row>
    <row r="32" spans="1:5">
      <c r="A32" s="1502"/>
      <c r="B32" s="1502"/>
      <c r="C32" s="1502"/>
      <c r="D32" s="1502"/>
      <c r="E32" s="1502"/>
    </row>
    <row r="33" spans="1:5">
      <c r="A33" s="1502"/>
      <c r="B33" s="1502"/>
      <c r="C33" s="1502"/>
      <c r="D33" s="1502"/>
      <c r="E33" s="1502"/>
    </row>
    <row r="34" spans="1:5">
      <c r="A34" s="1502"/>
      <c r="B34" s="1502"/>
      <c r="C34" s="1502"/>
      <c r="D34" s="1502"/>
      <c r="E34" s="1502"/>
    </row>
    <row r="35" spans="1:5">
      <c r="A35" s="1502"/>
      <c r="B35" s="1502"/>
      <c r="C35" s="1502"/>
      <c r="D35" s="1502"/>
      <c r="E35" s="1502"/>
    </row>
    <row r="36" spans="1:5">
      <c r="A36" s="1502"/>
      <c r="B36" s="1502"/>
      <c r="C36" s="1502"/>
      <c r="D36" s="1502"/>
      <c r="E36" s="1502"/>
    </row>
    <row r="37" spans="1:5">
      <c r="A37" s="1502"/>
      <c r="B37" s="1502"/>
      <c r="C37" s="1502"/>
      <c r="D37" s="1502"/>
      <c r="E37" s="1502"/>
    </row>
    <row r="38" spans="1:5">
      <c r="A38" s="1502"/>
      <c r="B38" s="1502"/>
      <c r="C38" s="1502"/>
      <c r="D38" s="1502"/>
      <c r="E38" s="1502"/>
    </row>
    <row r="39" spans="1:5">
      <c r="A39" s="1502"/>
      <c r="B39" s="1502"/>
      <c r="C39" s="1502"/>
      <c r="D39" s="1502"/>
      <c r="E39" s="1502"/>
    </row>
    <row r="40" spans="1:5">
      <c r="A40" s="1502"/>
      <c r="B40" s="1502"/>
      <c r="C40" s="1502"/>
      <c r="D40" s="1502"/>
      <c r="E40" s="1502"/>
    </row>
    <row r="41" spans="1:5">
      <c r="A41" s="1502"/>
      <c r="B41" s="1502"/>
      <c r="C41" s="1502"/>
      <c r="D41" s="1502"/>
      <c r="E41" s="1502"/>
    </row>
    <row r="42" spans="1:5">
      <c r="A42" s="1502"/>
      <c r="B42" s="1502"/>
      <c r="C42" s="1502"/>
      <c r="D42" s="1502"/>
      <c r="E42" s="1502"/>
    </row>
  </sheetData>
  <sheetProtection sheet="1" objects="1" scenarios="1" formatCells="0" formatRows="0" insertRows="0" deleteRows="0"/>
  <mergeCells count="8">
    <mergeCell ref="B19:B21"/>
    <mergeCell ref="B4:D4"/>
    <mergeCell ref="A2:E2"/>
    <mergeCell ref="A3:E3"/>
    <mergeCell ref="B5:B7"/>
    <mergeCell ref="B13:B15"/>
    <mergeCell ref="B16:B18"/>
    <mergeCell ref="B8:B9"/>
  </mergeCells>
  <phoneticPr fontId="85" type="noConversion"/>
  <printOptions horizontalCentered="1"/>
  <pageMargins left="0.98425196850393704" right="0.78740157480314965" top="0.98425196850393704" bottom="0.98425196850393704" header="0.59055118110236227" footer="0.78740157480314965"/>
  <pageSetup paperSize="9" orientation="portrait" r:id="rId1"/>
  <headerFooter>
    <oddHeader>&amp;C&amp;G</oddHeader>
    <oddFooter>&amp;C&amp;P</oddFooter>
  </headerFooter>
  <legacyDrawingHF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I22"/>
  <sheetViews>
    <sheetView view="pageLayout" zoomScale="90" zoomScaleNormal="100" zoomScalePageLayoutView="90" workbookViewId="0">
      <selection sqref="A1:XFD1048576"/>
    </sheetView>
  </sheetViews>
  <sheetFormatPr defaultColWidth="9" defaultRowHeight="14.25"/>
  <cols>
    <col min="1" max="1" width="27.625" style="1476" customWidth="1"/>
    <col min="2" max="9" width="12.125" style="1476" customWidth="1"/>
    <col min="10" max="16384" width="9" style="1476"/>
  </cols>
  <sheetData>
    <row r="1" spans="1:9" ht="18.75" thickBot="1">
      <c r="A1" s="3508" t="str">
        <f>IF(项目基本情况!B9="房地产市场价值","估价结果一览表","结果表-2")</f>
        <v>结果表-2</v>
      </c>
      <c r="B1" s="3508"/>
      <c r="C1" s="3508"/>
      <c r="D1" s="3508"/>
      <c r="E1" s="3508"/>
      <c r="F1" s="3508"/>
      <c r="G1" s="3508"/>
      <c r="H1" s="3508"/>
      <c r="I1" s="3508"/>
    </row>
    <row r="2" spans="1:9" ht="30" customHeight="1" thickTop="1">
      <c r="A2" s="3509" t="s">
        <v>928</v>
      </c>
      <c r="B2" s="3509" t="s">
        <v>929</v>
      </c>
      <c r="C2" s="3509" t="s">
        <v>930</v>
      </c>
      <c r="D2" s="3509" t="str">
        <f>结果表!D116</f>
        <v>出让国有建设用地使用权价值</v>
      </c>
      <c r="E2" s="3509"/>
      <c r="F2" s="3509" t="str">
        <f>结果表!F116</f>
        <v>在建建筑物价值</v>
      </c>
      <c r="G2" s="3509"/>
      <c r="H2" s="3509" t="str">
        <f>IF(项目基本情况!B9="房地产市场价值","房地产市场价值","房地产价值")</f>
        <v>房地产价值</v>
      </c>
      <c r="I2" s="3509"/>
    </row>
    <row r="3" spans="1:9" ht="15">
      <c r="A3" s="3504"/>
      <c r="B3" s="3504"/>
      <c r="C3" s="3504"/>
      <c r="D3" s="854" t="s">
        <v>925</v>
      </c>
      <c r="E3" s="854" t="s">
        <v>931</v>
      </c>
      <c r="F3" s="854" t="s">
        <v>925</v>
      </c>
      <c r="G3" s="854" t="s">
        <v>926</v>
      </c>
      <c r="H3" s="854" t="s">
        <v>925</v>
      </c>
      <c r="I3" s="854" t="s">
        <v>926</v>
      </c>
    </row>
    <row r="4" spans="1:9" ht="30">
      <c r="A4" s="1504" t="str">
        <f>项目基本情况!S2</f>
        <v>北京市昌平区生命园路20号院1号楼-1至4层101房地产</v>
      </c>
      <c r="B4" s="854">
        <f>项目基本情况!C17</f>
        <v>17559.11</v>
      </c>
      <c r="C4" s="854">
        <f>项目基本情况!C18</f>
        <v>15637.42</v>
      </c>
      <c r="D4" s="854">
        <f ca="1">结果表!D118</f>
        <v>3836</v>
      </c>
      <c r="E4" s="854">
        <f ca="1">结果表!E118</f>
        <v>2185</v>
      </c>
      <c r="F4" s="854">
        <f ca="1">结果表!F118</f>
        <v>14429</v>
      </c>
      <c r="G4" s="854">
        <f ca="1">结果表!G118</f>
        <v>8217</v>
      </c>
      <c r="H4" s="854">
        <f ca="1">结果表!H118</f>
        <v>18265</v>
      </c>
      <c r="I4" s="854">
        <f ca="1">结果表!I118</f>
        <v>10402</v>
      </c>
    </row>
    <row r="5" spans="1:9" ht="30" customHeight="1">
      <c r="A5" s="3504" t="s">
        <v>927</v>
      </c>
      <c r="B5" s="3504"/>
      <c r="C5" s="3504"/>
      <c r="D5" s="3504" t="str">
        <f ca="1">结果表!D119</f>
        <v>叁仟捌佰叁拾陆万元整</v>
      </c>
      <c r="E5" s="3504"/>
      <c r="F5" s="3504" t="str">
        <f ca="1">结果表!F119</f>
        <v>壹亿肆仟肆佰贰拾玖万元整</v>
      </c>
      <c r="G5" s="3504"/>
      <c r="H5" s="3504" t="str">
        <f ca="1">结果表!H119</f>
        <v>壹亿捌仟贰佰陆拾伍万元整</v>
      </c>
      <c r="I5" s="3504"/>
    </row>
    <row r="6" spans="1:9" ht="15.75">
      <c r="A6" s="3503" t="str">
        <f>结果表!A120</f>
        <v>估价师知悉的法定优先受偿款</v>
      </c>
      <c r="B6" s="3503"/>
      <c r="C6" s="3503"/>
      <c r="D6" s="3503">
        <f>结果表!D120</f>
        <v>0</v>
      </c>
      <c r="E6" s="3503"/>
      <c r="F6" s="3503"/>
      <c r="G6" s="3503"/>
      <c r="H6" s="3503"/>
      <c r="I6" s="3503"/>
    </row>
    <row r="7" spans="1:9" ht="15">
      <c r="A7" s="3504" t="s">
        <v>927</v>
      </c>
      <c r="B7" s="3504"/>
      <c r="C7" s="3504"/>
      <c r="D7" s="3505" t="str">
        <f>结果表!D121</f>
        <v>零元整</v>
      </c>
      <c r="E7" s="3506"/>
      <c r="F7" s="3506"/>
      <c r="G7" s="3506"/>
      <c r="H7" s="3506"/>
      <c r="I7" s="3507"/>
    </row>
    <row r="8" spans="1:9" ht="15.75">
      <c r="A8" s="3503" t="str">
        <f>结果表!A122</f>
        <v>房地产抵押价值</v>
      </c>
      <c r="B8" s="3503"/>
      <c r="C8" s="3503"/>
      <c r="D8" s="3503">
        <f ca="1">结果表!D122</f>
        <v>18265</v>
      </c>
      <c r="E8" s="3503"/>
      <c r="F8" s="3503"/>
      <c r="G8" s="3503"/>
      <c r="H8" s="3503"/>
      <c r="I8" s="3503"/>
    </row>
    <row r="9" spans="1:9" ht="15">
      <c r="A9" s="3504" t="s">
        <v>927</v>
      </c>
      <c r="B9" s="3504"/>
      <c r="C9" s="3504"/>
      <c r="D9" s="3504" t="str">
        <f ca="1">结果表!D123</f>
        <v>壹亿捌仟贰佰陆拾伍万元整</v>
      </c>
      <c r="E9" s="3504"/>
      <c r="F9" s="3504"/>
      <c r="G9" s="3504"/>
      <c r="H9" s="3504"/>
      <c r="I9" s="3504"/>
    </row>
    <row r="10" spans="1:9" ht="15.75">
      <c r="A10" s="3503" t="str">
        <f>结果表!A124</f>
        <v/>
      </c>
      <c r="B10" s="3503"/>
      <c r="C10" s="3503"/>
      <c r="D10" s="3503" t="str">
        <f>结果表!D124</f>
        <v>——</v>
      </c>
      <c r="E10" s="3503"/>
      <c r="F10" s="3503"/>
      <c r="G10" s="3503"/>
      <c r="H10" s="3503"/>
      <c r="I10" s="3503"/>
    </row>
    <row r="11" spans="1:9" ht="15">
      <c r="A11" s="3504" t="s">
        <v>927</v>
      </c>
      <c r="B11" s="3504"/>
      <c r="C11" s="3504"/>
      <c r="D11" s="3504" t="e">
        <f>结果表!D125</f>
        <v>#VALUE!</v>
      </c>
      <c r="E11" s="3504"/>
      <c r="F11" s="3504"/>
      <c r="G11" s="3504"/>
      <c r="H11" s="3504"/>
      <c r="I11" s="3504"/>
    </row>
    <row r="12" spans="1:9" ht="15.75">
      <c r="A12" s="3503" t="str">
        <f>结果表!A126</f>
        <v>抵押净值</v>
      </c>
      <c r="B12" s="3503"/>
      <c r="C12" s="3503"/>
      <c r="D12" s="3503">
        <f ca="1">结果表!D126</f>
        <v>16429</v>
      </c>
      <c r="E12" s="3503"/>
      <c r="F12" s="3503"/>
      <c r="G12" s="3503"/>
      <c r="H12" s="3503"/>
      <c r="I12" s="3503"/>
    </row>
    <row r="13" spans="1:9" ht="15.75" thickBot="1">
      <c r="A13" s="3501" t="s">
        <v>927</v>
      </c>
      <c r="B13" s="3501"/>
      <c r="C13" s="3501"/>
      <c r="D13" s="3501" t="str">
        <f ca="1">结果表!D127</f>
        <v>壹亿陆仟肆佰贰拾玖万元整</v>
      </c>
      <c r="E13" s="3501"/>
      <c r="F13" s="3501"/>
      <c r="G13" s="3501"/>
      <c r="H13" s="3501"/>
      <c r="I13" s="3501"/>
    </row>
    <row r="14" spans="1:9" ht="15" thickTop="1">
      <c r="A14" s="3502" t="s">
        <v>932</v>
      </c>
      <c r="B14" s="3502"/>
      <c r="C14" s="3502"/>
      <c r="D14" s="3502"/>
      <c r="E14" s="3502"/>
      <c r="F14" s="3502"/>
      <c r="G14" s="3502"/>
      <c r="H14" s="3502"/>
      <c r="I14" s="3502"/>
    </row>
    <row r="16" spans="1:9" ht="18.75">
      <c r="A16" s="1505" t="s">
        <v>915</v>
      </c>
      <c r="B16" s="1488"/>
      <c r="C16" s="1488"/>
      <c r="D16" s="1488"/>
      <c r="E16" s="1488"/>
      <c r="F16" s="1488"/>
      <c r="G16" s="1488"/>
      <c r="H16" s="1488"/>
      <c r="I16" s="1488"/>
    </row>
    <row r="17" spans="1:9">
      <c r="A17" s="1488"/>
      <c r="B17" s="1488"/>
      <c r="C17" s="1488"/>
      <c r="D17" s="1488"/>
      <c r="E17" s="1488"/>
      <c r="F17" s="1488"/>
      <c r="G17" s="1488"/>
      <c r="H17" s="1488"/>
      <c r="I17" s="1488"/>
    </row>
    <row r="18" spans="1:9">
      <c r="A18" s="1488"/>
      <c r="B18" s="1488"/>
      <c r="C18" s="1488"/>
      <c r="D18" s="1488"/>
      <c r="E18" s="1488"/>
      <c r="F18" s="1488"/>
      <c r="G18" s="1488"/>
      <c r="H18" s="1488"/>
      <c r="I18" s="1488"/>
    </row>
    <row r="19" spans="1:9">
      <c r="A19" s="1488"/>
      <c r="B19" s="1488"/>
      <c r="C19" s="1488"/>
      <c r="D19" s="1488"/>
      <c r="E19" s="1488"/>
      <c r="F19" s="1488"/>
      <c r="G19" s="1488"/>
      <c r="H19" s="1488"/>
      <c r="I19" s="1488"/>
    </row>
    <row r="20" spans="1:9">
      <c r="A20" s="1488"/>
      <c r="B20" s="1488"/>
      <c r="C20" s="1488"/>
      <c r="D20" s="1488"/>
      <c r="E20" s="1488"/>
      <c r="F20" s="1488"/>
      <c r="G20" s="1488"/>
      <c r="H20" s="1488"/>
      <c r="I20" s="1488"/>
    </row>
    <row r="21" spans="1:9">
      <c r="A21" s="1488"/>
      <c r="B21" s="1488"/>
      <c r="C21" s="1488"/>
      <c r="D21" s="1488"/>
      <c r="E21" s="1488"/>
      <c r="F21" s="1488"/>
      <c r="G21" s="1488"/>
      <c r="H21" s="1488"/>
      <c r="I21" s="1488"/>
    </row>
    <row r="22" spans="1:9">
      <c r="A22" s="1488"/>
      <c r="B22" s="1488"/>
      <c r="C22" s="1488"/>
      <c r="D22" s="1488"/>
      <c r="E22" s="1488"/>
      <c r="F22" s="1488"/>
      <c r="G22" s="1488"/>
      <c r="H22" s="1488"/>
      <c r="I22" s="1488"/>
    </row>
  </sheetData>
  <sheetProtection sheet="1" objects="1" scenarios="1" formatCells="0" formatRows="0"/>
  <mergeCells count="28">
    <mergeCell ref="A1:I1"/>
    <mergeCell ref="A2:A3"/>
    <mergeCell ref="B2:B3"/>
    <mergeCell ref="C2:C3"/>
    <mergeCell ref="D2:E2"/>
    <mergeCell ref="F2:G2"/>
    <mergeCell ref="H2:I2"/>
    <mergeCell ref="A5:C5"/>
    <mergeCell ref="D5:E5"/>
    <mergeCell ref="F5:G5"/>
    <mergeCell ref="H5:I5"/>
    <mergeCell ref="A6:C6"/>
    <mergeCell ref="D6:I6"/>
    <mergeCell ref="A7:C7"/>
    <mergeCell ref="D7:I7"/>
    <mergeCell ref="A8:C8"/>
    <mergeCell ref="D8:I8"/>
    <mergeCell ref="A9:C9"/>
    <mergeCell ref="D9:I9"/>
    <mergeCell ref="A13:C13"/>
    <mergeCell ref="D13:I13"/>
    <mergeCell ref="A14:I14"/>
    <mergeCell ref="A10:C10"/>
    <mergeCell ref="D10:I10"/>
    <mergeCell ref="A11:C11"/>
    <mergeCell ref="D11:I11"/>
    <mergeCell ref="A12:C12"/>
    <mergeCell ref="D12:I12"/>
  </mergeCells>
  <phoneticPr fontId="85"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D31"/>
  <sheetViews>
    <sheetView view="pageLayout" topLeftCell="A19" zoomScale="80" zoomScaleNormal="100" zoomScaleSheetLayoutView="90" zoomScalePageLayoutView="80" workbookViewId="0">
      <selection activeCell="A19" sqref="A1:XFD1048576"/>
    </sheetView>
  </sheetViews>
  <sheetFormatPr defaultColWidth="9" defaultRowHeight="14.25"/>
  <cols>
    <col min="1" max="1" width="16.625" style="1476" customWidth="1"/>
    <col min="2" max="3" width="22.375" style="1476" customWidth="1"/>
    <col min="4" max="4" width="23" style="1476" customWidth="1"/>
    <col min="5" max="16384" width="9" style="1476"/>
  </cols>
  <sheetData>
    <row r="1" spans="1:4" ht="18.75">
      <c r="A1" s="3516" t="s">
        <v>949</v>
      </c>
      <c r="B1" s="3516"/>
      <c r="C1" s="3516"/>
      <c r="D1" s="3516"/>
    </row>
    <row r="2" spans="1:4" ht="18">
      <c r="A2" s="3517" t="s">
        <v>933</v>
      </c>
      <c r="B2" s="3517"/>
      <c r="C2" s="3517"/>
      <c r="D2" s="3517"/>
    </row>
    <row r="3" spans="1:4" ht="18.75">
      <c r="A3" s="1508" t="s">
        <v>934</v>
      </c>
      <c r="B3" s="1508" t="s">
        <v>935</v>
      </c>
      <c r="C3" s="1508" t="s">
        <v>936</v>
      </c>
      <c r="D3" s="1508" t="s">
        <v>937</v>
      </c>
    </row>
    <row r="4" spans="1:4" ht="56.25" customHeight="1">
      <c r="A4" s="1509" t="str">
        <f>项目基本情况!B4</f>
        <v>吴薇</v>
      </c>
      <c r="B4" s="1510">
        <f ca="1">项目基本情况!C4</f>
        <v>1419970001</v>
      </c>
      <c r="C4" s="1511"/>
      <c r="D4" s="1512" t="s">
        <v>938</v>
      </c>
    </row>
    <row r="5" spans="1:4" ht="56.25" customHeight="1">
      <c r="A5" s="1509" t="str">
        <f>项目基本情况!D4</f>
        <v>郑燚</v>
      </c>
      <c r="B5" s="1510">
        <f ca="1">项目基本情况!E4</f>
        <v>1120070131</v>
      </c>
      <c r="C5" s="1513"/>
      <c r="D5" s="1512" t="s">
        <v>938</v>
      </c>
    </row>
    <row r="6" spans="1:4" ht="18">
      <c r="A6" s="3517" t="s">
        <v>939</v>
      </c>
      <c r="B6" s="3517"/>
      <c r="C6" s="3517"/>
      <c r="D6" s="3517"/>
    </row>
    <row r="7" spans="1:4" ht="18.75">
      <c r="A7" s="1508" t="s">
        <v>934</v>
      </c>
      <c r="B7" s="1510" t="s">
        <v>940</v>
      </c>
      <c r="C7" s="1508" t="s">
        <v>936</v>
      </c>
      <c r="D7" s="1508" t="s">
        <v>937</v>
      </c>
    </row>
    <row r="8" spans="1:4" ht="56.25" customHeight="1">
      <c r="A8" s="1514" t="s">
        <v>390</v>
      </c>
      <c r="B8" s="1514" t="s">
        <v>0</v>
      </c>
      <c r="C8" s="1511"/>
      <c r="D8" s="1512" t="s">
        <v>938</v>
      </c>
    </row>
    <row r="9" spans="1:4">
      <c r="A9" s="675"/>
      <c r="B9" s="675"/>
      <c r="C9" s="675"/>
      <c r="D9" s="675"/>
    </row>
    <row r="10" spans="1:4" ht="18.75">
      <c r="A10" s="1515" t="s">
        <v>941</v>
      </c>
      <c r="B10" s="675"/>
      <c r="C10" s="675"/>
      <c r="D10" s="675"/>
    </row>
    <row r="11" spans="1:4" ht="30" customHeight="1">
      <c r="A11" s="3518" t="s">
        <v>942</v>
      </c>
      <c r="B11" s="3510"/>
      <c r="C11" s="3510"/>
      <c r="D11" s="3510"/>
    </row>
    <row r="12" spans="1:4" ht="15.75">
      <c r="A12" s="3510" t="str">
        <f>IF(项目基本情况!B8="抵押","2.本《评估意见函》仅供金融机构进行内部审核使用，不做其他目的之用。","2.本次评估设定估价对象房地产权属无争议，未被查封或者以其他形式限制其房地产权利，未设定抵押权等他项权利，不涉及第三方权利义务。")</f>
        <v>2.本《评估意见函》仅供金融机构进行内部审核使用，不做其他目的之用。</v>
      </c>
      <c r="B12" s="3515"/>
      <c r="C12" s="3515"/>
      <c r="D12" s="3515"/>
    </row>
    <row r="13" spans="1:4" ht="30" customHeight="1">
      <c r="A13" s="3510" t="str">
        <f>IF(项目基本情况!B8="抵押","3.抵押双方在办理抵押登记手续时，应使用本公司出具的正式《房地产评估报告》，特提醒报告使用者注意。","——")</f>
        <v>3.抵押双方在办理抵押登记手续时，应使用本公司出具的正式《房地产评估报告》，特提醒报告使用者注意。</v>
      </c>
      <c r="B13" s="3515"/>
      <c r="C13" s="3515"/>
      <c r="D13" s="3515"/>
    </row>
    <row r="14" spans="1:4" ht="15.75" customHeight="1">
      <c r="A14" s="3510" t="str">
        <f>IF(项目基本情况!B8="抵押","4.本次评估估价师所知悉的法定优先受偿款情况说明如下：","——")</f>
        <v>4.本次评估估价师所知悉的法定优先受偿款情况说明如下：</v>
      </c>
      <c r="B14" s="3515"/>
      <c r="C14" s="3515"/>
      <c r="D14" s="3515"/>
    </row>
    <row r="15" spans="1:4" ht="42" customHeight="1">
      <c r="A15" s="3510" t="str">
        <f>IF(项目基本情况!B8="抵押","（1）"&amp;CONCATENATE(项目基本情况!L20,项目基本情况!L21,项目基本情况!L22),"——")</f>
        <v>（1）根据估价对象《不动产权证书》复印件、，截至价值时点，估价对象已设定抵押。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B15" s="3510"/>
      <c r="C15" s="3510"/>
      <c r="D15" s="3510"/>
    </row>
    <row r="16" spans="1:4" ht="30" customHeight="1">
      <c r="A16" s="3512" t="s">
        <v>943</v>
      </c>
      <c r="B16" s="3512"/>
      <c r="C16" s="3512"/>
      <c r="D16" s="3512"/>
    </row>
    <row r="17" spans="1:4" ht="144" customHeight="1">
      <c r="A17" s="3512" t="s">
        <v>944</v>
      </c>
      <c r="B17" s="3512"/>
      <c r="C17" s="3512"/>
      <c r="D17" s="3512"/>
    </row>
    <row r="18" spans="1:4" ht="15.75" customHeight="1">
      <c r="A18" s="3510" t="str">
        <f>IF(项目基本情况!B8="抵押",结果表!K120,"——")</f>
        <v>故，本次评估不存在估价师知悉的法定优先受偿款</v>
      </c>
      <c r="B18" s="3510"/>
      <c r="C18" s="3510"/>
      <c r="D18" s="3510"/>
    </row>
    <row r="19" spans="1:4" ht="46.5" customHeight="1">
      <c r="A19" s="3510" t="str">
        <f>IF(项目基本情况!B8="抵押","5.","3.")&amp;"本《评估意见函》中数据全部采用电算化连续计算得出，由于在报告中计算的数据均按四舍五入保留两位小数或取整，故可能出现个别等式左右不完全相等的情况，但不影响计算结果及最终评估结论的准确性。"</f>
        <v>5.本《评估意见函》中数据全部采用电算化连续计算得出，由于在报告中计算的数据均按四舍五入保留两位小数或取整，故可能出现个别等式左右不完全相等的情况，但不影响计算结果及最终评估结论的准确性。</v>
      </c>
      <c r="B19" s="3510"/>
      <c r="C19" s="3510"/>
      <c r="D19" s="3510"/>
    </row>
    <row r="20" spans="1:4" ht="57.75" customHeight="1">
      <c r="A20" s="3510" t="str">
        <f>IF(结果表!G1="现房","——",IF(项目基本情况!B9="房地产市场价值","4.","6.")&amp;"本次估价结果以估价对象能够按照合理工期按时完成各项工程进度，直至通过竣工验收，并能够在合理期限内正常投入使用，最终在《不动产权证书》中登记建筑物信息为前提条件，未考虑估价对象因其他原因无法顺利开工、完工而产生的重大影响，在此提请报告使用者注意。")</f>
        <v>——</v>
      </c>
      <c r="B20" s="3510"/>
      <c r="C20" s="3510"/>
      <c r="D20" s="3510"/>
    </row>
    <row r="21" spans="1:4" ht="57.75" customHeight="1">
      <c r="A21" s="3513" t="str">
        <f>IF(结果表!G1="现房","——",IF(项目基本情况!B9="房地产市场价值","5.","7.")&amp;"根据《物权法》[主席令第六十二号]第二百条，建设用地使用权抵押后，该土地上新增的建筑物不属于抵押财产。该建设用地使用权实现抵押权时，应当将该土地上新增的建筑物与建设用地使用权一并处分，但新增建筑物所得的价款，抵押权人无权优先受偿。")</f>
        <v>——</v>
      </c>
      <c r="B21" s="3513"/>
      <c r="C21" s="3513"/>
      <c r="D21" s="3513"/>
    </row>
    <row r="22" spans="1:4" ht="18.75" customHeight="1">
      <c r="A22" s="3514" t="s">
        <v>945</v>
      </c>
      <c r="B22" s="3514"/>
      <c r="C22" s="3514"/>
      <c r="D22" s="3514"/>
    </row>
    <row r="23" spans="1:4">
      <c r="A23" s="1516"/>
      <c r="B23" s="1488"/>
      <c r="C23" s="1488"/>
      <c r="D23" s="1488"/>
    </row>
    <row r="24" spans="1:4">
      <c r="A24" s="1516"/>
      <c r="B24" s="1488"/>
      <c r="C24" s="1488"/>
      <c r="D24" s="1488"/>
    </row>
    <row r="25" spans="1:4" ht="18.75">
      <c r="A25" s="1517" t="s">
        <v>946</v>
      </c>
    </row>
    <row r="26" spans="1:4" ht="18">
      <c r="A26" s="1486"/>
    </row>
    <row r="27" spans="1:4" ht="18.75">
      <c r="A27" s="1486" t="s">
        <v>947</v>
      </c>
    </row>
    <row r="30" spans="1:4" ht="18.75">
      <c r="D30" s="1517" t="s">
        <v>948</v>
      </c>
    </row>
    <row r="31" spans="1:4" ht="13.5" customHeight="1">
      <c r="C31" s="3511">
        <v>42551</v>
      </c>
      <c r="D31" s="3511"/>
    </row>
  </sheetData>
  <sheetProtection sheet="1" objects="1" scenarios="1" formatCells="0" insertRows="0" deleteRows="0"/>
  <mergeCells count="16">
    <mergeCell ref="A1:D1"/>
    <mergeCell ref="A2:D2"/>
    <mergeCell ref="A6:D6"/>
    <mergeCell ref="A11:D11"/>
    <mergeCell ref="A12:D12"/>
    <mergeCell ref="A13:D13"/>
    <mergeCell ref="A14:D14"/>
    <mergeCell ref="A15:D15"/>
    <mergeCell ref="A18:D18"/>
    <mergeCell ref="A19:D19"/>
    <mergeCell ref="A20:D20"/>
    <mergeCell ref="C31:D31"/>
    <mergeCell ref="A16:D16"/>
    <mergeCell ref="A17:D17"/>
    <mergeCell ref="A21:D21"/>
    <mergeCell ref="A22:D22"/>
  </mergeCells>
  <phoneticPr fontId="90" type="noConversion"/>
  <pageMargins left="0.98425196850393704" right="0.78740157480314965" top="0.98425196850393704" bottom="0.98425196850393704" header="0.59055118110236227" footer="0.78740157480314965"/>
  <pageSetup paperSize="9" orientation="portrait" r:id="rId1"/>
  <headerFooter>
    <oddHeader>&amp;C&amp;G</oddHeader>
  </headerFooter>
  <legacyDrawingHF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002060"/>
  </sheetPr>
  <dimension ref="A1:J31"/>
  <sheetViews>
    <sheetView view="pageLayout" zoomScaleNormal="100" workbookViewId="0">
      <selection activeCell="C5" sqref="C5"/>
    </sheetView>
  </sheetViews>
  <sheetFormatPr defaultColWidth="9" defaultRowHeight="13.5"/>
  <cols>
    <col min="1" max="2" width="13.125" style="1474" customWidth="1"/>
    <col min="3" max="10" width="12.5" style="1474" customWidth="1"/>
    <col min="11" max="16384" width="9" style="1474"/>
  </cols>
  <sheetData>
    <row r="1" spans="1:10" ht="18.75">
      <c r="A1" s="1507" t="s">
        <v>391</v>
      </c>
      <c r="B1" s="1518"/>
      <c r="C1" s="1518"/>
      <c r="D1" s="1518"/>
      <c r="E1" s="1518"/>
      <c r="F1" s="1518"/>
      <c r="G1" s="1518"/>
      <c r="H1" s="1518"/>
      <c r="I1" s="1518"/>
      <c r="J1" s="1518"/>
    </row>
    <row r="2" spans="1:10" ht="18.75">
      <c r="A2" s="1519"/>
      <c r="B2" s="1518"/>
      <c r="C2" s="1518"/>
      <c r="D2" s="1518"/>
      <c r="E2" s="1518"/>
      <c r="F2" s="1518"/>
      <c r="G2" s="1518"/>
      <c r="H2" s="1518"/>
      <c r="I2" s="1518"/>
      <c r="J2" s="1518"/>
    </row>
    <row r="3" spans="1:10">
      <c r="A3" s="1518"/>
      <c r="B3" s="1518"/>
      <c r="C3" s="1518"/>
      <c r="D3" s="1518"/>
      <c r="E3" s="1518"/>
      <c r="F3" s="1518"/>
      <c r="G3" s="1518"/>
      <c r="H3" s="1518"/>
      <c r="I3" s="1518"/>
      <c r="J3" s="1518"/>
    </row>
    <row r="4" spans="1:10">
      <c r="A4" s="1518"/>
      <c r="B4" s="1518"/>
      <c r="C4" s="1518"/>
      <c r="D4" s="1518"/>
      <c r="E4" s="1518"/>
      <c r="F4" s="1518"/>
      <c r="G4" s="1518"/>
      <c r="H4" s="1518"/>
      <c r="I4" s="1518"/>
      <c r="J4" s="1518"/>
    </row>
    <row r="5" spans="1:10">
      <c r="A5" s="1518"/>
      <c r="B5" s="1518"/>
      <c r="C5" s="1518"/>
      <c r="D5" s="1518"/>
      <c r="E5" s="1518"/>
      <c r="F5" s="1518"/>
      <c r="G5" s="1518"/>
      <c r="H5" s="1518"/>
      <c r="I5" s="1518"/>
      <c r="J5" s="1518"/>
    </row>
    <row r="6" spans="1:10">
      <c r="A6" s="1518"/>
      <c r="B6" s="1518"/>
      <c r="C6" s="1518"/>
      <c r="D6" s="1518"/>
      <c r="E6" s="1518"/>
      <c r="F6" s="1518"/>
      <c r="G6" s="1518"/>
      <c r="H6" s="1518"/>
      <c r="I6" s="1518"/>
      <c r="J6" s="1518"/>
    </row>
    <row r="7" spans="1:10">
      <c r="A7" s="1518"/>
      <c r="B7" s="1518"/>
      <c r="C7" s="1518"/>
      <c r="D7" s="1518"/>
      <c r="E7" s="1518"/>
      <c r="F7" s="1518"/>
      <c r="G7" s="1518"/>
      <c r="H7" s="1518"/>
      <c r="I7" s="1518"/>
      <c r="J7" s="1518"/>
    </row>
    <row r="8" spans="1:10">
      <c r="A8" s="1518"/>
      <c r="B8" s="1518"/>
      <c r="C8" s="1518"/>
      <c r="D8" s="1518"/>
      <c r="E8" s="1518"/>
      <c r="F8" s="1518"/>
      <c r="G8" s="1518"/>
      <c r="H8" s="1518"/>
      <c r="I8" s="1518"/>
      <c r="J8" s="1518"/>
    </row>
    <row r="9" spans="1:10">
      <c r="A9" s="1518"/>
      <c r="B9" s="1518"/>
      <c r="C9" s="1518"/>
      <c r="D9" s="1518"/>
      <c r="E9" s="1518"/>
      <c r="F9" s="1518"/>
      <c r="G9" s="1518"/>
      <c r="H9" s="1518"/>
      <c r="I9" s="1518"/>
      <c r="J9" s="1518"/>
    </row>
    <row r="10" spans="1:10">
      <c r="A10" s="1518"/>
      <c r="B10" s="1518"/>
      <c r="C10" s="1518"/>
      <c r="D10" s="1518"/>
      <c r="E10" s="1518"/>
      <c r="F10" s="1518"/>
      <c r="G10" s="1518"/>
      <c r="H10" s="1518"/>
      <c r="I10" s="1518"/>
      <c r="J10" s="1518"/>
    </row>
    <row r="11" spans="1:10">
      <c r="A11" s="1518"/>
      <c r="B11" s="1518"/>
      <c r="C11" s="1518"/>
      <c r="D11" s="1518"/>
      <c r="E11" s="1518"/>
      <c r="F11" s="1518"/>
      <c r="G11" s="1518"/>
      <c r="H11" s="1518"/>
      <c r="I11" s="1518"/>
      <c r="J11" s="1518"/>
    </row>
    <row r="12" spans="1:10">
      <c r="A12" s="1518"/>
      <c r="B12" s="1518"/>
      <c r="C12" s="1518"/>
      <c r="D12" s="1518"/>
      <c r="E12" s="1518"/>
      <c r="F12" s="1518"/>
      <c r="G12" s="1518"/>
      <c r="H12" s="1518"/>
      <c r="I12" s="1518"/>
      <c r="J12" s="1518"/>
    </row>
    <row r="13" spans="1:10">
      <c r="A13" s="1518"/>
      <c r="B13" s="1518"/>
      <c r="C13" s="1518"/>
      <c r="D13" s="1518"/>
      <c r="E13" s="1518"/>
      <c r="F13" s="1518"/>
      <c r="G13" s="1518"/>
      <c r="H13" s="1518"/>
      <c r="I13" s="1518"/>
      <c r="J13" s="1518"/>
    </row>
    <row r="14" spans="1:10">
      <c r="A14" s="1518"/>
      <c r="B14" s="1518"/>
      <c r="C14" s="1518"/>
      <c r="D14" s="1518"/>
      <c r="E14" s="1518"/>
      <c r="F14" s="1518"/>
      <c r="G14" s="1518"/>
      <c r="H14" s="1518"/>
      <c r="I14" s="1518"/>
      <c r="J14" s="1518"/>
    </row>
    <row r="15" spans="1:10">
      <c r="A15" s="1518"/>
      <c r="B15" s="1518"/>
      <c r="C15" s="1518"/>
      <c r="D15" s="1518"/>
      <c r="E15" s="1518"/>
      <c r="F15" s="1518"/>
      <c r="G15" s="1518"/>
      <c r="H15" s="1518"/>
      <c r="I15" s="1518"/>
      <c r="J15" s="1518"/>
    </row>
    <row r="16" spans="1:10">
      <c r="A16" s="1518"/>
      <c r="B16" s="1518"/>
      <c r="C16" s="1518"/>
      <c r="D16" s="1518"/>
      <c r="E16" s="1518"/>
      <c r="F16" s="1518"/>
      <c r="G16" s="1518"/>
      <c r="H16" s="1518"/>
      <c r="I16" s="1518"/>
      <c r="J16" s="1518"/>
    </row>
    <row r="17" spans="1:10">
      <c r="A17" s="1518"/>
      <c r="B17" s="1518"/>
      <c r="C17" s="1518"/>
      <c r="D17" s="1518"/>
      <c r="E17" s="1518"/>
      <c r="F17" s="1518"/>
      <c r="G17" s="1518"/>
      <c r="H17" s="1518"/>
      <c r="I17" s="1518"/>
      <c r="J17" s="1518"/>
    </row>
    <row r="18" spans="1:10">
      <c r="A18" s="1518"/>
      <c r="B18" s="1518"/>
      <c r="C18" s="1518"/>
      <c r="D18" s="1518"/>
      <c r="E18" s="1518"/>
      <c r="F18" s="1518"/>
      <c r="G18" s="1518"/>
      <c r="H18" s="1518"/>
      <c r="I18" s="1518"/>
      <c r="J18" s="1518"/>
    </row>
    <row r="19" spans="1:10">
      <c r="A19" s="1518"/>
      <c r="B19" s="1518"/>
      <c r="C19" s="1518"/>
      <c r="D19" s="1518"/>
      <c r="E19" s="1518"/>
      <c r="F19" s="1518"/>
      <c r="G19" s="1518"/>
      <c r="H19" s="1518"/>
      <c r="I19" s="1518"/>
      <c r="J19" s="1518"/>
    </row>
    <row r="20" spans="1:10">
      <c r="A20" s="1518"/>
      <c r="B20" s="1518"/>
      <c r="C20" s="1518"/>
      <c r="D20" s="1518"/>
      <c r="E20" s="1518"/>
      <c r="F20" s="1518"/>
      <c r="G20" s="1518"/>
      <c r="H20" s="1518"/>
      <c r="I20" s="1518"/>
      <c r="J20" s="1518"/>
    </row>
    <row r="21" spans="1:10">
      <c r="A21" s="1518"/>
      <c r="B21" s="1518"/>
      <c r="C21" s="1518"/>
      <c r="D21" s="1518"/>
      <c r="E21" s="1518"/>
      <c r="F21" s="1518"/>
      <c r="G21" s="1518"/>
      <c r="H21" s="1518"/>
      <c r="I21" s="1518"/>
      <c r="J21" s="1518"/>
    </row>
    <row r="22" spans="1:10">
      <c r="A22" s="1518"/>
      <c r="B22" s="1518"/>
      <c r="C22" s="1518"/>
      <c r="D22" s="1518"/>
      <c r="E22" s="1518"/>
      <c r="F22" s="1518"/>
      <c r="G22" s="1518"/>
      <c r="H22" s="1518"/>
      <c r="I22" s="1518"/>
      <c r="J22" s="1518"/>
    </row>
    <row r="23" spans="1:10">
      <c r="A23" s="1518"/>
      <c r="B23" s="1518"/>
      <c r="C23" s="1518"/>
      <c r="D23" s="1518"/>
      <c r="E23" s="1518"/>
      <c r="F23" s="1518"/>
      <c r="G23" s="1518"/>
      <c r="H23" s="1518"/>
      <c r="I23" s="1518"/>
      <c r="J23" s="1518"/>
    </row>
    <row r="24" spans="1:10">
      <c r="A24" s="1518"/>
      <c r="B24" s="1518"/>
      <c r="C24" s="1518"/>
      <c r="D24" s="1518"/>
      <c r="E24" s="1518"/>
      <c r="F24" s="1518"/>
      <c r="G24" s="1518"/>
      <c r="H24" s="1518"/>
      <c r="I24" s="1518"/>
      <c r="J24" s="1518"/>
    </row>
    <row r="25" spans="1:10">
      <c r="A25" s="1518"/>
      <c r="B25" s="1518"/>
      <c r="C25" s="1518"/>
      <c r="D25" s="1518"/>
      <c r="E25" s="1518"/>
      <c r="F25" s="1518"/>
      <c r="G25" s="1518"/>
      <c r="H25" s="1518"/>
      <c r="I25" s="1518"/>
      <c r="J25" s="1518"/>
    </row>
    <row r="26" spans="1:10">
      <c r="A26" s="1518"/>
      <c r="B26" s="1518"/>
      <c r="C26" s="1518"/>
      <c r="D26" s="1518"/>
      <c r="E26" s="1518"/>
      <c r="F26" s="1518"/>
      <c r="G26" s="1518"/>
      <c r="H26" s="1518"/>
      <c r="I26" s="1518"/>
      <c r="J26" s="1518"/>
    </row>
    <row r="27" spans="1:10">
      <c r="A27" s="1518"/>
      <c r="B27" s="1518"/>
      <c r="C27" s="1518"/>
      <c r="D27" s="1518"/>
      <c r="E27" s="1518"/>
      <c r="F27" s="1518"/>
      <c r="G27" s="1518"/>
      <c r="H27" s="1518"/>
      <c r="I27" s="1518"/>
      <c r="J27" s="1518"/>
    </row>
    <row r="28" spans="1:10">
      <c r="A28" s="1518"/>
      <c r="B28" s="1518"/>
      <c r="C28" s="1518"/>
      <c r="D28" s="1518"/>
      <c r="E28" s="1518"/>
      <c r="F28" s="1518"/>
      <c r="G28" s="1518"/>
      <c r="H28" s="1518"/>
      <c r="I28" s="1518"/>
      <c r="J28" s="1518"/>
    </row>
    <row r="29" spans="1:10">
      <c r="A29" s="1518"/>
      <c r="B29" s="1518"/>
      <c r="C29" s="1518"/>
      <c r="D29" s="1518"/>
      <c r="E29" s="1518"/>
      <c r="F29" s="1518"/>
      <c r="G29" s="1518"/>
      <c r="H29" s="1518"/>
      <c r="I29" s="1518"/>
      <c r="J29" s="1518"/>
    </row>
    <row r="30" spans="1:10">
      <c r="A30" s="1518"/>
      <c r="B30" s="1518"/>
      <c r="C30" s="1518"/>
      <c r="D30" s="1518"/>
      <c r="E30" s="1518"/>
      <c r="F30" s="1518"/>
      <c r="G30" s="1518"/>
      <c r="H30" s="1518"/>
      <c r="I30" s="1518"/>
      <c r="J30" s="1518"/>
    </row>
    <row r="31" spans="1:10">
      <c r="A31" s="1518"/>
      <c r="B31" s="1518"/>
      <c r="C31" s="1518"/>
      <c r="D31" s="1518"/>
      <c r="E31" s="1518"/>
      <c r="F31" s="1518"/>
      <c r="G31" s="1518"/>
      <c r="H31" s="1518"/>
      <c r="I31" s="1518"/>
      <c r="J31" s="1518"/>
    </row>
  </sheetData>
  <sheetProtection sheet="1" objects="1" scenarios="1" formatCells="0" formatColumns="0" formatRows="0" insertColumns="0" insertRows="0" deleteColumns="0" deleteRows="0"/>
  <phoneticPr fontId="91" type="noConversion"/>
  <printOptions horizontalCentered="1"/>
  <pageMargins left="0.98425196850393704" right="0.98425196850393704" top="1.2598425196850394" bottom="0.98425196850393704" header="0.86614173228346458" footer="0.59055118110236227"/>
  <pageSetup paperSize="9" orientation="landscape" r:id="rId1"/>
  <headerFooter>
    <oddHeader>&amp;C&amp;G</oddHeader>
    <oddFooter>&amp;C&amp;P</oddFooter>
  </headerFooter>
  <legacyDrawingHF r:id="rId2"/>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0070C0"/>
  </sheetPr>
  <dimension ref="A1:G42"/>
  <sheetViews>
    <sheetView workbookViewId="0">
      <pane ySplit="1" topLeftCell="A2" activePane="bottomLeft" state="frozen"/>
      <selection activeCell="C50" sqref="C50"/>
      <selection pane="bottomLeft" activeCell="D26" sqref="D26"/>
    </sheetView>
  </sheetViews>
  <sheetFormatPr defaultColWidth="14.5" defaultRowHeight="14.25"/>
  <cols>
    <col min="1" max="1" width="14.5" style="1524" customWidth="1"/>
    <col min="2" max="16384" width="14.5" style="1506"/>
  </cols>
  <sheetData>
    <row r="1" spans="1:7" s="1521" customFormat="1" ht="18.75">
      <c r="A1" s="1520" t="s">
        <v>950</v>
      </c>
    </row>
    <row r="3" spans="1:7">
      <c r="A3" s="1522" t="s">
        <v>55</v>
      </c>
      <c r="B3" s="1506" t="s">
        <v>951</v>
      </c>
      <c r="G3" s="1523"/>
    </row>
    <row r="4" spans="1:7">
      <c r="G4" s="1523"/>
    </row>
    <row r="5" spans="1:7">
      <c r="A5" s="1525" t="s">
        <v>46</v>
      </c>
      <c r="B5" s="1506" t="s">
        <v>952</v>
      </c>
      <c r="G5" s="1523"/>
    </row>
    <row r="6" spans="1:7">
      <c r="G6" s="1523"/>
    </row>
    <row r="7" spans="1:7">
      <c r="A7" s="1526" t="s">
        <v>108</v>
      </c>
      <c r="B7" s="1506" t="s">
        <v>953</v>
      </c>
      <c r="G7" s="1523"/>
    </row>
    <row r="8" spans="1:7">
      <c r="G8" s="1523"/>
    </row>
    <row r="9" spans="1:7">
      <c r="A9" s="1527" t="s">
        <v>47</v>
      </c>
      <c r="B9" s="1506" t="s">
        <v>954</v>
      </c>
    </row>
    <row r="11" spans="1:7">
      <c r="A11" s="1528" t="s">
        <v>48</v>
      </c>
      <c r="B11" s="1529" t="s">
        <v>45</v>
      </c>
    </row>
    <row r="13" spans="1:7">
      <c r="A13" s="1530" t="s">
        <v>955</v>
      </c>
    </row>
    <row r="15" spans="1:7" ht="13.5">
      <c r="A15" s="3524" t="s">
        <v>956</v>
      </c>
      <c r="B15" s="3519" t="s">
        <v>109</v>
      </c>
      <c r="C15" s="3520"/>
    </row>
    <row r="16" spans="1:7" ht="13.5">
      <c r="A16" s="3525"/>
      <c r="B16" s="3519" t="s">
        <v>42</v>
      </c>
      <c r="C16" s="3520"/>
    </row>
    <row r="17" spans="1:3" ht="13.5">
      <c r="A17" s="3525"/>
      <c r="B17" s="3522" t="s">
        <v>957</v>
      </c>
      <c r="C17" s="1531" t="s">
        <v>956</v>
      </c>
    </row>
    <row r="18" spans="1:3" ht="13.5">
      <c r="A18" s="3525"/>
      <c r="B18" s="3522"/>
      <c r="C18" s="1531" t="s">
        <v>958</v>
      </c>
    </row>
    <row r="19" spans="1:3" ht="13.5">
      <c r="A19" s="3525"/>
      <c r="B19" s="3522"/>
      <c r="C19" s="1531" t="s">
        <v>959</v>
      </c>
    </row>
    <row r="20" spans="1:3" ht="13.5">
      <c r="A20" s="3526"/>
      <c r="B20" s="3521" t="s">
        <v>960</v>
      </c>
      <c r="C20" s="3520"/>
    </row>
    <row r="21" spans="1:3" ht="13.5">
      <c r="A21" s="1532" t="s">
        <v>961</v>
      </c>
      <c r="B21" s="1533"/>
      <c r="C21" s="1534"/>
    </row>
    <row r="22" spans="1:3" ht="13.5">
      <c r="A22" s="3523" t="s">
        <v>962</v>
      </c>
      <c r="B22" s="3521" t="s">
        <v>963</v>
      </c>
      <c r="C22" s="3520"/>
    </row>
    <row r="23" spans="1:3" ht="13.5">
      <c r="A23" s="3523"/>
      <c r="B23" s="3521" t="s">
        <v>964</v>
      </c>
      <c r="C23" s="3520"/>
    </row>
    <row r="24" spans="1:3" ht="13.5">
      <c r="A24" s="3523"/>
      <c r="B24" s="3521" t="s">
        <v>965</v>
      </c>
      <c r="C24" s="3520"/>
    </row>
    <row r="25" spans="1:3" ht="13.5">
      <c r="A25" s="3523"/>
      <c r="B25" s="3522" t="s">
        <v>966</v>
      </c>
      <c r="C25" s="1531" t="s">
        <v>967</v>
      </c>
    </row>
    <row r="26" spans="1:3" ht="13.5">
      <c r="A26" s="3523"/>
      <c r="B26" s="3522"/>
      <c r="C26" s="1531" t="s">
        <v>968</v>
      </c>
    </row>
    <row r="27" spans="1:3" ht="13.5">
      <c r="A27" s="3523"/>
      <c r="B27" s="3522"/>
      <c r="C27" s="1531" t="s">
        <v>969</v>
      </c>
    </row>
    <row r="28" spans="1:3" ht="13.5">
      <c r="A28" s="3523"/>
      <c r="B28" s="3522"/>
      <c r="C28" s="1531" t="s">
        <v>970</v>
      </c>
    </row>
    <row r="29" spans="1:3" ht="13.5">
      <c r="A29" s="3523"/>
      <c r="B29" s="3522"/>
      <c r="C29" s="1531" t="s">
        <v>971</v>
      </c>
    </row>
    <row r="30" spans="1:3" ht="13.5">
      <c r="A30" s="3523"/>
      <c r="B30" s="3522"/>
      <c r="C30" s="1531" t="s">
        <v>972</v>
      </c>
    </row>
    <row r="31" spans="1:3" ht="13.5">
      <c r="A31" s="3523"/>
      <c r="B31" s="3522"/>
      <c r="C31" s="1531" t="s">
        <v>973</v>
      </c>
    </row>
    <row r="32" spans="1:3" ht="13.5">
      <c r="A32" s="3523"/>
      <c r="B32" s="3522"/>
      <c r="C32" s="1531" t="s">
        <v>974</v>
      </c>
    </row>
    <row r="33" spans="1:3" ht="13.5">
      <c r="A33" s="3523"/>
      <c r="B33" s="3522"/>
      <c r="C33" s="1531" t="s">
        <v>975</v>
      </c>
    </row>
    <row r="34" spans="1:3">
      <c r="A34" s="1535" t="s">
        <v>49</v>
      </c>
    </row>
    <row r="37" spans="1:3">
      <c r="A37" s="1535" t="s">
        <v>976</v>
      </c>
    </row>
    <row r="38" spans="1:3" ht="13.5">
      <c r="A38" s="1536" t="s">
        <v>50</v>
      </c>
    </row>
    <row r="39" spans="1:3" ht="13.5">
      <c r="A39" s="1536" t="s">
        <v>51</v>
      </c>
    </row>
    <row r="40" spans="1:3" ht="13.5">
      <c r="A40" s="1536" t="s">
        <v>52</v>
      </c>
    </row>
    <row r="41" spans="1:3" ht="13.5">
      <c r="A41" s="1537" t="s">
        <v>53</v>
      </c>
    </row>
    <row r="42" spans="1:3" ht="13.5">
      <c r="A42" s="1536" t="s">
        <v>54</v>
      </c>
    </row>
  </sheetData>
  <sheetProtection password="CEE9" sheet="1" objects="1" scenarios="1" formatCells="0" formatColumns="0" formatRows="0"/>
  <mergeCells count="10">
    <mergeCell ref="B15:C15"/>
    <mergeCell ref="B23:C23"/>
    <mergeCell ref="B24:C24"/>
    <mergeCell ref="B17:B19"/>
    <mergeCell ref="A22:A33"/>
    <mergeCell ref="B25:B33"/>
    <mergeCell ref="B16:C16"/>
    <mergeCell ref="B20:C20"/>
    <mergeCell ref="B22:C22"/>
    <mergeCell ref="A15:A20"/>
  </mergeCells>
  <phoneticPr fontId="33" type="noConversion"/>
  <dataValidations count="1">
    <dataValidation type="list" allowBlank="1" showInputMessage="1" showErrorMessage="1" sqref="A5">
      <formula1>"下拉菜单,111,222,333"</formula1>
    </dataValidation>
  </dataValidations>
  <pageMargins left="0.7" right="0.7" top="0.75" bottom="0.75" header="0.3" footer="0.3"/>
  <pageSetup paperSize="9" orientation="portrait" r:id="rId1"/>
  <legacy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pageSetUpPr fitToPage="1"/>
  </sheetPr>
  <dimension ref="A1:H22"/>
  <sheetViews>
    <sheetView view="pageBreakPreview" zoomScale="60" zoomScaleNormal="100" workbookViewId="0">
      <selection activeCell="C4" sqref="C4"/>
    </sheetView>
  </sheetViews>
  <sheetFormatPr defaultColWidth="22.625" defaultRowHeight="24" customHeight="1"/>
  <cols>
    <col min="1" max="1" width="24.625" style="2336" customWidth="1"/>
    <col min="2" max="2" width="38.625" style="2336" customWidth="1"/>
    <col min="3" max="3" width="26" style="2336" customWidth="1"/>
    <col min="4" max="4" width="35" style="2336" hidden="1" customWidth="1"/>
    <col min="5" max="5" width="30.125" style="2336" customWidth="1"/>
    <col min="6" max="6" width="35.5" style="2336" customWidth="1"/>
    <col min="7" max="7" width="31" style="2336" customWidth="1"/>
    <col min="8" max="8" width="37.5" style="2336" hidden="1" customWidth="1"/>
    <col min="9" max="16384" width="22.625" style="2336"/>
  </cols>
  <sheetData>
    <row r="1" spans="1:8" ht="24" customHeight="1">
      <c r="A1" s="2335"/>
      <c r="B1" s="2335"/>
      <c r="C1" s="2335"/>
      <c r="D1" s="2335"/>
      <c r="E1" s="2335"/>
      <c r="F1" s="2335"/>
      <c r="G1" s="2335"/>
      <c r="H1" s="2335"/>
    </row>
    <row r="2" spans="1:8" ht="24" customHeight="1">
      <c r="A2" s="2337" t="s">
        <v>2120</v>
      </c>
      <c r="B2" s="2338">
        <f ca="1">TODAY()</f>
        <v>45401</v>
      </c>
      <c r="C2" s="2339" t="s">
        <v>2121</v>
      </c>
      <c r="D2" s="2339"/>
      <c r="E2" s="2339"/>
      <c r="F2" s="2335"/>
      <c r="G2" s="2335"/>
      <c r="H2" s="2335"/>
    </row>
    <row r="3" spans="1:8" ht="24" customHeight="1">
      <c r="A3" s="2340" t="s">
        <v>2122</v>
      </c>
      <c r="B3" s="2341" t="s">
        <v>2123</v>
      </c>
      <c r="C3" s="2341" t="s">
        <v>2124</v>
      </c>
      <c r="D3" s="2342" t="s">
        <v>2125</v>
      </c>
      <c r="E3" s="2343" t="s">
        <v>2126</v>
      </c>
      <c r="F3" s="1303" t="s">
        <v>2127</v>
      </c>
      <c r="G3" s="2341" t="s">
        <v>2124</v>
      </c>
      <c r="H3" s="2342" t="s">
        <v>2128</v>
      </c>
    </row>
    <row r="4" spans="1:8" ht="24" customHeight="1">
      <c r="A4" s="1303" t="s">
        <v>2129</v>
      </c>
      <c r="B4" s="1303">
        <f ca="1">IF(C4&lt;B2,"已过期",1119970066)</f>
        <v>1119970066</v>
      </c>
      <c r="C4" s="2344">
        <v>45937</v>
      </c>
      <c r="D4" s="2345" t="str">
        <f ca="1">A4&amp;"（注册号："&amp;B4&amp;"）"</f>
        <v>梁津（注册号：1119970066）</v>
      </c>
      <c r="E4" s="2346" t="s">
        <v>2129</v>
      </c>
      <c r="F4" s="1303">
        <f ca="1">IF(G4&lt;B2,"已过期",96010014)</f>
        <v>96010014</v>
      </c>
      <c r="G4" s="2347">
        <v>47118</v>
      </c>
      <c r="H4" s="2348" t="str">
        <f ca="1">E4&amp;"（注册号："&amp;F4&amp;"）"</f>
        <v>梁津（注册号：96010014）</v>
      </c>
    </row>
    <row r="5" spans="1:8" ht="24" customHeight="1">
      <c r="A5" s="1303" t="s">
        <v>2130</v>
      </c>
      <c r="B5" s="1303">
        <f ca="1">IF(C5&lt;B2,"已过期",1119970111)</f>
        <v>1119970111</v>
      </c>
      <c r="C5" s="2344">
        <v>45937</v>
      </c>
      <c r="D5" s="2345" t="str">
        <f t="shared" ref="D5:D15" ca="1" si="0">A5&amp;"（注册号："&amp;B5&amp;"）"</f>
        <v>叶凌（注册号：1119970111）</v>
      </c>
      <c r="E5" s="2346" t="s">
        <v>2130</v>
      </c>
      <c r="F5" s="1303">
        <f ca="1">IF(G5&lt;B2,"已过期",94010078)</f>
        <v>94010078</v>
      </c>
      <c r="G5" s="2347">
        <v>46387</v>
      </c>
      <c r="H5" s="2348" t="str">
        <f t="shared" ref="H5:H16" ca="1" si="1">E5&amp;"（注册号："&amp;F5&amp;"）"</f>
        <v>叶凌（注册号：94010078）</v>
      </c>
    </row>
    <row r="6" spans="1:8" ht="24" customHeight="1">
      <c r="A6" s="1303" t="s">
        <v>2131</v>
      </c>
      <c r="B6" s="1303">
        <f ca="1">IF(C6&lt;B2,"已过期",1120050019)</f>
        <v>1120050019</v>
      </c>
      <c r="C6" s="2344">
        <v>45410</v>
      </c>
      <c r="D6" s="2345" t="str">
        <f t="shared" ca="1" si="0"/>
        <v>王鹏（注册号：1120050019）</v>
      </c>
      <c r="E6" s="2346" t="s">
        <v>2131</v>
      </c>
      <c r="F6" s="1303">
        <f ca="1">IF(G6&lt;B2,"已过期",2002110030)</f>
        <v>2002110030</v>
      </c>
      <c r="G6" s="2347">
        <v>46387</v>
      </c>
      <c r="H6" s="2348" t="str">
        <f t="shared" ca="1" si="1"/>
        <v>王鹏（注册号：2002110030）</v>
      </c>
    </row>
    <row r="7" spans="1:8" ht="24" customHeight="1">
      <c r="A7" s="1303" t="s">
        <v>2132</v>
      </c>
      <c r="B7" s="1303">
        <f ca="1">IF(C7&lt;B2,"已过期",1120000080)</f>
        <v>1120000080</v>
      </c>
      <c r="C7" s="2344">
        <v>45937</v>
      </c>
      <c r="D7" s="2345" t="str">
        <f t="shared" ca="1" si="0"/>
        <v>欧红伟（注册号：1120000080）</v>
      </c>
      <c r="E7" s="2346" t="s">
        <v>2132</v>
      </c>
      <c r="F7" s="1303">
        <f ca="1">IF(G7&lt;B2,"已过期",2000110082)</f>
        <v>2000110082</v>
      </c>
      <c r="G7" s="2347">
        <v>46387</v>
      </c>
      <c r="H7" s="2348" t="str">
        <f t="shared" ca="1" si="1"/>
        <v>欧红伟（注册号：2000110082）</v>
      </c>
    </row>
    <row r="8" spans="1:8" ht="24" customHeight="1">
      <c r="A8" s="1303" t="s">
        <v>2133</v>
      </c>
      <c r="B8" s="1303">
        <f ca="1">IF(C8&lt;B2,"已过期",1419970001)</f>
        <v>1419970001</v>
      </c>
      <c r="C8" s="2344">
        <v>45937</v>
      </c>
      <c r="D8" s="2345" t="str">
        <f t="shared" ca="1" si="0"/>
        <v>吴薇（注册号：1419970001）</v>
      </c>
      <c r="E8" s="2346" t="s">
        <v>2133</v>
      </c>
      <c r="F8" s="1303">
        <f ca="1">IF(G8&lt;B2,"已过期",2002110125)</f>
        <v>2002110125</v>
      </c>
      <c r="G8" s="2347">
        <v>47118</v>
      </c>
      <c r="H8" s="2348" t="str">
        <f t="shared" ca="1" si="1"/>
        <v>吴薇（注册号：2002110125）</v>
      </c>
    </row>
    <row r="9" spans="1:8" ht="24" customHeight="1">
      <c r="A9" s="1303" t="s">
        <v>2134</v>
      </c>
      <c r="B9" s="1303">
        <f ca="1">IF(C9&lt;B2,"已过期",1120060040)</f>
        <v>1120060040</v>
      </c>
      <c r="C9" s="2349">
        <v>45592</v>
      </c>
      <c r="D9" s="2345" t="str">
        <f t="shared" ca="1" si="0"/>
        <v>陈颖（注册号：1120060040）</v>
      </c>
      <c r="E9" s="2346" t="s">
        <v>2134</v>
      </c>
      <c r="F9" s="1303">
        <f ca="1">IF(G9&lt;B2,"已过期",2004110096)</f>
        <v>2004110096</v>
      </c>
      <c r="G9" s="2347">
        <v>47118</v>
      </c>
      <c r="H9" s="2348" t="str">
        <f t="shared" ca="1" si="1"/>
        <v>陈颖（注册号：2004110096）</v>
      </c>
    </row>
    <row r="10" spans="1:8" ht="24" customHeight="1">
      <c r="A10" s="1303" t="s">
        <v>2135</v>
      </c>
      <c r="B10" s="1303">
        <f ca="1">IF(C10&lt;B2,"已过期",1120100036)</f>
        <v>1120100036</v>
      </c>
      <c r="C10" s="2349">
        <v>45752</v>
      </c>
      <c r="D10" s="2345" t="str">
        <f t="shared" ca="1" si="0"/>
        <v>崔锴（注册号：1120100036）</v>
      </c>
      <c r="E10" s="2346" t="s">
        <v>2135</v>
      </c>
      <c r="F10" s="1303">
        <f ca="1">IF(G10&lt;B2,"已过期",2010110070)</f>
        <v>2010110070</v>
      </c>
      <c r="G10" s="2347">
        <v>47907</v>
      </c>
      <c r="H10" s="2348" t="str">
        <f t="shared" ca="1" si="1"/>
        <v>崔锴（注册号：2010110070）</v>
      </c>
    </row>
    <row r="11" spans="1:8" ht="24" customHeight="1">
      <c r="A11" s="1303" t="s">
        <v>2136</v>
      </c>
      <c r="B11" s="1303">
        <f ca="1">IF(C11&lt;B2,"已过期",1120070131)</f>
        <v>1120070131</v>
      </c>
      <c r="C11" s="2344">
        <v>45937</v>
      </c>
      <c r="D11" s="2345" t="str">
        <f t="shared" ca="1" si="0"/>
        <v>郑燚（注册号：1120070131）</v>
      </c>
      <c r="E11" s="2346" t="s">
        <v>2136</v>
      </c>
      <c r="F11" s="1303">
        <f ca="1">IF(G11&lt;B2,"已过期",2014110011)</f>
        <v>2014110011</v>
      </c>
      <c r="G11" s="2347">
        <v>49302</v>
      </c>
      <c r="H11" s="2348" t="str">
        <f t="shared" ca="1" si="1"/>
        <v>郑燚（注册号：2014110011）</v>
      </c>
    </row>
    <row r="12" spans="1:8" ht="24" customHeight="1">
      <c r="A12" s="1303" t="s">
        <v>2137</v>
      </c>
      <c r="B12" s="1303">
        <f ca="1">IF(C12&lt;B2,"已过期",1120040230)</f>
        <v>1120040230</v>
      </c>
      <c r="C12" s="2349">
        <v>45937</v>
      </c>
      <c r="D12" s="2345" t="str">
        <f t="shared" ca="1" si="0"/>
        <v>苏海（注册号：1120040230）</v>
      </c>
      <c r="E12" s="2346" t="s">
        <v>2137</v>
      </c>
      <c r="F12" s="1303">
        <f ca="1">IF(G12&lt;B2,"已过期",98030020)</f>
        <v>98030020</v>
      </c>
      <c r="G12" s="2347">
        <v>47118</v>
      </c>
      <c r="H12" s="2348" t="str">
        <f t="shared" ca="1" si="1"/>
        <v>苏海（注册号：98030020）</v>
      </c>
    </row>
    <row r="13" spans="1:8" ht="24" customHeight="1">
      <c r="A13" s="1303" t="s">
        <v>2138</v>
      </c>
      <c r="B13" s="1303" t="str">
        <f ca="1">IF(C13&lt;B2,"已过期",1120020033)</f>
        <v>已过期</v>
      </c>
      <c r="C13" s="2344">
        <v>45375</v>
      </c>
      <c r="D13" s="2345" t="str">
        <f t="shared" ca="1" si="0"/>
        <v>刘敬东（注册号：已过期）</v>
      </c>
      <c r="E13" s="2346" t="s">
        <v>2138</v>
      </c>
      <c r="F13" s="1303">
        <f ca="1">IF(G13&lt;B2,"已过期",2000110137)</f>
        <v>2000110137</v>
      </c>
      <c r="G13" s="2347">
        <v>46387</v>
      </c>
      <c r="H13" s="2348" t="str">
        <f t="shared" ca="1" si="1"/>
        <v>刘敬东（注册号：2000110137）</v>
      </c>
    </row>
    <row r="14" spans="1:8" ht="24" customHeight="1">
      <c r="A14" s="1303" t="s">
        <v>2139</v>
      </c>
      <c r="B14" s="1303" t="str">
        <f ca="1">IF(C14&lt;B2,"已过期",1119980106)</f>
        <v>已过期</v>
      </c>
      <c r="C14" s="2349">
        <v>44969</v>
      </c>
      <c r="D14" s="2345" t="str">
        <f t="shared" ca="1" si="0"/>
        <v>刘俊财（注册号：已过期）</v>
      </c>
      <c r="E14" s="2346" t="s">
        <v>2139</v>
      </c>
      <c r="F14" s="1303">
        <f ca="1">IF(G14&lt;B2,"已过期",96010063)</f>
        <v>96010063</v>
      </c>
      <c r="G14" s="2347">
        <v>47483</v>
      </c>
      <c r="H14" s="2348" t="str">
        <f t="shared" ca="1" si="1"/>
        <v>刘俊财（注册号：96010063）</v>
      </c>
    </row>
    <row r="15" spans="1:8" ht="24" customHeight="1">
      <c r="A15" s="1303" t="s">
        <v>2413</v>
      </c>
      <c r="B15" s="1303">
        <v>1120210056</v>
      </c>
      <c r="C15" s="2349">
        <v>45410</v>
      </c>
      <c r="D15" s="2345" t="str">
        <f t="shared" si="0"/>
        <v>宁小鳗（注册号：1120210056）</v>
      </c>
      <c r="E15" s="2346" t="s">
        <v>2140</v>
      </c>
      <c r="F15" s="1303">
        <f ca="1">IF(G15&lt;B2,"已过期",2011110090)</f>
        <v>2011110090</v>
      </c>
      <c r="G15" s="2347">
        <v>48302</v>
      </c>
      <c r="H15" s="2348" t="str">
        <f t="shared" ca="1" si="1"/>
        <v>赵雯（注册号：2011110090）</v>
      </c>
    </row>
    <row r="16" spans="1:8" s="2351" customFormat="1" ht="24" customHeight="1">
      <c r="A16" s="1303"/>
      <c r="B16" s="1303"/>
      <c r="C16" s="1303"/>
      <c r="D16" s="2345" t="str">
        <f>A16&amp;"（注册号："&amp;B16&amp;"）"</f>
        <v>（注册号：）</v>
      </c>
      <c r="E16" s="2346"/>
      <c r="F16" s="1303"/>
      <c r="G16" s="1303"/>
      <c r="H16" s="2350" t="str">
        <f t="shared" si="1"/>
        <v>（注册号：）</v>
      </c>
    </row>
    <row r="17" spans="1:8" ht="24" customHeight="1">
      <c r="A17" s="3527" t="s">
        <v>2141</v>
      </c>
      <c r="B17" s="3527"/>
      <c r="C17" s="3527"/>
      <c r="D17" s="3527"/>
      <c r="E17" s="3527"/>
      <c r="F17" s="3527"/>
      <c r="G17" s="3527"/>
      <c r="H17" s="3527"/>
    </row>
    <row r="18" spans="1:8" ht="24" customHeight="1">
      <c r="A18" s="3528" t="s">
        <v>2142</v>
      </c>
      <c r="B18" s="3528"/>
      <c r="C18" s="3528"/>
      <c r="D18" s="2342"/>
      <c r="E18" s="3529" t="s">
        <v>2143</v>
      </c>
      <c r="F18" s="3528"/>
      <c r="G18" s="3528"/>
    </row>
    <row r="19" spans="1:8" s="2353" customFormat="1" ht="24" customHeight="1">
      <c r="A19" s="2352" t="s">
        <v>2144</v>
      </c>
      <c r="B19" s="2341" t="s">
        <v>2145</v>
      </c>
      <c r="C19" s="2341" t="s">
        <v>2124</v>
      </c>
      <c r="D19" s="2342"/>
      <c r="E19" s="2346" t="s">
        <v>2144</v>
      </c>
      <c r="F19" s="2341" t="s">
        <v>2145</v>
      </c>
      <c r="G19" s="2341" t="s">
        <v>2124</v>
      </c>
    </row>
    <row r="20" spans="1:8" s="2353" customFormat="1" ht="24" customHeight="1">
      <c r="A20" s="2354" t="s">
        <v>2146</v>
      </c>
      <c r="B20" s="2354" t="s">
        <v>2147</v>
      </c>
      <c r="C20" s="2347">
        <v>45898</v>
      </c>
      <c r="D20" s="2355"/>
      <c r="E20" s="2356" t="s">
        <v>2148</v>
      </c>
      <c r="F20" s="2359" t="s">
        <v>2414</v>
      </c>
      <c r="G20" s="2360">
        <v>44926</v>
      </c>
    </row>
    <row r="21" spans="1:8" s="2353" customFormat="1" ht="24" customHeight="1">
      <c r="A21" s="2354"/>
      <c r="B21" s="2354"/>
      <c r="C21" s="2357"/>
      <c r="D21" s="2358"/>
      <c r="E21" s="2356"/>
      <c r="F21" s="2359"/>
      <c r="G21" s="2360"/>
    </row>
    <row r="22" spans="1:8" ht="24" customHeight="1">
      <c r="C22" s="2361"/>
      <c r="D22" s="2361"/>
      <c r="E22" s="2362"/>
      <c r="F22" s="2363"/>
      <c r="G22" s="2364"/>
    </row>
  </sheetData>
  <sheetProtection password="CEE9" sheet="1" objects="1" scenarios="1"/>
  <mergeCells count="3">
    <mergeCell ref="A17:H17"/>
    <mergeCell ref="A18:C18"/>
    <mergeCell ref="E18:G18"/>
  </mergeCells>
  <phoneticPr fontId="82" type="noConversion"/>
  <conditionalFormatting sqref="D16 C4:D5 D7:D12 C13:D13 C12">
    <cfRule type="expression" dxfId="231" priority="53">
      <formula>AND($C4-TODAY()&lt;30,TODAY()&lt;$C4)</formula>
    </cfRule>
  </conditionalFormatting>
  <conditionalFormatting sqref="C20:D20">
    <cfRule type="expression" dxfId="230" priority="52">
      <formula>AND($C20-TODAY()&lt;30,TODAY()&lt;$C20)</formula>
    </cfRule>
  </conditionalFormatting>
  <conditionalFormatting sqref="C20:D20 G4 C4:D5 C13:D13">
    <cfRule type="cellIs" dxfId="229" priority="54" stopIfTrue="1" operator="lessThan">
      <formula>$B$2</formula>
    </cfRule>
  </conditionalFormatting>
  <conditionalFormatting sqref="G5 G7 G9">
    <cfRule type="cellIs" dxfId="228" priority="51" stopIfTrue="1" operator="lessThan">
      <formula>$B$2</formula>
    </cfRule>
  </conditionalFormatting>
  <conditionalFormatting sqref="C6:D6 D14 D16">
    <cfRule type="expression" dxfId="227" priority="49">
      <formula>AND($C6-TODAY()&lt;30,TODAY()&lt;$C6)</formula>
    </cfRule>
  </conditionalFormatting>
  <conditionalFormatting sqref="G6 G8 G10 C6:D6 D7:D12 D14 D16">
    <cfRule type="cellIs" dxfId="226" priority="50" stopIfTrue="1" operator="lessThan">
      <formula>$B$2</formula>
    </cfRule>
  </conditionalFormatting>
  <conditionalFormatting sqref="D12">
    <cfRule type="expression" dxfId="225" priority="47">
      <formula>AND($C12-TODAY()&lt;30,TODAY()&lt;$C12)</formula>
    </cfRule>
  </conditionalFormatting>
  <conditionalFormatting sqref="D12">
    <cfRule type="cellIs" dxfId="224" priority="48" stopIfTrue="1" operator="lessThan">
      <formula>$B$2</formula>
    </cfRule>
  </conditionalFormatting>
  <conditionalFormatting sqref="C13:D13">
    <cfRule type="expression" dxfId="223" priority="45">
      <formula>AND($C13-TODAY()&lt;30,TODAY()&lt;$C13)</formula>
    </cfRule>
  </conditionalFormatting>
  <conditionalFormatting sqref="C13:D13">
    <cfRule type="cellIs" dxfId="222" priority="46" stopIfTrue="1" operator="lessThan">
      <formula>$B$2</formula>
    </cfRule>
  </conditionalFormatting>
  <conditionalFormatting sqref="D14">
    <cfRule type="expression" dxfId="221" priority="43">
      <formula>AND($C14-TODAY()&lt;30,TODAY()&lt;$C14)</formula>
    </cfRule>
  </conditionalFormatting>
  <conditionalFormatting sqref="D14">
    <cfRule type="cellIs" dxfId="220" priority="44" stopIfTrue="1" operator="lessThan">
      <formula>$B$2</formula>
    </cfRule>
  </conditionalFormatting>
  <conditionalFormatting sqref="G13">
    <cfRule type="cellIs" dxfId="219" priority="42" stopIfTrue="1" operator="lessThan">
      <formula>$B$2</formula>
    </cfRule>
  </conditionalFormatting>
  <conditionalFormatting sqref="B4:B11 F4:F11 B13 F13:F14">
    <cfRule type="cellIs" dxfId="218" priority="41" stopIfTrue="1" operator="equal">
      <formula>"已过期"</formula>
    </cfRule>
  </conditionalFormatting>
  <conditionalFormatting sqref="C7">
    <cfRule type="cellIs" dxfId="217" priority="38" stopIfTrue="1" operator="lessThan">
      <formula>$B$2</formula>
    </cfRule>
  </conditionalFormatting>
  <conditionalFormatting sqref="C7">
    <cfRule type="expression" dxfId="216" priority="37">
      <formula>AND($C7-TODAY()&lt;30,TODAY()&lt;$C7)</formula>
    </cfRule>
  </conditionalFormatting>
  <conditionalFormatting sqref="C8">
    <cfRule type="expression" dxfId="215" priority="35">
      <formula>AND($C8-TODAY()&lt;30,TODAY()&lt;$C8)</formula>
    </cfRule>
  </conditionalFormatting>
  <conditionalFormatting sqref="C8">
    <cfRule type="cellIs" dxfId="214" priority="36" stopIfTrue="1" operator="lessThan">
      <formula>$B$2</formula>
    </cfRule>
  </conditionalFormatting>
  <conditionalFormatting sqref="C11">
    <cfRule type="expression" dxfId="213" priority="33">
      <formula>AND($C11-TODAY()&lt;30,TODAY()&lt;$C11)</formula>
    </cfRule>
  </conditionalFormatting>
  <conditionalFormatting sqref="C11">
    <cfRule type="cellIs" dxfId="212" priority="34" stopIfTrue="1" operator="lessThan">
      <formula>$B$2</formula>
    </cfRule>
  </conditionalFormatting>
  <conditionalFormatting sqref="A16:C16">
    <cfRule type="cellIs" dxfId="211" priority="32" stopIfTrue="1" operator="equal">
      <formula>"已过期"</formula>
    </cfRule>
  </conditionalFormatting>
  <conditionalFormatting sqref="E16:G16">
    <cfRule type="cellIs" dxfId="210" priority="31" stopIfTrue="1" operator="equal">
      <formula>"已过期"</formula>
    </cfRule>
  </conditionalFormatting>
  <conditionalFormatting sqref="G11">
    <cfRule type="cellIs" dxfId="209" priority="30" stopIfTrue="1" operator="lessThan">
      <formula>$B$2</formula>
    </cfRule>
  </conditionalFormatting>
  <conditionalFormatting sqref="F12">
    <cfRule type="cellIs" dxfId="208" priority="29" stopIfTrue="1" operator="equal">
      <formula>"已过期"</formula>
    </cfRule>
  </conditionalFormatting>
  <conditionalFormatting sqref="G12">
    <cfRule type="cellIs" dxfId="207" priority="28" stopIfTrue="1" operator="lessThan">
      <formula>$B$2</formula>
    </cfRule>
  </conditionalFormatting>
  <conditionalFormatting sqref="C12">
    <cfRule type="cellIs" dxfId="206" priority="27" stopIfTrue="1" operator="lessThan">
      <formula>$B$2</formula>
    </cfRule>
  </conditionalFormatting>
  <conditionalFormatting sqref="C12">
    <cfRule type="expression" dxfId="205" priority="25">
      <formula>AND($C12-TODAY()&lt;30,TODAY()&lt;$C12)</formula>
    </cfRule>
  </conditionalFormatting>
  <conditionalFormatting sqref="C12">
    <cfRule type="cellIs" dxfId="204" priority="26" stopIfTrue="1" operator="lessThan">
      <formula>$B$2</formula>
    </cfRule>
  </conditionalFormatting>
  <conditionalFormatting sqref="B12">
    <cfRule type="cellIs" dxfId="203" priority="24" stopIfTrue="1" operator="equal">
      <formula>"已过期"</formula>
    </cfRule>
  </conditionalFormatting>
  <conditionalFormatting sqref="C9:C10">
    <cfRule type="expression" dxfId="202" priority="22">
      <formula>AND($C9-TODAY()&lt;30,TODAY()&lt;$C9)</formula>
    </cfRule>
  </conditionalFormatting>
  <conditionalFormatting sqref="C9:C10">
    <cfRule type="cellIs" dxfId="201" priority="23" stopIfTrue="1" operator="lessThan">
      <formula>$B$2</formula>
    </cfRule>
  </conditionalFormatting>
  <conditionalFormatting sqref="G21">
    <cfRule type="expression" dxfId="200" priority="20" stopIfTrue="1">
      <formula>AND(#REF!-TODAY()&lt;30,TODAY()&lt;#REF!)</formula>
    </cfRule>
  </conditionalFormatting>
  <conditionalFormatting sqref="G21">
    <cfRule type="cellIs" dxfId="199" priority="21" stopIfTrue="1" operator="lessThan">
      <formula>$B$2</formula>
    </cfRule>
  </conditionalFormatting>
  <conditionalFormatting sqref="C14">
    <cfRule type="expression" dxfId="198" priority="18">
      <formula>AND($C14-TODAY()&lt;30,TODAY()&lt;$C14)</formula>
    </cfRule>
  </conditionalFormatting>
  <conditionalFormatting sqref="C14">
    <cfRule type="cellIs" dxfId="197" priority="19" stopIfTrue="1" operator="lessThan">
      <formula>$B$2</formula>
    </cfRule>
  </conditionalFormatting>
  <conditionalFormatting sqref="C14">
    <cfRule type="expression" dxfId="196" priority="16">
      <formula>AND($C14-TODAY()&lt;30,TODAY()&lt;$C14)</formula>
    </cfRule>
  </conditionalFormatting>
  <conditionalFormatting sqref="C14">
    <cfRule type="cellIs" dxfId="195" priority="17" stopIfTrue="1" operator="lessThan">
      <formula>$B$2</formula>
    </cfRule>
  </conditionalFormatting>
  <conditionalFormatting sqref="B14">
    <cfRule type="cellIs" dxfId="194" priority="15" stopIfTrue="1" operator="equal">
      <formula>"已过期"</formula>
    </cfRule>
  </conditionalFormatting>
  <conditionalFormatting sqref="G14">
    <cfRule type="cellIs" dxfId="193" priority="14" stopIfTrue="1" operator="lessThan">
      <formula>$B$2</formula>
    </cfRule>
  </conditionalFormatting>
  <conditionalFormatting sqref="D15">
    <cfRule type="expression" dxfId="192" priority="12">
      <formula>AND($C15-TODAY()&lt;30,TODAY()&lt;$C15)</formula>
    </cfRule>
  </conditionalFormatting>
  <conditionalFormatting sqref="D15">
    <cfRule type="cellIs" dxfId="191" priority="13" stopIfTrue="1" operator="lessThan">
      <formula>$B$2</formula>
    </cfRule>
  </conditionalFormatting>
  <conditionalFormatting sqref="D15">
    <cfRule type="expression" dxfId="190" priority="10">
      <formula>AND($C15-TODAY()&lt;30,TODAY()&lt;$C15)</formula>
    </cfRule>
  </conditionalFormatting>
  <conditionalFormatting sqref="D15">
    <cfRule type="cellIs" dxfId="189" priority="11" stopIfTrue="1" operator="lessThan">
      <formula>$B$2</formula>
    </cfRule>
  </conditionalFormatting>
  <conditionalFormatting sqref="F15">
    <cfRule type="cellIs" dxfId="188" priority="9" stopIfTrue="1" operator="equal">
      <formula>"已过期"</formula>
    </cfRule>
  </conditionalFormatting>
  <conditionalFormatting sqref="C15">
    <cfRule type="expression" dxfId="187" priority="7">
      <formula>AND($C15-TODAY()&lt;30,TODAY()&lt;$C15)</formula>
    </cfRule>
  </conditionalFormatting>
  <conditionalFormatting sqref="C15">
    <cfRule type="cellIs" dxfId="186" priority="8" stopIfTrue="1" operator="lessThan">
      <formula>$B$2</formula>
    </cfRule>
  </conditionalFormatting>
  <conditionalFormatting sqref="C15">
    <cfRule type="expression" dxfId="185" priority="5">
      <formula>AND($C15-TODAY()&lt;30,TODAY()&lt;$C15)</formula>
    </cfRule>
  </conditionalFormatting>
  <conditionalFormatting sqref="C15">
    <cfRule type="cellIs" dxfId="184" priority="6" stopIfTrue="1" operator="lessThan">
      <formula>$B$2</formula>
    </cfRule>
  </conditionalFormatting>
  <conditionalFormatting sqref="B15">
    <cfRule type="cellIs" dxfId="183" priority="4" stopIfTrue="1" operator="equal">
      <formula>"已过期"</formula>
    </cfRule>
  </conditionalFormatting>
  <conditionalFormatting sqref="G15">
    <cfRule type="cellIs" dxfId="182" priority="3" stopIfTrue="1" operator="lessThan">
      <formula>$B$2</formula>
    </cfRule>
  </conditionalFormatting>
  <conditionalFormatting sqref="G20">
    <cfRule type="expression" dxfId="181" priority="1" stopIfTrue="1">
      <formula>AND(#REF!-TODAY()&lt;30,TODAY()&lt;#REF!)</formula>
    </cfRule>
  </conditionalFormatting>
  <conditionalFormatting sqref="G20">
    <cfRule type="cellIs" dxfId="180" priority="2" stopIfTrue="1" operator="lessThan">
      <formula>$B$2</formula>
    </cfRule>
  </conditionalFormatting>
  <pageMargins left="0.70866141732283472" right="0.70866141732283472" top="0.74803149606299213" bottom="0.74803149606299213" header="0.31496062992125984" footer="0.31496062992125984"/>
  <pageSetup paperSize="9" scale="72" orientation="landscape" r:id="rId1"/>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10">
    <tabColor rgb="FFFFFF00"/>
  </sheetPr>
  <dimension ref="A1:W127"/>
  <sheetViews>
    <sheetView workbookViewId="0">
      <selection activeCell="I2" sqref="I2:I15"/>
    </sheetView>
  </sheetViews>
  <sheetFormatPr defaultColWidth="9" defaultRowHeight="13.5"/>
  <cols>
    <col min="1" max="1" width="13.5" style="1555" customWidth="1"/>
    <col min="2" max="2" width="23.25" style="1506" customWidth="1"/>
    <col min="3" max="3" width="13" style="1550" customWidth="1"/>
    <col min="4" max="4" width="5.75" style="1547" customWidth="1"/>
    <col min="5" max="5" width="7.125" style="1547" customWidth="1"/>
    <col min="6" max="6" width="10.625" style="1547" customWidth="1"/>
    <col min="7" max="7" width="7.5" style="1547" customWidth="1"/>
    <col min="8" max="8" width="11.875" style="1550" customWidth="1"/>
    <col min="9" max="9" width="11.625" style="1550" customWidth="1"/>
    <col min="10" max="10" width="9" style="1550" customWidth="1"/>
    <col min="11" max="19" width="9" style="1547" customWidth="1"/>
    <col min="20" max="23" width="9" style="1550" customWidth="1"/>
    <col min="24" max="24" width="21.125" style="1506" customWidth="1"/>
    <col min="25" max="16384" width="9" style="1506"/>
  </cols>
  <sheetData>
    <row r="1" spans="1:23" s="1544" customFormat="1" ht="40.5">
      <c r="A1" s="1538" t="s">
        <v>44</v>
      </c>
      <c r="B1" s="1539" t="s">
        <v>977</v>
      </c>
      <c r="C1" s="1540" t="s">
        <v>314</v>
      </c>
      <c r="D1" s="1542" t="s">
        <v>3326</v>
      </c>
      <c r="E1" s="1541" t="s">
        <v>978</v>
      </c>
      <c r="F1" s="1541" t="s">
        <v>979</v>
      </c>
      <c r="G1" s="1541" t="s">
        <v>980</v>
      </c>
      <c r="H1" s="1541" t="s">
        <v>981</v>
      </c>
      <c r="I1" s="1541" t="s">
        <v>982</v>
      </c>
      <c r="J1" s="1541" t="s">
        <v>983</v>
      </c>
      <c r="K1" s="1541" t="s">
        <v>984</v>
      </c>
      <c r="L1" s="1541" t="s">
        <v>985</v>
      </c>
      <c r="M1" s="1541" t="s">
        <v>986</v>
      </c>
      <c r="N1" s="1541" t="s">
        <v>987</v>
      </c>
      <c r="O1" s="1541" t="s">
        <v>988</v>
      </c>
      <c r="P1" s="1542" t="s">
        <v>309</v>
      </c>
      <c r="Q1" s="1542" t="s">
        <v>447</v>
      </c>
      <c r="R1" s="1541" t="s">
        <v>441</v>
      </c>
      <c r="S1" s="1541" t="s">
        <v>989</v>
      </c>
      <c r="T1" s="1543" t="s">
        <v>990</v>
      </c>
      <c r="U1" s="1541" t="s">
        <v>991</v>
      </c>
      <c r="V1" s="1541" t="s">
        <v>992</v>
      </c>
      <c r="W1" s="1541" t="s">
        <v>311</v>
      </c>
    </row>
    <row r="2" spans="1:23">
      <c r="A2" s="1545" t="s">
        <v>19</v>
      </c>
      <c r="B2" s="1545" t="s">
        <v>993</v>
      </c>
      <c r="C2" s="1546" t="s">
        <v>315</v>
      </c>
      <c r="D2" s="1547" t="s">
        <v>994</v>
      </c>
      <c r="E2" s="1547" t="s">
        <v>995</v>
      </c>
      <c r="F2" s="1547" t="s">
        <v>996</v>
      </c>
      <c r="G2" s="1547">
        <v>20</v>
      </c>
      <c r="H2" s="1547" t="s">
        <v>996</v>
      </c>
      <c r="I2" s="1547" t="s">
        <v>3312</v>
      </c>
      <c r="J2" s="1547" t="s">
        <v>997</v>
      </c>
      <c r="K2" s="1547" t="s">
        <v>998</v>
      </c>
      <c r="L2" s="1547" t="s">
        <v>998</v>
      </c>
      <c r="M2" s="1547" t="s">
        <v>998</v>
      </c>
      <c r="N2" s="1547" t="s">
        <v>998</v>
      </c>
      <c r="O2" s="1547" t="s">
        <v>998</v>
      </c>
      <c r="P2" s="1547" t="s">
        <v>998</v>
      </c>
      <c r="Q2" s="1547" t="s">
        <v>998</v>
      </c>
      <c r="R2" s="1547" t="s">
        <v>443</v>
      </c>
      <c r="S2" s="1547" t="s">
        <v>998</v>
      </c>
      <c r="T2" s="1547" t="s">
        <v>999</v>
      </c>
      <c r="U2" s="1547" t="s">
        <v>998</v>
      </c>
      <c r="V2" s="1547" t="s">
        <v>1000</v>
      </c>
      <c r="W2" s="1547" t="s">
        <v>998</v>
      </c>
    </row>
    <row r="3" spans="1:23">
      <c r="A3" s="1545" t="s">
        <v>1001</v>
      </c>
      <c r="B3" s="1548" t="s">
        <v>448</v>
      </c>
      <c r="C3" s="1549" t="s">
        <v>316</v>
      </c>
      <c r="D3" s="1547" t="s">
        <v>1002</v>
      </c>
      <c r="E3" s="1547" t="s">
        <v>13</v>
      </c>
      <c r="F3" s="1547" t="s">
        <v>1003</v>
      </c>
      <c r="G3" s="1547">
        <v>40</v>
      </c>
      <c r="H3" s="1547" t="s">
        <v>1003</v>
      </c>
      <c r="I3" s="1547" t="s">
        <v>3313</v>
      </c>
      <c r="J3" s="1547" t="s">
        <v>1004</v>
      </c>
      <c r="K3" s="1547" t="s">
        <v>1005</v>
      </c>
      <c r="L3" s="1547" t="s">
        <v>1005</v>
      </c>
      <c r="M3" s="1547" t="s">
        <v>1005</v>
      </c>
      <c r="N3" s="1547" t="s">
        <v>1005</v>
      </c>
      <c r="O3" s="1547" t="s">
        <v>1005</v>
      </c>
      <c r="P3" s="1547" t="s">
        <v>1005</v>
      </c>
      <c r="Q3" s="1547" t="s">
        <v>1005</v>
      </c>
      <c r="R3" s="1547" t="s">
        <v>442</v>
      </c>
      <c r="S3" s="1547" t="s">
        <v>1005</v>
      </c>
      <c r="T3" s="1547" t="s">
        <v>1006</v>
      </c>
      <c r="U3" s="1547" t="s">
        <v>1005</v>
      </c>
      <c r="V3" s="1547" t="s">
        <v>1007</v>
      </c>
      <c r="W3" s="1547" t="s">
        <v>1005</v>
      </c>
    </row>
    <row r="4" spans="1:23">
      <c r="A4" s="1545" t="s">
        <v>1008</v>
      </c>
      <c r="B4" s="1545" t="s">
        <v>1009</v>
      </c>
      <c r="C4" s="1546" t="s">
        <v>317</v>
      </c>
      <c r="D4" s="1547" t="s">
        <v>389</v>
      </c>
      <c r="E4" s="1547" t="s">
        <v>1010</v>
      </c>
      <c r="F4" s="1547" t="s">
        <v>1011</v>
      </c>
      <c r="G4" s="1547">
        <v>50</v>
      </c>
      <c r="H4" s="1547" t="s">
        <v>1011</v>
      </c>
      <c r="I4" s="1547" t="s">
        <v>3314</v>
      </c>
      <c r="K4" s="1547" t="s">
        <v>1012</v>
      </c>
      <c r="L4" s="1547" t="s">
        <v>1012</v>
      </c>
      <c r="M4" s="1547" t="s">
        <v>1012</v>
      </c>
      <c r="N4" s="1547" t="s">
        <v>1012</v>
      </c>
      <c r="O4" s="1547" t="s">
        <v>1012</v>
      </c>
      <c r="P4" s="1547" t="s">
        <v>1012</v>
      </c>
      <c r="Q4" s="1547" t="s">
        <v>1012</v>
      </c>
      <c r="R4" s="1547" t="s">
        <v>444</v>
      </c>
      <c r="S4" s="1547" t="s">
        <v>1012</v>
      </c>
      <c r="T4" s="1547" t="s">
        <v>1013</v>
      </c>
      <c r="U4" s="1547" t="s">
        <v>1012</v>
      </c>
      <c r="W4" s="1547" t="s">
        <v>1012</v>
      </c>
    </row>
    <row r="5" spans="1:23">
      <c r="A5" s="1545" t="s">
        <v>1014</v>
      </c>
      <c r="B5" s="1545" t="s">
        <v>1015</v>
      </c>
      <c r="C5" s="1546" t="s">
        <v>318</v>
      </c>
      <c r="F5" s="1547" t="s">
        <v>1016</v>
      </c>
      <c r="G5" s="1547">
        <v>70</v>
      </c>
      <c r="H5" s="1547" t="s">
        <v>1017</v>
      </c>
      <c r="I5" s="1547" t="s">
        <v>3315</v>
      </c>
      <c r="K5" s="1547" t="s">
        <v>1018</v>
      </c>
      <c r="L5" s="1547" t="s">
        <v>1018</v>
      </c>
      <c r="M5" s="1547" t="s">
        <v>1018</v>
      </c>
      <c r="N5" s="1547" t="s">
        <v>1018</v>
      </c>
      <c r="O5" s="1547" t="s">
        <v>1018</v>
      </c>
      <c r="P5" s="1547" t="s">
        <v>1018</v>
      </c>
      <c r="Q5" s="1547" t="s">
        <v>1018</v>
      </c>
      <c r="R5" s="1547" t="s">
        <v>445</v>
      </c>
      <c r="S5" s="1547" t="s">
        <v>1018</v>
      </c>
      <c r="T5" s="1547" t="s">
        <v>1019</v>
      </c>
      <c r="U5" s="1547" t="s">
        <v>1018</v>
      </c>
      <c r="W5" s="1547" t="s">
        <v>1018</v>
      </c>
    </row>
    <row r="6" spans="1:23">
      <c r="A6" s="1545" t="s">
        <v>1020</v>
      </c>
      <c r="B6" s="1548" t="s">
        <v>449</v>
      </c>
      <c r="C6" s="1551" t="s">
        <v>24</v>
      </c>
      <c r="F6" s="1547" t="s">
        <v>1017</v>
      </c>
      <c r="H6" s="1547" t="s">
        <v>1021</v>
      </c>
      <c r="I6" s="1547" t="s">
        <v>3316</v>
      </c>
      <c r="K6" s="1547" t="s">
        <v>1022</v>
      </c>
      <c r="L6" s="1547" t="s">
        <v>1022</v>
      </c>
      <c r="M6" s="1547" t="s">
        <v>1022</v>
      </c>
      <c r="N6" s="1547" t="s">
        <v>1022</v>
      </c>
      <c r="O6" s="1547" t="s">
        <v>1022</v>
      </c>
      <c r="P6" s="1547" t="s">
        <v>1022</v>
      </c>
      <c r="Q6" s="1547" t="s">
        <v>1022</v>
      </c>
      <c r="R6" s="1547" t="s">
        <v>446</v>
      </c>
      <c r="S6" s="1547" t="s">
        <v>1022</v>
      </c>
      <c r="T6" s="1547"/>
      <c r="U6" s="1547" t="s">
        <v>1022</v>
      </c>
      <c r="W6" s="1547" t="s">
        <v>1022</v>
      </c>
    </row>
    <row r="7" spans="1:23">
      <c r="A7" s="1545" t="s">
        <v>1023</v>
      </c>
      <c r="B7" s="1548" t="s">
        <v>450</v>
      </c>
      <c r="C7" s="1546" t="s">
        <v>25</v>
      </c>
      <c r="F7" s="1547" t="s">
        <v>1024</v>
      </c>
      <c r="H7" s="1547" t="s">
        <v>1025</v>
      </c>
      <c r="I7" s="1547" t="s">
        <v>3317</v>
      </c>
    </row>
    <row r="8" spans="1:23">
      <c r="A8" s="1545" t="s">
        <v>1026</v>
      </c>
      <c r="B8" s="1545" t="s">
        <v>1027</v>
      </c>
      <c r="C8" s="1546" t="s">
        <v>319</v>
      </c>
      <c r="F8" s="1547" t="s">
        <v>1028</v>
      </c>
      <c r="H8" s="1547" t="s">
        <v>2553</v>
      </c>
      <c r="I8" s="1547" t="s">
        <v>3318</v>
      </c>
    </row>
    <row r="9" spans="1:23">
      <c r="A9" s="1545" t="s">
        <v>1029</v>
      </c>
      <c r="B9" s="1545" t="s">
        <v>1030</v>
      </c>
      <c r="C9" s="1546" t="s">
        <v>320</v>
      </c>
      <c r="F9" s="1547" t="s">
        <v>1031</v>
      </c>
      <c r="H9" s="1547"/>
      <c r="I9" s="1550" t="s">
        <v>3319</v>
      </c>
    </row>
    <row r="10" spans="1:23">
      <c r="A10" s="1545" t="s">
        <v>1032</v>
      </c>
      <c r="B10" s="1545" t="s">
        <v>1033</v>
      </c>
      <c r="C10" s="1546" t="s">
        <v>321</v>
      </c>
      <c r="F10" s="1547" t="s">
        <v>2554</v>
      </c>
      <c r="I10" s="1550" t="s">
        <v>3320</v>
      </c>
    </row>
    <row r="11" spans="1:23">
      <c r="A11" s="1545" t="s">
        <v>1034</v>
      </c>
      <c r="B11" s="1545" t="s">
        <v>1035</v>
      </c>
      <c r="C11" s="1546" t="s">
        <v>322</v>
      </c>
      <c r="F11" s="1547" t="s">
        <v>13</v>
      </c>
      <c r="I11" s="1550" t="s">
        <v>3321</v>
      </c>
    </row>
    <row r="12" spans="1:23">
      <c r="A12" s="1545" t="s">
        <v>1036</v>
      </c>
      <c r="B12" s="1545" t="s">
        <v>1037</v>
      </c>
      <c r="C12" s="1546" t="s">
        <v>323</v>
      </c>
      <c r="I12" s="1550" t="s">
        <v>3322</v>
      </c>
    </row>
    <row r="13" spans="1:23">
      <c r="A13" s="1545" t="s">
        <v>1038</v>
      </c>
      <c r="B13" s="1545" t="s">
        <v>1039</v>
      </c>
      <c r="C13" s="1546" t="s">
        <v>324</v>
      </c>
      <c r="I13" s="1550" t="s">
        <v>3323</v>
      </c>
    </row>
    <row r="14" spans="1:23">
      <c r="A14" s="1545" t="s">
        <v>1040</v>
      </c>
      <c r="B14" s="1545" t="s">
        <v>1041</v>
      </c>
      <c r="C14" s="1547" t="s">
        <v>13</v>
      </c>
      <c r="I14" s="1550" t="s">
        <v>3324</v>
      </c>
    </row>
    <row r="15" spans="1:23">
      <c r="A15" s="1545" t="s">
        <v>1042</v>
      </c>
      <c r="B15" s="1545" t="s">
        <v>1043</v>
      </c>
      <c r="C15" s="1546"/>
      <c r="I15" s="1550" t="s">
        <v>3325</v>
      </c>
    </row>
    <row r="16" spans="1:23">
      <c r="A16" s="1545" t="s">
        <v>1044</v>
      </c>
      <c r="B16" s="1545" t="s">
        <v>312</v>
      </c>
      <c r="C16" s="1546"/>
    </row>
    <row r="17" spans="1:3">
      <c r="A17" s="1545" t="s">
        <v>1045</v>
      </c>
      <c r="B17" s="1545" t="s">
        <v>2265</v>
      </c>
      <c r="C17" s="1546"/>
    </row>
    <row r="18" spans="1:3">
      <c r="A18" s="1545" t="s">
        <v>1046</v>
      </c>
      <c r="B18" s="1545" t="s">
        <v>2409</v>
      </c>
      <c r="C18" s="1546"/>
    </row>
    <row r="19" spans="1:3">
      <c r="A19" s="1545" t="s">
        <v>1047</v>
      </c>
      <c r="B19" s="1545" t="s">
        <v>313</v>
      </c>
      <c r="C19" s="1546"/>
    </row>
    <row r="20" spans="1:3">
      <c r="A20" s="1545" t="s">
        <v>1048</v>
      </c>
      <c r="B20" s="1545" t="s">
        <v>313</v>
      </c>
      <c r="C20" s="1546"/>
    </row>
    <row r="21" spans="1:3">
      <c r="A21" s="1545" t="s">
        <v>1049</v>
      </c>
      <c r="B21" s="1545" t="s">
        <v>313</v>
      </c>
      <c r="C21" s="1546"/>
    </row>
    <row r="22" spans="1:3">
      <c r="A22" s="1545" t="s">
        <v>1050</v>
      </c>
      <c r="B22" s="1545" t="s">
        <v>313</v>
      </c>
      <c r="C22" s="1546"/>
    </row>
    <row r="23" spans="1:3">
      <c r="A23" s="1545" t="s">
        <v>1051</v>
      </c>
      <c r="B23" s="1545" t="s">
        <v>313</v>
      </c>
      <c r="C23" s="1546"/>
    </row>
    <row r="24" spans="1:3">
      <c r="A24" s="1545" t="s">
        <v>1052</v>
      </c>
      <c r="B24" s="1545" t="s">
        <v>313</v>
      </c>
      <c r="C24" s="1546"/>
    </row>
    <row r="25" spans="1:3">
      <c r="A25" s="1545" t="s">
        <v>1053</v>
      </c>
      <c r="B25" s="1545" t="s">
        <v>313</v>
      </c>
      <c r="C25" s="1546"/>
    </row>
    <row r="26" spans="1:3">
      <c r="A26" s="1545" t="s">
        <v>1054</v>
      </c>
      <c r="B26" s="1545" t="s">
        <v>313</v>
      </c>
      <c r="C26" s="1546"/>
    </row>
    <row r="27" spans="1:3">
      <c r="A27" s="1545" t="s">
        <v>313</v>
      </c>
      <c r="B27" s="1545" t="s">
        <v>313</v>
      </c>
      <c r="C27" s="1546"/>
    </row>
    <row r="28" spans="1:3">
      <c r="A28" s="1545" t="s">
        <v>313</v>
      </c>
      <c r="B28" s="1545" t="s">
        <v>313</v>
      </c>
      <c r="C28" s="1546"/>
    </row>
    <row r="29" spans="1:3">
      <c r="A29" s="1545" t="s">
        <v>313</v>
      </c>
      <c r="B29" s="1545" t="s">
        <v>313</v>
      </c>
      <c r="C29" s="1546"/>
    </row>
    <row r="30" spans="1:3">
      <c r="A30" s="1545" t="s">
        <v>313</v>
      </c>
      <c r="B30" s="1545" t="s">
        <v>313</v>
      </c>
      <c r="C30" s="1546"/>
    </row>
    <row r="31" spans="1:3">
      <c r="A31" s="1545" t="s">
        <v>313</v>
      </c>
      <c r="B31" s="1545" t="s">
        <v>313</v>
      </c>
      <c r="C31" s="1546"/>
    </row>
    <row r="32" spans="1:3">
      <c r="A32" s="1545" t="s">
        <v>313</v>
      </c>
      <c r="B32" s="1545" t="s">
        <v>313</v>
      </c>
      <c r="C32" s="1546"/>
    </row>
    <row r="33" spans="1:3">
      <c r="A33" s="1545" t="s">
        <v>313</v>
      </c>
      <c r="B33" s="1545" t="s">
        <v>313</v>
      </c>
      <c r="C33" s="1546"/>
    </row>
    <row r="34" spans="1:3">
      <c r="A34" s="1545" t="s">
        <v>313</v>
      </c>
      <c r="B34" s="1545" t="s">
        <v>313</v>
      </c>
      <c r="C34" s="1546"/>
    </row>
    <row r="35" spans="1:3">
      <c r="A35" s="1545" t="s">
        <v>313</v>
      </c>
      <c r="B35" s="1545" t="s">
        <v>313</v>
      </c>
      <c r="C35" s="1546"/>
    </row>
    <row r="36" spans="1:3">
      <c r="A36" s="1545" t="s">
        <v>313</v>
      </c>
      <c r="B36" s="1545" t="s">
        <v>313</v>
      </c>
      <c r="C36" s="1546"/>
    </row>
    <row r="37" spans="1:3">
      <c r="A37" s="1545" t="s">
        <v>313</v>
      </c>
      <c r="B37" s="1545" t="s">
        <v>313</v>
      </c>
      <c r="C37" s="1546"/>
    </row>
    <row r="38" spans="1:3">
      <c r="A38" s="1545" t="s">
        <v>313</v>
      </c>
      <c r="B38" s="1545" t="s">
        <v>313</v>
      </c>
      <c r="C38" s="1546"/>
    </row>
    <row r="39" spans="1:3">
      <c r="A39" s="1545" t="s">
        <v>313</v>
      </c>
      <c r="B39" s="1545" t="s">
        <v>313</v>
      </c>
      <c r="C39" s="1546"/>
    </row>
    <row r="40" spans="1:3">
      <c r="A40" s="1545" t="s">
        <v>313</v>
      </c>
      <c r="B40" s="1545" t="s">
        <v>313</v>
      </c>
      <c r="C40" s="1546"/>
    </row>
    <row r="41" spans="1:3">
      <c r="A41" s="1545" t="s">
        <v>313</v>
      </c>
      <c r="B41" s="1545" t="s">
        <v>313</v>
      </c>
      <c r="C41" s="1546"/>
    </row>
    <row r="42" spans="1:3">
      <c r="A42" s="1545" t="s">
        <v>313</v>
      </c>
      <c r="B42" s="1545" t="s">
        <v>313</v>
      </c>
      <c r="C42" s="1546"/>
    </row>
    <row r="43" spans="1:3">
      <c r="A43" s="1545" t="s">
        <v>313</v>
      </c>
      <c r="B43" s="1545" t="s">
        <v>313</v>
      </c>
      <c r="C43" s="1546"/>
    </row>
    <row r="44" spans="1:3">
      <c r="A44" s="1545" t="s">
        <v>313</v>
      </c>
      <c r="B44" s="1545" t="s">
        <v>313</v>
      </c>
      <c r="C44" s="1546"/>
    </row>
    <row r="45" spans="1:3">
      <c r="A45" s="1545" t="s">
        <v>313</v>
      </c>
      <c r="B45" s="1545" t="s">
        <v>313</v>
      </c>
      <c r="C45" s="1546"/>
    </row>
    <row r="46" spans="1:3">
      <c r="A46" s="1545" t="s">
        <v>313</v>
      </c>
      <c r="B46" s="1545" t="s">
        <v>313</v>
      </c>
      <c r="C46" s="1546"/>
    </row>
    <row r="47" spans="1:3">
      <c r="A47" s="1545" t="s">
        <v>313</v>
      </c>
      <c r="B47" s="1545" t="s">
        <v>313</v>
      </c>
      <c r="C47" s="1546"/>
    </row>
    <row r="48" spans="1:3">
      <c r="A48" s="1545" t="s">
        <v>313</v>
      </c>
      <c r="B48" s="1545" t="s">
        <v>313</v>
      </c>
      <c r="C48" s="1546"/>
    </row>
    <row r="49" spans="1:4">
      <c r="A49" s="1545" t="s">
        <v>313</v>
      </c>
      <c r="B49" s="1545" t="s">
        <v>313</v>
      </c>
      <c r="C49" s="1546"/>
    </row>
    <row r="50" spans="1:4">
      <c r="A50" s="1545" t="s">
        <v>313</v>
      </c>
      <c r="B50" s="1545" t="s">
        <v>313</v>
      </c>
      <c r="C50" s="1546"/>
    </row>
    <row r="51" spans="1:4">
      <c r="A51" s="1552" t="s">
        <v>378</v>
      </c>
      <c r="B51" s="1553" t="str">
        <f>"为估价委托人在向"&amp;项目基本情况!B6&amp;"办理贷款手续过程中，确定房地产抵押贷款额度提供参考依据而评估房地产抵押价值。"</f>
        <v>为估价委托人在向兴业银行办理贷款手续过程中，确定房地产抵押贷款额度提供参考依据而评估房地产抵押价值。</v>
      </c>
      <c r="C51" s="1550" t="str">
        <f>项目基本情况!B7&amp;"拟使用"&amp;项目基本情况!S2&amp;"作为抵押担保物，向"&amp;项目基本情况!B6&amp;"办理贷款手续。"&amp;项目基本情况!B6&amp;"特委托北京康正宏基房地产评估有限公司对上述抵押物进行评估。本次评估为确定房地产抵押贷款额度提供参考依据而评估房地产抵押价值。"</f>
        <v>北京中关村生命科学园发展有限责任公司拟使用北京市昌平区生命园路20号院1号楼-1至4层101房地产作为抵押担保物，向兴业银行办理贷款手续。兴业银行特委托北京康正宏基房地产评估有限公司对上述抵押物进行评估。本次评估为确定房地产抵押贷款额度提供参考依据而评估房地产抵押价值。</v>
      </c>
      <c r="D51" s="1553" t="s">
        <v>586</v>
      </c>
    </row>
    <row r="52" spans="1:4">
      <c r="A52" s="1552" t="s">
        <v>379</v>
      </c>
      <c r="B52" s="1552" t="s">
        <v>380</v>
      </c>
      <c r="C52" s="1550" t="s">
        <v>381</v>
      </c>
      <c r="D52" s="1550" t="s">
        <v>382</v>
      </c>
    </row>
    <row r="53" spans="1:4">
      <c r="A53" s="3530" t="s">
        <v>383</v>
      </c>
      <c r="B53" s="1553" t="s">
        <v>384</v>
      </c>
      <c r="C53" s="1550" t="str">
        <f>"本次估价的“房地产价值”是指在正常市场情况下，在价值时点"&amp;TEXT(项目基本情况!D3,"yyyy年m月d日;;")&amp;"，估价对象规划用途为"&amp;项目基本情况!B16&amp;"土地取得方式为"&amp;"出让，出让国有建设用地使用权剩余土地使用年限为XX年(多用途剩余年限尾数不同时，可只体现小数点后一位)，假定未设立法定优先受偿款下的房地产市场价值。"</f>
        <v>本次估价的“房地产价值”是指在正常市场情况下，在价值时点2024年4月18日，估价对象规划用途为土地取得方式为出让，出让国有建设用地使用权剩余土地使用年限为XX年(多用途剩余年限尾数不同时，可只体现小数点后一位)，假定未设立法定优先受偿款下的房地产市场价值。</v>
      </c>
    </row>
    <row r="54" spans="1:4">
      <c r="A54" s="3530"/>
      <c r="B54" s="1553" t="s">
        <v>385</v>
      </c>
      <c r="C54" s="1550" t="s">
        <v>583</v>
      </c>
    </row>
    <row r="55" spans="1:4">
      <c r="A55" s="3530"/>
      <c r="B55" s="1553" t="s">
        <v>386</v>
      </c>
      <c r="C55" s="1550" t="s">
        <v>584</v>
      </c>
    </row>
    <row r="56" spans="1:4">
      <c r="A56" s="3530"/>
      <c r="B56" s="1553" t="s">
        <v>387</v>
      </c>
      <c r="C56" s="1550" t="s">
        <v>588</v>
      </c>
    </row>
    <row r="57" spans="1:4">
      <c r="A57" s="3530"/>
      <c r="B57" s="1553" t="s">
        <v>388</v>
      </c>
      <c r="C57" s="1550" t="s">
        <v>585</v>
      </c>
    </row>
    <row r="58" spans="1:4">
      <c r="A58" s="1554"/>
      <c r="B58" s="1550"/>
    </row>
    <row r="59" spans="1:4">
      <c r="A59" s="1554"/>
      <c r="B59" s="1550"/>
    </row>
    <row r="60" spans="1:4">
      <c r="A60" s="1554"/>
      <c r="B60" s="1550"/>
    </row>
    <row r="61" spans="1:4">
      <c r="A61" s="1554"/>
      <c r="B61" s="1550"/>
    </row>
    <row r="62" spans="1:4">
      <c r="A62" s="1554"/>
      <c r="B62" s="1550"/>
    </row>
    <row r="63" spans="1:4">
      <c r="A63" s="1554"/>
      <c r="B63" s="1550"/>
    </row>
    <row r="64" spans="1:4">
      <c r="A64" s="1554"/>
      <c r="B64" s="1550"/>
    </row>
    <row r="65" spans="1:2">
      <c r="A65" s="1554"/>
      <c r="B65" s="1550"/>
    </row>
    <row r="66" spans="1:2">
      <c r="A66" s="1554"/>
      <c r="B66" s="1550"/>
    </row>
    <row r="67" spans="1:2">
      <c r="A67" s="1554"/>
      <c r="B67" s="1550"/>
    </row>
    <row r="68" spans="1:2">
      <c r="A68" s="1554"/>
      <c r="B68" s="1550"/>
    </row>
    <row r="69" spans="1:2">
      <c r="A69" s="1554"/>
      <c r="B69" s="1550"/>
    </row>
    <row r="70" spans="1:2">
      <c r="A70" s="1554"/>
      <c r="B70" s="1550"/>
    </row>
    <row r="71" spans="1:2">
      <c r="A71" s="1554"/>
      <c r="B71" s="1550"/>
    </row>
    <row r="72" spans="1:2">
      <c r="A72" s="1554"/>
      <c r="B72" s="1550"/>
    </row>
    <row r="73" spans="1:2">
      <c r="A73" s="1554"/>
      <c r="B73" s="1550"/>
    </row>
    <row r="74" spans="1:2">
      <c r="A74" s="1554"/>
      <c r="B74" s="1550"/>
    </row>
    <row r="75" spans="1:2">
      <c r="A75" s="1554"/>
      <c r="B75" s="1550"/>
    </row>
    <row r="76" spans="1:2">
      <c r="A76" s="1554"/>
      <c r="B76" s="1550"/>
    </row>
    <row r="77" spans="1:2">
      <c r="A77" s="1554"/>
      <c r="B77" s="1550"/>
    </row>
    <row r="78" spans="1:2">
      <c r="A78" s="1554"/>
      <c r="B78" s="1550"/>
    </row>
    <row r="79" spans="1:2">
      <c r="A79" s="1554"/>
      <c r="B79" s="1550"/>
    </row>
    <row r="80" spans="1:2">
      <c r="A80" s="1554"/>
      <c r="B80" s="1550"/>
    </row>
    <row r="81" spans="1:2">
      <c r="A81" s="1554"/>
      <c r="B81" s="1550"/>
    </row>
    <row r="82" spans="1:2">
      <c r="A82" s="1554"/>
      <c r="B82" s="1550"/>
    </row>
    <row r="83" spans="1:2">
      <c r="A83" s="1554"/>
      <c r="B83" s="1550"/>
    </row>
    <row r="84" spans="1:2">
      <c r="A84" s="1554"/>
      <c r="B84" s="1550"/>
    </row>
    <row r="85" spans="1:2">
      <c r="A85" s="1554"/>
      <c r="B85" s="1550"/>
    </row>
    <row r="86" spans="1:2">
      <c r="A86" s="1554"/>
      <c r="B86" s="1550"/>
    </row>
    <row r="87" spans="1:2">
      <c r="A87" s="1554"/>
      <c r="B87" s="1550"/>
    </row>
    <row r="88" spans="1:2">
      <c r="A88" s="1554"/>
      <c r="B88" s="1550"/>
    </row>
    <row r="89" spans="1:2">
      <c r="A89" s="1554"/>
      <c r="B89" s="1550"/>
    </row>
    <row r="90" spans="1:2">
      <c r="A90" s="1554"/>
      <c r="B90" s="1550"/>
    </row>
    <row r="91" spans="1:2">
      <c r="A91" s="1554"/>
      <c r="B91" s="1550"/>
    </row>
    <row r="92" spans="1:2">
      <c r="A92" s="1554"/>
      <c r="B92" s="1550"/>
    </row>
    <row r="93" spans="1:2">
      <c r="A93" s="1554"/>
      <c r="B93" s="1550"/>
    </row>
    <row r="94" spans="1:2">
      <c r="A94" s="1554"/>
      <c r="B94" s="1550"/>
    </row>
    <row r="95" spans="1:2">
      <c r="A95" s="1554"/>
      <c r="B95" s="1550"/>
    </row>
    <row r="96" spans="1:2">
      <c r="A96" s="1554"/>
      <c r="B96" s="1550"/>
    </row>
    <row r="97" spans="1:2">
      <c r="A97" s="1554"/>
      <c r="B97" s="1550"/>
    </row>
    <row r="98" spans="1:2">
      <c r="A98" s="1554"/>
      <c r="B98" s="1550"/>
    </row>
    <row r="99" spans="1:2">
      <c r="A99" s="1554"/>
      <c r="B99" s="1550"/>
    </row>
    <row r="100" spans="1:2">
      <c r="A100" s="1554"/>
      <c r="B100" s="1550"/>
    </row>
    <row r="101" spans="1:2">
      <c r="A101" s="1554"/>
      <c r="B101" s="1550"/>
    </row>
    <row r="102" spans="1:2">
      <c r="A102" s="1554"/>
      <c r="B102" s="1550"/>
    </row>
    <row r="103" spans="1:2">
      <c r="A103" s="1554"/>
      <c r="B103" s="1550"/>
    </row>
    <row r="104" spans="1:2">
      <c r="A104" s="1554"/>
      <c r="B104" s="1550"/>
    </row>
    <row r="105" spans="1:2">
      <c r="A105" s="1554"/>
      <c r="B105" s="1550"/>
    </row>
    <row r="106" spans="1:2">
      <c r="A106" s="1554"/>
      <c r="B106" s="1550"/>
    </row>
    <row r="107" spans="1:2">
      <c r="A107" s="1554"/>
      <c r="B107" s="1550"/>
    </row>
    <row r="108" spans="1:2">
      <c r="A108" s="1554"/>
      <c r="B108" s="1550"/>
    </row>
    <row r="109" spans="1:2">
      <c r="A109" s="1554"/>
      <c r="B109" s="1550"/>
    </row>
    <row r="110" spans="1:2">
      <c r="A110" s="1554"/>
      <c r="B110" s="1550"/>
    </row>
    <row r="111" spans="1:2">
      <c r="A111" s="1554"/>
      <c r="B111" s="1550"/>
    </row>
    <row r="112" spans="1:2">
      <c r="A112" s="1554"/>
      <c r="B112" s="1550"/>
    </row>
    <row r="113" spans="1:2">
      <c r="A113" s="1554"/>
      <c r="B113" s="1550"/>
    </row>
    <row r="114" spans="1:2">
      <c r="A114" s="1554"/>
      <c r="B114" s="1550"/>
    </row>
    <row r="115" spans="1:2">
      <c r="A115" s="1554"/>
      <c r="B115" s="1550"/>
    </row>
    <row r="116" spans="1:2">
      <c r="A116" s="1554"/>
      <c r="B116" s="1550"/>
    </row>
    <row r="117" spans="1:2">
      <c r="A117" s="1554"/>
      <c r="B117" s="1550"/>
    </row>
    <row r="118" spans="1:2">
      <c r="A118" s="1554"/>
      <c r="B118" s="1550"/>
    </row>
    <row r="119" spans="1:2">
      <c r="A119" s="1554"/>
      <c r="B119" s="1550"/>
    </row>
    <row r="120" spans="1:2">
      <c r="A120" s="1554"/>
      <c r="B120" s="1550"/>
    </row>
    <row r="121" spans="1:2">
      <c r="A121" s="1554"/>
      <c r="B121" s="1550"/>
    </row>
    <row r="122" spans="1:2">
      <c r="A122" s="1554"/>
      <c r="B122" s="1550"/>
    </row>
    <row r="123" spans="1:2">
      <c r="A123" s="1554"/>
      <c r="B123" s="1550"/>
    </row>
    <row r="124" spans="1:2">
      <c r="A124" s="1554"/>
      <c r="B124" s="1550"/>
    </row>
    <row r="125" spans="1:2">
      <c r="A125" s="1554"/>
      <c r="B125" s="1550"/>
    </row>
    <row r="126" spans="1:2">
      <c r="A126" s="1554"/>
      <c r="B126" s="1550"/>
    </row>
    <row r="127" spans="1:2">
      <c r="A127" s="1554"/>
      <c r="B127" s="1550"/>
    </row>
  </sheetData>
  <sheetProtection password="CEE9" sheet="1" objects="1" scenarios="1" formatCells="0" formatColumns="0" formatRows="0"/>
  <mergeCells count="1">
    <mergeCell ref="A53:A57"/>
  </mergeCells>
  <phoneticPr fontId="16" type="noConversion"/>
  <pageMargins left="0.7" right="0.7" top="0.75" bottom="0.75" header="0.3" footer="0.3"/>
  <pageSetup paperSize="9" orientation="portrait"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FF00"/>
  </sheetPr>
  <dimension ref="A1:R47"/>
  <sheetViews>
    <sheetView workbookViewId="0">
      <selection activeCell="F11" sqref="F11"/>
    </sheetView>
  </sheetViews>
  <sheetFormatPr defaultColWidth="15.25" defaultRowHeight="13.5"/>
  <cols>
    <col min="1" max="7" width="15.25" style="2990"/>
    <col min="8" max="8" width="5.5" style="2990" customWidth="1"/>
    <col min="9" max="13" width="9.5" style="3032" customWidth="1"/>
    <col min="14" max="18" width="9.5" style="2990" customWidth="1"/>
    <col min="19" max="16384" width="15.25" style="2990"/>
  </cols>
  <sheetData>
    <row r="1" spans="1:18">
      <c r="A1" s="2987" t="s">
        <v>2476</v>
      </c>
      <c r="B1" s="2988"/>
      <c r="C1" s="2988"/>
      <c r="D1" s="2988"/>
      <c r="E1" s="2988"/>
      <c r="F1" s="2989"/>
      <c r="I1" s="3411" t="s">
        <v>2569</v>
      </c>
      <c r="J1" s="3200"/>
      <c r="K1" s="3200"/>
      <c r="L1" s="3200"/>
      <c r="M1" s="3200"/>
      <c r="N1" s="3412"/>
      <c r="O1" s="3412"/>
      <c r="P1" s="3412"/>
      <c r="Q1" s="3412"/>
      <c r="R1" s="3412"/>
    </row>
    <row r="2" spans="1:18">
      <c r="A2" s="2991"/>
      <c r="B2" s="2992"/>
      <c r="C2" s="2992"/>
      <c r="D2" s="2992"/>
      <c r="E2" s="2992"/>
      <c r="F2" s="2993"/>
      <c r="I2" s="3531" t="s">
        <v>2556</v>
      </c>
      <c r="J2" s="3531"/>
      <c r="K2" s="3531"/>
      <c r="L2" s="3531"/>
      <c r="M2" s="3531"/>
      <c r="N2" s="3531"/>
      <c r="O2" s="3531"/>
      <c r="P2" s="3531"/>
      <c r="Q2" s="3531"/>
      <c r="R2" s="3531"/>
    </row>
    <row r="3" spans="1:18">
      <c r="A3" s="2994" t="s">
        <v>2477</v>
      </c>
      <c r="B3" s="2995">
        <f>项目基本情况!D3</f>
        <v>45400</v>
      </c>
      <c r="C3" s="2997"/>
      <c r="D3" s="2997"/>
      <c r="E3" s="2997"/>
      <c r="F3" s="2993"/>
      <c r="I3" s="3413"/>
      <c r="J3" s="3413" t="s">
        <v>2560</v>
      </c>
      <c r="K3" s="3413" t="s">
        <v>2561</v>
      </c>
      <c r="L3" s="3413" t="s">
        <v>2562</v>
      </c>
      <c r="M3" s="3413" t="s">
        <v>2563</v>
      </c>
      <c r="N3" s="3414" t="s">
        <v>2564</v>
      </c>
      <c r="O3" s="3414" t="s">
        <v>2565</v>
      </c>
      <c r="P3" s="3414" t="s">
        <v>2566</v>
      </c>
      <c r="Q3" s="3414" t="s">
        <v>2567</v>
      </c>
      <c r="R3" s="3414" t="s">
        <v>2568</v>
      </c>
    </row>
    <row r="4" spans="1:18">
      <c r="A4" s="2994" t="s">
        <v>2478</v>
      </c>
      <c r="B4" s="2997" t="s">
        <v>2479</v>
      </c>
      <c r="C4" s="2997" t="s">
        <v>2480</v>
      </c>
      <c r="D4" s="2997" t="s">
        <v>2481</v>
      </c>
      <c r="E4" s="2997" t="s">
        <v>2482</v>
      </c>
      <c r="F4" s="2993"/>
      <c r="I4" s="3413" t="s">
        <v>2557</v>
      </c>
      <c r="J4" s="3413">
        <v>80</v>
      </c>
      <c r="K4" s="3413">
        <v>70</v>
      </c>
      <c r="L4" s="3413">
        <v>20</v>
      </c>
      <c r="M4" s="3413">
        <v>30</v>
      </c>
      <c r="N4" s="2997">
        <v>45</v>
      </c>
      <c r="O4" s="2997">
        <v>60</v>
      </c>
      <c r="P4" s="2997">
        <v>50</v>
      </c>
      <c r="Q4" s="2997">
        <v>20</v>
      </c>
      <c r="R4" s="2997">
        <v>375</v>
      </c>
    </row>
    <row r="5" spans="1:18">
      <c r="A5" s="2998">
        <v>40</v>
      </c>
      <c r="B5" s="2995">
        <v>52152</v>
      </c>
      <c r="C5" s="2997">
        <f>ROUNDDOWN(MIN((B5-B3)/365,A5),2)</f>
        <v>18.489999999999998</v>
      </c>
      <c r="D5" s="2999">
        <f>IF(ISERROR(ROUND(POWER(1+E5,A5-C5)*(POWER(1+E5,C5)-1)/(POWER(1+E5,A5)-1),3)),0,ROUND(POWER(1+E5,A5-C5)*(POWER(1+E5,C5)-1)/(POWER(1+E5,A5)-1),4))</f>
        <v>0.65149999999999997</v>
      </c>
      <c r="E5" s="3000">
        <v>0.04</v>
      </c>
      <c r="F5" s="2993"/>
      <c r="I5" s="3413" t="s">
        <v>2558</v>
      </c>
      <c r="J5" s="3413">
        <v>70</v>
      </c>
      <c r="K5" s="3413">
        <v>60</v>
      </c>
      <c r="L5" s="3413">
        <v>15</v>
      </c>
      <c r="M5" s="3413">
        <v>25</v>
      </c>
      <c r="N5" s="2997">
        <v>40</v>
      </c>
      <c r="O5" s="2997">
        <v>50</v>
      </c>
      <c r="P5" s="2997">
        <v>40</v>
      </c>
      <c r="Q5" s="2997">
        <v>15</v>
      </c>
      <c r="R5" s="2997">
        <v>315</v>
      </c>
    </row>
    <row r="6" spans="1:18">
      <c r="A6" s="2998">
        <v>50</v>
      </c>
      <c r="B6" s="2995">
        <f>项目基本情况!E13</f>
        <v>55805</v>
      </c>
      <c r="C6" s="2997">
        <f>ROUNDDOWN(MIN((B6-B3)/365,A6),2)</f>
        <v>28.5</v>
      </c>
      <c r="D6" s="2999">
        <f>IF(ISERROR(ROUND(POWER(1+E6,A6-C6)*(POWER(1+E6,C6)-1)/(POWER(1+E6,A6)-1),3)),0,ROUND(POWER(1+E6,A6-C6)*(POWER(1+E6,C6)-1)/(POWER(1+E6,A6)-1),4))</f>
        <v>0.78320000000000001</v>
      </c>
      <c r="E6" s="3000">
        <v>0.04</v>
      </c>
      <c r="F6" s="2993"/>
      <c r="I6" s="3413" t="s">
        <v>2559</v>
      </c>
      <c r="J6" s="3413">
        <v>60</v>
      </c>
      <c r="K6" s="3413">
        <v>50</v>
      </c>
      <c r="L6" s="3413">
        <v>10</v>
      </c>
      <c r="M6" s="3413">
        <v>20</v>
      </c>
      <c r="N6" s="2997">
        <v>35</v>
      </c>
      <c r="O6" s="2997">
        <v>40</v>
      </c>
      <c r="P6" s="2997">
        <v>30</v>
      </c>
      <c r="Q6" s="2997">
        <v>10</v>
      </c>
      <c r="R6" s="2997">
        <v>255</v>
      </c>
    </row>
    <row r="7" spans="1:18">
      <c r="A7" s="2998">
        <v>70</v>
      </c>
      <c r="B7" s="2995">
        <v>63110</v>
      </c>
      <c r="C7" s="2997">
        <f>ROUNDDOWN(MIN((B7-B3)/365,A7),2)</f>
        <v>48.52</v>
      </c>
      <c r="D7" s="2999">
        <f>IF(ISERROR(ROUND(POWER(1+E7,A7-C7)*(POWER(1+E7,C7)-1)/(POWER(1+E7,A7)-1),3)),0,ROUND(POWER(1+E7,A7-C7)*(POWER(1+E7,C7)-1)/(POWER(1+E7,A7)-1),4))</f>
        <v>0.9093</v>
      </c>
      <c r="E7" s="3000">
        <v>0.04</v>
      </c>
      <c r="F7" s="2993"/>
    </row>
    <row r="8" spans="1:18">
      <c r="A8" s="2991"/>
      <c r="B8" s="2992"/>
      <c r="C8" s="2992"/>
      <c r="D8" s="2992"/>
      <c r="E8" s="2992"/>
      <c r="F8" s="2993"/>
    </row>
    <row r="9" spans="1:18">
      <c r="A9" s="2994" t="s">
        <v>2483</v>
      </c>
      <c r="B9" s="2997"/>
      <c r="C9" s="2997"/>
      <c r="D9" s="2997"/>
      <c r="E9" s="2997"/>
      <c r="F9" s="3001"/>
    </row>
    <row r="10" spans="1:18">
      <c r="A10" s="2994" t="s">
        <v>2484</v>
      </c>
      <c r="B10" s="2997"/>
      <c r="C10" s="2997"/>
      <c r="D10" s="2997" t="s">
        <v>2482</v>
      </c>
      <c r="E10" s="2997"/>
      <c r="F10" s="3001" t="s">
        <v>2481</v>
      </c>
    </row>
    <row r="11" spans="1:18">
      <c r="A11" s="2994" t="s">
        <v>2485</v>
      </c>
      <c r="B11" s="3002">
        <v>50</v>
      </c>
      <c r="C11" s="2997" t="s">
        <v>2486</v>
      </c>
      <c r="D11" s="3003">
        <v>4.4999999999999998E-2</v>
      </c>
      <c r="E11" s="2997" t="s">
        <v>2487</v>
      </c>
      <c r="F11" s="3004">
        <f>ROUND(1-(1/(POWER(1+D11,B11))),4)</f>
        <v>0.88929999999999998</v>
      </c>
    </row>
    <row r="12" spans="1:18">
      <c r="A12" s="2994" t="s">
        <v>2488</v>
      </c>
      <c r="B12" s="3002">
        <v>20</v>
      </c>
      <c r="C12" s="2997" t="s">
        <v>2489</v>
      </c>
      <c r="D12" s="3003">
        <v>4.4999999999999998E-2</v>
      </c>
      <c r="E12" s="2997" t="s">
        <v>2490</v>
      </c>
      <c r="F12" s="3004">
        <f>ROUND(1-(1/(POWER(1+D12,B12))),4)</f>
        <v>0.58540000000000003</v>
      </c>
    </row>
    <row r="13" spans="1:18">
      <c r="A13" s="2994" t="s">
        <v>2491</v>
      </c>
      <c r="B13" s="2997"/>
      <c r="C13" s="2997"/>
      <c r="D13" s="2992"/>
      <c r="E13" s="2992"/>
      <c r="F13" s="2993"/>
    </row>
    <row r="14" spans="1:18">
      <c r="A14" s="2994" t="s">
        <v>2492</v>
      </c>
      <c r="B14" s="3002">
        <v>5000</v>
      </c>
      <c r="C14" s="2996"/>
      <c r="D14" s="2992"/>
      <c r="E14" s="2992"/>
      <c r="F14" s="2993"/>
    </row>
    <row r="15" spans="1:18">
      <c r="A15" s="2994" t="s">
        <v>2493</v>
      </c>
      <c r="B15" s="2997">
        <f>ROUND(B14*F12/F11,2)</f>
        <v>3291.35</v>
      </c>
      <c r="C15" s="2997">
        <f>ROUND(F12/F11,4)</f>
        <v>0.6583</v>
      </c>
      <c r="D15" s="2992"/>
      <c r="E15" s="2992"/>
      <c r="F15" s="2993"/>
    </row>
    <row r="16" spans="1:18">
      <c r="A16" s="2994" t="s">
        <v>2494</v>
      </c>
      <c r="B16" s="2997"/>
      <c r="C16" s="2997"/>
      <c r="D16" s="2992"/>
      <c r="E16" s="2992"/>
      <c r="F16" s="2993"/>
    </row>
    <row r="17" spans="1:13">
      <c r="A17" s="2994" t="s">
        <v>2493</v>
      </c>
      <c r="B17" s="3003">
        <v>4810</v>
      </c>
      <c r="C17" s="2996"/>
      <c r="D17" s="2992"/>
      <c r="E17" s="2992"/>
      <c r="F17" s="2993"/>
    </row>
    <row r="18" spans="1:13" ht="14.25" thickBot="1">
      <c r="A18" s="3005" t="s">
        <v>2492</v>
      </c>
      <c r="B18" s="3006">
        <f>ROUND(B17*F11/F12,2)</f>
        <v>7307.03</v>
      </c>
      <c r="C18" s="3006">
        <f>ROUND(F11/F12,4)</f>
        <v>1.5190999999999999</v>
      </c>
      <c r="D18" s="3007"/>
      <c r="E18" s="3007"/>
      <c r="F18" s="3008"/>
    </row>
    <row r="19" spans="1:13" ht="14.25" thickBot="1"/>
    <row r="20" spans="1:13" s="3043" customFormat="1" ht="14.25" thickTop="1">
      <c r="A20" s="3040" t="s">
        <v>2495</v>
      </c>
      <c r="B20" s="3041"/>
      <c r="C20" s="3041"/>
      <c r="D20" s="3041"/>
      <c r="E20" s="3041"/>
      <c r="F20" s="3041"/>
      <c r="G20" s="3042"/>
      <c r="I20" s="3044" t="s">
        <v>2540</v>
      </c>
      <c r="J20" s="3044" t="s">
        <v>2545</v>
      </c>
      <c r="K20" s="3044"/>
      <c r="L20" s="3044"/>
      <c r="M20" s="3044"/>
    </row>
    <row r="21" spans="1:13">
      <c r="A21" s="3009"/>
      <c r="B21" s="3010" t="s">
        <v>2496</v>
      </c>
      <c r="C21" s="3010" t="s">
        <v>2497</v>
      </c>
      <c r="D21" s="3010" t="s">
        <v>2498</v>
      </c>
      <c r="E21" s="3010" t="s">
        <v>2499</v>
      </c>
      <c r="F21" s="3010" t="s">
        <v>2500</v>
      </c>
      <c r="G21" s="3011" t="s">
        <v>2501</v>
      </c>
      <c r="I21" s="3032">
        <v>5</v>
      </c>
      <c r="J21" s="3032">
        <v>54.2</v>
      </c>
    </row>
    <row r="22" spans="1:13">
      <c r="A22" s="3009" t="s">
        <v>2502</v>
      </c>
      <c r="B22" s="3012">
        <v>70</v>
      </c>
      <c r="C22" s="3012">
        <v>30</v>
      </c>
      <c r="D22" s="3013">
        <v>0.04</v>
      </c>
      <c r="E22" s="3010">
        <f>ROUND(POWER(1+D22,B22-C22)*(POWER(1+D22,C22)-1)/(POWER(1+D22,B22)-1),3)</f>
        <v>0.73899999999999999</v>
      </c>
      <c r="F22" s="3013">
        <v>0.7</v>
      </c>
      <c r="G22" s="3011">
        <f>ROUND(100*(1-(1-E22)*F22),1)</f>
        <v>81.7</v>
      </c>
      <c r="I22" s="3032">
        <v>10</v>
      </c>
      <c r="J22" s="3032">
        <v>65.400000000000006</v>
      </c>
      <c r="K22" s="3032">
        <f>J22-J21</f>
        <v>11.200000000000003</v>
      </c>
    </row>
    <row r="23" spans="1:13">
      <c r="A23" s="3009" t="s">
        <v>2503</v>
      </c>
      <c r="B23" s="3012">
        <v>70</v>
      </c>
      <c r="C23" s="3012">
        <v>40</v>
      </c>
      <c r="D23" s="3013">
        <v>0.04</v>
      </c>
      <c r="E23" s="3010">
        <f t="shared" ref="E23:E25" si="0">ROUND(POWER(1+D23,B23-C23)*(POWER(1+D23,C23)-1)/(POWER(1+D23,B23)-1),3)</f>
        <v>0.84599999999999997</v>
      </c>
      <c r="F23" s="3013">
        <f>F22</f>
        <v>0.7</v>
      </c>
      <c r="G23" s="3011">
        <f t="shared" ref="G23:G25" si="1">ROUND(100*(1-(1-E23)*F23),1)</f>
        <v>89.2</v>
      </c>
      <c r="I23" s="3032">
        <v>15</v>
      </c>
      <c r="J23" s="3032">
        <v>74.099999999999994</v>
      </c>
      <c r="K23" s="3032">
        <f t="shared" ref="K23:K30" si="2">J23-J22</f>
        <v>8.6999999999999886</v>
      </c>
      <c r="L23" s="3032" t="s">
        <v>2543</v>
      </c>
      <c r="M23" s="3032" t="s">
        <v>2544</v>
      </c>
    </row>
    <row r="24" spans="1:13">
      <c r="A24" s="3009" t="s">
        <v>2504</v>
      </c>
      <c r="B24" s="3012">
        <v>70</v>
      </c>
      <c r="C24" s="3012">
        <v>50</v>
      </c>
      <c r="D24" s="3013">
        <v>0.04</v>
      </c>
      <c r="E24" s="3010">
        <f t="shared" si="0"/>
        <v>0.91800000000000004</v>
      </c>
      <c r="F24" s="3013">
        <f>F23</f>
        <v>0.7</v>
      </c>
      <c r="G24" s="3011">
        <f t="shared" si="1"/>
        <v>94.3</v>
      </c>
      <c r="I24" s="3032">
        <v>20</v>
      </c>
      <c r="J24" s="3032">
        <v>81</v>
      </c>
      <c r="K24" s="3032">
        <f t="shared" si="2"/>
        <v>6.9000000000000057</v>
      </c>
      <c r="L24" s="3032" t="s">
        <v>2542</v>
      </c>
      <c r="M24" s="3032">
        <v>10</v>
      </c>
    </row>
    <row r="25" spans="1:13">
      <c r="A25" s="3009" t="s">
        <v>2505</v>
      </c>
      <c r="B25" s="3012">
        <v>70</v>
      </c>
      <c r="C25" s="3012">
        <v>60</v>
      </c>
      <c r="D25" s="3013">
        <v>0.04</v>
      </c>
      <c r="E25" s="3010">
        <f t="shared" si="0"/>
        <v>0.96699999999999997</v>
      </c>
      <c r="F25" s="3013">
        <f>F24</f>
        <v>0.7</v>
      </c>
      <c r="G25" s="3011">
        <f t="shared" si="1"/>
        <v>97.7</v>
      </c>
      <c r="I25" s="3032">
        <v>25</v>
      </c>
      <c r="J25" s="3032">
        <v>86.3</v>
      </c>
      <c r="K25" s="3032">
        <f t="shared" si="2"/>
        <v>5.2999999999999972</v>
      </c>
      <c r="L25" s="3032" t="s">
        <v>2546</v>
      </c>
      <c r="M25" s="3032">
        <v>8</v>
      </c>
    </row>
    <row r="26" spans="1:13">
      <c r="A26" s="3014"/>
      <c r="B26" s="3015"/>
      <c r="C26" s="3015"/>
      <c r="D26" s="3015"/>
      <c r="E26" s="3015"/>
      <c r="F26" s="3015"/>
      <c r="G26" s="3016"/>
      <c r="I26" s="3032">
        <v>30</v>
      </c>
      <c r="J26" s="3032">
        <v>90.5</v>
      </c>
      <c r="K26" s="3032">
        <f t="shared" si="2"/>
        <v>4.2000000000000028</v>
      </c>
      <c r="L26" s="3032" t="s">
        <v>2547</v>
      </c>
      <c r="M26" s="3032">
        <v>5</v>
      </c>
    </row>
    <row r="27" spans="1:13">
      <c r="A27" s="3014" t="s">
        <v>2506</v>
      </c>
      <c r="B27" s="3015"/>
      <c r="C27" s="3015"/>
      <c r="D27" s="3015"/>
      <c r="E27" s="3015"/>
      <c r="F27" s="3015"/>
      <c r="G27" s="3016"/>
      <c r="I27" s="3032">
        <v>35</v>
      </c>
      <c r="J27" s="3032">
        <v>93.8</v>
      </c>
      <c r="K27" s="3032">
        <f t="shared" si="2"/>
        <v>3.2999999999999972</v>
      </c>
      <c r="L27" s="3032" t="s">
        <v>2548</v>
      </c>
      <c r="M27" s="3032">
        <v>3</v>
      </c>
    </row>
    <row r="28" spans="1:13">
      <c r="A28" s="3014" t="s">
        <v>2507</v>
      </c>
      <c r="B28" s="3015"/>
      <c r="C28" s="3015"/>
      <c r="D28" s="3015"/>
      <c r="E28" s="3015"/>
      <c r="F28" s="3015"/>
      <c r="G28" s="3016"/>
      <c r="I28" s="3032">
        <v>40</v>
      </c>
      <c r="J28" s="3032">
        <v>96.4</v>
      </c>
      <c r="K28" s="3032">
        <f t="shared" si="2"/>
        <v>2.6000000000000085</v>
      </c>
      <c r="L28" s="3032" t="s">
        <v>2549</v>
      </c>
      <c r="M28" s="3032">
        <v>2</v>
      </c>
    </row>
    <row r="29" spans="1:13">
      <c r="A29" s="3014" t="s">
        <v>2508</v>
      </c>
      <c r="B29" s="3015"/>
      <c r="C29" s="3015"/>
      <c r="D29" s="3015"/>
      <c r="E29" s="3015"/>
      <c r="F29" s="3015"/>
      <c r="G29" s="3016"/>
      <c r="I29" s="3032">
        <v>45</v>
      </c>
      <c r="J29" s="3032">
        <v>98.4</v>
      </c>
      <c r="K29" s="3032">
        <f t="shared" si="2"/>
        <v>2</v>
      </c>
    </row>
    <row r="30" spans="1:13">
      <c r="A30" s="3014" t="s">
        <v>2509</v>
      </c>
      <c r="B30" s="3015"/>
      <c r="C30" s="3015"/>
      <c r="D30" s="3015"/>
      <c r="E30" s="3015"/>
      <c r="F30" s="3015"/>
      <c r="G30" s="3016"/>
      <c r="I30" s="3032">
        <v>50</v>
      </c>
      <c r="J30" s="3032">
        <v>100</v>
      </c>
      <c r="K30" s="3032">
        <f t="shared" si="2"/>
        <v>1.5999999999999943</v>
      </c>
    </row>
    <row r="31" spans="1:13">
      <c r="A31" s="3014" t="s">
        <v>2510</v>
      </c>
      <c r="B31" s="3015"/>
      <c r="C31" s="3015"/>
      <c r="D31" s="3015"/>
      <c r="E31" s="3015"/>
      <c r="F31" s="3015"/>
      <c r="G31" s="3016"/>
      <c r="I31" s="3032" t="s">
        <v>2541</v>
      </c>
    </row>
    <row r="32" spans="1:13">
      <c r="A32" s="3014" t="s">
        <v>2511</v>
      </c>
      <c r="B32" s="3015"/>
      <c r="C32" s="3015"/>
      <c r="D32" s="3015"/>
      <c r="E32" s="3015"/>
      <c r="F32" s="3015"/>
      <c r="G32" s="3016"/>
    </row>
    <row r="33" spans="1:13">
      <c r="A33" s="3014" t="s">
        <v>2512</v>
      </c>
      <c r="B33" s="3015"/>
      <c r="C33" s="3015"/>
      <c r="D33" s="3015"/>
      <c r="E33" s="3015"/>
      <c r="F33" s="3015"/>
      <c r="G33" s="3016"/>
      <c r="I33" s="3032" t="s">
        <v>2540</v>
      </c>
      <c r="J33" s="3032" t="s">
        <v>2550</v>
      </c>
    </row>
    <row r="34" spans="1:13">
      <c r="A34" s="3014" t="s">
        <v>2513</v>
      </c>
      <c r="B34" s="3015"/>
      <c r="C34" s="3015"/>
      <c r="D34" s="3015"/>
      <c r="E34" s="3015"/>
      <c r="F34" s="3015"/>
      <c r="G34" s="3016"/>
      <c r="I34" s="3032">
        <v>5</v>
      </c>
      <c r="J34" s="3032">
        <v>55.1</v>
      </c>
    </row>
    <row r="35" spans="1:13">
      <c r="A35" s="3014" t="s">
        <v>2514</v>
      </c>
      <c r="B35" s="3015"/>
      <c r="C35" s="3015"/>
      <c r="D35" s="3015"/>
      <c r="E35" s="3015"/>
      <c r="F35" s="3015"/>
      <c r="G35" s="3016"/>
      <c r="I35" s="3032">
        <v>10</v>
      </c>
      <c r="J35" s="3032">
        <v>67</v>
      </c>
      <c r="K35" s="3032">
        <f>J35-J34</f>
        <v>11.899999999999999</v>
      </c>
    </row>
    <row r="36" spans="1:13">
      <c r="A36" s="3014" t="s">
        <v>2515</v>
      </c>
      <c r="B36" s="3015"/>
      <c r="C36" s="3015"/>
      <c r="D36" s="3015"/>
      <c r="E36" s="3015"/>
      <c r="F36" s="3015"/>
      <c r="G36" s="3016"/>
      <c r="I36" s="3032">
        <v>15</v>
      </c>
      <c r="J36" s="3032">
        <v>76.3</v>
      </c>
      <c r="K36" s="3032">
        <f t="shared" ref="K36:K41" si="3">J36-J35</f>
        <v>9.2999999999999972</v>
      </c>
      <c r="L36" s="3032" t="s">
        <v>2543</v>
      </c>
      <c r="M36" s="3032" t="s">
        <v>2544</v>
      </c>
    </row>
    <row r="37" spans="1:13">
      <c r="A37" s="3014" t="s">
        <v>2516</v>
      </c>
      <c r="B37" s="3015"/>
      <c r="C37" s="3015"/>
      <c r="D37" s="3015"/>
      <c r="E37" s="3015"/>
      <c r="F37" s="3015"/>
      <c r="G37" s="3016"/>
      <c r="I37" s="3032">
        <v>20</v>
      </c>
      <c r="J37" s="3032">
        <v>83.6</v>
      </c>
      <c r="K37" s="3032">
        <f t="shared" si="3"/>
        <v>7.2999999999999972</v>
      </c>
      <c r="L37" s="3032" t="s">
        <v>2542</v>
      </c>
      <c r="M37" s="3032">
        <v>10</v>
      </c>
    </row>
    <row r="38" spans="1:13">
      <c r="A38" s="3014" t="s">
        <v>2517</v>
      </c>
      <c r="B38" s="3015"/>
      <c r="C38" s="3015"/>
      <c r="D38" s="3015"/>
      <c r="E38" s="3015"/>
      <c r="F38" s="3015"/>
      <c r="G38" s="3016"/>
      <c r="I38" s="3032">
        <v>25</v>
      </c>
      <c r="J38" s="3032">
        <v>89.3</v>
      </c>
      <c r="K38" s="3032">
        <f t="shared" si="3"/>
        <v>5.7000000000000028</v>
      </c>
      <c r="L38" s="3032" t="s">
        <v>2546</v>
      </c>
      <c r="M38" s="3032">
        <v>8</v>
      </c>
    </row>
    <row r="39" spans="1:13">
      <c r="A39" s="3014"/>
      <c r="B39" s="3015"/>
      <c r="C39" s="3015"/>
      <c r="D39" s="3015"/>
      <c r="E39" s="3015"/>
      <c r="F39" s="3015"/>
      <c r="G39" s="3016"/>
      <c r="I39" s="3032">
        <v>30</v>
      </c>
      <c r="J39" s="3032">
        <v>93.8</v>
      </c>
      <c r="K39" s="3032">
        <f t="shared" si="3"/>
        <v>4.5</v>
      </c>
      <c r="L39" s="3032" t="s">
        <v>2547</v>
      </c>
      <c r="M39" s="3032">
        <v>6</v>
      </c>
    </row>
    <row r="40" spans="1:13">
      <c r="A40" s="3017" t="s">
        <v>2518</v>
      </c>
      <c r="B40" s="3018"/>
      <c r="C40" s="3018"/>
      <c r="D40" s="3018"/>
      <c r="E40" s="3018"/>
      <c r="F40" s="3018"/>
      <c r="G40" s="3019"/>
      <c r="I40" s="3032">
        <v>35</v>
      </c>
      <c r="J40" s="3032">
        <v>97.2</v>
      </c>
      <c r="K40" s="3032">
        <f t="shared" si="3"/>
        <v>3.4000000000000057</v>
      </c>
      <c r="L40" s="3032" t="s">
        <v>2548</v>
      </c>
      <c r="M40" s="3032">
        <v>3</v>
      </c>
    </row>
    <row r="41" spans="1:13">
      <c r="A41" s="3020" t="s">
        <v>2519</v>
      </c>
      <c r="B41" s="3021" t="s">
        <v>2520</v>
      </c>
      <c r="C41" s="3022" t="s">
        <v>2521</v>
      </c>
      <c r="D41" s="3022" t="s">
        <v>2522</v>
      </c>
      <c r="E41" s="3023"/>
      <c r="F41" s="3024"/>
      <c r="G41" s="3025"/>
      <c r="I41" s="3032">
        <v>40</v>
      </c>
      <c r="J41" s="3032">
        <v>100</v>
      </c>
      <c r="K41" s="3032">
        <f t="shared" si="3"/>
        <v>2.7999999999999972</v>
      </c>
    </row>
    <row r="42" spans="1:13">
      <c r="A42" s="3020" t="s">
        <v>2523</v>
      </c>
      <c r="B42" s="3021" t="s">
        <v>2524</v>
      </c>
      <c r="C42" s="3022" t="s">
        <v>2525</v>
      </c>
      <c r="D42" s="3026" t="s">
        <v>2526</v>
      </c>
      <c r="E42" s="3018" t="s">
        <v>2527</v>
      </c>
      <c r="F42" s="3018"/>
      <c r="G42" s="3019"/>
    </row>
    <row r="43" spans="1:13">
      <c r="A43" s="3020" t="s">
        <v>2528</v>
      </c>
      <c r="B43" s="3021" t="s">
        <v>2529</v>
      </c>
      <c r="C43" s="3022" t="s">
        <v>2530</v>
      </c>
      <c r="D43" s="3022" t="s">
        <v>2531</v>
      </c>
      <c r="E43" s="3023" t="s">
        <v>2532</v>
      </c>
      <c r="F43" s="3024"/>
      <c r="G43" s="3025"/>
      <c r="I43" s="3032" t="s">
        <v>2540</v>
      </c>
      <c r="J43" s="3032" t="s">
        <v>2551</v>
      </c>
    </row>
    <row r="44" spans="1:13">
      <c r="A44" s="3020" t="s">
        <v>2533</v>
      </c>
      <c r="B44" s="3021" t="s">
        <v>2534</v>
      </c>
      <c r="C44" s="3022" t="s">
        <v>2535</v>
      </c>
      <c r="D44" s="3026">
        <v>0.5</v>
      </c>
      <c r="E44" s="3023" t="s">
        <v>2536</v>
      </c>
      <c r="F44" s="3024"/>
      <c r="G44" s="3025"/>
      <c r="I44" s="3032">
        <v>30</v>
      </c>
      <c r="J44" s="3032">
        <v>81.7</v>
      </c>
    </row>
    <row r="45" spans="1:13" ht="14.25" thickBot="1">
      <c r="A45" s="3027" t="s">
        <v>2537</v>
      </c>
      <c r="B45" s="3028" t="s">
        <v>2524</v>
      </c>
      <c r="C45" s="3029" t="s">
        <v>2524</v>
      </c>
      <c r="D45" s="3029" t="s">
        <v>2538</v>
      </c>
      <c r="E45" s="3030" t="s">
        <v>2539</v>
      </c>
      <c r="F45" s="3030"/>
      <c r="G45" s="3031"/>
      <c r="I45" s="3032">
        <v>40</v>
      </c>
      <c r="J45" s="3032">
        <v>89.2</v>
      </c>
      <c r="K45" s="3032">
        <f>J45-J44</f>
        <v>7.5</v>
      </c>
    </row>
    <row r="46" spans="1:13">
      <c r="I46" s="3032">
        <v>50</v>
      </c>
      <c r="J46" s="3032">
        <v>94.3</v>
      </c>
      <c r="K46" s="3032">
        <f t="shared" ref="K46:K47" si="4">J46-J45</f>
        <v>5.0999999999999943</v>
      </c>
    </row>
    <row r="47" spans="1:13">
      <c r="I47" s="3032">
        <v>60</v>
      </c>
      <c r="J47" s="3032">
        <v>97.7</v>
      </c>
      <c r="K47" s="3032">
        <f t="shared" si="4"/>
        <v>3.4000000000000057</v>
      </c>
    </row>
  </sheetData>
  <sheetProtection password="CEE9" sheet="1" objects="1" scenarios="1"/>
  <mergeCells count="1">
    <mergeCell ref="I2:R2"/>
  </mergeCells>
  <phoneticPr fontId="133" type="noConversion"/>
  <pageMargins left="0.7" right="0.7" top="0.75" bottom="0.75" header="0.3" footer="0.3"/>
</worksheet>
</file>

<file path=xl/worksheets/sheet1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
    <tabColor rgb="FFFFFF00"/>
    <pageSetUpPr fitToPage="1"/>
  </sheetPr>
  <dimension ref="A1:AD56"/>
  <sheetViews>
    <sheetView view="pageBreakPreview" zoomScale="80" zoomScaleNormal="100" zoomScaleSheetLayoutView="80" workbookViewId="0">
      <selection activeCell="F10" sqref="F10"/>
    </sheetView>
  </sheetViews>
  <sheetFormatPr defaultColWidth="10" defaultRowHeight="12.75"/>
  <cols>
    <col min="1" max="1" width="16.875" style="1744" customWidth="1"/>
    <col min="2" max="2" width="10" style="1744" customWidth="1"/>
    <col min="3" max="3" width="11.5" style="1744" customWidth="1"/>
    <col min="4" max="4" width="10" style="1744" customWidth="1"/>
    <col min="5" max="5" width="12.625" style="1744" customWidth="1"/>
    <col min="6" max="6" width="10" style="1744" customWidth="1"/>
    <col min="7" max="7" width="10.75" style="1744" customWidth="1"/>
    <col min="8" max="8" width="10" style="1744" customWidth="1"/>
    <col min="9" max="9" width="11.125" style="1578" customWidth="1"/>
    <col min="10" max="10" width="10" style="1742" customWidth="1"/>
    <col min="11" max="11" width="10" style="2602" customWidth="1"/>
    <col min="12" max="13" width="10" style="2603" customWidth="1"/>
    <col min="14" max="14" width="10" style="1742" customWidth="1"/>
    <col min="15" max="15" width="10" style="9" customWidth="1"/>
    <col min="16" max="17" width="10" style="1742"/>
    <col min="18" max="18" width="10" style="1742" customWidth="1"/>
    <col min="19" max="30" width="10" style="1742"/>
    <col min="31" max="16384" width="10" style="1744"/>
  </cols>
  <sheetData>
    <row r="1" spans="1:30" ht="13.5" thickBot="1">
      <c r="A1" s="2365" t="s">
        <v>2149</v>
      </c>
      <c r="B1" s="3540" t="str">
        <f>IF(B10="北京市","北京市",C10)&amp;F10&amp;IF(结果表!G1="在建","出让国有建设用地使用权及在建建筑物",IF(结果表!G1="土地","出让国有建设用地使用权",))&amp;B9&amp;"预评估"</f>
        <v>北京市昌平区生命园路20号院1号楼-1至4层101房地产抵押价值预评估</v>
      </c>
      <c r="C1" s="3541"/>
      <c r="D1" s="3541"/>
      <c r="E1" s="3541"/>
      <c r="F1" s="3541"/>
      <c r="G1" s="3541"/>
      <c r="H1" s="3541"/>
      <c r="I1" s="3542"/>
      <c r="J1" s="2465"/>
      <c r="K1" s="2367"/>
      <c r="L1" s="2368"/>
      <c r="M1" s="2368"/>
      <c r="N1" s="2369"/>
      <c r="O1" s="1575"/>
      <c r="P1" s="2369"/>
      <c r="Q1" s="2369"/>
      <c r="R1" s="2369"/>
      <c r="S1" s="1681" t="str">
        <f>IF(B10="北京市","北京市",C10)&amp;F10&amp;IF(结果表!G1="在建","出让国有建设用地使用权及在建建筑物房地产抵押价值",IF(结果表!G1="土地","出让国有建设用地使用权抵押价值",B9))</f>
        <v>北京市昌平区生命园路20号院1号楼-1至4层101房地产抵押价值</v>
      </c>
      <c r="T1" s="1744"/>
      <c r="U1" s="1744"/>
      <c r="V1" s="1744"/>
      <c r="W1" s="1744"/>
      <c r="X1" s="1744"/>
      <c r="Y1" s="1744"/>
      <c r="Z1" s="1744"/>
      <c r="AA1" s="1744"/>
      <c r="AB1" s="1744"/>
    </row>
    <row r="2" spans="1:30">
      <c r="A2" s="2366" t="s">
        <v>2150</v>
      </c>
      <c r="B2" s="2370"/>
      <c r="C2" s="2371"/>
      <c r="D2" s="2644"/>
      <c r="E2" s="2636"/>
      <c r="F2" s="2636"/>
      <c r="G2" s="2637"/>
      <c r="H2" s="2637"/>
      <c r="I2" s="2637"/>
      <c r="J2" s="2465"/>
      <c r="K2" s="2367"/>
      <c r="L2" s="2368"/>
      <c r="M2" s="2368"/>
      <c r="N2" s="2369"/>
      <c r="O2" s="1575"/>
      <c r="P2" s="2369"/>
      <c r="Q2" s="2369"/>
      <c r="R2" s="2369"/>
      <c r="S2" s="1681" t="str">
        <f>IF(B10="北京市","北京市",C10)&amp;F10&amp;IF(结果表!G1="在建","出让国有建设用地使用权及在建建筑物房地产",IF(结果表!G1="土地","出让国有建设用地使用权","房地产"))</f>
        <v>北京市昌平区生命园路20号院1号楼-1至4层101房地产</v>
      </c>
      <c r="T2" s="1744"/>
      <c r="U2" s="1744"/>
      <c r="V2" s="1744"/>
      <c r="W2" s="1744"/>
      <c r="X2" s="1744"/>
      <c r="Y2" s="1744"/>
      <c r="Z2" s="1744"/>
      <c r="AA2" s="1744"/>
      <c r="AB2" s="1744"/>
    </row>
    <row r="3" spans="1:30">
      <c r="A3" s="302" t="s">
        <v>2151</v>
      </c>
      <c r="B3" s="2372">
        <v>45400</v>
      </c>
      <c r="C3" s="2373" t="s">
        <v>2152</v>
      </c>
      <c r="D3" s="2372">
        <f>B3</f>
        <v>45400</v>
      </c>
      <c r="E3" s="2637"/>
      <c r="F3" s="2637"/>
      <c r="G3" s="2637"/>
      <c r="H3" s="2637"/>
      <c r="I3" s="2637"/>
      <c r="J3" s="2465"/>
      <c r="K3" s="2367"/>
      <c r="L3" s="2368"/>
      <c r="M3" s="2368"/>
      <c r="N3" s="2369"/>
      <c r="O3" s="1575"/>
      <c r="P3" s="2369"/>
      <c r="Q3" s="2369"/>
      <c r="R3" s="2369"/>
      <c r="S3" s="1681"/>
      <c r="T3" s="1744"/>
      <c r="U3" s="1744"/>
      <c r="V3" s="1744"/>
      <c r="W3" s="1744"/>
      <c r="X3" s="1744"/>
      <c r="Y3" s="1744"/>
      <c r="Z3" s="1744"/>
      <c r="AA3" s="1744"/>
      <c r="AB3" s="1744"/>
    </row>
    <row r="4" spans="1:30" ht="13.5" thickBot="1">
      <c r="A4" s="1090" t="s">
        <v>2153</v>
      </c>
      <c r="B4" s="2374" t="s">
        <v>3355</v>
      </c>
      <c r="C4" s="2375">
        <f ca="1">SUMIF(注册房地产估价师,B4,估价师及机构信息!B3:B24)</f>
        <v>1419970001</v>
      </c>
      <c r="D4" s="2374" t="s">
        <v>3356</v>
      </c>
      <c r="E4" s="2376">
        <f ca="1">SUMIF(注册房地产估价师,D4,估价师及机构信息!B3:B24)</f>
        <v>1120070131</v>
      </c>
      <c r="F4" s="2374"/>
      <c r="G4" s="2376">
        <f>SUMIF(注册房地产估价师,F4,估价师及机构信息!B3:B24)</f>
        <v>0</v>
      </c>
      <c r="H4" s="2374"/>
      <c r="I4" s="2376">
        <f>SUMIF(注册房地产估价师,H4,估价师及机构信息!B3:B24)</f>
        <v>0</v>
      </c>
      <c r="J4" s="2435"/>
      <c r="K4" s="2377" t="str">
        <f ca="1">CONCATENATE(B4,"（注册号：",C4,")、",D4,"（注册号：",E4,")")</f>
        <v>吴薇（注册号：1419970001)、郑燚（注册号：1120070131)</v>
      </c>
      <c r="L4" s="2368"/>
      <c r="M4" s="2368"/>
      <c r="N4" s="2369"/>
      <c r="O4" s="1575"/>
      <c r="P4" s="2369"/>
      <c r="Q4" s="2369"/>
      <c r="R4" s="2369"/>
      <c r="S4" s="1681"/>
      <c r="T4" s="1744"/>
      <c r="U4" s="1744"/>
      <c r="V4" s="1744"/>
      <c r="W4" s="1744"/>
      <c r="X4" s="1744"/>
      <c r="Y4" s="1744"/>
      <c r="Z4" s="1744"/>
      <c r="AA4" s="1744"/>
      <c r="AB4" s="1744"/>
    </row>
    <row r="5" spans="1:30" ht="13.5" thickTop="1">
      <c r="A5" s="2378" t="s">
        <v>2154</v>
      </c>
      <c r="B5" s="3423" t="s">
        <v>3357</v>
      </c>
      <c r="C5" s="2379"/>
      <c r="D5" s="2380"/>
      <c r="E5" s="2638"/>
      <c r="F5" s="2638"/>
      <c r="G5" s="2638"/>
      <c r="H5" s="2638"/>
      <c r="I5" s="2638"/>
      <c r="J5" s="2435"/>
      <c r="K5" s="2377" t="str">
        <f>IF(F4="——","",IF(H4="——",F4&amp;"（注册号："&amp;G4&amp;")",CONCATENATE(F4,"（注册号：",G4,")、",H4,"（注册号：",I4,")")))</f>
        <v>（注册号：0)、（注册号：0)</v>
      </c>
      <c r="L5" s="2368"/>
      <c r="M5" s="2368"/>
      <c r="N5" s="2369"/>
      <c r="O5" s="1575"/>
      <c r="P5" s="2369"/>
      <c r="Q5" s="2369"/>
      <c r="R5" s="2369"/>
      <c r="S5" s="1744"/>
      <c r="T5" s="1744"/>
      <c r="U5" s="1744"/>
      <c r="V5" s="1744"/>
      <c r="W5" s="1744"/>
      <c r="X5" s="1744"/>
      <c r="Y5" s="1744"/>
      <c r="Z5" s="1744"/>
      <c r="AA5" s="1744"/>
      <c r="AB5" s="1744"/>
    </row>
    <row r="6" spans="1:30">
      <c r="A6" s="2381" t="s">
        <v>2155</v>
      </c>
      <c r="B6" s="3424" t="s">
        <v>3358</v>
      </c>
      <c r="C6" s="2382"/>
      <c r="D6" s="2383"/>
      <c r="E6" s="2636"/>
      <c r="F6" s="2638"/>
      <c r="G6" s="2638"/>
      <c r="H6" s="2638"/>
      <c r="I6" s="2638"/>
      <c r="J6" s="2435"/>
      <c r="K6" s="2589" t="str">
        <f>IF(COUNTIF(B6,"*上海银行*"),"上海银行","")</f>
        <v/>
      </c>
      <c r="L6" s="2587"/>
      <c r="M6" s="2587"/>
      <c r="N6" s="2435"/>
      <c r="O6" s="2446"/>
      <c r="P6" s="2435"/>
      <c r="Q6" s="2435"/>
      <c r="R6" s="2435"/>
    </row>
    <row r="7" spans="1:30" ht="48">
      <c r="A7" s="2381" t="s">
        <v>2156</v>
      </c>
      <c r="B7" s="3425" t="s">
        <v>3359</v>
      </c>
      <c r="C7" s="2382"/>
      <c r="D7" s="2383"/>
      <c r="E7" s="2636"/>
      <c r="F7" s="2638"/>
      <c r="G7" s="2638"/>
      <c r="H7" s="2638"/>
      <c r="I7" s="2638"/>
      <c r="J7" s="2435"/>
      <c r="K7" s="2590"/>
      <c r="L7" s="2587"/>
      <c r="M7" s="2587"/>
      <c r="N7" s="2435"/>
      <c r="O7" s="2446"/>
      <c r="P7" s="2435"/>
      <c r="Q7" s="2435"/>
      <c r="R7" s="2435"/>
    </row>
    <row r="8" spans="1:30">
      <c r="A8" s="2384" t="s">
        <v>2157</v>
      </c>
      <c r="B8" s="2385" t="s">
        <v>3351</v>
      </c>
      <c r="C8" s="2386"/>
      <c r="D8" s="3543" t="s">
        <v>2158</v>
      </c>
      <c r="E8" s="2387" t="s">
        <v>3360</v>
      </c>
      <c r="F8" s="2388"/>
      <c r="G8" s="2637"/>
      <c r="H8" s="2637"/>
      <c r="I8" s="2637"/>
      <c r="J8" s="2435"/>
      <c r="K8" s="2588"/>
      <c r="L8" s="2587"/>
      <c r="M8" s="2587"/>
      <c r="N8" s="2435"/>
      <c r="O8" s="2446"/>
      <c r="P8" s="2435"/>
      <c r="Q8" s="2435"/>
      <c r="R8" s="2435"/>
    </row>
    <row r="9" spans="1:30" ht="13.5" thickBot="1">
      <c r="A9" s="2389" t="s">
        <v>2159</v>
      </c>
      <c r="B9" s="2390" t="s">
        <v>3360</v>
      </c>
      <c r="C9" s="2391"/>
      <c r="D9" s="3544"/>
      <c r="E9" s="2390" t="s">
        <v>587</v>
      </c>
      <c r="F9" s="2392"/>
      <c r="G9" s="2639"/>
      <c r="H9" s="2639"/>
      <c r="I9" s="2639"/>
      <c r="J9" s="2435"/>
      <c r="K9" s="2590"/>
      <c r="L9" s="2587"/>
      <c r="M9" s="2587"/>
      <c r="N9" s="2435"/>
      <c r="O9" s="2446"/>
      <c r="P9" s="2435"/>
      <c r="Q9" s="2435"/>
      <c r="R9" s="2435"/>
    </row>
    <row r="10" spans="1:30" ht="13.5" thickTop="1">
      <c r="A10" s="2393" t="s">
        <v>2160</v>
      </c>
      <c r="B10" s="2394" t="s">
        <v>3361</v>
      </c>
      <c r="C10" s="2395"/>
      <c r="D10" s="2380"/>
      <c r="E10" s="2396" t="s">
        <v>2161</v>
      </c>
      <c r="F10" s="2640" t="s">
        <v>3666</v>
      </c>
      <c r="G10" s="2641"/>
      <c r="H10" s="2642"/>
      <c r="I10" s="2643"/>
      <c r="J10" s="2435"/>
      <c r="K10" s="2590"/>
      <c r="L10" s="2587"/>
      <c r="M10" s="2587"/>
      <c r="N10" s="2435"/>
      <c r="O10" s="2446"/>
      <c r="P10" s="2435"/>
      <c r="Q10" s="2435"/>
      <c r="R10" s="2435"/>
    </row>
    <row r="11" spans="1:30" ht="38.25">
      <c r="A11" s="2397" t="s">
        <v>2162</v>
      </c>
      <c r="B11" s="2398" t="s">
        <v>3362</v>
      </c>
      <c r="C11" s="2399" t="str">
        <f>B7</f>
        <v>北京中关村生命科学园发展有限责任公司</v>
      </c>
      <c r="D11" s="2400"/>
      <c r="E11" s="2369"/>
      <c r="F11" s="2369"/>
      <c r="G11" s="2369"/>
      <c r="H11" s="2369"/>
      <c r="I11" s="2369"/>
      <c r="J11" s="3035"/>
      <c r="K11" s="3034"/>
      <c r="L11" s="2587"/>
      <c r="M11" s="2587"/>
      <c r="N11" s="2435"/>
      <c r="O11" s="2446"/>
      <c r="P11" s="2435"/>
      <c r="Q11" s="2435"/>
      <c r="R11" s="2435"/>
    </row>
    <row r="12" spans="1:30">
      <c r="A12" s="2401" t="s">
        <v>2163</v>
      </c>
      <c r="B12" s="323" t="s">
        <v>2164</v>
      </c>
      <c r="C12" s="2402" t="s">
        <v>2165</v>
      </c>
      <c r="D12" s="2402" t="s">
        <v>2166</v>
      </c>
      <c r="E12" s="2402" t="s">
        <v>2167</v>
      </c>
      <c r="F12" s="2402" t="s">
        <v>2168</v>
      </c>
      <c r="G12" s="2402" t="s">
        <v>2169</v>
      </c>
      <c r="H12" s="2402" t="s">
        <v>2170</v>
      </c>
      <c r="I12" s="3033" t="s">
        <v>2552</v>
      </c>
      <c r="J12" s="3036"/>
      <c r="K12" s="2587"/>
      <c r="L12" s="2587"/>
      <c r="M12" s="2435"/>
      <c r="N12" s="2446"/>
      <c r="O12" s="2435"/>
      <c r="P12" s="2435"/>
      <c r="Q12" s="2435"/>
      <c r="AD12" s="1744"/>
    </row>
    <row r="13" spans="1:30">
      <c r="A13" s="3397" t="s">
        <v>3307</v>
      </c>
      <c r="B13" s="2403" t="s">
        <v>2171</v>
      </c>
      <c r="C13" s="856"/>
      <c r="D13" s="856"/>
      <c r="E13" s="856">
        <v>55805</v>
      </c>
      <c r="F13" s="856"/>
      <c r="G13" s="856"/>
      <c r="H13" s="856"/>
      <c r="I13" s="856">
        <f>E13</f>
        <v>55805</v>
      </c>
      <c r="J13" s="3036"/>
      <c r="K13" s="2587"/>
      <c r="L13" s="2587"/>
      <c r="M13" s="2435"/>
      <c r="N13" s="2446"/>
      <c r="O13" s="2435"/>
      <c r="P13" s="2435"/>
      <c r="Q13" s="2435"/>
      <c r="AD13" s="1744"/>
    </row>
    <row r="14" spans="1:30">
      <c r="A14" s="1081"/>
      <c r="B14" s="2403" t="s">
        <v>2172</v>
      </c>
      <c r="C14" s="2404"/>
      <c r="D14" s="2404"/>
      <c r="E14" s="2404">
        <v>50</v>
      </c>
      <c r="F14" s="2404"/>
      <c r="G14" s="2404"/>
      <c r="H14" s="2404"/>
      <c r="I14" s="2404">
        <v>50</v>
      </c>
      <c r="J14" s="3037"/>
      <c r="K14" s="2587"/>
      <c r="L14" s="2587"/>
      <c r="M14" s="2435"/>
      <c r="N14" s="2446"/>
      <c r="O14" s="2435"/>
      <c r="P14" s="2435"/>
      <c r="Q14" s="2435"/>
      <c r="AD14" s="1744"/>
    </row>
    <row r="15" spans="1:30">
      <c r="A15" s="320"/>
      <c r="B15" s="2405" t="s">
        <v>2173</v>
      </c>
      <c r="C15" s="2406" t="str">
        <f>IF(A13="出让",IF(C13="","",ROUNDDOWN(MIN((C13-$D$3)/365,C14),2)),C14)</f>
        <v/>
      </c>
      <c r="D15" s="2406" t="str">
        <f>IF(A13="出让",IF(D13="","",ROUNDDOWN(MIN((D13-$D$3)/365,D14),2)),D14)</f>
        <v/>
      </c>
      <c r="E15" s="2406">
        <f>IF(A13="出让",IF(E13="","",ROUNDDOWN(MIN((E13-$D$3)/365,E14),2)),E14)</f>
        <v>28.5</v>
      </c>
      <c r="F15" s="2406" t="str">
        <f>IF(A13="出让",IF(F13="","",ROUNDDOWN(MIN((F13-$D$3)/365,F14),2)),F14)</f>
        <v/>
      </c>
      <c r="G15" s="2406" t="str">
        <f>IF(A13="出让",IF(G13="","",ROUNDDOWN(MIN((G13-$D$3)/365,G14),2)),G14)</f>
        <v/>
      </c>
      <c r="H15" s="2406" t="str">
        <f>IF(A13="出让",IF(H13="","",ROUNDDOWN(MIN((H13-$D$3)/365,H14),2)),H14)</f>
        <v/>
      </c>
      <c r="I15" s="2406">
        <f>IF(A13="出让",IF(I13="","",ROUNDDOWN(MIN((I13-$D$3)/365,I14),2)),I14)</f>
        <v>28.5</v>
      </c>
      <c r="J15" s="3038"/>
      <c r="K15" s="2447"/>
      <c r="L15" s="2447"/>
      <c r="M15" s="2502"/>
      <c r="N15" s="2447"/>
      <c r="O15" s="2502"/>
      <c r="P15" s="2435"/>
      <c r="Q15" s="2435"/>
      <c r="AD15" s="1744"/>
    </row>
    <row r="16" spans="1:30">
      <c r="A16" s="2396" t="s">
        <v>2174</v>
      </c>
      <c r="B16" s="3550"/>
      <c r="C16" s="3551"/>
      <c r="D16" s="3552"/>
      <c r="E16" s="2409" t="s">
        <v>2175</v>
      </c>
      <c r="F16" s="3553"/>
      <c r="G16" s="3554"/>
      <c r="H16" s="3554"/>
      <c r="I16" s="3555"/>
      <c r="J16" s="2435"/>
      <c r="K16" s="2591"/>
      <c r="L16" s="2447"/>
      <c r="M16" s="2447"/>
      <c r="N16" s="2502"/>
      <c r="O16" s="2447"/>
      <c r="P16" s="2502"/>
      <c r="Q16" s="2435"/>
      <c r="R16" s="2435"/>
    </row>
    <row r="17" spans="1:28">
      <c r="A17" s="313" t="s">
        <v>2176</v>
      </c>
      <c r="B17" s="302" t="s">
        <v>2177</v>
      </c>
      <c r="C17" s="8">
        <f>'数据-汇总表'!E3</f>
        <v>17559.11</v>
      </c>
      <c r="D17" s="2321" t="s">
        <v>2178</v>
      </c>
      <c r="E17" s="3556" t="s">
        <v>2179</v>
      </c>
      <c r="F17" s="3557"/>
      <c r="G17" s="3557"/>
      <c r="H17" s="3557"/>
      <c r="I17" s="3558"/>
      <c r="J17" s="2435"/>
      <c r="K17" s="2592"/>
      <c r="L17" s="2447"/>
      <c r="M17" s="2447"/>
      <c r="N17" s="2502"/>
      <c r="O17" s="2447"/>
      <c r="P17" s="2502"/>
      <c r="Q17" s="2435"/>
      <c r="R17" s="2435"/>
      <c r="S17" s="2435"/>
      <c r="T17" s="2435"/>
      <c r="U17" s="2435"/>
      <c r="V17" s="2435"/>
    </row>
    <row r="18" spans="1:28" ht="26.25" thickBot="1">
      <c r="A18" s="2410" t="s">
        <v>3364</v>
      </c>
      <c r="B18" s="1090" t="s">
        <v>2180</v>
      </c>
      <c r="C18" s="2411">
        <f>'数据-汇总表'!D3</f>
        <v>15637.42</v>
      </c>
      <c r="D18" s="1092" t="s">
        <v>2181</v>
      </c>
      <c r="E18" s="3559" t="s">
        <v>2182</v>
      </c>
      <c r="F18" s="3560"/>
      <c r="G18" s="3560"/>
      <c r="H18" s="3560"/>
      <c r="I18" s="3561"/>
      <c r="J18" s="2435"/>
      <c r="K18" s="2592"/>
      <c r="L18" s="2447"/>
      <c r="M18" s="2447"/>
      <c r="N18" s="2502"/>
      <c r="O18" s="2447"/>
      <c r="P18" s="2502"/>
      <c r="Q18" s="2435"/>
      <c r="R18" s="2435"/>
      <c r="S18" s="2435"/>
      <c r="T18" s="2435"/>
      <c r="U18" s="2435"/>
      <c r="V18" s="2435"/>
    </row>
    <row r="19" spans="1:28" ht="37.5" thickTop="1" thickBot="1">
      <c r="A19" s="327" t="s">
        <v>1055</v>
      </c>
      <c r="B19" s="307" t="s">
        <v>2183</v>
      </c>
      <c r="C19" s="1562" t="s">
        <v>3363</v>
      </c>
      <c r="D19" s="1563" t="s">
        <v>2184</v>
      </c>
      <c r="E19" s="1564"/>
      <c r="F19" s="1565" t="str">
        <f>IF(AND(C19="是",E19="否"),"是否提供他项权证或相关说明","")</f>
        <v/>
      </c>
      <c r="G19" s="1566"/>
      <c r="H19" s="2638"/>
      <c r="I19" s="2638"/>
      <c r="J19" s="2435"/>
      <c r="K19" s="2590"/>
      <c r="L19" s="2587"/>
      <c r="M19" s="2587"/>
      <c r="N19" s="2502"/>
      <c r="O19" s="2447"/>
      <c r="P19" s="2502"/>
      <c r="Q19" s="2435"/>
      <c r="R19" s="2435"/>
      <c r="S19" s="2435"/>
      <c r="T19" s="2435"/>
      <c r="U19" s="2435"/>
      <c r="V19" s="2435"/>
    </row>
    <row r="20" spans="1:28">
      <c r="A20" s="2606" t="s">
        <v>2185</v>
      </c>
      <c r="B20" s="3546" t="s">
        <v>2186</v>
      </c>
      <c r="C20" s="3547"/>
      <c r="D20" s="3548" t="s">
        <v>2187</v>
      </c>
      <c r="E20" s="3549"/>
      <c r="F20" s="2621" t="s">
        <v>1056</v>
      </c>
      <c r="G20" s="2638"/>
      <c r="H20" s="2638"/>
      <c r="I20" s="2638"/>
      <c r="J20" s="2435"/>
      <c r="K20" s="3545" t="s">
        <v>2188</v>
      </c>
      <c r="L20" s="684" t="str">
        <f>"根据估价对象"&amp;IF(B22="——",B21&amp;C21,B21&amp;C21&amp;"、"&amp;B22&amp;C22)&amp;"，"&amp;IF(C19="是","截至价值时点，估价对象已设定抵押。","截至价值时点，估价对象抵押权未见登记。")</f>
        <v>根据估价对象《不动产权证书》复印件、，截至价值时点，估价对象已设定抵押。</v>
      </c>
      <c r="M20" s="2368"/>
      <c r="N20" s="2408"/>
      <c r="O20" s="2407"/>
      <c r="P20" s="2408"/>
      <c r="Q20" s="2369"/>
      <c r="R20" s="2369"/>
      <c r="S20" s="2369"/>
      <c r="T20" s="2369"/>
      <c r="U20" s="2369"/>
      <c r="V20" s="2369"/>
      <c r="W20" s="1744"/>
      <c r="X20" s="1744"/>
      <c r="Y20" s="1744"/>
      <c r="Z20" s="1744"/>
      <c r="AA20" s="1744"/>
      <c r="AB20" s="1744"/>
    </row>
    <row r="21" spans="1:28" ht="26.25" thickBot="1">
      <c r="A21" s="2606"/>
      <c r="B21" s="2607" t="s">
        <v>3366</v>
      </c>
      <c r="C21" s="2608" t="s">
        <v>3365</v>
      </c>
      <c r="D21" s="1567"/>
      <c r="E21" s="2609"/>
      <c r="F21" s="2622"/>
      <c r="G21" s="2638"/>
      <c r="H21" s="2638"/>
      <c r="I21" s="2638"/>
      <c r="J21" s="2435"/>
      <c r="K21" s="3545"/>
      <c r="L21" s="684" t="str">
        <f>IF(C19="否","",IF(E19="是","上述抵押权设定日期为"&amp;TEXT(C23,"yyyy年m月d日;;")&amp;"，权利人为"&amp;C24&amp;"，权利范围为"&amp;C25&amp;"，权利价值为"&amp;C26&amp;"。",IF(AND(E19="否",G19="是"),"上述权属证件中未登记该抵押权的具体情况（债权数额、期限等）。根据"&amp;IF(D21="","不动产权利人出具的"&amp;F21,D21&amp;E21)&amp;"，估价对象已抵押给"&amp;E24&amp;"，权利范围为"&amp;E25&amp;"，权利价值为"&amp;E26&amp;"。","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f>
        <v>上述权属证件中未登记该抵押权的具体情况（债权数额、期限等），且不动产权利人也未提供相关权利价值的说明。本次评估以在办理本次抵押登记手续前先办理上述抵押登记注销手续为假设前提，估价结果为设定上述抵押担保权已注销时的房地产抵押价值。</v>
      </c>
      <c r="M21" s="2368"/>
      <c r="N21" s="2408"/>
      <c r="O21" s="2407"/>
      <c r="P21" s="2408"/>
      <c r="Q21" s="2369"/>
      <c r="R21" s="2369"/>
      <c r="S21" s="2369"/>
      <c r="T21" s="2369"/>
      <c r="U21" s="2369"/>
      <c r="V21" s="2369"/>
      <c r="W21" s="1744"/>
      <c r="X21" s="1744"/>
      <c r="Y21" s="1744"/>
      <c r="Z21" s="1744"/>
      <c r="AA21" s="1744"/>
      <c r="AB21" s="1744"/>
    </row>
    <row r="22" spans="1:28" ht="13.5" thickBot="1">
      <c r="A22" s="2606"/>
      <c r="B22" s="2610"/>
      <c r="C22" s="2608"/>
      <c r="D22" s="2637"/>
      <c r="E22" s="2637"/>
      <c r="F22" s="2637"/>
      <c r="G22" s="2638"/>
      <c r="H22" s="2638"/>
      <c r="I22" s="2638"/>
      <c r="J22" s="2435"/>
      <c r="K22" s="3545"/>
      <c r="L22" s="684" t="str">
        <f>IF(E19="否","",IF(结果表!D36="同一抵押权人同一抵押物续贷","由于本次评估为同一抵押权人的续贷房地产抵押估价，故未将已抵押担保的债权数额（"&amp;C26&amp;"）作为法定优先受偿款予以扣减。",IF(结果表!D36="注销后放款","根据不动产权利人介绍，不动产权利人将在办理本次抵押登记手续前先办理上述抵押登记注销手续。因此，本次评估以在办理本次抵押登记手续前先办理上述抵押登记注销手续为假设前提，估价结果为设定上述抵押担保权已注销时的房地产抵押价值。","")))</f>
        <v/>
      </c>
      <c r="M22" s="2368"/>
      <c r="N22" s="2408"/>
      <c r="O22" s="2407"/>
      <c r="P22" s="2408"/>
      <c r="Q22" s="2369"/>
      <c r="R22" s="2369"/>
      <c r="S22" s="2369"/>
      <c r="T22" s="2369"/>
      <c r="U22" s="2369"/>
      <c r="V22" s="2369"/>
      <c r="W22" s="1744"/>
      <c r="X22" s="1744"/>
      <c r="Y22" s="1744"/>
      <c r="Z22" s="1744"/>
      <c r="AA22" s="1744"/>
      <c r="AB22" s="1744"/>
    </row>
    <row r="23" spans="1:28">
      <c r="A23" s="2611" t="s">
        <v>2189</v>
      </c>
      <c r="B23" s="2495" t="s">
        <v>2190</v>
      </c>
      <c r="C23" s="2612"/>
      <c r="D23" s="2613" t="s">
        <v>2190</v>
      </c>
      <c r="E23" s="2614"/>
      <c r="F23" s="2637"/>
      <c r="G23" s="2638"/>
      <c r="H23" s="2638"/>
      <c r="I23" s="2638"/>
      <c r="J23" s="2435"/>
      <c r="K23" s="2593"/>
      <c r="L23" s="2468"/>
      <c r="M23" s="2587"/>
      <c r="N23" s="2502"/>
      <c r="O23" s="2447"/>
      <c r="P23" s="2502"/>
      <c r="Q23" s="2435"/>
      <c r="R23" s="2435"/>
      <c r="S23" s="2435"/>
      <c r="T23" s="2435"/>
      <c r="U23" s="2435"/>
      <c r="V23" s="2435"/>
    </row>
    <row r="24" spans="1:28">
      <c r="A24" s="2611"/>
      <c r="B24" s="2495" t="s">
        <v>1057</v>
      </c>
      <c r="C24" s="2615"/>
      <c r="D24" s="2611" t="s">
        <v>1057</v>
      </c>
      <c r="E24" s="2616"/>
      <c r="F24" s="2637"/>
      <c r="G24" s="2638"/>
      <c r="H24" s="2638"/>
      <c r="I24" s="2638"/>
      <c r="J24" s="2435"/>
      <c r="K24" s="2593"/>
      <c r="L24" s="2468"/>
      <c r="M24" s="2587"/>
      <c r="N24" s="2502"/>
      <c r="O24" s="2447"/>
      <c r="P24" s="2502"/>
      <c r="Q24" s="2435"/>
      <c r="R24" s="2435"/>
      <c r="S24" s="2435"/>
      <c r="T24" s="2435"/>
      <c r="U24" s="2435"/>
      <c r="V24" s="2435"/>
    </row>
    <row r="25" spans="1:28">
      <c r="A25" s="2611"/>
      <c r="B25" s="2495" t="s">
        <v>1058</v>
      </c>
      <c r="C25" s="2615"/>
      <c r="D25" s="2611" t="s">
        <v>1058</v>
      </c>
      <c r="E25" s="2616"/>
      <c r="F25" s="2637"/>
      <c r="G25" s="2638"/>
      <c r="H25" s="2638"/>
      <c r="I25" s="2638"/>
      <c r="J25" s="2435"/>
      <c r="K25" s="2590"/>
      <c r="L25" s="2587"/>
      <c r="M25" s="2587"/>
      <c r="N25" s="2502"/>
      <c r="O25" s="2447"/>
      <c r="P25" s="2502"/>
      <c r="Q25" s="2435"/>
      <c r="R25" s="2435"/>
      <c r="S25" s="2435"/>
      <c r="T25" s="2435"/>
      <c r="U25" s="2435"/>
      <c r="V25" s="2435"/>
    </row>
    <row r="26" spans="1:28" ht="13.5" thickBot="1">
      <c r="A26" s="2617"/>
      <c r="B26" s="2618" t="s">
        <v>1059</v>
      </c>
      <c r="C26" s="2619"/>
      <c r="D26" s="2617" t="s">
        <v>1059</v>
      </c>
      <c r="E26" s="2620"/>
      <c r="F26" s="2639"/>
      <c r="G26" s="2639"/>
      <c r="H26" s="2639"/>
      <c r="I26" s="2639"/>
      <c r="J26" s="2435"/>
      <c r="K26" s="2590"/>
      <c r="L26" s="2587"/>
      <c r="M26" s="2587"/>
      <c r="N26" s="2502"/>
      <c r="O26" s="2447"/>
      <c r="P26" s="2502"/>
      <c r="Q26" s="2435"/>
      <c r="R26" s="2435"/>
      <c r="S26" s="2435"/>
      <c r="T26" s="2435"/>
      <c r="U26" s="2435"/>
      <c r="V26" s="2435"/>
    </row>
    <row r="27" spans="1:28" ht="13.5" thickTop="1">
      <c r="A27" s="3533" t="s">
        <v>2191</v>
      </c>
      <c r="B27" s="320" t="s">
        <v>2192</v>
      </c>
      <c r="C27" s="2412" t="s">
        <v>3367</v>
      </c>
      <c r="D27" s="2413"/>
      <c r="E27" s="2638"/>
      <c r="F27" s="2638"/>
      <c r="G27" s="2638"/>
      <c r="H27" s="2638"/>
      <c r="I27" s="2638"/>
      <c r="J27" s="2435"/>
      <c r="K27" s="2591"/>
      <c r="L27" s="2447"/>
      <c r="M27" s="2447"/>
      <c r="N27" s="2502"/>
      <c r="O27" s="2447"/>
      <c r="P27" s="2502"/>
      <c r="Q27" s="2435"/>
      <c r="R27" s="2435"/>
      <c r="S27" s="2435"/>
      <c r="T27" s="2435"/>
      <c r="U27" s="2435"/>
      <c r="V27" s="2435"/>
    </row>
    <row r="28" spans="1:28">
      <c r="A28" s="3533"/>
      <c r="B28" s="302" t="s">
        <v>2193</v>
      </c>
      <c r="C28" s="2414" t="s">
        <v>3368</v>
      </c>
      <c r="D28" s="2415"/>
      <c r="E28" s="2638"/>
      <c r="F28" s="2638"/>
      <c r="G28" s="2638"/>
      <c r="H28" s="2638"/>
      <c r="I28" s="2638"/>
      <c r="J28" s="2435"/>
      <c r="K28" s="2590"/>
      <c r="L28" s="2587"/>
      <c r="M28" s="2587"/>
      <c r="N28" s="2435"/>
      <c r="O28" s="2446"/>
      <c r="P28" s="2435"/>
      <c r="Q28" s="2435"/>
      <c r="R28" s="2435"/>
      <c r="S28" s="2435"/>
      <c r="T28" s="2435"/>
      <c r="U28" s="2435"/>
      <c r="V28" s="2435"/>
    </row>
    <row r="29" spans="1:28">
      <c r="A29" s="3533"/>
      <c r="B29" s="302" t="s">
        <v>2194</v>
      </c>
      <c r="C29" s="2416" t="s">
        <v>3369</v>
      </c>
      <c r="D29" s="2417"/>
      <c r="E29" s="2638"/>
      <c r="F29" s="2638"/>
      <c r="G29" s="2638"/>
      <c r="H29" s="2638"/>
      <c r="I29" s="2638"/>
      <c r="J29" s="2435"/>
      <c r="K29" s="2590"/>
      <c r="L29" s="2587"/>
      <c r="M29" s="2587"/>
      <c r="N29" s="2435"/>
      <c r="O29" s="2446"/>
      <c r="P29" s="2435"/>
      <c r="Q29" s="2435"/>
      <c r="R29" s="2435"/>
      <c r="S29" s="2435"/>
      <c r="T29" s="2435"/>
      <c r="U29" s="2435"/>
      <c r="V29" s="2435"/>
    </row>
    <row r="30" spans="1:28">
      <c r="A30" s="3534"/>
      <c r="B30" s="302" t="s">
        <v>2195</v>
      </c>
      <c r="C30" s="3535"/>
      <c r="D30" s="3536"/>
      <c r="E30" s="2638"/>
      <c r="F30" s="2638"/>
      <c r="G30" s="2638"/>
      <c r="H30" s="2638"/>
      <c r="I30" s="2638"/>
      <c r="J30" s="2435"/>
      <c r="K30" s="2590"/>
      <c r="L30" s="2587"/>
      <c r="M30" s="2587"/>
      <c r="N30" s="2435"/>
      <c r="O30" s="2446"/>
      <c r="P30" s="2435"/>
      <c r="Q30" s="2435"/>
      <c r="R30" s="2435"/>
      <c r="S30" s="2435"/>
      <c r="T30" s="2435"/>
      <c r="U30" s="2435"/>
      <c r="V30" s="2435"/>
    </row>
    <row r="31" spans="1:28">
      <c r="A31" s="3537" t="s">
        <v>2196</v>
      </c>
      <c r="B31" s="2418" t="s">
        <v>3370</v>
      </c>
      <c r="C31" s="2322" t="str">
        <f>IF(B31="现房","成新及维护状况正常否",IF(B31="在建","工程状态是否正常",IF(B31="土地","是否闲置","-")))</f>
        <v>成新及维护状况正常否</v>
      </c>
      <c r="D31" s="1372"/>
      <c r="E31" s="2419"/>
      <c r="F31" s="2638"/>
      <c r="G31" s="2638"/>
      <c r="H31" s="2638"/>
      <c r="I31" s="2638"/>
      <c r="J31" s="2435"/>
      <c r="K31" s="2589"/>
      <c r="L31" s="2587"/>
      <c r="M31" s="2587"/>
      <c r="N31" s="2435"/>
      <c r="O31" s="2446"/>
      <c r="P31" s="2435"/>
      <c r="Q31" s="2435"/>
      <c r="R31" s="2435"/>
      <c r="S31" s="2435"/>
      <c r="T31" s="2435"/>
      <c r="U31" s="2435"/>
      <c r="V31" s="2435"/>
    </row>
    <row r="32" spans="1:28">
      <c r="A32" s="3538"/>
      <c r="B32" s="2418"/>
      <c r="C32" s="2322" t="str">
        <f>IF(B32="现房","成新及维护状况是否正常",IF(B32="在建","工程状态是否正常",IF(B32="土地","是否闲置","-")))</f>
        <v>-</v>
      </c>
      <c r="D32" s="1372"/>
      <c r="E32" s="2419"/>
      <c r="F32" s="2638"/>
      <c r="G32" s="2638"/>
      <c r="H32" s="2638"/>
      <c r="I32" s="2638"/>
      <c r="J32" s="2435"/>
      <c r="K32" s="2590"/>
      <c r="L32" s="2587"/>
      <c r="M32" s="2587"/>
      <c r="N32" s="2435"/>
      <c r="O32" s="2446"/>
      <c r="P32" s="2435"/>
      <c r="Q32" s="2435"/>
      <c r="R32" s="2435"/>
      <c r="S32" s="2435"/>
      <c r="T32" s="2435"/>
      <c r="U32" s="2435"/>
      <c r="V32" s="2435"/>
    </row>
    <row r="33" spans="1:30">
      <c r="A33" s="3538"/>
      <c r="B33" s="2421"/>
      <c r="C33" s="1589" t="str">
        <f>IF(B33="现房","成新及维护状况是否正常",IF(B33="在建","工程状态是否正常",IF(B33="土地","是否闲置","-")))</f>
        <v>-</v>
      </c>
      <c r="D33" s="1364"/>
      <c r="E33" s="2422"/>
      <c r="F33" s="2638"/>
      <c r="G33" s="2638"/>
      <c r="H33" s="2638"/>
      <c r="I33" s="2638"/>
      <c r="J33" s="2435"/>
      <c r="K33" s="2590"/>
      <c r="L33" s="2587"/>
      <c r="M33" s="2587"/>
      <c r="N33" s="2435"/>
      <c r="O33" s="2446"/>
      <c r="P33" s="2435"/>
      <c r="Q33" s="2435"/>
      <c r="R33" s="2435"/>
      <c r="S33" s="2435"/>
      <c r="T33" s="2435"/>
      <c r="U33" s="2435"/>
      <c r="V33" s="2435"/>
    </row>
    <row r="34" spans="1:30">
      <c r="A34" s="302" t="s">
        <v>2197</v>
      </c>
      <c r="B34" s="2025" t="s">
        <v>3371</v>
      </c>
      <c r="C34" s="2025" t="s">
        <v>3372</v>
      </c>
      <c r="D34" s="2025" t="s">
        <v>3373</v>
      </c>
      <c r="E34" s="2025" t="s">
        <v>3374</v>
      </c>
      <c r="F34" s="2025" t="s">
        <v>3375</v>
      </c>
      <c r="G34" s="2025" t="s">
        <v>3376</v>
      </c>
      <c r="H34" s="2025" t="s">
        <v>3377</v>
      </c>
      <c r="I34" s="2638"/>
      <c r="J34" s="2435"/>
      <c r="K34" s="2423">
        <f>COUNTIF(B34:H34,"——")</f>
        <v>0</v>
      </c>
      <c r="L34" s="323" t="s">
        <v>2198</v>
      </c>
      <c r="M34" s="323" t="s">
        <v>2199</v>
      </c>
      <c r="N34" s="323" t="s">
        <v>2200</v>
      </c>
      <c r="O34" s="323" t="s">
        <v>2201</v>
      </c>
      <c r="P34" s="323" t="s">
        <v>2202</v>
      </c>
      <c r="Q34" s="323" t="s">
        <v>2203</v>
      </c>
      <c r="R34" s="323" t="s">
        <v>2204</v>
      </c>
      <c r="S34" s="3532" t="s">
        <v>2205</v>
      </c>
      <c r="T34" s="2424" t="str">
        <f>NUMBERSTRING(7-K34,1)&amp;"通"</f>
        <v>七通</v>
      </c>
      <c r="U34" s="2435"/>
      <c r="V34" s="2435"/>
    </row>
    <row r="35" spans="1:30">
      <c r="A35" s="2425"/>
      <c r="B35" s="3539" t="s">
        <v>2206</v>
      </c>
      <c r="C35" s="3539"/>
      <c r="D35" s="3539"/>
      <c r="E35" s="3539"/>
      <c r="F35" s="664">
        <f>C10</f>
        <v>0</v>
      </c>
      <c r="G35" s="2638"/>
      <c r="H35" s="2638"/>
      <c r="I35" s="2638"/>
      <c r="J35" s="2435"/>
      <c r="K35" s="323"/>
      <c r="L35" s="323" t="str">
        <f>B34</f>
        <v>通路</v>
      </c>
      <c r="M35" s="329" t="str">
        <f>B34&amp;"、"&amp;C34</f>
        <v>通路、通电</v>
      </c>
      <c r="N35" s="329" t="str">
        <f>B34&amp;"、"&amp;C34&amp;"、"&amp;D34</f>
        <v>通路、通电、通讯</v>
      </c>
      <c r="O35" s="329" t="str">
        <f>B34&amp;"、"&amp;C34&amp;"、"&amp;D34&amp;"、"&amp;E34</f>
        <v>通路、通电、通讯、通上水</v>
      </c>
      <c r="P35" s="329" t="str">
        <f>B34&amp;"、"&amp;C34&amp;"、"&amp;D34&amp;"、"&amp;E34&amp;"、"&amp;F34</f>
        <v>通路、通电、通讯、通上水、通下水</v>
      </c>
      <c r="Q35" s="329" t="str">
        <f>B34&amp;"、"&amp;C34&amp;"、"&amp;D34&amp;"、"&amp;E34&amp;"、"&amp;F34&amp;"、"&amp;G34</f>
        <v>通路、通电、通讯、通上水、通下水、燃气</v>
      </c>
      <c r="R35" s="329" t="str">
        <f>B34&amp;"、"&amp;C34&amp;"、"&amp;D34&amp;"、"&amp;E34&amp;"、"&amp;F34&amp;"、"&amp;G34&amp;"、"&amp;H34</f>
        <v>通路、通电、通讯、通上水、通下水、燃气、平整</v>
      </c>
      <c r="S35" s="3532"/>
      <c r="T35" s="329" t="str">
        <f>IF(T34="一通",L35,IF(T34="二通",M35,IF(T34="三通",N35,IF(T34="四通",O35,IF(T34="五通",P35,IF(T34="六通",Q35,R35))))))</f>
        <v>通路、通电、通讯、通上水、通下水、燃气、平整</v>
      </c>
      <c r="U35" s="2435"/>
      <c r="V35" s="2435"/>
    </row>
    <row r="36" spans="1:30">
      <c r="A36" s="2426"/>
      <c r="B36" s="664" t="s">
        <v>2166</v>
      </c>
      <c r="C36" s="664" t="s">
        <v>2167</v>
      </c>
      <c r="D36" s="664" t="s">
        <v>2165</v>
      </c>
      <c r="E36" s="664" t="s">
        <v>2170</v>
      </c>
      <c r="F36" s="3039" t="s">
        <v>2555</v>
      </c>
      <c r="G36" s="2638"/>
      <c r="H36" s="2638"/>
      <c r="I36" s="2638"/>
      <c r="J36" s="2435"/>
      <c r="K36" s="2590"/>
      <c r="L36" s="2587"/>
      <c r="M36" s="2587"/>
      <c r="N36" s="2435"/>
      <c r="O36" s="2446"/>
      <c r="P36" s="2435"/>
      <c r="Q36" s="2435"/>
      <c r="R36" s="2435"/>
      <c r="S36" s="2435"/>
      <c r="T36" s="2435"/>
      <c r="U36" s="2435"/>
      <c r="V36" s="2435"/>
    </row>
    <row r="37" spans="1:30">
      <c r="A37" s="2604" t="s">
        <v>2207</v>
      </c>
      <c r="B37" s="2427"/>
      <c r="C37" s="2427" t="s">
        <v>29</v>
      </c>
      <c r="D37" s="2427"/>
      <c r="E37" s="2427"/>
      <c r="F37" s="2427" t="s">
        <v>29</v>
      </c>
      <c r="G37" s="2638"/>
      <c r="H37" s="2638"/>
      <c r="I37" s="2638"/>
      <c r="J37" s="2435"/>
      <c r="K37" s="2590"/>
      <c r="L37" s="2587"/>
      <c r="M37" s="2587"/>
      <c r="N37" s="2435"/>
      <c r="O37" s="2446"/>
      <c r="P37" s="2435"/>
      <c r="Q37" s="2435"/>
      <c r="R37" s="2435"/>
      <c r="S37" s="2435"/>
      <c r="T37" s="2435"/>
      <c r="U37" s="2435"/>
      <c r="V37" s="2435"/>
    </row>
    <row r="38" spans="1:30" ht="13.5" thickBot="1">
      <c r="A38" s="2605" t="s">
        <v>2208</v>
      </c>
      <c r="B38" s="2428"/>
      <c r="C38" s="2428" t="s">
        <v>3378</v>
      </c>
      <c r="D38" s="2428"/>
      <c r="E38" s="2428"/>
      <c r="F38" s="2428" t="s">
        <v>3378</v>
      </c>
      <c r="G38" s="2639"/>
      <c r="H38" s="2639"/>
      <c r="I38" s="2639"/>
      <c r="J38" s="2435"/>
      <c r="K38" s="2590"/>
      <c r="L38" s="2587"/>
      <c r="M38" s="2587"/>
      <c r="N38" s="2435"/>
      <c r="O38" s="2446"/>
      <c r="P38" s="2435"/>
      <c r="Q38" s="2435"/>
      <c r="R38" s="2435"/>
      <c r="S38" s="2435"/>
      <c r="T38" s="2435"/>
      <c r="U38" s="2435"/>
      <c r="V38" s="2435"/>
    </row>
    <row r="39" spans="1:30" s="2431" customFormat="1" ht="14.25" thickTop="1" thickBot="1">
      <c r="A39" s="2429" t="s">
        <v>2209</v>
      </c>
      <c r="B39" s="2430"/>
      <c r="C39" s="2430"/>
      <c r="D39" s="2430"/>
      <c r="E39" s="2430"/>
      <c r="F39" s="2430"/>
      <c r="G39" s="2430"/>
      <c r="H39" s="2430"/>
      <c r="I39" s="2430"/>
      <c r="J39" s="2596"/>
      <c r="K39" s="2597"/>
      <c r="L39" s="2596"/>
      <c r="M39" s="2596"/>
      <c r="N39" s="2596"/>
      <c r="O39" s="2598"/>
      <c r="P39" s="2596"/>
      <c r="Q39" s="2596"/>
      <c r="R39" s="2596"/>
      <c r="S39" s="2596"/>
      <c r="T39" s="2596"/>
      <c r="U39" s="2596"/>
      <c r="V39" s="2596"/>
      <c r="W39" s="2599"/>
      <c r="X39" s="2599"/>
      <c r="Y39" s="2599"/>
      <c r="Z39" s="2599"/>
      <c r="AA39" s="2599"/>
      <c r="AB39" s="2599"/>
      <c r="AC39" s="2599"/>
      <c r="AD39" s="2599"/>
    </row>
    <row r="40" spans="1:30">
      <c r="A40" s="2369"/>
      <c r="B40" s="2369"/>
      <c r="C40" s="2369"/>
      <c r="D40" s="2369"/>
      <c r="E40" s="2369"/>
      <c r="F40" s="2369"/>
      <c r="G40" s="2369"/>
      <c r="H40" s="2369"/>
      <c r="I40" s="1577"/>
      <c r="J40" s="2502"/>
      <c r="K40" s="2589"/>
      <c r="L40" s="2447"/>
      <c r="M40" s="2447"/>
      <c r="N40" s="2502"/>
      <c r="O40" s="2447"/>
      <c r="P40" s="2435"/>
      <c r="Q40" s="2435"/>
      <c r="R40" s="2435"/>
      <c r="S40" s="2435"/>
      <c r="T40" s="2435"/>
      <c r="U40" s="2435"/>
      <c r="V40" s="2435"/>
    </row>
    <row r="41" spans="1:30">
      <c r="A41" s="2432" t="s">
        <v>2210</v>
      </c>
      <c r="B41" s="1756"/>
      <c r="C41" s="1372"/>
      <c r="D41" s="2369"/>
      <c r="E41" s="2369"/>
      <c r="F41" s="2369"/>
      <c r="G41" s="2369"/>
      <c r="H41" s="2369"/>
      <c r="I41" s="1575"/>
      <c r="J41" s="2435"/>
      <c r="K41" s="2590"/>
      <c r="L41" s="2587"/>
      <c r="M41" s="2587"/>
      <c r="N41" s="2435"/>
      <c r="O41" s="2446"/>
      <c r="P41" s="2435"/>
      <c r="Q41" s="2435"/>
      <c r="R41" s="2435"/>
      <c r="S41" s="2435"/>
      <c r="T41" s="2435"/>
      <c r="U41" s="2435"/>
      <c r="V41" s="2435"/>
    </row>
    <row r="42" spans="1:30" ht="25.5">
      <c r="A42" s="323" t="s">
        <v>2211</v>
      </c>
      <c r="B42" s="8" t="s">
        <v>2212</v>
      </c>
      <c r="C42" s="8" t="s">
        <v>2213</v>
      </c>
      <c r="D42" s="8" t="s">
        <v>2214</v>
      </c>
      <c r="E42" s="8" t="s">
        <v>2215</v>
      </c>
      <c r="F42" s="8" t="s">
        <v>2216</v>
      </c>
      <c r="G42" s="8" t="s">
        <v>2217</v>
      </c>
      <c r="H42" s="8" t="s">
        <v>2218</v>
      </c>
      <c r="I42" s="8" t="s">
        <v>2219</v>
      </c>
      <c r="J42" s="2600" t="s">
        <v>2220</v>
      </c>
      <c r="K42" s="2601" t="s">
        <v>2221</v>
      </c>
      <c r="L42" s="2601" t="s">
        <v>2222</v>
      </c>
      <c r="M42" s="2601" t="s">
        <v>2223</v>
      </c>
      <c r="N42" s="2594" t="s">
        <v>2224</v>
      </c>
      <c r="O42" s="2594" t="s">
        <v>2225</v>
      </c>
      <c r="P42" s="2594" t="s">
        <v>2226</v>
      </c>
      <c r="Q42" s="2595" t="s">
        <v>2227</v>
      </c>
      <c r="R42" s="2595" t="s">
        <v>2228</v>
      </c>
      <c r="S42" s="2435"/>
      <c r="T42" s="2435"/>
      <c r="U42" s="2435"/>
      <c r="V42" s="2435"/>
    </row>
    <row r="43" spans="1:30" s="1742" customFormat="1">
      <c r="A43" s="1569"/>
      <c r="B43" s="1051"/>
      <c r="C43" s="1051"/>
      <c r="D43" s="1051"/>
      <c r="E43" s="1051"/>
      <c r="F43" s="1051"/>
      <c r="G43" s="1051"/>
      <c r="H43" s="1051"/>
      <c r="I43" s="1051"/>
      <c r="J43" s="2433"/>
      <c r="K43" s="2434"/>
      <c r="L43" s="2434"/>
      <c r="M43" s="1051"/>
      <c r="N43" s="1051"/>
      <c r="O43" s="1051"/>
      <c r="P43" s="1051"/>
      <c r="Q43" s="1051"/>
      <c r="R43" s="1051"/>
      <c r="S43" s="2435"/>
      <c r="T43" s="2435"/>
      <c r="U43" s="2435"/>
      <c r="V43" s="2435"/>
    </row>
    <row r="44" spans="1:30" s="1742" customFormat="1">
      <c r="A44" s="1569"/>
      <c r="B44" s="1569"/>
      <c r="C44" s="1051"/>
      <c r="D44" s="1051"/>
      <c r="E44" s="1051"/>
      <c r="F44" s="1051"/>
      <c r="G44" s="1051"/>
      <c r="H44" s="1051"/>
      <c r="I44" s="1051"/>
      <c r="J44" s="2433"/>
      <c r="K44" s="2434"/>
      <c r="L44" s="2434"/>
      <c r="M44" s="1051"/>
      <c r="N44" s="1051"/>
      <c r="O44" s="1051"/>
      <c r="P44" s="1051"/>
      <c r="Q44" s="1051"/>
      <c r="R44" s="1051"/>
      <c r="S44" s="2435"/>
      <c r="T44" s="2435"/>
      <c r="U44" s="2435"/>
      <c r="V44" s="2435"/>
    </row>
    <row r="45" spans="1:30" s="1742" customFormat="1">
      <c r="A45" s="1569"/>
      <c r="B45" s="1569"/>
      <c r="C45" s="1051"/>
      <c r="D45" s="1051"/>
      <c r="E45" s="1051"/>
      <c r="F45" s="1051"/>
      <c r="G45" s="1051"/>
      <c r="H45" s="1051"/>
      <c r="I45" s="1051"/>
      <c r="J45" s="2433"/>
      <c r="K45" s="2434"/>
      <c r="L45" s="2434"/>
      <c r="M45" s="1051"/>
      <c r="N45" s="1051"/>
      <c r="O45" s="1051"/>
      <c r="P45" s="1051"/>
      <c r="Q45" s="1051"/>
      <c r="R45" s="1051"/>
      <c r="S45" s="2435"/>
      <c r="T45" s="2435"/>
      <c r="U45" s="2435"/>
      <c r="V45" s="2435"/>
    </row>
    <row r="46" spans="1:30" s="1742" customFormat="1">
      <c r="A46" s="1569"/>
      <c r="B46" s="1569"/>
      <c r="C46" s="1051"/>
      <c r="D46" s="1051"/>
      <c r="E46" s="1051"/>
      <c r="F46" s="1051"/>
      <c r="G46" s="1051"/>
      <c r="H46" s="1051"/>
      <c r="I46" s="1051"/>
      <c r="J46" s="2433"/>
      <c r="K46" s="2434"/>
      <c r="L46" s="2434"/>
      <c r="M46" s="1051"/>
      <c r="N46" s="1051"/>
      <c r="O46" s="1051"/>
      <c r="P46" s="1051"/>
      <c r="Q46" s="1051"/>
      <c r="R46" s="1051"/>
      <c r="S46" s="2435"/>
      <c r="T46" s="2435"/>
      <c r="U46" s="2435"/>
      <c r="V46" s="2435"/>
    </row>
    <row r="47" spans="1:30" s="1742" customFormat="1">
      <c r="A47" s="1569"/>
      <c r="B47" s="1569"/>
      <c r="C47" s="1051"/>
      <c r="D47" s="1051"/>
      <c r="E47" s="1051"/>
      <c r="F47" s="1051"/>
      <c r="G47" s="1051"/>
      <c r="H47" s="1051"/>
      <c r="I47" s="1051"/>
      <c r="J47" s="2433"/>
      <c r="K47" s="2434"/>
      <c r="L47" s="2434"/>
      <c r="M47" s="1051"/>
      <c r="N47" s="1051"/>
      <c r="O47" s="1051"/>
      <c r="P47" s="1051"/>
      <c r="Q47" s="1051"/>
      <c r="R47" s="1051"/>
      <c r="S47" s="2435"/>
      <c r="T47" s="2435"/>
      <c r="U47" s="2435"/>
      <c r="V47" s="2435"/>
    </row>
    <row r="48" spans="1:30" s="1742" customFormat="1">
      <c r="A48" s="1569"/>
      <c r="B48" s="1569"/>
      <c r="C48" s="1051"/>
      <c r="D48" s="1051"/>
      <c r="E48" s="1051"/>
      <c r="F48" s="1051"/>
      <c r="G48" s="1051"/>
      <c r="H48" s="1051"/>
      <c r="I48" s="1051"/>
      <c r="J48" s="2433"/>
      <c r="K48" s="2434"/>
      <c r="L48" s="2434"/>
      <c r="M48" s="1051"/>
      <c r="N48" s="1051"/>
      <c r="O48" s="1051"/>
      <c r="P48" s="1051"/>
      <c r="Q48" s="1051"/>
      <c r="R48" s="1051"/>
      <c r="S48" s="2435"/>
      <c r="T48" s="2435"/>
      <c r="U48" s="2435"/>
      <c r="V48" s="2435"/>
    </row>
    <row r="49" spans="1:22" s="1742" customFormat="1">
      <c r="A49" s="1569"/>
      <c r="B49" s="1569"/>
      <c r="C49" s="1051"/>
      <c r="D49" s="1051"/>
      <c r="E49" s="1051"/>
      <c r="F49" s="1051"/>
      <c r="G49" s="1051"/>
      <c r="H49" s="1051"/>
      <c r="I49" s="1051"/>
      <c r="J49" s="2433"/>
      <c r="K49" s="2434"/>
      <c r="L49" s="2434"/>
      <c r="M49" s="1051"/>
      <c r="N49" s="1051"/>
      <c r="O49" s="1051"/>
      <c r="P49" s="1051"/>
      <c r="Q49" s="1051"/>
      <c r="R49" s="1051"/>
      <c r="S49" s="2435"/>
      <c r="T49" s="2435"/>
      <c r="U49" s="2435"/>
      <c r="V49" s="2435"/>
    </row>
    <row r="50" spans="1:22" s="1742" customFormat="1">
      <c r="A50" s="1569"/>
      <c r="B50" s="1569"/>
      <c r="C50" s="1051"/>
      <c r="D50" s="1051"/>
      <c r="E50" s="1051"/>
      <c r="F50" s="1051"/>
      <c r="G50" s="1051"/>
      <c r="H50" s="1051"/>
      <c r="I50" s="1051"/>
      <c r="J50" s="2433"/>
      <c r="K50" s="2434"/>
      <c r="L50" s="2434"/>
      <c r="M50" s="1051"/>
      <c r="N50" s="1051"/>
      <c r="O50" s="1051"/>
      <c r="P50" s="1051"/>
      <c r="Q50" s="1051"/>
      <c r="R50" s="1051"/>
      <c r="S50" s="2435"/>
      <c r="T50" s="2435"/>
      <c r="U50" s="2435"/>
      <c r="V50" s="2435"/>
    </row>
    <row r="51" spans="1:22" s="1742" customFormat="1">
      <c r="A51" s="1569"/>
      <c r="B51" s="1569"/>
      <c r="C51" s="1051"/>
      <c r="D51" s="1051"/>
      <c r="E51" s="1051"/>
      <c r="F51" s="1051"/>
      <c r="G51" s="1051"/>
      <c r="H51" s="1051"/>
      <c r="I51" s="1051"/>
      <c r="J51" s="2433"/>
      <c r="K51" s="2434"/>
      <c r="L51" s="2434"/>
      <c r="M51" s="1051"/>
      <c r="N51" s="1051"/>
      <c r="O51" s="1051"/>
      <c r="P51" s="1051"/>
      <c r="Q51" s="1051"/>
      <c r="R51" s="1051"/>
    </row>
    <row r="52" spans="1:22" s="1742" customFormat="1">
      <c r="A52" s="1569"/>
      <c r="B52" s="1569"/>
      <c r="C52" s="1569"/>
      <c r="D52" s="1569"/>
      <c r="E52" s="1569"/>
      <c r="F52" s="1051"/>
      <c r="G52" s="1569"/>
      <c r="H52" s="1569"/>
      <c r="I52" s="1569"/>
      <c r="J52" s="2436"/>
      <c r="K52" s="2434"/>
      <c r="L52" s="2434"/>
      <c r="M52" s="2434"/>
      <c r="N52" s="1569"/>
      <c r="O52" s="1569"/>
      <c r="P52" s="1569"/>
      <c r="Q52" s="1569"/>
      <c r="R52" s="1569"/>
    </row>
    <row r="53" spans="1:22" s="1742" customFormat="1">
      <c r="A53" s="1569"/>
      <c r="B53" s="1569"/>
      <c r="C53" s="1569"/>
      <c r="D53" s="1569"/>
      <c r="E53" s="1569"/>
      <c r="F53" s="1051"/>
      <c r="G53" s="1569"/>
      <c r="H53" s="1569"/>
      <c r="I53" s="1569"/>
      <c r="J53" s="2436"/>
      <c r="K53" s="2434"/>
      <c r="L53" s="2434"/>
      <c r="M53" s="2434"/>
      <c r="N53" s="1569"/>
      <c r="O53" s="1569"/>
      <c r="P53" s="1569"/>
      <c r="Q53" s="1569"/>
      <c r="R53" s="1569"/>
    </row>
    <row r="54" spans="1:22" s="1742" customFormat="1">
      <c r="A54" s="1569"/>
      <c r="B54" s="1569"/>
      <c r="C54" s="1569"/>
      <c r="D54" s="1569"/>
      <c r="E54" s="1569"/>
      <c r="F54" s="1051"/>
      <c r="G54" s="1569"/>
      <c r="H54" s="1569"/>
      <c r="I54" s="1569"/>
      <c r="J54" s="2436"/>
      <c r="K54" s="2434"/>
      <c r="L54" s="2434"/>
      <c r="M54" s="2434"/>
      <c r="N54" s="1569"/>
      <c r="O54" s="1569"/>
      <c r="P54" s="1569"/>
      <c r="Q54" s="1569"/>
      <c r="R54" s="1569"/>
    </row>
    <row r="55" spans="1:22" s="1742" customFormat="1">
      <c r="A55" s="1569"/>
      <c r="B55" s="1569"/>
      <c r="C55" s="1569"/>
      <c r="D55" s="1569"/>
      <c r="E55" s="1569"/>
      <c r="F55" s="1051"/>
      <c r="G55" s="1569"/>
      <c r="H55" s="1569"/>
      <c r="I55" s="1569"/>
      <c r="J55" s="2436"/>
      <c r="K55" s="2434"/>
      <c r="L55" s="2434"/>
      <c r="M55" s="2434"/>
      <c r="N55" s="1569"/>
      <c r="O55" s="1569"/>
      <c r="P55" s="1569"/>
      <c r="Q55" s="1569"/>
      <c r="R55" s="1569"/>
    </row>
    <row r="56" spans="1:22" s="1742" customFormat="1">
      <c r="A56" s="1569"/>
      <c r="B56" s="1569"/>
      <c r="C56" s="1569"/>
      <c r="D56" s="1569"/>
      <c r="E56" s="1569"/>
      <c r="F56" s="1051"/>
      <c r="G56" s="1569"/>
      <c r="H56" s="1569"/>
      <c r="I56" s="1569"/>
      <c r="J56" s="2436"/>
      <c r="K56" s="2434"/>
      <c r="L56" s="2434"/>
      <c r="M56" s="2434"/>
      <c r="N56" s="1569"/>
      <c r="O56" s="1569"/>
      <c r="P56" s="1569"/>
      <c r="Q56" s="1569"/>
      <c r="R56" s="1569"/>
    </row>
  </sheetData>
  <sheetProtection password="CEE9" sheet="1" objects="1" scenarios="1" formatCells="0" formatColumns="0" formatRows="0"/>
  <mergeCells count="14">
    <mergeCell ref="B1:I1"/>
    <mergeCell ref="D8:D9"/>
    <mergeCell ref="K20:K22"/>
    <mergeCell ref="B20:C20"/>
    <mergeCell ref="D20:E20"/>
    <mergeCell ref="B16:D16"/>
    <mergeCell ref="F16:I16"/>
    <mergeCell ref="E17:I17"/>
    <mergeCell ref="E18:I18"/>
    <mergeCell ref="S34:S35"/>
    <mergeCell ref="A27:A30"/>
    <mergeCell ref="C30:D30"/>
    <mergeCell ref="A31:A33"/>
    <mergeCell ref="B35:E35"/>
  </mergeCells>
  <phoneticPr fontId="6" type="noConversion"/>
  <dataValidations count="24">
    <dataValidation type="list" showInputMessage="1" showErrorMessage="1" sqref="B11">
      <formula1>"自然人,企业"</formula1>
    </dataValidation>
    <dataValidation type="list" allowBlank="1" showInputMessage="1" showErrorMessage="1" sqref="B10">
      <formula1>"北京市,其他："</formula1>
    </dataValidation>
    <dataValidation type="list" allowBlank="1" showInputMessage="1" showErrorMessage="1" sqref="C27">
      <formula1>"居住项目,商业项目,办公项目,工业项目,综合项目（居住、综合）,综合项目（商业、办公）"</formula1>
    </dataValidation>
    <dataValidation type="list" allowBlank="1" showInputMessage="1" showErrorMessage="1" sqref="C29">
      <formula1>"否,全部为保障性住房,含保障性住房"</formula1>
    </dataValidation>
    <dataValidation type="list" allowBlank="1" showInputMessage="1" showErrorMessage="1" sqref="C28">
      <formula1>"无,低密度住宅,商场,酒店,旅游地产,仓储物流,高新技术产业用地,其他特殊："</formula1>
    </dataValidation>
    <dataValidation type="list" showInputMessage="1" showErrorMessage="1" sqref="B31:B33">
      <formula1>"现房,在建,土地,-"</formula1>
    </dataValidation>
    <dataValidation type="list" allowBlank="1" showInputMessage="1" showErrorMessage="1" sqref="B37:F37">
      <formula1>土地级别</formula1>
    </dataValidation>
    <dataValidation type="list" allowBlank="1" showInputMessage="1" showErrorMessage="1" sqref="E38">
      <formula1>INDIRECT($E$37)</formula1>
    </dataValidation>
    <dataValidation type="list" allowBlank="1" showInputMessage="1" showErrorMessage="1" sqref="B38">
      <formula1>INDIRECT(B37)</formula1>
    </dataValidation>
    <dataValidation type="list" allowBlank="1" showInputMessage="1" showErrorMessage="1" sqref="C38">
      <formula1>INDIRECT($C$37)</formula1>
    </dataValidation>
    <dataValidation type="list" allowBlank="1" showInputMessage="1" showErrorMessage="1" sqref="D38">
      <formula1>INDIRECT($D$37)</formula1>
    </dataValidation>
    <dataValidation type="list" allowBlank="1" showInputMessage="1" showErrorMessage="1" sqref="B9">
      <formula1>"房地产抵押价值,房地产市场价值"</formula1>
    </dataValidation>
    <dataValidation type="list" allowBlank="1" showInputMessage="1" showErrorMessage="1" sqref="B8">
      <formula1>"抵押,核定资产,出让"</formula1>
    </dataValidation>
    <dataValidation type="list" allowBlank="1" showInputMessage="1" showErrorMessage="1" sqref="H4 B4 F4 D4">
      <formula1>注册房地产估价师</formula1>
    </dataValidation>
    <dataValidation type="list" allowBlank="1" showInputMessage="1" showErrorMessage="1" sqref="E8">
      <formula1>价值类型2</formula1>
    </dataValidation>
    <dataValidation type="list" allowBlank="1" showInputMessage="1" showErrorMessage="1" sqref="E9">
      <formula1>"抵押净值,——"</formula1>
    </dataValidation>
    <dataValidation type="list" allowBlank="1" showInputMessage="1" showErrorMessage="1" sqref="B34:H34">
      <formula1>七通一平</formula1>
    </dataValidation>
    <dataValidation type="list" allowBlank="1" showInputMessage="1" showErrorMessage="1" sqref="C19 E19 G19">
      <formula1>估价范围判定</formula1>
    </dataValidation>
    <dataValidation type="list" allowBlank="1" showInputMessage="1" showErrorMessage="1" sqref="B21:B22">
      <formula1>"《房屋所有权证》,《国有土地使用证》,《不动产权证书》,——"</formula1>
    </dataValidation>
    <dataValidation type="list" allowBlank="1" showInputMessage="1" showErrorMessage="1" sqref="C21:C22 E21">
      <formula1>"原件,复印件,——"</formula1>
    </dataValidation>
    <dataValidation type="list" allowBlank="1" showInputMessage="1" showErrorMessage="1" sqref="A13">
      <formula1>"出让,划拨"</formula1>
    </dataValidation>
    <dataValidation type="list" allowBlank="1" showInputMessage="1" showErrorMessage="1" sqref="C14:I14">
      <formula1>法定最高年限</formula1>
    </dataValidation>
    <dataValidation type="list" allowBlank="1" showInputMessage="1" showErrorMessage="1" sqref="A18">
      <formula1>"建筑与土地面积依据相同,——"</formula1>
    </dataValidation>
    <dataValidation type="list" allowBlank="1" showInputMessage="1" showErrorMessage="1" sqref="F38">
      <formula1>INDIRECT($F$37)</formula1>
    </dataValidation>
  </dataValidations>
  <printOptions horizontalCentered="1"/>
  <pageMargins left="0.70866141732283472" right="0.70866141732283472" top="0.74803149606299213" bottom="0.74803149606299213" header="0.31496062992125984" footer="0.31496062992125984"/>
  <pageSetup paperSize="9" scale="86" fitToHeight="0" orientation="portrait" r:id="rId1"/>
  <legacyDrawing r:id="rId2"/>
</worksheet>
</file>

<file path=xl/worksheets/sheet1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
    <tabColor rgb="FFFFFF00"/>
    <pageSetUpPr fitToPage="1"/>
  </sheetPr>
  <dimension ref="A1:BT593"/>
  <sheetViews>
    <sheetView view="pageBreakPreview" zoomScale="90" zoomScaleNormal="100" zoomScaleSheetLayoutView="90" workbookViewId="0">
      <pane xSplit="4" ySplit="12" topLeftCell="E13" activePane="bottomRight" state="frozen"/>
      <selection activeCell="C50" sqref="C50"/>
      <selection pane="topRight" activeCell="C50" sqref="C50"/>
      <selection pane="bottomLeft" activeCell="C50" sqref="C50"/>
      <selection pane="bottomRight" activeCell="K21" sqref="K21"/>
    </sheetView>
  </sheetViews>
  <sheetFormatPr defaultColWidth="8.875" defaultRowHeight="14.25"/>
  <cols>
    <col min="1" max="1" width="10.625" style="1572" customWidth="1"/>
    <col min="2" max="2" width="8.625" style="1572" customWidth="1"/>
    <col min="3" max="3" width="33.75" style="1572" customWidth="1"/>
    <col min="4" max="4" width="9.125" style="1572" customWidth="1"/>
    <col min="5" max="6" width="10" style="1633" customWidth="1"/>
    <col min="7" max="8" width="10" style="1572" customWidth="1"/>
    <col min="9" max="9" width="10.625" style="1572" customWidth="1"/>
    <col min="10" max="10" width="9.5" style="1572" customWidth="1"/>
    <col min="11" max="11" width="11" style="1572" customWidth="1"/>
    <col min="12" max="14" width="9.5" style="1572" customWidth="1"/>
    <col min="15" max="15" width="9.875" style="1572" customWidth="1"/>
    <col min="16" max="16" width="9.75" style="1572" customWidth="1"/>
    <col min="17" max="17" width="9.375" style="1572" customWidth="1"/>
    <col min="18" max="18" width="9.25" style="1572" customWidth="1"/>
    <col min="19" max="19" width="10.875" style="1572" customWidth="1"/>
    <col min="20" max="21" width="10.75" style="1572" customWidth="1"/>
    <col min="22" max="22" width="10.875" style="1572" customWidth="1"/>
    <col min="23" max="27" width="10.75" style="1572" customWidth="1"/>
    <col min="28" max="28" width="10.875" style="1572" customWidth="1"/>
    <col min="29" max="29" width="11" style="1572" bestFit="1" customWidth="1"/>
    <col min="30" max="30" width="10" style="1572" bestFit="1" customWidth="1"/>
    <col min="31" max="31" width="9.75" style="1572" customWidth="1"/>
    <col min="32" max="46" width="9.5" style="1572" customWidth="1"/>
    <col min="47" max="47" width="18.125" style="1572" customWidth="1"/>
    <col min="48" max="50" width="9.75" style="1572" customWidth="1"/>
    <col min="51" max="55" width="10.5" style="1572" bestFit="1" customWidth="1"/>
    <col min="56" max="56" width="9.5" style="1572" bestFit="1" customWidth="1"/>
    <col min="57" max="63" width="9.125" style="1572" bestFit="1" customWidth="1"/>
    <col min="64" max="64" width="9.5" style="1572" bestFit="1" customWidth="1"/>
    <col min="65" max="65" width="9.125" style="1572" bestFit="1" customWidth="1"/>
    <col min="66" max="66" width="9.5" style="1572" bestFit="1" customWidth="1"/>
    <col min="67" max="69" width="9.125" style="1572" bestFit="1" customWidth="1"/>
    <col min="70" max="70" width="9.5" style="1572" bestFit="1" customWidth="1"/>
    <col min="71" max="71" width="9" style="1572" customWidth="1"/>
    <col min="72" max="72" width="9.125" style="1572" bestFit="1" customWidth="1"/>
    <col min="73" max="16384" width="8.875" style="1572"/>
  </cols>
  <sheetData>
    <row r="1" spans="1:72" ht="20.25">
      <c r="A1" s="1573" t="s">
        <v>1060</v>
      </c>
      <c r="B1" s="1557"/>
      <c r="C1" s="1557"/>
      <c r="D1" s="1557"/>
      <c r="E1" s="1557"/>
      <c r="F1" s="1557"/>
      <c r="G1" s="1557"/>
      <c r="H1" s="1557"/>
      <c r="I1" s="1557"/>
      <c r="J1" s="1557"/>
      <c r="K1" s="1557"/>
      <c r="L1" s="1557"/>
      <c r="M1" s="1557"/>
      <c r="N1" s="1557"/>
      <c r="O1" s="1557"/>
      <c r="P1" s="1557"/>
      <c r="Q1" s="1557"/>
      <c r="R1" s="1557"/>
      <c r="S1" s="1557"/>
      <c r="T1" s="1557"/>
      <c r="U1" s="1557"/>
      <c r="V1" s="1557"/>
      <c r="W1" s="1557"/>
      <c r="X1" s="1557"/>
      <c r="Y1" s="1557"/>
      <c r="Z1" s="1557"/>
      <c r="AA1" s="1557"/>
      <c r="AB1" s="1557"/>
      <c r="AC1" s="1557"/>
      <c r="AD1" s="1557"/>
      <c r="AE1" s="1557"/>
      <c r="AF1" s="1557"/>
      <c r="AG1" s="1557"/>
      <c r="AH1" s="1557"/>
      <c r="AI1" s="1557"/>
      <c r="AJ1" s="1557"/>
      <c r="AK1" s="1557"/>
      <c r="AL1" s="1557"/>
      <c r="AM1" s="1557"/>
      <c r="AN1" s="1557"/>
      <c r="AO1" s="1557"/>
      <c r="AP1" s="1557"/>
      <c r="AQ1" s="1557"/>
      <c r="AR1" s="1557"/>
      <c r="AS1" s="1557"/>
      <c r="AT1" s="1557"/>
      <c r="AU1" s="1557"/>
      <c r="AV1" s="1574" t="s">
        <v>1061</v>
      </c>
      <c r="AW1" s="1557"/>
      <c r="AX1" s="1557"/>
      <c r="AY1" s="1557"/>
      <c r="AZ1" s="1557"/>
      <c r="BA1" s="1557"/>
      <c r="BB1" s="1557"/>
      <c r="BC1" s="1557"/>
      <c r="BD1" s="1557"/>
      <c r="BE1" s="1557"/>
      <c r="BF1" s="1557"/>
      <c r="BG1" s="1557"/>
      <c r="BH1" s="1557"/>
      <c r="BI1" s="1557"/>
      <c r="BJ1" s="1557"/>
      <c r="BK1" s="1557"/>
      <c r="BL1" s="1557"/>
      <c r="BM1" s="1557"/>
      <c r="BN1" s="1557"/>
      <c r="BO1" s="1557"/>
      <c r="BP1" s="1557"/>
      <c r="BQ1" s="1557"/>
      <c r="BR1" s="1557"/>
      <c r="BS1" s="1557"/>
      <c r="BT1" s="1557"/>
    </row>
    <row r="2" spans="1:72" s="1578" customFormat="1" ht="24">
      <c r="A2" s="8" t="s">
        <v>1062</v>
      </c>
      <c r="B2" s="8" t="s">
        <v>1063</v>
      </c>
      <c r="C2" s="8" t="s">
        <v>1064</v>
      </c>
      <c r="D2" s="1575"/>
      <c r="E2" s="1576"/>
      <c r="F2" s="1577"/>
      <c r="G2" s="1575"/>
      <c r="H2" s="1575"/>
      <c r="I2" s="1575"/>
      <c r="J2" s="1575"/>
      <c r="K2" s="1575"/>
      <c r="L2" s="1575"/>
      <c r="M2" s="1575"/>
      <c r="N2" s="1575"/>
      <c r="O2" s="1575"/>
      <c r="P2" s="1575"/>
      <c r="Q2" s="1575"/>
      <c r="R2" s="1575"/>
      <c r="S2" s="1575"/>
      <c r="T2" s="1575"/>
      <c r="U2" s="1575"/>
      <c r="V2" s="1575"/>
      <c r="W2" s="1575"/>
      <c r="X2" s="1575"/>
      <c r="Y2" s="1575"/>
      <c r="Z2" s="1575"/>
      <c r="AA2" s="1575"/>
      <c r="AB2" s="1575"/>
      <c r="AC2" s="1575"/>
      <c r="AD2" s="1575"/>
      <c r="AE2" s="1575"/>
      <c r="AF2" s="1575"/>
      <c r="AG2" s="1575"/>
      <c r="AH2" s="1575"/>
      <c r="AI2" s="1575"/>
      <c r="AJ2" s="1575"/>
      <c r="AK2" s="1575"/>
      <c r="AL2" s="1575"/>
      <c r="AM2" s="1575"/>
      <c r="AN2" s="1575"/>
      <c r="AO2" s="1575"/>
      <c r="AP2" s="1575"/>
      <c r="AQ2" s="1575"/>
      <c r="AR2" s="1575"/>
      <c r="AS2" s="1575"/>
      <c r="AT2" s="1575"/>
      <c r="AU2" s="1575"/>
      <c r="AV2" s="1575"/>
      <c r="AW2" s="1575"/>
      <c r="AX2" s="1575"/>
      <c r="AY2" s="1048" t="s">
        <v>1065</v>
      </c>
      <c r="AZ2" s="1049" t="s">
        <v>1066</v>
      </c>
      <c r="BA2" s="8" t="s">
        <v>1067</v>
      </c>
      <c r="BB2" s="1575"/>
      <c r="BC2" s="1575"/>
      <c r="BD2" s="1575"/>
      <c r="BE2" s="1575"/>
      <c r="BF2" s="1575"/>
      <c r="BG2" s="1575"/>
      <c r="BH2" s="1575"/>
      <c r="BI2" s="1575"/>
      <c r="BJ2" s="1575"/>
      <c r="BK2" s="1575"/>
      <c r="BL2" s="1575"/>
      <c r="BM2" s="1575"/>
      <c r="BN2" s="1575"/>
      <c r="BO2" s="1575"/>
      <c r="BP2" s="1575"/>
      <c r="BQ2" s="1575"/>
      <c r="BR2" s="1575"/>
      <c r="BS2" s="1575"/>
      <c r="BT2" s="1575"/>
    </row>
    <row r="3" spans="1:72" s="1578" customFormat="1" ht="12.75">
      <c r="A3" s="10">
        <v>62378.94</v>
      </c>
      <c r="B3" s="11">
        <f>IF(C3="否",G5-AT5,G5)</f>
        <v>70044.73000000001</v>
      </c>
      <c r="C3" s="1579" t="s">
        <v>1068</v>
      </c>
      <c r="D3" s="1575"/>
      <c r="E3" s="1575"/>
      <c r="F3" s="1575"/>
      <c r="G3" s="1575"/>
      <c r="H3" s="1575"/>
      <c r="I3" s="1575"/>
      <c r="J3" s="1575"/>
      <c r="K3" s="1575"/>
      <c r="L3" s="1575"/>
      <c r="M3" s="1575"/>
      <c r="N3" s="1575"/>
      <c r="O3" s="1575"/>
      <c r="P3" s="1575"/>
      <c r="Q3" s="1575"/>
      <c r="R3" s="1575"/>
      <c r="S3" s="1575"/>
      <c r="T3" s="1575"/>
      <c r="U3" s="1575"/>
      <c r="V3" s="1575"/>
      <c r="W3" s="1575"/>
      <c r="X3" s="1575"/>
      <c r="Y3" s="1575"/>
      <c r="Z3" s="1575"/>
      <c r="AA3" s="1575"/>
      <c r="AB3" s="1575"/>
      <c r="AC3" s="1575"/>
      <c r="AD3" s="1575"/>
      <c r="AE3" s="1575"/>
      <c r="AF3" s="1575"/>
      <c r="AG3" s="1575"/>
      <c r="AH3" s="1575"/>
      <c r="AI3" s="1575"/>
      <c r="AJ3" s="1575"/>
      <c r="AK3" s="1575"/>
      <c r="AL3" s="1575"/>
      <c r="AM3" s="1575"/>
      <c r="AN3" s="1575"/>
      <c r="AO3" s="1575"/>
      <c r="AP3" s="1575"/>
      <c r="AQ3" s="1575"/>
      <c r="AR3" s="1575"/>
      <c r="AS3" s="1575"/>
      <c r="AT3" s="1575"/>
      <c r="AU3" s="1575"/>
      <c r="AV3" s="1575"/>
      <c r="AW3" s="1575"/>
      <c r="AX3" s="1575"/>
      <c r="AY3" s="1050"/>
      <c r="AZ3" s="1051"/>
      <c r="BA3" s="1052"/>
      <c r="BB3" s="1575"/>
      <c r="BC3" s="1575"/>
      <c r="BD3" s="1575"/>
      <c r="BE3" s="1575"/>
      <c r="BF3" s="1575"/>
      <c r="BG3" s="1575"/>
      <c r="BH3" s="1575"/>
      <c r="BI3" s="1575"/>
      <c r="BJ3" s="1575"/>
      <c r="BK3" s="1575"/>
      <c r="BL3" s="1575"/>
      <c r="BM3" s="1575"/>
      <c r="BN3" s="1575"/>
      <c r="BO3" s="1575"/>
      <c r="BP3" s="1575"/>
      <c r="BQ3" s="1575"/>
      <c r="BR3" s="1575"/>
      <c r="BS3" s="1575"/>
      <c r="BT3" s="1575"/>
    </row>
    <row r="4" spans="1:72" s="1584" customFormat="1" ht="13.5" thickBot="1">
      <c r="A4" s="1580"/>
      <c r="B4" s="1581"/>
      <c r="C4" s="1582"/>
      <c r="D4" s="1575"/>
      <c r="E4" s="1575"/>
      <c r="F4" s="1575"/>
      <c r="G4" s="1575"/>
      <c r="H4" s="1575"/>
      <c r="I4" s="1575"/>
      <c r="J4" s="1575"/>
      <c r="K4" s="1575"/>
      <c r="L4" s="1575"/>
      <c r="M4" s="1575"/>
      <c r="N4" s="1575"/>
      <c r="O4" s="1575"/>
      <c r="P4" s="1575"/>
      <c r="Q4" s="1575"/>
      <c r="R4" s="1575"/>
      <c r="S4" s="1575"/>
      <c r="T4" s="1575"/>
      <c r="U4" s="1575"/>
      <c r="V4" s="1575"/>
      <c r="W4" s="1575"/>
      <c r="X4" s="1575"/>
      <c r="Y4" s="1575"/>
      <c r="Z4" s="1575"/>
      <c r="AA4" s="1575"/>
      <c r="AB4" s="1575"/>
      <c r="AC4" s="1575"/>
      <c r="AD4" s="1575"/>
      <c r="AE4" s="1575"/>
      <c r="AF4" s="1575"/>
      <c r="AG4" s="1575"/>
      <c r="AH4" s="1575"/>
      <c r="AI4" s="1575"/>
      <c r="AJ4" s="1575"/>
      <c r="AK4" s="1575"/>
      <c r="AL4" s="1575"/>
      <c r="AM4" s="1575"/>
      <c r="AN4" s="1575"/>
      <c r="AO4" s="1575"/>
      <c r="AP4" s="1575"/>
      <c r="AQ4" s="1575"/>
      <c r="AR4" s="1575"/>
      <c r="AS4" s="1575"/>
      <c r="AT4" s="1575"/>
      <c r="AU4" s="1575"/>
      <c r="AV4" s="1575"/>
      <c r="AW4" s="1575"/>
      <c r="AX4" s="1575"/>
      <c r="AY4" s="1575"/>
      <c r="AZ4" s="1575"/>
      <c r="BA4" s="1583"/>
      <c r="BB4" s="1575"/>
      <c r="BC4" s="1575"/>
      <c r="BD4" s="1575"/>
      <c r="BE4" s="1575"/>
      <c r="BF4" s="1575"/>
      <c r="BG4" s="1575"/>
      <c r="BH4" s="1575"/>
      <c r="BI4" s="1575"/>
      <c r="BJ4" s="1575"/>
      <c r="BK4" s="1575"/>
      <c r="BL4" s="1575"/>
      <c r="BM4" s="1575"/>
      <c r="BN4" s="1575"/>
      <c r="BO4" s="1575"/>
      <c r="BP4" s="1575"/>
      <c r="BQ4" s="1575"/>
      <c r="BR4" s="1575"/>
      <c r="BS4" s="1575"/>
      <c r="BT4" s="1575"/>
    </row>
    <row r="5" spans="1:72" s="1578" customFormat="1" ht="12.75">
      <c r="A5" s="12" t="s">
        <v>1069</v>
      </c>
      <c r="B5" s="1346"/>
      <c r="C5" s="1346"/>
      <c r="D5" s="1348"/>
      <c r="E5" s="13" t="s">
        <v>0</v>
      </c>
      <c r="F5" s="13">
        <f>SUM(F13:F587)</f>
        <v>0</v>
      </c>
      <c r="G5" s="13">
        <f>SUM(G13:G587)</f>
        <v>70044.73000000001</v>
      </c>
      <c r="H5" s="13">
        <f t="shared" ref="H5:AT5" si="0">SUM(H13:H656)</f>
        <v>70044.73000000001</v>
      </c>
      <c r="I5" s="13">
        <f t="shared" si="0"/>
        <v>48398.840000000004</v>
      </c>
      <c r="J5" s="13">
        <f t="shared" si="0"/>
        <v>0</v>
      </c>
      <c r="K5" s="13">
        <f t="shared" si="0"/>
        <v>21645.89</v>
      </c>
      <c r="L5" s="13">
        <f t="shared" si="0"/>
        <v>0</v>
      </c>
      <c r="M5" s="13">
        <f t="shared" si="0"/>
        <v>0</v>
      </c>
      <c r="N5" s="13">
        <f t="shared" si="0"/>
        <v>0</v>
      </c>
      <c r="O5" s="13">
        <f t="shared" si="0"/>
        <v>0</v>
      </c>
      <c r="P5" s="13">
        <f t="shared" si="0"/>
        <v>0</v>
      </c>
      <c r="Q5" s="13">
        <f t="shared" si="0"/>
        <v>0</v>
      </c>
      <c r="R5" s="13">
        <f t="shared" si="0"/>
        <v>0</v>
      </c>
      <c r="S5" s="13">
        <f t="shared" si="0"/>
        <v>0</v>
      </c>
      <c r="T5" s="13">
        <f t="shared" si="0"/>
        <v>0</v>
      </c>
      <c r="U5" s="13">
        <f t="shared" si="0"/>
        <v>0</v>
      </c>
      <c r="V5" s="13">
        <f t="shared" si="0"/>
        <v>0</v>
      </c>
      <c r="W5" s="13">
        <f t="shared" si="0"/>
        <v>0</v>
      </c>
      <c r="X5" s="13">
        <f t="shared" si="0"/>
        <v>0</v>
      </c>
      <c r="Y5" s="13">
        <f t="shared" si="0"/>
        <v>0</v>
      </c>
      <c r="Z5" s="13">
        <f t="shared" si="0"/>
        <v>0</v>
      </c>
      <c r="AA5" s="13">
        <f t="shared" si="0"/>
        <v>0</v>
      </c>
      <c r="AB5" s="13">
        <f t="shared" si="0"/>
        <v>0</v>
      </c>
      <c r="AC5" s="13">
        <f t="shared" si="0"/>
        <v>0</v>
      </c>
      <c r="AD5" s="13">
        <f t="shared" si="0"/>
        <v>0</v>
      </c>
      <c r="AE5" s="13">
        <f t="shared" si="0"/>
        <v>0</v>
      </c>
      <c r="AF5" s="13">
        <f t="shared" si="0"/>
        <v>0</v>
      </c>
      <c r="AG5" s="13">
        <f t="shared" si="0"/>
        <v>0</v>
      </c>
      <c r="AH5" s="13">
        <f t="shared" si="0"/>
        <v>0</v>
      </c>
      <c r="AI5" s="13">
        <f t="shared" si="0"/>
        <v>0</v>
      </c>
      <c r="AJ5" s="13">
        <f t="shared" si="0"/>
        <v>0</v>
      </c>
      <c r="AK5" s="13">
        <f t="shared" si="0"/>
        <v>0</v>
      </c>
      <c r="AL5" s="13">
        <f t="shared" si="0"/>
        <v>0</v>
      </c>
      <c r="AM5" s="13">
        <f t="shared" si="0"/>
        <v>0</v>
      </c>
      <c r="AN5" s="13">
        <f t="shared" si="0"/>
        <v>0</v>
      </c>
      <c r="AO5" s="13">
        <f t="shared" si="0"/>
        <v>0</v>
      </c>
      <c r="AP5" s="13">
        <f t="shared" si="0"/>
        <v>0</v>
      </c>
      <c r="AQ5" s="13">
        <f t="shared" si="0"/>
        <v>0</v>
      </c>
      <c r="AR5" s="13">
        <f t="shared" si="0"/>
        <v>0</v>
      </c>
      <c r="AS5" s="13">
        <f t="shared" si="0"/>
        <v>0</v>
      </c>
      <c r="AT5" s="13">
        <f t="shared" si="0"/>
        <v>0</v>
      </c>
      <c r="AU5" s="1345"/>
      <c r="AV5" s="12" t="s">
        <v>1069</v>
      </c>
      <c r="AW5" s="1346"/>
      <c r="AX5" s="1346"/>
      <c r="AY5" s="14" t="s">
        <v>2</v>
      </c>
      <c r="AZ5" s="15">
        <f t="shared" ref="AZ5:BT5" si="1">SUM(AZ13:AZ656)</f>
        <v>17559.11</v>
      </c>
      <c r="BA5" s="15">
        <f t="shared" si="1"/>
        <v>17559.11</v>
      </c>
      <c r="BB5" s="15">
        <f t="shared" si="1"/>
        <v>76.040000000000006</v>
      </c>
      <c r="BC5" s="15">
        <f t="shared" si="1"/>
        <v>17483.07</v>
      </c>
      <c r="BD5" s="15">
        <f t="shared" si="1"/>
        <v>0</v>
      </c>
      <c r="BE5" s="15">
        <f t="shared" si="1"/>
        <v>0</v>
      </c>
      <c r="BF5" s="15">
        <f t="shared" si="1"/>
        <v>0</v>
      </c>
      <c r="BG5" s="15">
        <f t="shared" si="1"/>
        <v>0</v>
      </c>
      <c r="BH5" s="15">
        <f t="shared" si="1"/>
        <v>0</v>
      </c>
      <c r="BI5" s="15">
        <f t="shared" si="1"/>
        <v>0</v>
      </c>
      <c r="BJ5" s="15">
        <f t="shared" si="1"/>
        <v>0</v>
      </c>
      <c r="BK5" s="15">
        <f t="shared" si="1"/>
        <v>0</v>
      </c>
      <c r="BL5" s="15">
        <f t="shared" si="1"/>
        <v>0</v>
      </c>
      <c r="BM5" s="15">
        <f t="shared" si="1"/>
        <v>0</v>
      </c>
      <c r="BN5" s="15">
        <f t="shared" si="1"/>
        <v>0</v>
      </c>
      <c r="BO5" s="15">
        <f t="shared" si="1"/>
        <v>0</v>
      </c>
      <c r="BP5" s="15">
        <f t="shared" si="1"/>
        <v>0</v>
      </c>
      <c r="BQ5" s="15">
        <f t="shared" si="1"/>
        <v>0</v>
      </c>
      <c r="BR5" s="15">
        <f t="shared" si="1"/>
        <v>0</v>
      </c>
      <c r="BS5" s="15">
        <f t="shared" si="1"/>
        <v>0</v>
      </c>
      <c r="BT5" s="16">
        <f t="shared" si="1"/>
        <v>0</v>
      </c>
    </row>
    <row r="6" spans="1:72" s="1588" customFormat="1" ht="12.75">
      <c r="A6" s="12" t="s">
        <v>1070</v>
      </c>
      <c r="B6" s="1585"/>
      <c r="C6" s="1585"/>
      <c r="D6" s="1586"/>
      <c r="E6" s="13">
        <f>H6+AC6+AT6</f>
        <v>62378.94</v>
      </c>
      <c r="F6" s="13" t="s">
        <v>0</v>
      </c>
      <c r="G6" s="13" t="s">
        <v>1</v>
      </c>
      <c r="H6" s="17">
        <f>SUMIF(I$12:AB$12,"总值",I6:AB6)</f>
        <v>62378.94</v>
      </c>
      <c r="I6" s="13">
        <f t="shared" ref="I6:AB6" si="2">ROUND($A$3*I5/$B$3,2)</f>
        <v>43102.01</v>
      </c>
      <c r="J6" s="13">
        <f t="shared" si="2"/>
        <v>0</v>
      </c>
      <c r="K6" s="13">
        <f t="shared" si="2"/>
        <v>19276.93</v>
      </c>
      <c r="L6" s="13">
        <f t="shared" si="2"/>
        <v>0</v>
      </c>
      <c r="M6" s="13">
        <f t="shared" si="2"/>
        <v>0</v>
      </c>
      <c r="N6" s="13">
        <f t="shared" si="2"/>
        <v>0</v>
      </c>
      <c r="O6" s="13">
        <f t="shared" si="2"/>
        <v>0</v>
      </c>
      <c r="P6" s="13">
        <f t="shared" si="2"/>
        <v>0</v>
      </c>
      <c r="Q6" s="13">
        <f t="shared" si="2"/>
        <v>0</v>
      </c>
      <c r="R6" s="13">
        <f t="shared" si="2"/>
        <v>0</v>
      </c>
      <c r="S6" s="13">
        <f t="shared" si="2"/>
        <v>0</v>
      </c>
      <c r="T6" s="13">
        <f t="shared" si="2"/>
        <v>0</v>
      </c>
      <c r="U6" s="13">
        <f t="shared" si="2"/>
        <v>0</v>
      </c>
      <c r="V6" s="13">
        <f t="shared" si="2"/>
        <v>0</v>
      </c>
      <c r="W6" s="13">
        <f t="shared" si="2"/>
        <v>0</v>
      </c>
      <c r="X6" s="13">
        <f t="shared" si="2"/>
        <v>0</v>
      </c>
      <c r="Y6" s="13">
        <f t="shared" si="2"/>
        <v>0</v>
      </c>
      <c r="Z6" s="13">
        <f t="shared" si="2"/>
        <v>0</v>
      </c>
      <c r="AA6" s="13">
        <f t="shared" si="2"/>
        <v>0</v>
      </c>
      <c r="AB6" s="13">
        <f t="shared" si="2"/>
        <v>0</v>
      </c>
      <c r="AC6" s="17">
        <f>SUMIF(AD$12:AS$12,"总值",AD6:AS6)</f>
        <v>0</v>
      </c>
      <c r="AD6" s="13">
        <f t="shared" ref="AD6:AS6" si="3">ROUND($A$3*AD5/$B$3,2)</f>
        <v>0</v>
      </c>
      <c r="AE6" s="13">
        <f t="shared" si="3"/>
        <v>0</v>
      </c>
      <c r="AF6" s="13">
        <f t="shared" si="3"/>
        <v>0</v>
      </c>
      <c r="AG6" s="13">
        <f t="shared" si="3"/>
        <v>0</v>
      </c>
      <c r="AH6" s="13">
        <f t="shared" si="3"/>
        <v>0</v>
      </c>
      <c r="AI6" s="13">
        <f t="shared" si="3"/>
        <v>0</v>
      </c>
      <c r="AJ6" s="13">
        <f t="shared" si="3"/>
        <v>0</v>
      </c>
      <c r="AK6" s="13">
        <f t="shared" si="3"/>
        <v>0</v>
      </c>
      <c r="AL6" s="13">
        <f t="shared" si="3"/>
        <v>0</v>
      </c>
      <c r="AM6" s="13">
        <f t="shared" si="3"/>
        <v>0</v>
      </c>
      <c r="AN6" s="13">
        <f t="shared" si="3"/>
        <v>0</v>
      </c>
      <c r="AO6" s="13">
        <f t="shared" si="3"/>
        <v>0</v>
      </c>
      <c r="AP6" s="13">
        <f t="shared" si="3"/>
        <v>0</v>
      </c>
      <c r="AQ6" s="13">
        <f t="shared" si="3"/>
        <v>0</v>
      </c>
      <c r="AR6" s="13">
        <f t="shared" si="3"/>
        <v>0</v>
      </c>
      <c r="AS6" s="13">
        <f t="shared" si="3"/>
        <v>0</v>
      </c>
      <c r="AT6" s="17">
        <f>IF(C3="是",ROUND($A$3*AT5/$B$3,2),0)</f>
        <v>0</v>
      </c>
      <c r="AU6" s="1587"/>
      <c r="AV6" s="12" t="s">
        <v>1070</v>
      </c>
      <c r="AW6" s="1585"/>
      <c r="AX6" s="1585"/>
      <c r="AY6" s="18">
        <f>IF(AY3&gt;0,AY3,ROUND($A$3*AZ5/$B$3,2))</f>
        <v>15637.42</v>
      </c>
      <c r="AZ6" s="13" t="s">
        <v>2</v>
      </c>
      <c r="BA6" s="13">
        <f>ROUND($AY$6*BA5/$AZ$5,2)</f>
        <v>15637.42</v>
      </c>
      <c r="BB6" s="13">
        <f>ROUND($AY$6*BB5/$AZ$5,2)</f>
        <v>67.72</v>
      </c>
      <c r="BC6" s="13">
        <f t="shared" ref="BC6:BH6" si="4">ROUND($AY$6*BC5/$AZ$5,2)</f>
        <v>15569.7</v>
      </c>
      <c r="BD6" s="13">
        <f t="shared" si="4"/>
        <v>0</v>
      </c>
      <c r="BE6" s="13">
        <f t="shared" si="4"/>
        <v>0</v>
      </c>
      <c r="BF6" s="13">
        <f t="shared" si="4"/>
        <v>0</v>
      </c>
      <c r="BG6" s="13">
        <f t="shared" si="4"/>
        <v>0</v>
      </c>
      <c r="BH6" s="13">
        <f t="shared" si="4"/>
        <v>0</v>
      </c>
      <c r="BI6" s="13">
        <f t="shared" ref="BI6:BT6" si="5">ROUND($AY$6*BI5/$AZ$5,2)</f>
        <v>0</v>
      </c>
      <c r="BJ6" s="13">
        <f t="shared" si="5"/>
        <v>0</v>
      </c>
      <c r="BK6" s="13">
        <f t="shared" si="5"/>
        <v>0</v>
      </c>
      <c r="BL6" s="13">
        <f t="shared" si="5"/>
        <v>0</v>
      </c>
      <c r="BM6" s="13">
        <f t="shared" si="5"/>
        <v>0</v>
      </c>
      <c r="BN6" s="13">
        <f t="shared" si="5"/>
        <v>0</v>
      </c>
      <c r="BO6" s="13">
        <f t="shared" si="5"/>
        <v>0</v>
      </c>
      <c r="BP6" s="13">
        <f t="shared" si="5"/>
        <v>0</v>
      </c>
      <c r="BQ6" s="13">
        <f t="shared" si="5"/>
        <v>0</v>
      </c>
      <c r="BR6" s="13">
        <f t="shared" si="5"/>
        <v>0</v>
      </c>
      <c r="BS6" s="13">
        <f t="shared" si="5"/>
        <v>0</v>
      </c>
      <c r="BT6" s="19">
        <f t="shared" si="5"/>
        <v>0</v>
      </c>
    </row>
    <row r="7" spans="1:72" s="1578" customFormat="1" ht="24.75">
      <c r="A7" s="1568" t="s">
        <v>1071</v>
      </c>
      <c r="B7" s="1568" t="s">
        <v>1072</v>
      </c>
      <c r="C7" s="1568" t="s">
        <v>1073</v>
      </c>
      <c r="D7" s="1568" t="s">
        <v>1074</v>
      </c>
      <c r="E7" s="1568" t="s">
        <v>1075</v>
      </c>
      <c r="F7" s="1568" t="s">
        <v>1076</v>
      </c>
      <c r="G7" s="1589" t="s">
        <v>1077</v>
      </c>
      <c r="H7" s="1590"/>
      <c r="I7" s="1590"/>
      <c r="J7" s="1590"/>
      <c r="K7" s="1590"/>
      <c r="L7" s="1590"/>
      <c r="M7" s="1590"/>
      <c r="N7" s="1590"/>
      <c r="O7" s="1590"/>
      <c r="P7" s="1590"/>
      <c r="Q7" s="1590"/>
      <c r="R7" s="1590"/>
      <c r="S7" s="1590"/>
      <c r="T7" s="1590"/>
      <c r="U7" s="1590"/>
      <c r="V7" s="1590"/>
      <c r="W7" s="1590"/>
      <c r="X7" s="1590"/>
      <c r="Y7" s="1590"/>
      <c r="Z7" s="1590"/>
      <c r="AA7" s="1590"/>
      <c r="AB7" s="1590"/>
      <c r="AC7" s="1590"/>
      <c r="AD7" s="1590"/>
      <c r="AE7" s="1590"/>
      <c r="AF7" s="1590"/>
      <c r="AG7" s="1590"/>
      <c r="AH7" s="1590"/>
      <c r="AI7" s="1590"/>
      <c r="AJ7" s="1590"/>
      <c r="AK7" s="1590"/>
      <c r="AL7" s="1590"/>
      <c r="AM7" s="1590"/>
      <c r="AN7" s="1590"/>
      <c r="AO7" s="1590"/>
      <c r="AP7" s="1590"/>
      <c r="AQ7" s="1590"/>
      <c r="AR7" s="1590"/>
      <c r="AS7" s="1590"/>
      <c r="AT7" s="1348"/>
      <c r="AU7" s="1590" t="s">
        <v>1078</v>
      </c>
      <c r="AV7" s="20" t="s">
        <v>1079</v>
      </c>
      <c r="AW7" s="1577" t="s">
        <v>1080</v>
      </c>
      <c r="AX7" s="20" t="s">
        <v>1073</v>
      </c>
      <c r="AY7" s="1346" t="s">
        <v>1081</v>
      </c>
      <c r="AZ7" s="1591"/>
      <c r="BA7" s="1590"/>
      <c r="BB7" s="1590"/>
      <c r="BC7" s="1590"/>
      <c r="BD7" s="1590"/>
      <c r="BE7" s="1590"/>
      <c r="BF7" s="1590"/>
      <c r="BG7" s="1590"/>
      <c r="BH7" s="1590"/>
      <c r="BI7" s="1590"/>
      <c r="BJ7" s="1590"/>
      <c r="BK7" s="1590"/>
      <c r="BL7" s="1590"/>
      <c r="BM7" s="1590"/>
      <c r="BN7" s="1590"/>
      <c r="BO7" s="1590"/>
      <c r="BP7" s="1590"/>
      <c r="BQ7" s="1590"/>
      <c r="BR7" s="1590"/>
      <c r="BS7" s="1590"/>
      <c r="BT7" s="1592"/>
    </row>
    <row r="8" spans="1:72" s="1600" customFormat="1" ht="24">
      <c r="A8" s="1593"/>
      <c r="B8" s="1593"/>
      <c r="C8" s="1593"/>
      <c r="D8" s="1593"/>
      <c r="E8" s="1593"/>
      <c r="F8" s="1593"/>
      <c r="G8" s="1594" t="s">
        <v>1082</v>
      </c>
      <c r="H8" s="1595" t="s">
        <v>1083</v>
      </c>
      <c r="I8" s="1596"/>
      <c r="J8" s="1359"/>
      <c r="K8" s="1359"/>
      <c r="L8" s="1359"/>
      <c r="M8" s="1359"/>
      <c r="N8" s="1359"/>
      <c r="O8" s="1359"/>
      <c r="P8" s="1359"/>
      <c r="Q8" s="1359"/>
      <c r="R8" s="1359"/>
      <c r="S8" s="1359"/>
      <c r="T8" s="1359"/>
      <c r="U8" s="1359"/>
      <c r="V8" s="1597"/>
      <c r="W8" s="1359"/>
      <c r="X8" s="1359"/>
      <c r="Y8" s="1359"/>
      <c r="Z8" s="1359"/>
      <c r="AA8" s="1597"/>
      <c r="AB8" s="1598"/>
      <c r="AC8" s="809" t="s">
        <v>1084</v>
      </c>
      <c r="AD8" s="1599"/>
      <c r="AE8" s="1591"/>
      <c r="AF8" s="1359"/>
      <c r="AG8" s="1359"/>
      <c r="AH8" s="1359"/>
      <c r="AI8" s="1359"/>
      <c r="AJ8" s="1359"/>
      <c r="AK8" s="1359"/>
      <c r="AL8" s="1359"/>
      <c r="AM8" s="1359"/>
      <c r="AN8" s="1359"/>
      <c r="AO8" s="1359"/>
      <c r="AP8" s="1359"/>
      <c r="AQ8" s="1359"/>
      <c r="AR8" s="1359"/>
      <c r="AS8" s="1359"/>
      <c r="AT8" s="1070" t="s">
        <v>1085</v>
      </c>
      <c r="AU8" s="1593" t="s">
        <v>1086</v>
      </c>
      <c r="AV8" s="1070"/>
      <c r="AW8" s="1576"/>
      <c r="AX8" s="1070"/>
      <c r="AY8" s="1577" t="s">
        <v>1087</v>
      </c>
      <c r="AZ8" s="1358" t="s">
        <v>1088</v>
      </c>
      <c r="BA8" s="1359"/>
      <c r="BB8" s="1359"/>
      <c r="BC8" s="1359"/>
      <c r="BD8" s="1359"/>
      <c r="BE8" s="1359"/>
      <c r="BF8" s="1359"/>
      <c r="BG8" s="1359"/>
      <c r="BH8" s="1359"/>
      <c r="BI8" s="1359"/>
      <c r="BJ8" s="1359"/>
      <c r="BK8" s="1359"/>
      <c r="BL8" s="1359"/>
      <c r="BM8" s="1359"/>
      <c r="BN8" s="1359"/>
      <c r="BO8" s="1359"/>
      <c r="BP8" s="1359"/>
      <c r="BQ8" s="1359"/>
      <c r="BR8" s="1359"/>
      <c r="BS8" s="1359"/>
      <c r="BT8" s="23"/>
    </row>
    <row r="9" spans="1:72" s="1600" customFormat="1" ht="12.75">
      <c r="A9" s="1593"/>
      <c r="B9" s="1593"/>
      <c r="C9" s="1593"/>
      <c r="D9" s="1593"/>
      <c r="E9" s="1593"/>
      <c r="F9" s="1593"/>
      <c r="G9" s="1070"/>
      <c r="H9" s="1601" t="s">
        <v>1089</v>
      </c>
      <c r="I9" s="1602" t="s">
        <v>3425</v>
      </c>
      <c r="J9" s="809"/>
      <c r="K9" s="1602" t="s">
        <v>3428</v>
      </c>
      <c r="L9" s="809"/>
      <c r="M9" s="1602"/>
      <c r="N9" s="809"/>
      <c r="O9" s="1602"/>
      <c r="P9" s="809"/>
      <c r="Q9" s="1602"/>
      <c r="R9" s="809"/>
      <c r="S9" s="1602"/>
      <c r="T9" s="809"/>
      <c r="U9" s="1602"/>
      <c r="V9" s="809"/>
      <c r="W9" s="1602"/>
      <c r="X9" s="1603"/>
      <c r="Y9" s="1602"/>
      <c r="Z9" s="809"/>
      <c r="AA9" s="1602"/>
      <c r="AB9" s="809"/>
      <c r="AC9" s="1594" t="s">
        <v>1089</v>
      </c>
      <c r="AD9" s="12" t="s">
        <v>1090</v>
      </c>
      <c r="AE9" s="1076"/>
      <c r="AF9" s="12" t="s">
        <v>1091</v>
      </c>
      <c r="AG9" s="1076"/>
      <c r="AH9" s="12" t="s">
        <v>1090</v>
      </c>
      <c r="AI9" s="1076"/>
      <c r="AJ9" s="12" t="s">
        <v>1091</v>
      </c>
      <c r="AK9" s="1076"/>
      <c r="AL9" s="12" t="s">
        <v>1090</v>
      </c>
      <c r="AM9" s="1076"/>
      <c r="AN9" s="12" t="s">
        <v>1091</v>
      </c>
      <c r="AO9" s="1076"/>
      <c r="AP9" s="12" t="s">
        <v>1090</v>
      </c>
      <c r="AQ9" s="1076"/>
      <c r="AR9" s="12" t="s">
        <v>1091</v>
      </c>
      <c r="AS9" s="1604"/>
      <c r="AT9" s="1593"/>
      <c r="AU9" s="1593" t="s">
        <v>1092</v>
      </c>
      <c r="AV9" s="1070"/>
      <c r="AW9" s="1576"/>
      <c r="AX9" s="1070"/>
      <c r="AY9" s="25"/>
      <c r="AZ9" s="25" t="s">
        <v>1082</v>
      </c>
      <c r="BA9" s="1605" t="s">
        <v>1093</v>
      </c>
      <c r="BB9" s="1606"/>
      <c r="BC9" s="1088"/>
      <c r="BD9" s="1088"/>
      <c r="BE9" s="1088"/>
      <c r="BF9" s="1088"/>
      <c r="BG9" s="1088"/>
      <c r="BH9" s="1088"/>
      <c r="BI9" s="1088"/>
      <c r="BJ9" s="1088"/>
      <c r="BK9" s="1607"/>
      <c r="BL9" s="12" t="s">
        <v>1094</v>
      </c>
      <c r="BM9" s="1359"/>
      <c r="BN9" s="1596"/>
      <c r="BO9" s="1359"/>
      <c r="BP9" s="1359"/>
      <c r="BQ9" s="1359"/>
      <c r="BR9" s="1359"/>
      <c r="BS9" s="1359"/>
      <c r="BT9" s="23"/>
    </row>
    <row r="10" spans="1:72" s="1600" customFormat="1" ht="12.75">
      <c r="A10" s="1593"/>
      <c r="B10" s="1593"/>
      <c r="C10" s="1593"/>
      <c r="D10" s="1593"/>
      <c r="E10" s="1593"/>
      <c r="F10" s="1593"/>
      <c r="G10" s="1070"/>
      <c r="H10" s="25"/>
      <c r="I10" s="1602" t="s">
        <v>3427</v>
      </c>
      <c r="J10" s="809"/>
      <c r="K10" s="1608" t="s">
        <v>3427</v>
      </c>
      <c r="L10" s="809"/>
      <c r="M10" s="1608"/>
      <c r="N10" s="809"/>
      <c r="O10" s="1608"/>
      <c r="P10" s="809"/>
      <c r="Q10" s="1608"/>
      <c r="R10" s="809"/>
      <c r="S10" s="1608"/>
      <c r="T10" s="809"/>
      <c r="U10" s="1608"/>
      <c r="V10" s="809"/>
      <c r="W10" s="1608"/>
      <c r="X10" s="809"/>
      <c r="Y10" s="1608"/>
      <c r="Z10" s="809"/>
      <c r="AA10" s="1608"/>
      <c r="AB10" s="809"/>
      <c r="AC10" s="1070"/>
      <c r="AD10" s="12" t="s">
        <v>1095</v>
      </c>
      <c r="AE10" s="1609"/>
      <c r="AF10" s="12" t="s">
        <v>1095</v>
      </c>
      <c r="AG10" s="1609"/>
      <c r="AH10" s="12" t="s">
        <v>1096</v>
      </c>
      <c r="AI10" s="1609"/>
      <c r="AJ10" s="12" t="s">
        <v>1096</v>
      </c>
      <c r="AK10" s="1609"/>
      <c r="AL10" s="12" t="s">
        <v>1097</v>
      </c>
      <c r="AM10" s="1076"/>
      <c r="AN10" s="12" t="s">
        <v>1097</v>
      </c>
      <c r="AO10" s="1076"/>
      <c r="AP10" s="12" t="s">
        <v>1098</v>
      </c>
      <c r="AQ10" s="1076"/>
      <c r="AR10" s="12" t="s">
        <v>1098</v>
      </c>
      <c r="AS10" s="1076"/>
      <c r="AT10" s="1593"/>
      <c r="AU10" s="1593"/>
      <c r="AV10" s="1070"/>
      <c r="AW10" s="1576"/>
      <c r="AX10" s="1070"/>
      <c r="AY10" s="25"/>
      <c r="AZ10" s="25"/>
      <c r="BA10" s="1610" t="s">
        <v>1089</v>
      </c>
      <c r="BB10" s="1611" t="str">
        <f>I9</f>
        <v>地上</v>
      </c>
      <c r="BC10" s="26" t="str">
        <f>K9</f>
        <v>地下</v>
      </c>
      <c r="BD10" s="26">
        <f>M9</f>
        <v>0</v>
      </c>
      <c r="BE10" s="26">
        <f>O9</f>
        <v>0</v>
      </c>
      <c r="BF10" s="26">
        <f>Q9</f>
        <v>0</v>
      </c>
      <c r="BG10" s="26">
        <f>S9</f>
        <v>0</v>
      </c>
      <c r="BH10" s="26">
        <f>U9</f>
        <v>0</v>
      </c>
      <c r="BI10" s="26">
        <f>W9</f>
        <v>0</v>
      </c>
      <c r="BJ10" s="26">
        <f>Y9</f>
        <v>0</v>
      </c>
      <c r="BK10" s="26">
        <f>AA9</f>
        <v>0</v>
      </c>
      <c r="BL10" s="22" t="s">
        <v>1089</v>
      </c>
      <c r="BM10" s="1358" t="str">
        <f>AD9</f>
        <v>地上</v>
      </c>
      <c r="BN10" s="26" t="str">
        <f>AF9</f>
        <v>地下</v>
      </c>
      <c r="BO10" s="1358" t="str">
        <f>AH9</f>
        <v>地上</v>
      </c>
      <c r="BP10" s="26" t="str">
        <f>AJ9</f>
        <v>地下</v>
      </c>
      <c r="BQ10" s="1358" t="str">
        <f>AL9</f>
        <v>地上</v>
      </c>
      <c r="BR10" s="26" t="str">
        <f>AN9</f>
        <v>地下</v>
      </c>
      <c r="BS10" s="1358" t="str">
        <f>AP9</f>
        <v>地上</v>
      </c>
      <c r="BT10" s="1612" t="str">
        <f>AR9</f>
        <v>地下</v>
      </c>
    </row>
    <row r="11" spans="1:72" s="1600" customFormat="1" ht="12.75">
      <c r="A11" s="1593"/>
      <c r="B11" s="1593"/>
      <c r="C11" s="1593"/>
      <c r="D11" s="1593"/>
      <c r="E11" s="1593"/>
      <c r="F11" s="1593"/>
      <c r="G11" s="1070"/>
      <c r="H11" s="1610"/>
      <c r="I11" s="1613"/>
      <c r="J11" s="1614"/>
      <c r="K11" s="1613"/>
      <c r="L11" s="1614"/>
      <c r="M11" s="1613"/>
      <c r="N11" s="1614"/>
      <c r="O11" s="1613"/>
      <c r="P11" s="1614"/>
      <c r="Q11" s="1613"/>
      <c r="R11" s="1614"/>
      <c r="S11" s="1613"/>
      <c r="T11" s="1614"/>
      <c r="U11" s="1613"/>
      <c r="V11" s="1614"/>
      <c r="W11" s="1613"/>
      <c r="X11" s="1614"/>
      <c r="Y11" s="1613"/>
      <c r="Z11" s="1614"/>
      <c r="AA11" s="1613"/>
      <c r="AB11" s="1614"/>
      <c r="AC11" s="1070"/>
      <c r="AD11" s="1615" t="s">
        <v>1099</v>
      </c>
      <c r="AE11" s="1360"/>
      <c r="AF11" s="1615" t="s">
        <v>1099</v>
      </c>
      <c r="AG11" s="1360"/>
      <c r="AH11" s="1615" t="s">
        <v>1100</v>
      </c>
      <c r="AI11" s="1616"/>
      <c r="AJ11" s="1615" t="s">
        <v>1100</v>
      </c>
      <c r="AK11" s="1360"/>
      <c r="AL11" s="1358"/>
      <c r="AM11" s="1360"/>
      <c r="AN11" s="1358"/>
      <c r="AO11" s="1360"/>
      <c r="AP11" s="1358"/>
      <c r="AQ11" s="1360"/>
      <c r="AR11" s="1358"/>
      <c r="AS11" s="1360"/>
      <c r="AT11" s="1576"/>
      <c r="AU11" s="1593"/>
      <c r="AV11" s="1070"/>
      <c r="AW11" s="1576"/>
      <c r="AX11" s="1070"/>
      <c r="AY11" s="25"/>
      <c r="AZ11" s="25"/>
      <c r="BA11" s="25"/>
      <c r="BB11" s="1598" t="str">
        <f>I10</f>
        <v>公共服务</v>
      </c>
      <c r="BC11" s="1598" t="str">
        <f>K10</f>
        <v>公共服务</v>
      </c>
      <c r="BD11" s="1598">
        <f>M10</f>
        <v>0</v>
      </c>
      <c r="BE11" s="1598">
        <f>O10</f>
        <v>0</v>
      </c>
      <c r="BF11" s="1598">
        <f>Q10</f>
        <v>0</v>
      </c>
      <c r="BG11" s="1598">
        <f>S10</f>
        <v>0</v>
      </c>
      <c r="BH11" s="1598">
        <f>U10</f>
        <v>0</v>
      </c>
      <c r="BI11" s="1598">
        <f>W10</f>
        <v>0</v>
      </c>
      <c r="BJ11" s="1598">
        <f>Y10</f>
        <v>0</v>
      </c>
      <c r="BK11" s="1598">
        <f>AA10</f>
        <v>0</v>
      </c>
      <c r="BL11" s="1070"/>
      <c r="BM11" s="1358" t="str">
        <f>AD10</f>
        <v>公共配套设施</v>
      </c>
      <c r="BN11" s="1358" t="str">
        <f>AF10</f>
        <v>公共配套设施</v>
      </c>
      <c r="BO11" s="21" t="str">
        <f>AH10</f>
        <v>物业管理用房</v>
      </c>
      <c r="BP11" s="21" t="str">
        <f>AJ10</f>
        <v>物业管理用房</v>
      </c>
      <c r="BQ11" s="21" t="str">
        <f>AL10</f>
        <v>设备及其他</v>
      </c>
      <c r="BR11" s="21" t="str">
        <f>AN10</f>
        <v>设备及其他</v>
      </c>
      <c r="BS11" s="22" t="str">
        <f>AP10</f>
        <v>未注明</v>
      </c>
      <c r="BT11" s="1617" t="str">
        <f>AR10</f>
        <v>未注明</v>
      </c>
    </row>
    <row r="12" spans="1:72" s="1578" customFormat="1" ht="12.75">
      <c r="A12" s="1618"/>
      <c r="B12" s="1618"/>
      <c r="C12" s="1618"/>
      <c r="D12" s="1618"/>
      <c r="E12" s="1618"/>
      <c r="F12" s="1618"/>
      <c r="G12" s="27"/>
      <c r="H12" s="1619"/>
      <c r="I12" s="1348" t="s">
        <v>1101</v>
      </c>
      <c r="J12" s="8" t="s">
        <v>1102</v>
      </c>
      <c r="K12" s="8" t="s">
        <v>1101</v>
      </c>
      <c r="L12" s="8" t="s">
        <v>1102</v>
      </c>
      <c r="M12" s="8" t="s">
        <v>1101</v>
      </c>
      <c r="N12" s="8" t="s">
        <v>1102</v>
      </c>
      <c r="O12" s="8" t="s">
        <v>1101</v>
      </c>
      <c r="P12" s="8" t="s">
        <v>1102</v>
      </c>
      <c r="Q12" s="8" t="s">
        <v>1101</v>
      </c>
      <c r="R12" s="8" t="s">
        <v>1102</v>
      </c>
      <c r="S12" s="8" t="s">
        <v>1101</v>
      </c>
      <c r="T12" s="8" t="s">
        <v>1102</v>
      </c>
      <c r="U12" s="8" t="s">
        <v>1101</v>
      </c>
      <c r="V12" s="1345" t="s">
        <v>1102</v>
      </c>
      <c r="W12" s="8" t="s">
        <v>1101</v>
      </c>
      <c r="X12" s="8" t="s">
        <v>1102</v>
      </c>
      <c r="Y12" s="8" t="s">
        <v>1101</v>
      </c>
      <c r="Z12" s="8" t="s">
        <v>1102</v>
      </c>
      <c r="AA12" s="8" t="s">
        <v>1101</v>
      </c>
      <c r="AB12" s="8" t="s">
        <v>1102</v>
      </c>
      <c r="AC12" s="1620"/>
      <c r="AD12" s="1348" t="s">
        <v>1101</v>
      </c>
      <c r="AE12" s="8" t="s">
        <v>1102</v>
      </c>
      <c r="AF12" s="8" t="s">
        <v>1101</v>
      </c>
      <c r="AG12" s="8" t="s">
        <v>1102</v>
      </c>
      <c r="AH12" s="8" t="s">
        <v>1101</v>
      </c>
      <c r="AI12" s="8" t="s">
        <v>1102</v>
      </c>
      <c r="AJ12" s="8" t="s">
        <v>1101</v>
      </c>
      <c r="AK12" s="8" t="s">
        <v>1102</v>
      </c>
      <c r="AL12" s="8" t="s">
        <v>1101</v>
      </c>
      <c r="AM12" s="8" t="s">
        <v>1102</v>
      </c>
      <c r="AN12" s="8" t="s">
        <v>1101</v>
      </c>
      <c r="AO12" s="8" t="s">
        <v>1102</v>
      </c>
      <c r="AP12" s="8" t="s">
        <v>1101</v>
      </c>
      <c r="AQ12" s="8" t="s">
        <v>1102</v>
      </c>
      <c r="AR12" s="27" t="s">
        <v>1101</v>
      </c>
      <c r="AS12" s="1618" t="s">
        <v>1102</v>
      </c>
      <c r="AT12" s="1621"/>
      <c r="AU12" s="1618"/>
      <c r="AV12" s="28"/>
      <c r="AW12" s="1577"/>
      <c r="AX12" s="28"/>
      <c r="AY12" s="1622"/>
      <c r="AZ12" s="25"/>
      <c r="BA12" s="1610"/>
      <c r="BB12" s="21">
        <f>I11</f>
        <v>0</v>
      </c>
      <c r="BC12" s="1623">
        <f>K11</f>
        <v>0</v>
      </c>
      <c r="BD12" s="1623">
        <f>M11</f>
        <v>0</v>
      </c>
      <c r="BE12" s="1598">
        <f>O11</f>
        <v>0</v>
      </c>
      <c r="BF12" s="1598">
        <f>Q11</f>
        <v>0</v>
      </c>
      <c r="BG12" s="1598">
        <f>S11</f>
        <v>0</v>
      </c>
      <c r="BH12" s="1598">
        <f>U11</f>
        <v>0</v>
      </c>
      <c r="BI12" s="1598">
        <f>W11</f>
        <v>0</v>
      </c>
      <c r="BJ12" s="1598">
        <f>Y11</f>
        <v>0</v>
      </c>
      <c r="BK12" s="1598">
        <f>AA11</f>
        <v>0</v>
      </c>
      <c r="BL12" s="1070"/>
      <c r="BM12" s="1358" t="str">
        <f>AD11</f>
        <v>（住宅）</v>
      </c>
      <c r="BN12" s="1358" t="str">
        <f>AF11</f>
        <v>（住宅）</v>
      </c>
      <c r="BO12" s="21" t="str">
        <f>AH11</f>
        <v>（住宅、计出让金）</v>
      </c>
      <c r="BP12" s="21" t="str">
        <f>AJ11</f>
        <v>（住宅、计出让金）</v>
      </c>
      <c r="BQ12" s="21">
        <f>AL11</f>
        <v>0</v>
      </c>
      <c r="BR12" s="21">
        <f>AN11</f>
        <v>0</v>
      </c>
      <c r="BS12" s="22">
        <f>AP11</f>
        <v>0</v>
      </c>
      <c r="BT12" s="1617">
        <f>AR11</f>
        <v>0</v>
      </c>
    </row>
    <row r="13" spans="1:72" s="1578" customFormat="1" ht="27" customHeight="1">
      <c r="A13" s="1051"/>
      <c r="B13" s="1051">
        <v>7792.51</v>
      </c>
      <c r="C13" s="3426" t="s">
        <v>3379</v>
      </c>
      <c r="D13" s="1624" t="s">
        <v>3369</v>
      </c>
      <c r="E13" s="13">
        <f>IF($C$3="是",ROUND($A$3*G13/$B$3,2),ROUND($A$3*(G13-AT13)/$B$3,2))</f>
        <v>6939.69</v>
      </c>
      <c r="F13" s="29"/>
      <c r="G13" s="30">
        <f>H13+AC13+AT13</f>
        <v>7792.51</v>
      </c>
      <c r="H13" s="17">
        <f>SUMIF(I$12:AB$12,"总值",I13:AB13)</f>
        <v>7792.51</v>
      </c>
      <c r="I13" s="1625">
        <f>指标!G2</f>
        <v>7792.51</v>
      </c>
      <c r="J13" s="1625"/>
      <c r="K13" s="1625"/>
      <c r="L13" s="1625"/>
      <c r="M13" s="1625"/>
      <c r="N13" s="1625"/>
      <c r="O13" s="1625"/>
      <c r="P13" s="1625"/>
      <c r="Q13" s="1625"/>
      <c r="R13" s="1625"/>
      <c r="S13" s="1625"/>
      <c r="T13" s="1625"/>
      <c r="U13" s="1625"/>
      <c r="V13" s="1625"/>
      <c r="W13" s="1625"/>
      <c r="X13" s="1625"/>
      <c r="Y13" s="1625"/>
      <c r="Z13" s="1625"/>
      <c r="AA13" s="1625"/>
      <c r="AB13" s="1625"/>
      <c r="AC13" s="13">
        <f>SUMIF(AD$12:AS$12,"总值",AD13:AS13)</f>
        <v>0</v>
      </c>
      <c r="AD13" s="1626"/>
      <c r="AE13" s="1626"/>
      <c r="AF13" s="1626"/>
      <c r="AG13" s="1626"/>
      <c r="AH13" s="1626"/>
      <c r="AI13" s="1626"/>
      <c r="AJ13" s="1626"/>
      <c r="AK13" s="1626"/>
      <c r="AL13" s="1626"/>
      <c r="AM13" s="1626"/>
      <c r="AN13" s="1626"/>
      <c r="AO13" s="1626"/>
      <c r="AP13" s="1626"/>
      <c r="AQ13" s="1626"/>
      <c r="AR13" s="1626"/>
      <c r="AS13" s="1626"/>
      <c r="AT13" s="1627"/>
      <c r="AU13" s="1628"/>
      <c r="AV13" s="8">
        <f t="shared" ref="AV13:AX17" si="6">A13</f>
        <v>0</v>
      </c>
      <c r="AW13" s="8">
        <f t="shared" si="6"/>
        <v>7792.51</v>
      </c>
      <c r="AX13" s="8" t="str">
        <f t="shared" si="6"/>
        <v>昌平区生命园路20号院1号楼-1至4层101</v>
      </c>
      <c r="AY13" s="1348">
        <f>ROUND($AY$6*AZ13/$AZ$5,2)</f>
        <v>0</v>
      </c>
      <c r="AZ13" s="13">
        <f>BA13+BL13</f>
        <v>0</v>
      </c>
      <c r="BA13" s="13">
        <f>SUM(BB13:BK13)</f>
        <v>0</v>
      </c>
      <c r="BB13" s="13">
        <f>IF($D13="是",I13-J13,0)</f>
        <v>0</v>
      </c>
      <c r="BC13" s="13">
        <f>IF($D13="是",K13-L13,0)</f>
        <v>0</v>
      </c>
      <c r="BD13" s="13">
        <f>IF($D13="是",M13-N13,0)</f>
        <v>0</v>
      </c>
      <c r="BE13" s="13">
        <f>IF($D13="是",O13-P13,0)</f>
        <v>0</v>
      </c>
      <c r="BF13" s="13">
        <f>IF($D13="是",Q13-R13,0)</f>
        <v>0</v>
      </c>
      <c r="BG13" s="13">
        <f>IF($D13="是",S13-T13,0)</f>
        <v>0</v>
      </c>
      <c r="BH13" s="13">
        <f>IF($D13="是",U13-V13,0)</f>
        <v>0</v>
      </c>
      <c r="BI13" s="13">
        <f>IF($D13="是",W13-X13,0)</f>
        <v>0</v>
      </c>
      <c r="BJ13" s="13">
        <f>IF($D13="是",Y13-Z13,0)</f>
        <v>0</v>
      </c>
      <c r="BK13" s="13">
        <f>IF($D13="是",AA13-AB13,0)</f>
        <v>0</v>
      </c>
      <c r="BL13" s="13">
        <f>SUM(BM13:BT13)</f>
        <v>0</v>
      </c>
      <c r="BM13" s="13">
        <f>IF($D13="是",AD13-AE13,0)</f>
        <v>0</v>
      </c>
      <c r="BN13" s="13">
        <f>IF($D13="是",AF13-AG13,0)</f>
        <v>0</v>
      </c>
      <c r="BO13" s="13">
        <f>IF($D13="是",AH13-AI13,0)</f>
        <v>0</v>
      </c>
      <c r="BP13" s="13">
        <f>IF($D13="是",AJ13-AK13,0)</f>
        <v>0</v>
      </c>
      <c r="BQ13" s="13">
        <f>IF($D13="是",AL13-AM13,0)</f>
        <v>0</v>
      </c>
      <c r="BR13" s="13">
        <f>IF($D13="是",AN13-AO13,0)</f>
        <v>0</v>
      </c>
      <c r="BS13" s="13">
        <f>IF($D13="是",AP13-AQ13,0)</f>
        <v>0</v>
      </c>
      <c r="BT13" s="19">
        <f>IF($D13="是",AR13-AS13,0)</f>
        <v>0</v>
      </c>
    </row>
    <row r="14" spans="1:72" s="1578" customFormat="1" ht="25.5" customHeight="1">
      <c r="A14" s="1051"/>
      <c r="B14" s="1051">
        <v>7637.27</v>
      </c>
      <c r="C14" s="3426" t="s">
        <v>3380</v>
      </c>
      <c r="D14" s="1624" t="s">
        <v>3369</v>
      </c>
      <c r="E14" s="13">
        <f>IF($C$3="是",ROUND($A$3*G14/$B$3,2),ROUND($A$3*(G14-AT14)/$B$3,2))</f>
        <v>6801.44</v>
      </c>
      <c r="F14" s="29"/>
      <c r="G14" s="30">
        <f>H14+AC14+AT14</f>
        <v>7637.27</v>
      </c>
      <c r="H14" s="17">
        <f>SUMIF(I$12:AB$12,"总值",I14:AB14)</f>
        <v>7637.27</v>
      </c>
      <c r="I14" s="1625">
        <f>指标!G3</f>
        <v>7637.27</v>
      </c>
      <c r="J14" s="1625"/>
      <c r="K14" s="1625"/>
      <c r="L14" s="1625"/>
      <c r="M14" s="1625"/>
      <c r="N14" s="1625"/>
      <c r="O14" s="1625"/>
      <c r="P14" s="1625"/>
      <c r="Q14" s="1625"/>
      <c r="R14" s="1625"/>
      <c r="S14" s="1625"/>
      <c r="T14" s="1625"/>
      <c r="U14" s="1625"/>
      <c r="V14" s="1625"/>
      <c r="W14" s="1625"/>
      <c r="X14" s="1625"/>
      <c r="Y14" s="1625"/>
      <c r="Z14" s="1625"/>
      <c r="AA14" s="1625"/>
      <c r="AB14" s="1625"/>
      <c r="AC14" s="13">
        <f>SUMIF(AD$12:AS$12,"总值",AD14:AS14)</f>
        <v>0</v>
      </c>
      <c r="AD14" s="1626"/>
      <c r="AE14" s="1626"/>
      <c r="AF14" s="1626"/>
      <c r="AG14" s="1626"/>
      <c r="AH14" s="1626"/>
      <c r="AI14" s="1626"/>
      <c r="AJ14" s="1626"/>
      <c r="AK14" s="1626"/>
      <c r="AL14" s="1626"/>
      <c r="AM14" s="1626"/>
      <c r="AN14" s="1626"/>
      <c r="AO14" s="1626"/>
      <c r="AP14" s="1626"/>
      <c r="AQ14" s="1626"/>
      <c r="AR14" s="1626"/>
      <c r="AS14" s="1626"/>
      <c r="AT14" s="1627"/>
      <c r="AU14" s="1628"/>
      <c r="AV14" s="8">
        <f t="shared" si="6"/>
        <v>0</v>
      </c>
      <c r="AW14" s="8">
        <f t="shared" si="6"/>
        <v>7637.27</v>
      </c>
      <c r="AX14" s="8" t="str">
        <f t="shared" si="6"/>
        <v>昌平区生命园路20号院2号楼1至4层101</v>
      </c>
      <c r="AY14" s="1348">
        <f>ROUND($AY$6*AZ14/$AZ$5,2)</f>
        <v>0</v>
      </c>
      <c r="AZ14" s="13">
        <f>BA14+BL14</f>
        <v>0</v>
      </c>
      <c r="BA14" s="13">
        <f>SUM(BB14:BK14)</f>
        <v>0</v>
      </c>
      <c r="BB14" s="13">
        <f>IF($D14="是",I14-J14,0)</f>
        <v>0</v>
      </c>
      <c r="BC14" s="13">
        <f>IF($D14="是",K14-L14,0)</f>
        <v>0</v>
      </c>
      <c r="BD14" s="13">
        <f>IF($D14="是",M14-N14,0)</f>
        <v>0</v>
      </c>
      <c r="BE14" s="13">
        <f>IF($D14="是",O14-P14,0)</f>
        <v>0</v>
      </c>
      <c r="BF14" s="13">
        <f>IF($D14="是",Q14-R14,0)</f>
        <v>0</v>
      </c>
      <c r="BG14" s="13">
        <f>IF($D14="是",S14-T14,0)</f>
        <v>0</v>
      </c>
      <c r="BH14" s="13">
        <f>IF($D14="是",U14-V14,0)</f>
        <v>0</v>
      </c>
      <c r="BI14" s="13">
        <f>IF($D14="是",W14-X14,0)</f>
        <v>0</v>
      </c>
      <c r="BJ14" s="13">
        <f>IF($D14="是",Y14-Z14,0)</f>
        <v>0</v>
      </c>
      <c r="BK14" s="13">
        <f>IF($D14="是",AA14-AB14,0)</f>
        <v>0</v>
      </c>
      <c r="BL14" s="13">
        <f>SUM(BM14:BT14)</f>
        <v>0</v>
      </c>
      <c r="BM14" s="13">
        <f>IF($D14="是",AD14-AE14,0)</f>
        <v>0</v>
      </c>
      <c r="BN14" s="13">
        <f>IF($D14="是",AF14-AG14,0)</f>
        <v>0</v>
      </c>
      <c r="BO14" s="13">
        <f>IF($D14="是",AH14-AI14,0)</f>
        <v>0</v>
      </c>
      <c r="BP14" s="13">
        <f>IF($D14="是",AJ14-AK14,0)</f>
        <v>0</v>
      </c>
      <c r="BQ14" s="13">
        <f>IF($D14="是",AL14-AM14,0)</f>
        <v>0</v>
      </c>
      <c r="BR14" s="13">
        <f>IF($D14="是",AN14-AO14,0)</f>
        <v>0</v>
      </c>
      <c r="BS14" s="13">
        <f>IF($D14="是",AP14-AQ14,0)</f>
        <v>0</v>
      </c>
      <c r="BT14" s="19">
        <f>IF($D14="是",AR14-AS14,0)</f>
        <v>0</v>
      </c>
    </row>
    <row r="15" spans="1:72" s="1578" customFormat="1" ht="26.25" customHeight="1">
      <c r="A15" s="1051"/>
      <c r="B15" s="1051">
        <v>10545.05</v>
      </c>
      <c r="C15" s="3426" t="s">
        <v>3381</v>
      </c>
      <c r="D15" s="1624" t="s">
        <v>3369</v>
      </c>
      <c r="E15" s="13">
        <f>IF($C$3="是",ROUND($A$3*G15/$B$3,2),ROUND($A$3*(G15-AT15)/$B$3,2))</f>
        <v>9390.99</v>
      </c>
      <c r="F15" s="29"/>
      <c r="G15" s="30">
        <f>H15+AC15+AT15</f>
        <v>10545.05</v>
      </c>
      <c r="H15" s="17">
        <f>SUMIF(I$12:AB$12,"总值",I15:AB15)</f>
        <v>10545.05</v>
      </c>
      <c r="I15" s="1625">
        <f>指标!M4</f>
        <v>6382.23</v>
      </c>
      <c r="J15" s="1625"/>
      <c r="K15" s="1625">
        <f>指标!K4</f>
        <v>4162.82</v>
      </c>
      <c r="L15" s="1625"/>
      <c r="M15" s="1625"/>
      <c r="N15" s="1625"/>
      <c r="O15" s="1625"/>
      <c r="P15" s="1625"/>
      <c r="Q15" s="1625"/>
      <c r="R15" s="1625"/>
      <c r="S15" s="1625"/>
      <c r="T15" s="1625"/>
      <c r="U15" s="1625"/>
      <c r="V15" s="1625"/>
      <c r="W15" s="1625"/>
      <c r="X15" s="1625"/>
      <c r="Y15" s="1625"/>
      <c r="Z15" s="1625"/>
      <c r="AA15" s="1625"/>
      <c r="AB15" s="1625"/>
      <c r="AC15" s="13">
        <f>SUMIF(AD$12:AS$12,"总值",AD15:AS15)</f>
        <v>0</v>
      </c>
      <c r="AD15" s="1626"/>
      <c r="AE15" s="1626"/>
      <c r="AF15" s="1626"/>
      <c r="AG15" s="1626"/>
      <c r="AH15" s="1626"/>
      <c r="AI15" s="1626"/>
      <c r="AJ15" s="1626"/>
      <c r="AK15" s="1626"/>
      <c r="AL15" s="1626"/>
      <c r="AM15" s="1626"/>
      <c r="AN15" s="1626"/>
      <c r="AO15" s="1626"/>
      <c r="AP15" s="1626"/>
      <c r="AQ15" s="1626"/>
      <c r="AR15" s="1626"/>
      <c r="AS15" s="1626"/>
      <c r="AT15" s="1627"/>
      <c r="AU15" s="1628"/>
      <c r="AV15" s="8">
        <f t="shared" si="6"/>
        <v>0</v>
      </c>
      <c r="AW15" s="8">
        <f t="shared" si="6"/>
        <v>10545.05</v>
      </c>
      <c r="AX15" s="8" t="str">
        <f t="shared" si="6"/>
        <v>昌平区生命园路20号院3号楼-2至5层101</v>
      </c>
      <c r="AY15" s="1348">
        <f>ROUND($AY$6*AZ15/$AZ$5,2)</f>
        <v>0</v>
      </c>
      <c r="AZ15" s="13">
        <f>BA15+BL15</f>
        <v>0</v>
      </c>
      <c r="BA15" s="13">
        <f>SUM(BB15:BK15)</f>
        <v>0</v>
      </c>
      <c r="BB15" s="13">
        <f>IF($D15="是",I15-J15,0)</f>
        <v>0</v>
      </c>
      <c r="BC15" s="13">
        <f>IF($D15="是",K15-L15,0)</f>
        <v>0</v>
      </c>
      <c r="BD15" s="13">
        <f>IF($D15="是",M15-N15,0)</f>
        <v>0</v>
      </c>
      <c r="BE15" s="13">
        <f>IF($D15="是",O15-P15,0)</f>
        <v>0</v>
      </c>
      <c r="BF15" s="13">
        <f>IF($D15="是",Q15-R15,0)</f>
        <v>0</v>
      </c>
      <c r="BG15" s="13">
        <f>IF($D15="是",S15-T15,0)</f>
        <v>0</v>
      </c>
      <c r="BH15" s="13">
        <f>IF($D15="是",U15-V15,0)</f>
        <v>0</v>
      </c>
      <c r="BI15" s="13">
        <f>IF($D15="是",W15-X15,0)</f>
        <v>0</v>
      </c>
      <c r="BJ15" s="13">
        <f>IF($D15="是",Y15-Z15,0)</f>
        <v>0</v>
      </c>
      <c r="BK15" s="13">
        <f>IF($D15="是",AA15-AB15,0)</f>
        <v>0</v>
      </c>
      <c r="BL15" s="13">
        <f>SUM(BM15:BT15)</f>
        <v>0</v>
      </c>
      <c r="BM15" s="13">
        <f>IF($D15="是",AD15-AE15,0)</f>
        <v>0</v>
      </c>
      <c r="BN15" s="13">
        <f>IF($D15="是",AF15-AG15,0)</f>
        <v>0</v>
      </c>
      <c r="BO15" s="13">
        <f>IF($D15="是",AH15-AI15,0)</f>
        <v>0</v>
      </c>
      <c r="BP15" s="13">
        <f>IF($D15="是",AJ15-AK15,0)</f>
        <v>0</v>
      </c>
      <c r="BQ15" s="13">
        <f>IF($D15="是",AL15-AM15,0)</f>
        <v>0</v>
      </c>
      <c r="BR15" s="13">
        <f>IF($D15="是",AN15-AO15,0)</f>
        <v>0</v>
      </c>
      <c r="BS15" s="13">
        <f>IF($D15="是",AP15-AQ15,0)</f>
        <v>0</v>
      </c>
      <c r="BT15" s="19">
        <f>IF($D15="是",AR15-AS15,0)</f>
        <v>0</v>
      </c>
    </row>
    <row r="16" spans="1:72" s="1578" customFormat="1" ht="21.75" customHeight="1">
      <c r="A16" s="1051"/>
      <c r="B16" s="1051">
        <v>6921.25</v>
      </c>
      <c r="C16" s="3426" t="s">
        <v>3382</v>
      </c>
      <c r="D16" s="1624" t="s">
        <v>3369</v>
      </c>
      <c r="E16" s="13">
        <f>IF($C$3="是",ROUND($A$3*G16/$B$3,2),ROUND($A$3*(G16-AT16)/$B$3,2))</f>
        <v>6163.78</v>
      </c>
      <c r="F16" s="29"/>
      <c r="G16" s="30">
        <f>H16+AC16+AT16</f>
        <v>6921.25</v>
      </c>
      <c r="H16" s="17">
        <f>SUMIF(I$12:AB$12,"总值",I16:AB16)</f>
        <v>6921.25</v>
      </c>
      <c r="I16" s="1625">
        <f>指标!G5</f>
        <v>6921.25</v>
      </c>
      <c r="J16" s="1625"/>
      <c r="K16" s="1625"/>
      <c r="L16" s="1625"/>
      <c r="M16" s="1625"/>
      <c r="N16" s="1625"/>
      <c r="O16" s="1625"/>
      <c r="P16" s="1625"/>
      <c r="Q16" s="1625"/>
      <c r="R16" s="1625"/>
      <c r="S16" s="1625"/>
      <c r="T16" s="1625"/>
      <c r="U16" s="1625"/>
      <c r="V16" s="1625"/>
      <c r="W16" s="1625"/>
      <c r="X16" s="1625"/>
      <c r="Y16" s="1625"/>
      <c r="Z16" s="1625"/>
      <c r="AA16" s="1625"/>
      <c r="AB16" s="1625"/>
      <c r="AC16" s="13">
        <f>SUMIF(AD$12:AS$12,"总值",AD16:AS16)</f>
        <v>0</v>
      </c>
      <c r="AD16" s="1626"/>
      <c r="AE16" s="1626"/>
      <c r="AF16" s="1626"/>
      <c r="AG16" s="1626"/>
      <c r="AH16" s="1626"/>
      <c r="AI16" s="1626"/>
      <c r="AJ16" s="1626"/>
      <c r="AK16" s="1626"/>
      <c r="AL16" s="1626"/>
      <c r="AM16" s="1626"/>
      <c r="AN16" s="1626"/>
      <c r="AO16" s="1626"/>
      <c r="AP16" s="1626"/>
      <c r="AQ16" s="1626"/>
      <c r="AR16" s="1626"/>
      <c r="AS16" s="1626"/>
      <c r="AT16" s="1627"/>
      <c r="AU16" s="1628"/>
      <c r="AV16" s="8">
        <f t="shared" si="6"/>
        <v>0</v>
      </c>
      <c r="AW16" s="8">
        <f t="shared" si="6"/>
        <v>6921.25</v>
      </c>
      <c r="AX16" s="8" t="str">
        <f t="shared" si="6"/>
        <v>昌平区生命园路20号院4号楼1至4层101</v>
      </c>
      <c r="AY16" s="1348">
        <f>ROUND($AY$6*AZ16/$AZ$5,2)</f>
        <v>0</v>
      </c>
      <c r="AZ16" s="13">
        <f>BA16+BL16</f>
        <v>0</v>
      </c>
      <c r="BA16" s="13">
        <f>SUM(BB16:BK16)</f>
        <v>0</v>
      </c>
      <c r="BB16" s="13">
        <f>IF($D16="是",I16-J16,0)</f>
        <v>0</v>
      </c>
      <c r="BC16" s="13">
        <f>IF($D16="是",K16-L16,0)</f>
        <v>0</v>
      </c>
      <c r="BD16" s="13">
        <f>IF($D16="是",M16-N16,0)</f>
        <v>0</v>
      </c>
      <c r="BE16" s="13">
        <f>IF($D16="是",O16-P16,0)</f>
        <v>0</v>
      </c>
      <c r="BF16" s="13">
        <f>IF($D16="是",Q16-R16,0)</f>
        <v>0</v>
      </c>
      <c r="BG16" s="13">
        <f>IF($D16="是",S16-T16,0)</f>
        <v>0</v>
      </c>
      <c r="BH16" s="13">
        <f>IF($D16="是",U16-V16,0)</f>
        <v>0</v>
      </c>
      <c r="BI16" s="13">
        <f>IF($D16="是",W16-X16,0)</f>
        <v>0</v>
      </c>
      <c r="BJ16" s="13">
        <f>IF($D16="是",Y16-Z16,0)</f>
        <v>0</v>
      </c>
      <c r="BK16" s="13">
        <f>IF($D16="是",AA16-AB16,0)</f>
        <v>0</v>
      </c>
      <c r="BL16" s="13">
        <f>SUM(BM16:BT16)</f>
        <v>0</v>
      </c>
      <c r="BM16" s="13">
        <f>IF($D16="是",AD16-AE16,0)</f>
        <v>0</v>
      </c>
      <c r="BN16" s="13">
        <f>IF($D16="是",AF16-AG16,0)</f>
        <v>0</v>
      </c>
      <c r="BO16" s="13">
        <f>IF($D16="是",AH16-AI16,0)</f>
        <v>0</v>
      </c>
      <c r="BP16" s="13">
        <f>IF($D16="是",AJ16-AK16,0)</f>
        <v>0</v>
      </c>
      <c r="BQ16" s="13">
        <f>IF($D16="是",AL16-AM16,0)</f>
        <v>0</v>
      </c>
      <c r="BR16" s="13">
        <f>IF($D16="是",AN16-AO16,0)</f>
        <v>0</v>
      </c>
      <c r="BS16" s="13">
        <f>IF($D16="是",AP16-AQ16,0)</f>
        <v>0</v>
      </c>
      <c r="BT16" s="19">
        <f>IF($D16="是",AR16-AS16,0)</f>
        <v>0</v>
      </c>
    </row>
    <row r="17" spans="1:72" s="1578" customFormat="1" ht="21.75" customHeight="1">
      <c r="A17" s="1051"/>
      <c r="B17" s="1051">
        <v>6982.07</v>
      </c>
      <c r="C17" s="3426" t="s">
        <v>3383</v>
      </c>
      <c r="D17" s="1624" t="s">
        <v>3369</v>
      </c>
      <c r="E17" s="13">
        <f>IF($C$3="是",ROUND($A$3*G17/$B$3,2),ROUND($A$3*(G17-AT17)/$B$3,2))</f>
        <v>6217.94</v>
      </c>
      <c r="F17" s="29"/>
      <c r="G17" s="30">
        <f>H17+AC17+AT17</f>
        <v>6982.07</v>
      </c>
      <c r="H17" s="17">
        <f>SUMIF(I$12:AB$12,"总值",I17:AB17)</f>
        <v>6982.07</v>
      </c>
      <c r="I17" s="1625">
        <f>指标!G6</f>
        <v>6982.07</v>
      </c>
      <c r="J17" s="1625"/>
      <c r="K17" s="1625"/>
      <c r="L17" s="1625"/>
      <c r="M17" s="1625"/>
      <c r="N17" s="1625"/>
      <c r="O17" s="1625"/>
      <c r="P17" s="1625"/>
      <c r="Q17" s="1625"/>
      <c r="R17" s="1625"/>
      <c r="S17" s="1625"/>
      <c r="T17" s="1625"/>
      <c r="U17" s="1625"/>
      <c r="V17" s="1625"/>
      <c r="W17" s="1625"/>
      <c r="X17" s="1625"/>
      <c r="Y17" s="1625"/>
      <c r="Z17" s="1625"/>
      <c r="AA17" s="1625"/>
      <c r="AB17" s="1625"/>
      <c r="AC17" s="13">
        <f>SUMIF(AD$12:AS$12,"总值",AD17:AS17)</f>
        <v>0</v>
      </c>
      <c r="AD17" s="1626"/>
      <c r="AE17" s="1626"/>
      <c r="AF17" s="1626"/>
      <c r="AG17" s="1626"/>
      <c r="AH17" s="1626"/>
      <c r="AI17" s="1626"/>
      <c r="AJ17" s="1626"/>
      <c r="AK17" s="1626"/>
      <c r="AL17" s="1626"/>
      <c r="AM17" s="1626"/>
      <c r="AN17" s="1626"/>
      <c r="AO17" s="1626"/>
      <c r="AP17" s="1626"/>
      <c r="AQ17" s="1626"/>
      <c r="AR17" s="1626"/>
      <c r="AS17" s="1626"/>
      <c r="AT17" s="1627"/>
      <c r="AU17" s="1628"/>
      <c r="AV17" s="8">
        <f t="shared" si="6"/>
        <v>0</v>
      </c>
      <c r="AW17" s="8">
        <f t="shared" si="6"/>
        <v>6982.07</v>
      </c>
      <c r="AX17" s="8" t="str">
        <f t="shared" si="6"/>
        <v>昌平区生命园路20号院5号楼-1至4层101</v>
      </c>
      <c r="AY17" s="1348">
        <f>ROUND($AY$6*AZ17/$AZ$5,2)</f>
        <v>0</v>
      </c>
      <c r="AZ17" s="13">
        <f>BA17+BL17</f>
        <v>0</v>
      </c>
      <c r="BA17" s="13">
        <f>SUM(BB17:BK17)</f>
        <v>0</v>
      </c>
      <c r="BB17" s="13">
        <f>IF($D17="是",I17-J17,0)</f>
        <v>0</v>
      </c>
      <c r="BC17" s="13">
        <f>IF($D17="是",K17-L17,0)</f>
        <v>0</v>
      </c>
      <c r="BD17" s="13">
        <f>IF($D17="是",M17-N17,0)</f>
        <v>0</v>
      </c>
      <c r="BE17" s="13">
        <f>IF($D17="是",O17-P17,0)</f>
        <v>0</v>
      </c>
      <c r="BF17" s="13">
        <f>IF($D17="是",Q17-R17,0)</f>
        <v>0</v>
      </c>
      <c r="BG17" s="13">
        <f>IF($D17="是",S17-T17,0)</f>
        <v>0</v>
      </c>
      <c r="BH17" s="13">
        <f>IF($D17="是",U17-V17,0)</f>
        <v>0</v>
      </c>
      <c r="BI17" s="13">
        <f>IF($D17="是",W17-X17,0)</f>
        <v>0</v>
      </c>
      <c r="BJ17" s="13">
        <f>IF($D17="是",Y17-Z17,0)</f>
        <v>0</v>
      </c>
      <c r="BK17" s="13">
        <f>IF($D17="是",AA17-AB17,0)</f>
        <v>0</v>
      </c>
      <c r="BL17" s="13">
        <f>SUM(BM17:BT17)</f>
        <v>0</v>
      </c>
      <c r="BM17" s="13">
        <f>IF($D17="是",AD17-AE17,0)</f>
        <v>0</v>
      </c>
      <c r="BN17" s="13">
        <f>IF($D17="是",AF17-AG17,0)</f>
        <v>0</v>
      </c>
      <c r="BO17" s="13">
        <f>IF($D17="是",AH17-AI17,0)</f>
        <v>0</v>
      </c>
      <c r="BP17" s="13">
        <f>IF($D17="是",AJ17-AK17,0)</f>
        <v>0</v>
      </c>
      <c r="BQ17" s="13">
        <f>IF($D17="是",AL17-AM17,0)</f>
        <v>0</v>
      </c>
      <c r="BR17" s="13">
        <f>IF($D17="是",AN17-AO17,0)</f>
        <v>0</v>
      </c>
      <c r="BS17" s="13">
        <f>IF($D17="是",AP17-AQ17,0)</f>
        <v>0</v>
      </c>
      <c r="BT17" s="19">
        <f>IF($D17="是",AR17-AS17,0)</f>
        <v>0</v>
      </c>
    </row>
    <row r="18" spans="1:72" ht="21.75" customHeight="1">
      <c r="A18" s="6"/>
      <c r="B18" s="31">
        <v>5673.53</v>
      </c>
      <c r="C18" s="3427" t="s">
        <v>3384</v>
      </c>
      <c r="D18" s="1624" t="s">
        <v>3369</v>
      </c>
      <c r="E18" s="32">
        <f t="shared" ref="E18:E112" si="7">IF($C$3="是",ROUND($A$3*G18/$B$3,2),ROUND($A$3*(G18-AT18)/$B$3,2))</f>
        <v>5052.6099999999997</v>
      </c>
      <c r="F18" s="33"/>
      <c r="G18" s="34">
        <f t="shared" ref="G18:G109" si="8">H18+AC18+AT18</f>
        <v>5673.53</v>
      </c>
      <c r="H18" s="35">
        <f t="shared" ref="H18:H109" si="9">SUMIF(I$12:AB$12,"总值",I18:AB18)</f>
        <v>5673.53</v>
      </c>
      <c r="I18" s="1625">
        <f>指标!G7</f>
        <v>5673.53</v>
      </c>
      <c r="J18" s="36"/>
      <c r="K18" s="36"/>
      <c r="L18" s="36"/>
      <c r="M18" s="36"/>
      <c r="N18" s="36"/>
      <c r="O18" s="36"/>
      <c r="P18" s="36"/>
      <c r="Q18" s="36"/>
      <c r="R18" s="36"/>
      <c r="S18" s="36"/>
      <c r="T18" s="36"/>
      <c r="U18" s="36"/>
      <c r="V18" s="36"/>
      <c r="W18" s="36"/>
      <c r="X18" s="36"/>
      <c r="Y18" s="36"/>
      <c r="Z18" s="36"/>
      <c r="AA18" s="36"/>
      <c r="AB18" s="36"/>
      <c r="AC18" s="32">
        <f t="shared" ref="AC18:AC109" si="10">SUMIF(AD$12:AS$12,"总值",AD18:AS18)</f>
        <v>0</v>
      </c>
      <c r="AD18" s="37"/>
      <c r="AE18" s="37"/>
      <c r="AF18" s="37"/>
      <c r="AG18" s="37"/>
      <c r="AH18" s="37"/>
      <c r="AI18" s="37"/>
      <c r="AJ18" s="37"/>
      <c r="AK18" s="37"/>
      <c r="AL18" s="37"/>
      <c r="AM18" s="37"/>
      <c r="AN18" s="37"/>
      <c r="AO18" s="37"/>
      <c r="AP18" s="37"/>
      <c r="AQ18" s="37"/>
      <c r="AR18" s="37"/>
      <c r="AS18" s="37"/>
      <c r="AT18" s="38"/>
      <c r="AU18" s="1630"/>
      <c r="AV18" s="1342">
        <f t="shared" ref="AV18:AV112" si="11">A18</f>
        <v>0</v>
      </c>
      <c r="AW18" s="1342">
        <f t="shared" ref="AW18:AW112" si="12">B18</f>
        <v>5673.53</v>
      </c>
      <c r="AX18" s="1342" t="str">
        <f t="shared" ref="AX18:AX112" si="13">C18</f>
        <v>昌平区生命园路20号院6号楼-1至5层101</v>
      </c>
      <c r="AY18" s="39">
        <f t="shared" ref="AY18:AY109" si="14">ROUND($AY$6*AZ18/$AZ$5,2)</f>
        <v>0</v>
      </c>
      <c r="AZ18" s="32">
        <f t="shared" ref="AZ18:AZ109" si="15">BA18+BL18</f>
        <v>0</v>
      </c>
      <c r="BA18" s="32">
        <f t="shared" ref="BA18:BA109" si="16">SUM(BB18:BK18)</f>
        <v>0</v>
      </c>
      <c r="BB18" s="32">
        <f t="shared" ref="BB18:BB109" si="17">IF($D18="是",I18-J18,0)</f>
        <v>0</v>
      </c>
      <c r="BC18" s="32">
        <f t="shared" ref="BC18:BC109" si="18">IF($D18="是",K18-L18,0)</f>
        <v>0</v>
      </c>
      <c r="BD18" s="32">
        <f t="shared" ref="BD18:BD109" si="19">IF($D18="是",M18-N18,0)</f>
        <v>0</v>
      </c>
      <c r="BE18" s="32">
        <f t="shared" ref="BE18:BE109" si="20">IF($D18="是",O18-P18,0)</f>
        <v>0</v>
      </c>
      <c r="BF18" s="32">
        <f t="shared" ref="BF18:BF109" si="21">IF($D18="是",Q18-R18,0)</f>
        <v>0</v>
      </c>
      <c r="BG18" s="32">
        <f t="shared" ref="BG18:BG109" si="22">IF($D18="是",S18-T18,0)</f>
        <v>0</v>
      </c>
      <c r="BH18" s="32">
        <f t="shared" ref="BH18:BH109" si="23">IF($D18="是",U18-V18,0)</f>
        <v>0</v>
      </c>
      <c r="BI18" s="32">
        <f t="shared" ref="BI18:BI109" si="24">IF($D18="是",W18-X18,0)</f>
        <v>0</v>
      </c>
      <c r="BJ18" s="32">
        <f t="shared" ref="BJ18:BJ109" si="25">IF($D18="是",Y18-Z18,0)</f>
        <v>0</v>
      </c>
      <c r="BK18" s="32">
        <f t="shared" ref="BK18:BK109" si="26">IF($D18="是",AA18-AB18,0)</f>
        <v>0</v>
      </c>
      <c r="BL18" s="32">
        <f t="shared" ref="BL18:BL109" si="27">SUM(BM18:BT18)</f>
        <v>0</v>
      </c>
      <c r="BM18" s="32">
        <f t="shared" ref="BM18:BM109" si="28">IF($D18="是",AD18-AE18,0)</f>
        <v>0</v>
      </c>
      <c r="BN18" s="32">
        <f t="shared" ref="BN18:BN109" si="29">IF($D18="是",AF18-AG18,0)</f>
        <v>0</v>
      </c>
      <c r="BO18" s="32">
        <f t="shared" ref="BO18:BO109" si="30">IF($D18="是",AH18-AI18,0)</f>
        <v>0</v>
      </c>
      <c r="BP18" s="32">
        <f t="shared" ref="BP18:BP109" si="31">IF($D18="是",AJ18-AK18,0)</f>
        <v>0</v>
      </c>
      <c r="BQ18" s="32">
        <f t="shared" ref="BQ18:BQ109" si="32">IF($D18="是",AL18-AM18,0)</f>
        <v>0</v>
      </c>
      <c r="BR18" s="32">
        <f t="shared" ref="BR18:BR109" si="33">IF($D18="是",AN18-AO18,0)</f>
        <v>0</v>
      </c>
      <c r="BS18" s="32">
        <f t="shared" ref="BS18:BS109" si="34">IF($D18="是",AP18-AQ18,0)</f>
        <v>0</v>
      </c>
      <c r="BT18" s="40">
        <f t="shared" ref="BT18:BT109" si="35">IF($D18="是",AR18-AS18,0)</f>
        <v>0</v>
      </c>
    </row>
    <row r="19" spans="1:72" ht="21.75" customHeight="1">
      <c r="A19" s="6"/>
      <c r="B19" s="31">
        <v>6933.94</v>
      </c>
      <c r="C19" s="3427" t="s">
        <v>3385</v>
      </c>
      <c r="D19" s="1624" t="s">
        <v>3369</v>
      </c>
      <c r="E19" s="32">
        <f t="shared" si="7"/>
        <v>6175.08</v>
      </c>
      <c r="F19" s="33"/>
      <c r="G19" s="34">
        <f t="shared" si="8"/>
        <v>6933.94</v>
      </c>
      <c r="H19" s="35">
        <f t="shared" si="9"/>
        <v>6933.94</v>
      </c>
      <c r="I19" s="1625">
        <f>指标!G8</f>
        <v>6933.94</v>
      </c>
      <c r="J19" s="36"/>
      <c r="K19" s="36"/>
      <c r="L19" s="36"/>
      <c r="M19" s="36"/>
      <c r="N19" s="36"/>
      <c r="O19" s="36"/>
      <c r="P19" s="36"/>
      <c r="Q19" s="36"/>
      <c r="R19" s="36"/>
      <c r="S19" s="36"/>
      <c r="T19" s="36"/>
      <c r="U19" s="36"/>
      <c r="V19" s="36"/>
      <c r="W19" s="36"/>
      <c r="X19" s="36"/>
      <c r="Y19" s="36"/>
      <c r="Z19" s="36"/>
      <c r="AA19" s="36"/>
      <c r="AB19" s="36"/>
      <c r="AC19" s="32">
        <f t="shared" si="10"/>
        <v>0</v>
      </c>
      <c r="AD19" s="37"/>
      <c r="AE19" s="37"/>
      <c r="AF19" s="37"/>
      <c r="AG19" s="37"/>
      <c r="AH19" s="37"/>
      <c r="AI19" s="37"/>
      <c r="AJ19" s="37"/>
      <c r="AK19" s="37"/>
      <c r="AL19" s="37"/>
      <c r="AM19" s="37"/>
      <c r="AN19" s="37"/>
      <c r="AO19" s="37"/>
      <c r="AP19" s="37"/>
      <c r="AQ19" s="37"/>
      <c r="AR19" s="37"/>
      <c r="AS19" s="37"/>
      <c r="AT19" s="38"/>
      <c r="AU19" s="1630"/>
      <c r="AV19" s="1342">
        <f t="shared" si="11"/>
        <v>0</v>
      </c>
      <c r="AW19" s="1342">
        <f t="shared" si="12"/>
        <v>6933.94</v>
      </c>
      <c r="AX19" s="1342" t="str">
        <f t="shared" si="13"/>
        <v>昌平区生命园路20号院7号楼-1至4层101</v>
      </c>
      <c r="AY19" s="39">
        <f t="shared" si="14"/>
        <v>0</v>
      </c>
      <c r="AZ19" s="32">
        <f t="shared" si="15"/>
        <v>0</v>
      </c>
      <c r="BA19" s="32">
        <f t="shared" si="16"/>
        <v>0</v>
      </c>
      <c r="BB19" s="32">
        <f t="shared" si="17"/>
        <v>0</v>
      </c>
      <c r="BC19" s="32">
        <f t="shared" si="18"/>
        <v>0</v>
      </c>
      <c r="BD19" s="32">
        <f t="shared" si="19"/>
        <v>0</v>
      </c>
      <c r="BE19" s="32">
        <f t="shared" si="20"/>
        <v>0</v>
      </c>
      <c r="BF19" s="32">
        <f t="shared" si="21"/>
        <v>0</v>
      </c>
      <c r="BG19" s="32">
        <f t="shared" si="22"/>
        <v>0</v>
      </c>
      <c r="BH19" s="32">
        <f t="shared" si="23"/>
        <v>0</v>
      </c>
      <c r="BI19" s="32">
        <f t="shared" si="24"/>
        <v>0</v>
      </c>
      <c r="BJ19" s="32">
        <f t="shared" si="25"/>
        <v>0</v>
      </c>
      <c r="BK19" s="32">
        <f t="shared" si="26"/>
        <v>0</v>
      </c>
      <c r="BL19" s="32">
        <f t="shared" si="27"/>
        <v>0</v>
      </c>
      <c r="BM19" s="32">
        <f t="shared" si="28"/>
        <v>0</v>
      </c>
      <c r="BN19" s="32">
        <f t="shared" si="29"/>
        <v>0</v>
      </c>
      <c r="BO19" s="32">
        <f t="shared" si="30"/>
        <v>0</v>
      </c>
      <c r="BP19" s="32">
        <f t="shared" si="31"/>
        <v>0</v>
      </c>
      <c r="BQ19" s="32">
        <f t="shared" si="32"/>
        <v>0</v>
      </c>
      <c r="BR19" s="32">
        <f t="shared" si="33"/>
        <v>0</v>
      </c>
      <c r="BS19" s="32">
        <f t="shared" si="34"/>
        <v>0</v>
      </c>
      <c r="BT19" s="40">
        <f t="shared" si="35"/>
        <v>0</v>
      </c>
    </row>
    <row r="20" spans="1:72" ht="22.5" customHeight="1">
      <c r="A20" s="6"/>
      <c r="B20" s="31">
        <v>17559.11</v>
      </c>
      <c r="C20" s="3427" t="s">
        <v>3386</v>
      </c>
      <c r="D20" s="1624" t="s">
        <v>3363</v>
      </c>
      <c r="E20" s="32">
        <f t="shared" si="7"/>
        <v>15637.42</v>
      </c>
      <c r="F20" s="33"/>
      <c r="G20" s="34">
        <f t="shared" si="8"/>
        <v>17559.11</v>
      </c>
      <c r="H20" s="35">
        <f t="shared" si="9"/>
        <v>17559.11</v>
      </c>
      <c r="I20" s="36">
        <v>76.040000000000006</v>
      </c>
      <c r="J20" s="36"/>
      <c r="K20" s="36">
        <f>指标!G9-I20</f>
        <v>17483.07</v>
      </c>
      <c r="L20" s="36"/>
      <c r="M20" s="36"/>
      <c r="N20" s="36"/>
      <c r="O20" s="36"/>
      <c r="P20" s="36"/>
      <c r="Q20" s="36"/>
      <c r="R20" s="36"/>
      <c r="S20" s="36"/>
      <c r="T20" s="36"/>
      <c r="U20" s="36"/>
      <c r="V20" s="36"/>
      <c r="W20" s="36"/>
      <c r="X20" s="36"/>
      <c r="Y20" s="36"/>
      <c r="Z20" s="36"/>
      <c r="AA20" s="36"/>
      <c r="AB20" s="36"/>
      <c r="AC20" s="32">
        <f t="shared" si="10"/>
        <v>0</v>
      </c>
      <c r="AD20" s="37"/>
      <c r="AE20" s="37"/>
      <c r="AF20" s="37"/>
      <c r="AG20" s="37"/>
      <c r="AH20" s="37"/>
      <c r="AI20" s="37"/>
      <c r="AJ20" s="37"/>
      <c r="AK20" s="37"/>
      <c r="AL20" s="37"/>
      <c r="AM20" s="37"/>
      <c r="AN20" s="37"/>
      <c r="AO20" s="37"/>
      <c r="AP20" s="37"/>
      <c r="AQ20" s="37"/>
      <c r="AR20" s="37"/>
      <c r="AS20" s="37"/>
      <c r="AT20" s="38"/>
      <c r="AU20" s="1630"/>
      <c r="AV20" s="1342">
        <f t="shared" si="11"/>
        <v>0</v>
      </c>
      <c r="AW20" s="1342">
        <f t="shared" si="12"/>
        <v>17559.11</v>
      </c>
      <c r="AX20" s="1342" t="str">
        <f t="shared" si="13"/>
        <v>昌平区生命园路20号院8号楼-1至1层101</v>
      </c>
      <c r="AY20" s="39">
        <f t="shared" si="14"/>
        <v>15637.42</v>
      </c>
      <c r="AZ20" s="32">
        <f t="shared" si="15"/>
        <v>17559.11</v>
      </c>
      <c r="BA20" s="32">
        <f t="shared" si="16"/>
        <v>17559.11</v>
      </c>
      <c r="BB20" s="32">
        <f t="shared" si="17"/>
        <v>76.040000000000006</v>
      </c>
      <c r="BC20" s="32">
        <f t="shared" si="18"/>
        <v>17483.07</v>
      </c>
      <c r="BD20" s="32">
        <f t="shared" si="19"/>
        <v>0</v>
      </c>
      <c r="BE20" s="32">
        <f t="shared" si="20"/>
        <v>0</v>
      </c>
      <c r="BF20" s="32">
        <f t="shared" si="21"/>
        <v>0</v>
      </c>
      <c r="BG20" s="32">
        <f t="shared" si="22"/>
        <v>0</v>
      </c>
      <c r="BH20" s="32">
        <f t="shared" si="23"/>
        <v>0</v>
      </c>
      <c r="BI20" s="32">
        <f t="shared" si="24"/>
        <v>0</v>
      </c>
      <c r="BJ20" s="32">
        <f t="shared" si="25"/>
        <v>0</v>
      </c>
      <c r="BK20" s="32">
        <f t="shared" si="26"/>
        <v>0</v>
      </c>
      <c r="BL20" s="32">
        <f t="shared" si="27"/>
        <v>0</v>
      </c>
      <c r="BM20" s="32">
        <f t="shared" si="28"/>
        <v>0</v>
      </c>
      <c r="BN20" s="32">
        <f t="shared" si="29"/>
        <v>0</v>
      </c>
      <c r="BO20" s="32">
        <f t="shared" si="30"/>
        <v>0</v>
      </c>
      <c r="BP20" s="32">
        <f t="shared" si="31"/>
        <v>0</v>
      </c>
      <c r="BQ20" s="32">
        <f t="shared" si="32"/>
        <v>0</v>
      </c>
      <c r="BR20" s="32">
        <f t="shared" si="33"/>
        <v>0</v>
      </c>
      <c r="BS20" s="32">
        <f t="shared" si="34"/>
        <v>0</v>
      </c>
      <c r="BT20" s="40">
        <f t="shared" si="35"/>
        <v>0</v>
      </c>
    </row>
    <row r="21" spans="1:72">
      <c r="A21" s="6"/>
      <c r="B21" s="31"/>
      <c r="C21" s="31"/>
      <c r="D21" s="1629"/>
      <c r="E21" s="32">
        <f t="shared" si="7"/>
        <v>0</v>
      </c>
      <c r="F21" s="33"/>
      <c r="G21" s="34">
        <f t="shared" si="8"/>
        <v>0</v>
      </c>
      <c r="H21" s="35">
        <f t="shared" si="9"/>
        <v>0</v>
      </c>
      <c r="I21" s="36"/>
      <c r="J21" s="36"/>
      <c r="K21" s="36"/>
      <c r="L21" s="36"/>
      <c r="M21" s="36"/>
      <c r="N21" s="36"/>
      <c r="O21" s="36"/>
      <c r="P21" s="36"/>
      <c r="Q21" s="36"/>
      <c r="R21" s="36"/>
      <c r="S21" s="36"/>
      <c r="T21" s="36"/>
      <c r="U21" s="36"/>
      <c r="V21" s="36"/>
      <c r="W21" s="36"/>
      <c r="X21" s="36"/>
      <c r="Y21" s="36"/>
      <c r="Z21" s="36"/>
      <c r="AA21" s="36"/>
      <c r="AB21" s="36"/>
      <c r="AC21" s="32">
        <f t="shared" si="10"/>
        <v>0</v>
      </c>
      <c r="AD21" s="37"/>
      <c r="AE21" s="37"/>
      <c r="AF21" s="37"/>
      <c r="AG21" s="37"/>
      <c r="AH21" s="37"/>
      <c r="AI21" s="37"/>
      <c r="AJ21" s="37"/>
      <c r="AK21" s="37"/>
      <c r="AL21" s="37"/>
      <c r="AM21" s="37"/>
      <c r="AN21" s="37"/>
      <c r="AO21" s="37"/>
      <c r="AP21" s="37"/>
      <c r="AQ21" s="37"/>
      <c r="AR21" s="37"/>
      <c r="AS21" s="37"/>
      <c r="AT21" s="38"/>
      <c r="AU21" s="1630"/>
      <c r="AV21" s="1342">
        <f t="shared" si="11"/>
        <v>0</v>
      </c>
      <c r="AW21" s="1342">
        <f t="shared" si="12"/>
        <v>0</v>
      </c>
      <c r="AX21" s="1342">
        <f t="shared" si="13"/>
        <v>0</v>
      </c>
      <c r="AY21" s="39">
        <f t="shared" si="14"/>
        <v>0</v>
      </c>
      <c r="AZ21" s="32">
        <f t="shared" si="15"/>
        <v>0</v>
      </c>
      <c r="BA21" s="32">
        <f t="shared" si="16"/>
        <v>0</v>
      </c>
      <c r="BB21" s="32">
        <f t="shared" si="17"/>
        <v>0</v>
      </c>
      <c r="BC21" s="32">
        <f t="shared" si="18"/>
        <v>0</v>
      </c>
      <c r="BD21" s="32">
        <f t="shared" si="19"/>
        <v>0</v>
      </c>
      <c r="BE21" s="32">
        <f t="shared" si="20"/>
        <v>0</v>
      </c>
      <c r="BF21" s="32">
        <f t="shared" si="21"/>
        <v>0</v>
      </c>
      <c r="BG21" s="32">
        <f t="shared" si="22"/>
        <v>0</v>
      </c>
      <c r="BH21" s="32">
        <f t="shared" si="23"/>
        <v>0</v>
      </c>
      <c r="BI21" s="32">
        <f t="shared" si="24"/>
        <v>0</v>
      </c>
      <c r="BJ21" s="32">
        <f t="shared" si="25"/>
        <v>0</v>
      </c>
      <c r="BK21" s="32">
        <f t="shared" si="26"/>
        <v>0</v>
      </c>
      <c r="BL21" s="32">
        <f t="shared" si="27"/>
        <v>0</v>
      </c>
      <c r="BM21" s="32">
        <f t="shared" si="28"/>
        <v>0</v>
      </c>
      <c r="BN21" s="32">
        <f t="shared" si="29"/>
        <v>0</v>
      </c>
      <c r="BO21" s="32">
        <f t="shared" si="30"/>
        <v>0</v>
      </c>
      <c r="BP21" s="32">
        <f t="shared" si="31"/>
        <v>0</v>
      </c>
      <c r="BQ21" s="32">
        <f t="shared" si="32"/>
        <v>0</v>
      </c>
      <c r="BR21" s="32">
        <f t="shared" si="33"/>
        <v>0</v>
      </c>
      <c r="BS21" s="32">
        <f t="shared" si="34"/>
        <v>0</v>
      </c>
      <c r="BT21" s="40">
        <f t="shared" si="35"/>
        <v>0</v>
      </c>
    </row>
    <row r="22" spans="1:72">
      <c r="A22" s="6"/>
      <c r="B22" s="31"/>
      <c r="C22" s="31"/>
      <c r="D22" s="1629"/>
      <c r="E22" s="32">
        <f t="shared" si="7"/>
        <v>0</v>
      </c>
      <c r="F22" s="33"/>
      <c r="G22" s="34">
        <f t="shared" si="8"/>
        <v>0</v>
      </c>
      <c r="H22" s="35">
        <f t="shared" si="9"/>
        <v>0</v>
      </c>
      <c r="I22" s="36"/>
      <c r="J22" s="36"/>
      <c r="K22" s="36"/>
      <c r="L22" s="36"/>
      <c r="M22" s="36"/>
      <c r="N22" s="36"/>
      <c r="O22" s="36"/>
      <c r="P22" s="36"/>
      <c r="Q22" s="36"/>
      <c r="R22" s="36"/>
      <c r="S22" s="36"/>
      <c r="T22" s="36"/>
      <c r="U22" s="36"/>
      <c r="V22" s="36"/>
      <c r="W22" s="36"/>
      <c r="X22" s="36"/>
      <c r="Y22" s="36"/>
      <c r="Z22" s="36"/>
      <c r="AA22" s="36"/>
      <c r="AB22" s="36"/>
      <c r="AC22" s="32">
        <f t="shared" si="10"/>
        <v>0</v>
      </c>
      <c r="AD22" s="37"/>
      <c r="AE22" s="37"/>
      <c r="AF22" s="37"/>
      <c r="AG22" s="37"/>
      <c r="AH22" s="37"/>
      <c r="AI22" s="37"/>
      <c r="AJ22" s="37"/>
      <c r="AK22" s="37"/>
      <c r="AL22" s="37"/>
      <c r="AM22" s="37"/>
      <c r="AN22" s="37"/>
      <c r="AO22" s="37"/>
      <c r="AP22" s="37"/>
      <c r="AQ22" s="37"/>
      <c r="AR22" s="37"/>
      <c r="AS22" s="37"/>
      <c r="AT22" s="38"/>
      <c r="AU22" s="1630"/>
      <c r="AV22" s="1342">
        <f t="shared" si="11"/>
        <v>0</v>
      </c>
      <c r="AW22" s="1342">
        <f t="shared" si="12"/>
        <v>0</v>
      </c>
      <c r="AX22" s="1342">
        <f t="shared" si="13"/>
        <v>0</v>
      </c>
      <c r="AY22" s="39">
        <f t="shared" si="14"/>
        <v>0</v>
      </c>
      <c r="AZ22" s="32">
        <f t="shared" si="15"/>
        <v>0</v>
      </c>
      <c r="BA22" s="32">
        <f t="shared" si="16"/>
        <v>0</v>
      </c>
      <c r="BB22" s="32">
        <f t="shared" si="17"/>
        <v>0</v>
      </c>
      <c r="BC22" s="32">
        <f t="shared" si="18"/>
        <v>0</v>
      </c>
      <c r="BD22" s="32">
        <f t="shared" si="19"/>
        <v>0</v>
      </c>
      <c r="BE22" s="32">
        <f t="shared" si="20"/>
        <v>0</v>
      </c>
      <c r="BF22" s="32">
        <f t="shared" si="21"/>
        <v>0</v>
      </c>
      <c r="BG22" s="32">
        <f t="shared" si="22"/>
        <v>0</v>
      </c>
      <c r="BH22" s="32">
        <f t="shared" si="23"/>
        <v>0</v>
      </c>
      <c r="BI22" s="32">
        <f t="shared" si="24"/>
        <v>0</v>
      </c>
      <c r="BJ22" s="32">
        <f t="shared" si="25"/>
        <v>0</v>
      </c>
      <c r="BK22" s="32">
        <f t="shared" si="26"/>
        <v>0</v>
      </c>
      <c r="BL22" s="32">
        <f t="shared" si="27"/>
        <v>0</v>
      </c>
      <c r="BM22" s="32">
        <f t="shared" si="28"/>
        <v>0</v>
      </c>
      <c r="BN22" s="32">
        <f t="shared" si="29"/>
        <v>0</v>
      </c>
      <c r="BO22" s="32">
        <f t="shared" si="30"/>
        <v>0</v>
      </c>
      <c r="BP22" s="32">
        <f t="shared" si="31"/>
        <v>0</v>
      </c>
      <c r="BQ22" s="32">
        <f t="shared" si="32"/>
        <v>0</v>
      </c>
      <c r="BR22" s="32">
        <f t="shared" si="33"/>
        <v>0</v>
      </c>
      <c r="BS22" s="32">
        <f t="shared" si="34"/>
        <v>0</v>
      </c>
      <c r="BT22" s="40">
        <f t="shared" si="35"/>
        <v>0</v>
      </c>
    </row>
    <row r="23" spans="1:72">
      <c r="A23" s="6"/>
      <c r="B23" s="31"/>
      <c r="C23" s="31"/>
      <c r="D23" s="1629"/>
      <c r="E23" s="32">
        <f t="shared" si="7"/>
        <v>0</v>
      </c>
      <c r="F23" s="33"/>
      <c r="G23" s="34">
        <f t="shared" si="8"/>
        <v>0</v>
      </c>
      <c r="H23" s="35">
        <f t="shared" si="9"/>
        <v>0</v>
      </c>
      <c r="I23" s="36"/>
      <c r="J23" s="36"/>
      <c r="K23" s="36"/>
      <c r="L23" s="36"/>
      <c r="M23" s="36"/>
      <c r="N23" s="36"/>
      <c r="O23" s="36"/>
      <c r="P23" s="36"/>
      <c r="Q23" s="36"/>
      <c r="R23" s="36"/>
      <c r="S23" s="36"/>
      <c r="T23" s="36"/>
      <c r="U23" s="36"/>
      <c r="V23" s="36"/>
      <c r="W23" s="36"/>
      <c r="X23" s="36"/>
      <c r="Y23" s="36"/>
      <c r="Z23" s="36"/>
      <c r="AA23" s="36"/>
      <c r="AB23" s="36"/>
      <c r="AC23" s="32">
        <f t="shared" si="10"/>
        <v>0</v>
      </c>
      <c r="AD23" s="37"/>
      <c r="AE23" s="37"/>
      <c r="AF23" s="37"/>
      <c r="AG23" s="37"/>
      <c r="AH23" s="37"/>
      <c r="AI23" s="37"/>
      <c r="AJ23" s="37"/>
      <c r="AK23" s="37"/>
      <c r="AL23" s="37"/>
      <c r="AM23" s="37"/>
      <c r="AN23" s="37"/>
      <c r="AO23" s="37"/>
      <c r="AP23" s="37"/>
      <c r="AQ23" s="37"/>
      <c r="AR23" s="37"/>
      <c r="AS23" s="37"/>
      <c r="AT23" s="38"/>
      <c r="AU23" s="1630"/>
      <c r="AV23" s="1342">
        <f t="shared" si="11"/>
        <v>0</v>
      </c>
      <c r="AW23" s="1342">
        <f t="shared" si="12"/>
        <v>0</v>
      </c>
      <c r="AX23" s="1342">
        <f t="shared" si="13"/>
        <v>0</v>
      </c>
      <c r="AY23" s="39">
        <f t="shared" si="14"/>
        <v>0</v>
      </c>
      <c r="AZ23" s="32">
        <f t="shared" si="15"/>
        <v>0</v>
      </c>
      <c r="BA23" s="32">
        <f t="shared" si="16"/>
        <v>0</v>
      </c>
      <c r="BB23" s="32">
        <f t="shared" si="17"/>
        <v>0</v>
      </c>
      <c r="BC23" s="32">
        <f t="shared" si="18"/>
        <v>0</v>
      </c>
      <c r="BD23" s="32">
        <f t="shared" si="19"/>
        <v>0</v>
      </c>
      <c r="BE23" s="32">
        <f t="shared" si="20"/>
        <v>0</v>
      </c>
      <c r="BF23" s="32">
        <f t="shared" si="21"/>
        <v>0</v>
      </c>
      <c r="BG23" s="32">
        <f t="shared" si="22"/>
        <v>0</v>
      </c>
      <c r="BH23" s="32">
        <f t="shared" si="23"/>
        <v>0</v>
      </c>
      <c r="BI23" s="32">
        <f t="shared" si="24"/>
        <v>0</v>
      </c>
      <c r="BJ23" s="32">
        <f t="shared" si="25"/>
        <v>0</v>
      </c>
      <c r="BK23" s="32">
        <f t="shared" si="26"/>
        <v>0</v>
      </c>
      <c r="BL23" s="32">
        <f t="shared" si="27"/>
        <v>0</v>
      </c>
      <c r="BM23" s="32">
        <f t="shared" si="28"/>
        <v>0</v>
      </c>
      <c r="BN23" s="32">
        <f t="shared" si="29"/>
        <v>0</v>
      </c>
      <c r="BO23" s="32">
        <f t="shared" si="30"/>
        <v>0</v>
      </c>
      <c r="BP23" s="32">
        <f t="shared" si="31"/>
        <v>0</v>
      </c>
      <c r="BQ23" s="32">
        <f t="shared" si="32"/>
        <v>0</v>
      </c>
      <c r="BR23" s="32">
        <f t="shared" si="33"/>
        <v>0</v>
      </c>
      <c r="BS23" s="32">
        <f t="shared" si="34"/>
        <v>0</v>
      </c>
      <c r="BT23" s="40">
        <f t="shared" si="35"/>
        <v>0</v>
      </c>
    </row>
    <row r="24" spans="1:72">
      <c r="A24" s="6"/>
      <c r="B24" s="31"/>
      <c r="C24" s="31"/>
      <c r="D24" s="1629"/>
      <c r="E24" s="32">
        <f t="shared" si="7"/>
        <v>0</v>
      </c>
      <c r="F24" s="33"/>
      <c r="G24" s="34">
        <f t="shared" si="8"/>
        <v>0</v>
      </c>
      <c r="H24" s="35">
        <f t="shared" si="9"/>
        <v>0</v>
      </c>
      <c r="I24" s="36"/>
      <c r="J24" s="36"/>
      <c r="K24" s="36"/>
      <c r="L24" s="36"/>
      <c r="M24" s="36"/>
      <c r="N24" s="36"/>
      <c r="O24" s="36"/>
      <c r="P24" s="36"/>
      <c r="Q24" s="36"/>
      <c r="R24" s="36"/>
      <c r="S24" s="36"/>
      <c r="T24" s="36"/>
      <c r="U24" s="36"/>
      <c r="V24" s="36"/>
      <c r="W24" s="36"/>
      <c r="X24" s="36"/>
      <c r="Y24" s="36"/>
      <c r="Z24" s="36"/>
      <c r="AA24" s="36"/>
      <c r="AB24" s="36"/>
      <c r="AC24" s="32">
        <f t="shared" si="10"/>
        <v>0</v>
      </c>
      <c r="AD24" s="37"/>
      <c r="AE24" s="37"/>
      <c r="AF24" s="37"/>
      <c r="AG24" s="37"/>
      <c r="AH24" s="37"/>
      <c r="AI24" s="37"/>
      <c r="AJ24" s="37"/>
      <c r="AK24" s="37"/>
      <c r="AL24" s="37"/>
      <c r="AM24" s="37"/>
      <c r="AN24" s="37"/>
      <c r="AO24" s="37"/>
      <c r="AP24" s="37"/>
      <c r="AQ24" s="37"/>
      <c r="AR24" s="37"/>
      <c r="AS24" s="37"/>
      <c r="AT24" s="38"/>
      <c r="AU24" s="1630"/>
      <c r="AV24" s="1342">
        <f t="shared" si="11"/>
        <v>0</v>
      </c>
      <c r="AW24" s="1342">
        <f t="shared" si="12"/>
        <v>0</v>
      </c>
      <c r="AX24" s="1342">
        <f t="shared" si="13"/>
        <v>0</v>
      </c>
      <c r="AY24" s="39">
        <f t="shared" si="14"/>
        <v>0</v>
      </c>
      <c r="AZ24" s="32">
        <f t="shared" si="15"/>
        <v>0</v>
      </c>
      <c r="BA24" s="32">
        <f t="shared" si="16"/>
        <v>0</v>
      </c>
      <c r="BB24" s="32">
        <f t="shared" si="17"/>
        <v>0</v>
      </c>
      <c r="BC24" s="32">
        <f t="shared" si="18"/>
        <v>0</v>
      </c>
      <c r="BD24" s="32">
        <f t="shared" si="19"/>
        <v>0</v>
      </c>
      <c r="BE24" s="32">
        <f t="shared" si="20"/>
        <v>0</v>
      </c>
      <c r="BF24" s="32">
        <f t="shared" si="21"/>
        <v>0</v>
      </c>
      <c r="BG24" s="32">
        <f t="shared" si="22"/>
        <v>0</v>
      </c>
      <c r="BH24" s="32">
        <f t="shared" si="23"/>
        <v>0</v>
      </c>
      <c r="BI24" s="32">
        <f t="shared" si="24"/>
        <v>0</v>
      </c>
      <c r="BJ24" s="32">
        <f t="shared" si="25"/>
        <v>0</v>
      </c>
      <c r="BK24" s="32">
        <f t="shared" si="26"/>
        <v>0</v>
      </c>
      <c r="BL24" s="32">
        <f t="shared" si="27"/>
        <v>0</v>
      </c>
      <c r="BM24" s="32">
        <f t="shared" si="28"/>
        <v>0</v>
      </c>
      <c r="BN24" s="32">
        <f t="shared" si="29"/>
        <v>0</v>
      </c>
      <c r="BO24" s="32">
        <f t="shared" si="30"/>
        <v>0</v>
      </c>
      <c r="BP24" s="32">
        <f t="shared" si="31"/>
        <v>0</v>
      </c>
      <c r="BQ24" s="32">
        <f t="shared" si="32"/>
        <v>0</v>
      </c>
      <c r="BR24" s="32">
        <f t="shared" si="33"/>
        <v>0</v>
      </c>
      <c r="BS24" s="32">
        <f t="shared" si="34"/>
        <v>0</v>
      </c>
      <c r="BT24" s="40">
        <f t="shared" si="35"/>
        <v>0</v>
      </c>
    </row>
    <row r="25" spans="1:72">
      <c r="A25" s="6"/>
      <c r="B25" s="31"/>
      <c r="C25" s="31"/>
      <c r="D25" s="1629"/>
      <c r="E25" s="32">
        <f t="shared" si="7"/>
        <v>0</v>
      </c>
      <c r="F25" s="33"/>
      <c r="G25" s="34">
        <f t="shared" si="8"/>
        <v>0</v>
      </c>
      <c r="H25" s="35">
        <f t="shared" si="9"/>
        <v>0</v>
      </c>
      <c r="I25" s="36"/>
      <c r="J25" s="36"/>
      <c r="K25" s="36"/>
      <c r="L25" s="36"/>
      <c r="M25" s="36"/>
      <c r="N25" s="36"/>
      <c r="O25" s="36"/>
      <c r="P25" s="36"/>
      <c r="Q25" s="36"/>
      <c r="R25" s="36"/>
      <c r="S25" s="36"/>
      <c r="T25" s="36"/>
      <c r="U25" s="36"/>
      <c r="V25" s="36"/>
      <c r="W25" s="36"/>
      <c r="X25" s="36"/>
      <c r="Y25" s="36"/>
      <c r="Z25" s="36"/>
      <c r="AA25" s="36"/>
      <c r="AB25" s="36"/>
      <c r="AC25" s="32">
        <f t="shared" si="10"/>
        <v>0</v>
      </c>
      <c r="AD25" s="37"/>
      <c r="AE25" s="37"/>
      <c r="AF25" s="37"/>
      <c r="AG25" s="37"/>
      <c r="AH25" s="37"/>
      <c r="AI25" s="37"/>
      <c r="AJ25" s="37"/>
      <c r="AK25" s="37"/>
      <c r="AL25" s="37"/>
      <c r="AM25" s="37"/>
      <c r="AN25" s="37"/>
      <c r="AO25" s="37"/>
      <c r="AP25" s="37"/>
      <c r="AQ25" s="37"/>
      <c r="AR25" s="37"/>
      <c r="AS25" s="37"/>
      <c r="AT25" s="38"/>
      <c r="AU25" s="1630"/>
      <c r="AV25" s="1342">
        <f t="shared" si="11"/>
        <v>0</v>
      </c>
      <c r="AW25" s="1342">
        <f t="shared" si="12"/>
        <v>0</v>
      </c>
      <c r="AX25" s="1342">
        <f t="shared" si="13"/>
        <v>0</v>
      </c>
      <c r="AY25" s="39">
        <f t="shared" si="14"/>
        <v>0</v>
      </c>
      <c r="AZ25" s="32">
        <f t="shared" si="15"/>
        <v>0</v>
      </c>
      <c r="BA25" s="32">
        <f t="shared" si="16"/>
        <v>0</v>
      </c>
      <c r="BB25" s="32">
        <f t="shared" si="17"/>
        <v>0</v>
      </c>
      <c r="BC25" s="32">
        <f t="shared" si="18"/>
        <v>0</v>
      </c>
      <c r="BD25" s="32">
        <f t="shared" si="19"/>
        <v>0</v>
      </c>
      <c r="BE25" s="32">
        <f t="shared" si="20"/>
        <v>0</v>
      </c>
      <c r="BF25" s="32">
        <f t="shared" si="21"/>
        <v>0</v>
      </c>
      <c r="BG25" s="32">
        <f t="shared" si="22"/>
        <v>0</v>
      </c>
      <c r="BH25" s="32">
        <f t="shared" si="23"/>
        <v>0</v>
      </c>
      <c r="BI25" s="32">
        <f t="shared" si="24"/>
        <v>0</v>
      </c>
      <c r="BJ25" s="32">
        <f t="shared" si="25"/>
        <v>0</v>
      </c>
      <c r="BK25" s="32">
        <f t="shared" si="26"/>
        <v>0</v>
      </c>
      <c r="BL25" s="32">
        <f t="shared" si="27"/>
        <v>0</v>
      </c>
      <c r="BM25" s="32">
        <f t="shared" si="28"/>
        <v>0</v>
      </c>
      <c r="BN25" s="32">
        <f t="shared" si="29"/>
        <v>0</v>
      </c>
      <c r="BO25" s="32">
        <f t="shared" si="30"/>
        <v>0</v>
      </c>
      <c r="BP25" s="32">
        <f t="shared" si="31"/>
        <v>0</v>
      </c>
      <c r="BQ25" s="32">
        <f t="shared" si="32"/>
        <v>0</v>
      </c>
      <c r="BR25" s="32">
        <f t="shared" si="33"/>
        <v>0</v>
      </c>
      <c r="BS25" s="32">
        <f t="shared" si="34"/>
        <v>0</v>
      </c>
      <c r="BT25" s="40">
        <f t="shared" si="35"/>
        <v>0</v>
      </c>
    </row>
    <row r="26" spans="1:72">
      <c r="A26" s="6"/>
      <c r="B26" s="31"/>
      <c r="C26" s="31"/>
      <c r="D26" s="1629"/>
      <c r="E26" s="32">
        <f t="shared" si="7"/>
        <v>0</v>
      </c>
      <c r="F26" s="33"/>
      <c r="G26" s="34">
        <f t="shared" si="8"/>
        <v>0</v>
      </c>
      <c r="H26" s="35">
        <f t="shared" si="9"/>
        <v>0</v>
      </c>
      <c r="I26" s="36"/>
      <c r="J26" s="36"/>
      <c r="K26" s="36"/>
      <c r="L26" s="36"/>
      <c r="M26" s="36"/>
      <c r="N26" s="36"/>
      <c r="O26" s="36"/>
      <c r="P26" s="36"/>
      <c r="Q26" s="36"/>
      <c r="R26" s="36"/>
      <c r="S26" s="36"/>
      <c r="T26" s="36"/>
      <c r="U26" s="36"/>
      <c r="V26" s="36"/>
      <c r="W26" s="36"/>
      <c r="X26" s="36"/>
      <c r="Y26" s="36"/>
      <c r="Z26" s="36"/>
      <c r="AA26" s="36"/>
      <c r="AB26" s="36"/>
      <c r="AC26" s="32">
        <f t="shared" si="10"/>
        <v>0</v>
      </c>
      <c r="AD26" s="37"/>
      <c r="AE26" s="37"/>
      <c r="AF26" s="37"/>
      <c r="AG26" s="37"/>
      <c r="AH26" s="37"/>
      <c r="AI26" s="37"/>
      <c r="AJ26" s="37"/>
      <c r="AK26" s="37"/>
      <c r="AL26" s="37"/>
      <c r="AM26" s="37"/>
      <c r="AN26" s="37"/>
      <c r="AO26" s="37"/>
      <c r="AP26" s="37"/>
      <c r="AQ26" s="37"/>
      <c r="AR26" s="37"/>
      <c r="AS26" s="37"/>
      <c r="AT26" s="38"/>
      <c r="AU26" s="1630"/>
      <c r="AV26" s="1342">
        <f t="shared" si="11"/>
        <v>0</v>
      </c>
      <c r="AW26" s="1342">
        <f t="shared" si="12"/>
        <v>0</v>
      </c>
      <c r="AX26" s="1342">
        <f t="shared" si="13"/>
        <v>0</v>
      </c>
      <c r="AY26" s="39">
        <f t="shared" si="14"/>
        <v>0</v>
      </c>
      <c r="AZ26" s="32">
        <f t="shared" si="15"/>
        <v>0</v>
      </c>
      <c r="BA26" s="32">
        <f t="shared" si="16"/>
        <v>0</v>
      </c>
      <c r="BB26" s="32">
        <f t="shared" si="17"/>
        <v>0</v>
      </c>
      <c r="BC26" s="32">
        <f t="shared" si="18"/>
        <v>0</v>
      </c>
      <c r="BD26" s="32">
        <f t="shared" si="19"/>
        <v>0</v>
      </c>
      <c r="BE26" s="32">
        <f t="shared" si="20"/>
        <v>0</v>
      </c>
      <c r="BF26" s="32">
        <f t="shared" si="21"/>
        <v>0</v>
      </c>
      <c r="BG26" s="32">
        <f t="shared" si="22"/>
        <v>0</v>
      </c>
      <c r="BH26" s="32">
        <f t="shared" si="23"/>
        <v>0</v>
      </c>
      <c r="BI26" s="32">
        <f t="shared" si="24"/>
        <v>0</v>
      </c>
      <c r="BJ26" s="32">
        <f t="shared" si="25"/>
        <v>0</v>
      </c>
      <c r="BK26" s="32">
        <f t="shared" si="26"/>
        <v>0</v>
      </c>
      <c r="BL26" s="32">
        <f t="shared" si="27"/>
        <v>0</v>
      </c>
      <c r="BM26" s="32">
        <f t="shared" si="28"/>
        <v>0</v>
      </c>
      <c r="BN26" s="32">
        <f t="shared" si="29"/>
        <v>0</v>
      </c>
      <c r="BO26" s="32">
        <f t="shared" si="30"/>
        <v>0</v>
      </c>
      <c r="BP26" s="32">
        <f t="shared" si="31"/>
        <v>0</v>
      </c>
      <c r="BQ26" s="32">
        <f t="shared" si="32"/>
        <v>0</v>
      </c>
      <c r="BR26" s="32">
        <f t="shared" si="33"/>
        <v>0</v>
      </c>
      <c r="BS26" s="32">
        <f t="shared" si="34"/>
        <v>0</v>
      </c>
      <c r="BT26" s="40">
        <f t="shared" si="35"/>
        <v>0</v>
      </c>
    </row>
    <row r="27" spans="1:72">
      <c r="A27" s="6"/>
      <c r="B27" s="31"/>
      <c r="C27" s="31"/>
      <c r="D27" s="1629"/>
      <c r="E27" s="32">
        <f t="shared" si="7"/>
        <v>0</v>
      </c>
      <c r="F27" s="33"/>
      <c r="G27" s="34">
        <f t="shared" si="8"/>
        <v>0</v>
      </c>
      <c r="H27" s="35">
        <f t="shared" si="9"/>
        <v>0</v>
      </c>
      <c r="I27" s="36"/>
      <c r="J27" s="36"/>
      <c r="K27" s="36"/>
      <c r="L27" s="36"/>
      <c r="M27" s="36"/>
      <c r="N27" s="36"/>
      <c r="O27" s="36"/>
      <c r="P27" s="36"/>
      <c r="Q27" s="36"/>
      <c r="R27" s="36"/>
      <c r="S27" s="36"/>
      <c r="T27" s="36"/>
      <c r="U27" s="36"/>
      <c r="V27" s="36"/>
      <c r="W27" s="36"/>
      <c r="X27" s="36"/>
      <c r="Y27" s="36"/>
      <c r="Z27" s="36"/>
      <c r="AA27" s="36"/>
      <c r="AB27" s="36"/>
      <c r="AC27" s="32">
        <f t="shared" si="10"/>
        <v>0</v>
      </c>
      <c r="AD27" s="37"/>
      <c r="AE27" s="37"/>
      <c r="AF27" s="37"/>
      <c r="AG27" s="37"/>
      <c r="AH27" s="37"/>
      <c r="AI27" s="37"/>
      <c r="AJ27" s="37"/>
      <c r="AK27" s="37"/>
      <c r="AL27" s="37"/>
      <c r="AM27" s="37"/>
      <c r="AN27" s="37"/>
      <c r="AO27" s="37"/>
      <c r="AP27" s="37"/>
      <c r="AQ27" s="37"/>
      <c r="AR27" s="37"/>
      <c r="AS27" s="37"/>
      <c r="AT27" s="38"/>
      <c r="AU27" s="1630"/>
      <c r="AV27" s="1342">
        <f t="shared" si="11"/>
        <v>0</v>
      </c>
      <c r="AW27" s="1342">
        <f t="shared" si="12"/>
        <v>0</v>
      </c>
      <c r="AX27" s="1342">
        <f t="shared" si="13"/>
        <v>0</v>
      </c>
      <c r="AY27" s="39">
        <f t="shared" si="14"/>
        <v>0</v>
      </c>
      <c r="AZ27" s="32">
        <f t="shared" si="15"/>
        <v>0</v>
      </c>
      <c r="BA27" s="32">
        <f t="shared" si="16"/>
        <v>0</v>
      </c>
      <c r="BB27" s="32">
        <f t="shared" si="17"/>
        <v>0</v>
      </c>
      <c r="BC27" s="32">
        <f t="shared" si="18"/>
        <v>0</v>
      </c>
      <c r="BD27" s="32">
        <f t="shared" si="19"/>
        <v>0</v>
      </c>
      <c r="BE27" s="32">
        <f t="shared" si="20"/>
        <v>0</v>
      </c>
      <c r="BF27" s="32">
        <f t="shared" si="21"/>
        <v>0</v>
      </c>
      <c r="BG27" s="32">
        <f t="shared" si="22"/>
        <v>0</v>
      </c>
      <c r="BH27" s="32">
        <f t="shared" si="23"/>
        <v>0</v>
      </c>
      <c r="BI27" s="32">
        <f t="shared" si="24"/>
        <v>0</v>
      </c>
      <c r="BJ27" s="32">
        <f t="shared" si="25"/>
        <v>0</v>
      </c>
      <c r="BK27" s="32">
        <f t="shared" si="26"/>
        <v>0</v>
      </c>
      <c r="BL27" s="32">
        <f t="shared" si="27"/>
        <v>0</v>
      </c>
      <c r="BM27" s="32">
        <f t="shared" si="28"/>
        <v>0</v>
      </c>
      <c r="BN27" s="32">
        <f t="shared" si="29"/>
        <v>0</v>
      </c>
      <c r="BO27" s="32">
        <f t="shared" si="30"/>
        <v>0</v>
      </c>
      <c r="BP27" s="32">
        <f t="shared" si="31"/>
        <v>0</v>
      </c>
      <c r="BQ27" s="32">
        <f t="shared" si="32"/>
        <v>0</v>
      </c>
      <c r="BR27" s="32">
        <f t="shared" si="33"/>
        <v>0</v>
      </c>
      <c r="BS27" s="32">
        <f t="shared" si="34"/>
        <v>0</v>
      </c>
      <c r="BT27" s="40">
        <f t="shared" si="35"/>
        <v>0</v>
      </c>
    </row>
    <row r="28" spans="1:72">
      <c r="A28" s="6"/>
      <c r="B28" s="31"/>
      <c r="C28" s="31"/>
      <c r="D28" s="1629"/>
      <c r="E28" s="32">
        <f t="shared" si="7"/>
        <v>0</v>
      </c>
      <c r="F28" s="33"/>
      <c r="G28" s="34">
        <f t="shared" si="8"/>
        <v>0</v>
      </c>
      <c r="H28" s="35">
        <f t="shared" si="9"/>
        <v>0</v>
      </c>
      <c r="I28" s="36"/>
      <c r="J28" s="36"/>
      <c r="K28" s="36"/>
      <c r="L28" s="36"/>
      <c r="M28" s="36"/>
      <c r="N28" s="36"/>
      <c r="O28" s="36"/>
      <c r="P28" s="36"/>
      <c r="Q28" s="36"/>
      <c r="R28" s="36"/>
      <c r="S28" s="36"/>
      <c r="T28" s="36"/>
      <c r="U28" s="36"/>
      <c r="V28" s="36"/>
      <c r="W28" s="36"/>
      <c r="X28" s="36"/>
      <c r="Y28" s="36"/>
      <c r="Z28" s="36"/>
      <c r="AA28" s="36"/>
      <c r="AB28" s="36"/>
      <c r="AC28" s="32">
        <f t="shared" si="10"/>
        <v>0</v>
      </c>
      <c r="AD28" s="37"/>
      <c r="AE28" s="37"/>
      <c r="AF28" s="37"/>
      <c r="AG28" s="37"/>
      <c r="AH28" s="37"/>
      <c r="AI28" s="37"/>
      <c r="AJ28" s="37"/>
      <c r="AK28" s="37"/>
      <c r="AL28" s="37"/>
      <c r="AM28" s="37"/>
      <c r="AN28" s="37"/>
      <c r="AO28" s="37"/>
      <c r="AP28" s="37"/>
      <c r="AQ28" s="37"/>
      <c r="AR28" s="37"/>
      <c r="AS28" s="37"/>
      <c r="AT28" s="38"/>
      <c r="AU28" s="1630"/>
      <c r="AV28" s="1342">
        <f t="shared" si="11"/>
        <v>0</v>
      </c>
      <c r="AW28" s="1342">
        <f t="shared" si="12"/>
        <v>0</v>
      </c>
      <c r="AX28" s="1342">
        <f t="shared" si="13"/>
        <v>0</v>
      </c>
      <c r="AY28" s="39">
        <f t="shared" si="14"/>
        <v>0</v>
      </c>
      <c r="AZ28" s="32">
        <f t="shared" si="15"/>
        <v>0</v>
      </c>
      <c r="BA28" s="32">
        <f t="shared" si="16"/>
        <v>0</v>
      </c>
      <c r="BB28" s="32">
        <f t="shared" si="17"/>
        <v>0</v>
      </c>
      <c r="BC28" s="32">
        <f t="shared" si="18"/>
        <v>0</v>
      </c>
      <c r="BD28" s="32">
        <f t="shared" si="19"/>
        <v>0</v>
      </c>
      <c r="BE28" s="32">
        <f t="shared" si="20"/>
        <v>0</v>
      </c>
      <c r="BF28" s="32">
        <f t="shared" si="21"/>
        <v>0</v>
      </c>
      <c r="BG28" s="32">
        <f t="shared" si="22"/>
        <v>0</v>
      </c>
      <c r="BH28" s="32">
        <f t="shared" si="23"/>
        <v>0</v>
      </c>
      <c r="BI28" s="32">
        <f t="shared" si="24"/>
        <v>0</v>
      </c>
      <c r="BJ28" s="32">
        <f t="shared" si="25"/>
        <v>0</v>
      </c>
      <c r="BK28" s="32">
        <f t="shared" si="26"/>
        <v>0</v>
      </c>
      <c r="BL28" s="32">
        <f t="shared" si="27"/>
        <v>0</v>
      </c>
      <c r="BM28" s="32">
        <f t="shared" si="28"/>
        <v>0</v>
      </c>
      <c r="BN28" s="32">
        <f t="shared" si="29"/>
        <v>0</v>
      </c>
      <c r="BO28" s="32">
        <f t="shared" si="30"/>
        <v>0</v>
      </c>
      <c r="BP28" s="32">
        <f t="shared" si="31"/>
        <v>0</v>
      </c>
      <c r="BQ28" s="32">
        <f t="shared" si="32"/>
        <v>0</v>
      </c>
      <c r="BR28" s="32">
        <f t="shared" si="33"/>
        <v>0</v>
      </c>
      <c r="BS28" s="32">
        <f t="shared" si="34"/>
        <v>0</v>
      </c>
      <c r="BT28" s="40">
        <f t="shared" si="35"/>
        <v>0</v>
      </c>
    </row>
    <row r="29" spans="1:72">
      <c r="A29" s="6"/>
      <c r="B29" s="31"/>
      <c r="C29" s="31"/>
      <c r="D29" s="1629"/>
      <c r="E29" s="32">
        <f t="shared" si="7"/>
        <v>0</v>
      </c>
      <c r="F29" s="33"/>
      <c r="G29" s="34">
        <f t="shared" si="8"/>
        <v>0</v>
      </c>
      <c r="H29" s="35">
        <f t="shared" si="9"/>
        <v>0</v>
      </c>
      <c r="I29" s="36"/>
      <c r="J29" s="36"/>
      <c r="K29" s="36"/>
      <c r="L29" s="36"/>
      <c r="M29" s="36"/>
      <c r="N29" s="36"/>
      <c r="O29" s="36"/>
      <c r="P29" s="36"/>
      <c r="Q29" s="36"/>
      <c r="R29" s="36"/>
      <c r="S29" s="36"/>
      <c r="T29" s="36"/>
      <c r="U29" s="36"/>
      <c r="V29" s="36"/>
      <c r="W29" s="36"/>
      <c r="X29" s="36"/>
      <c r="Y29" s="36"/>
      <c r="Z29" s="36"/>
      <c r="AA29" s="36"/>
      <c r="AB29" s="36"/>
      <c r="AC29" s="32">
        <f t="shared" si="10"/>
        <v>0</v>
      </c>
      <c r="AD29" s="37"/>
      <c r="AE29" s="37"/>
      <c r="AF29" s="37"/>
      <c r="AG29" s="37"/>
      <c r="AH29" s="37"/>
      <c r="AI29" s="37"/>
      <c r="AJ29" s="37"/>
      <c r="AK29" s="37"/>
      <c r="AL29" s="37"/>
      <c r="AM29" s="37"/>
      <c r="AN29" s="37"/>
      <c r="AO29" s="37"/>
      <c r="AP29" s="37"/>
      <c r="AQ29" s="37"/>
      <c r="AR29" s="37"/>
      <c r="AS29" s="37"/>
      <c r="AT29" s="38"/>
      <c r="AU29" s="1630"/>
      <c r="AV29" s="1342">
        <f t="shared" si="11"/>
        <v>0</v>
      </c>
      <c r="AW29" s="1342">
        <f t="shared" si="12"/>
        <v>0</v>
      </c>
      <c r="AX29" s="1342">
        <f t="shared" si="13"/>
        <v>0</v>
      </c>
      <c r="AY29" s="39">
        <f t="shared" si="14"/>
        <v>0</v>
      </c>
      <c r="AZ29" s="32">
        <f t="shared" si="15"/>
        <v>0</v>
      </c>
      <c r="BA29" s="32">
        <f t="shared" si="16"/>
        <v>0</v>
      </c>
      <c r="BB29" s="32">
        <f t="shared" si="17"/>
        <v>0</v>
      </c>
      <c r="BC29" s="32">
        <f t="shared" si="18"/>
        <v>0</v>
      </c>
      <c r="BD29" s="32">
        <f t="shared" si="19"/>
        <v>0</v>
      </c>
      <c r="BE29" s="32">
        <f t="shared" si="20"/>
        <v>0</v>
      </c>
      <c r="BF29" s="32">
        <f t="shared" si="21"/>
        <v>0</v>
      </c>
      <c r="BG29" s="32">
        <f t="shared" si="22"/>
        <v>0</v>
      </c>
      <c r="BH29" s="32">
        <f t="shared" si="23"/>
        <v>0</v>
      </c>
      <c r="BI29" s="32">
        <f t="shared" si="24"/>
        <v>0</v>
      </c>
      <c r="BJ29" s="32">
        <f t="shared" si="25"/>
        <v>0</v>
      </c>
      <c r="BK29" s="32">
        <f t="shared" si="26"/>
        <v>0</v>
      </c>
      <c r="BL29" s="32">
        <f t="shared" si="27"/>
        <v>0</v>
      </c>
      <c r="BM29" s="32">
        <f t="shared" si="28"/>
        <v>0</v>
      </c>
      <c r="BN29" s="32">
        <f t="shared" si="29"/>
        <v>0</v>
      </c>
      <c r="BO29" s="32">
        <f t="shared" si="30"/>
        <v>0</v>
      </c>
      <c r="BP29" s="32">
        <f t="shared" si="31"/>
        <v>0</v>
      </c>
      <c r="BQ29" s="32">
        <f t="shared" si="32"/>
        <v>0</v>
      </c>
      <c r="BR29" s="32">
        <f t="shared" si="33"/>
        <v>0</v>
      </c>
      <c r="BS29" s="32">
        <f t="shared" si="34"/>
        <v>0</v>
      </c>
      <c r="BT29" s="40">
        <f t="shared" si="35"/>
        <v>0</v>
      </c>
    </row>
    <row r="30" spans="1:72">
      <c r="A30" s="6"/>
      <c r="B30" s="31"/>
      <c r="C30" s="31"/>
      <c r="D30" s="1629"/>
      <c r="E30" s="32">
        <f t="shared" si="7"/>
        <v>0</v>
      </c>
      <c r="F30" s="33"/>
      <c r="G30" s="34">
        <f t="shared" si="8"/>
        <v>0</v>
      </c>
      <c r="H30" s="35">
        <f t="shared" si="9"/>
        <v>0</v>
      </c>
      <c r="I30" s="36"/>
      <c r="J30" s="36"/>
      <c r="K30" s="36"/>
      <c r="L30" s="36"/>
      <c r="M30" s="36"/>
      <c r="N30" s="36"/>
      <c r="O30" s="36"/>
      <c r="P30" s="36"/>
      <c r="Q30" s="36"/>
      <c r="R30" s="36"/>
      <c r="S30" s="36"/>
      <c r="T30" s="36"/>
      <c r="U30" s="36"/>
      <c r="V30" s="36"/>
      <c r="W30" s="36"/>
      <c r="X30" s="36"/>
      <c r="Y30" s="36"/>
      <c r="Z30" s="36"/>
      <c r="AA30" s="36"/>
      <c r="AB30" s="36"/>
      <c r="AC30" s="32">
        <f t="shared" si="10"/>
        <v>0</v>
      </c>
      <c r="AD30" s="37"/>
      <c r="AE30" s="37"/>
      <c r="AF30" s="37"/>
      <c r="AG30" s="37"/>
      <c r="AH30" s="37"/>
      <c r="AI30" s="37"/>
      <c r="AJ30" s="37"/>
      <c r="AK30" s="37"/>
      <c r="AL30" s="37"/>
      <c r="AM30" s="37"/>
      <c r="AN30" s="37"/>
      <c r="AO30" s="37"/>
      <c r="AP30" s="37"/>
      <c r="AQ30" s="37"/>
      <c r="AR30" s="37"/>
      <c r="AS30" s="37"/>
      <c r="AT30" s="38"/>
      <c r="AU30" s="1630"/>
      <c r="AV30" s="1342">
        <f t="shared" si="11"/>
        <v>0</v>
      </c>
      <c r="AW30" s="1342">
        <f t="shared" si="12"/>
        <v>0</v>
      </c>
      <c r="AX30" s="1342">
        <f t="shared" si="13"/>
        <v>0</v>
      </c>
      <c r="AY30" s="39">
        <f t="shared" si="14"/>
        <v>0</v>
      </c>
      <c r="AZ30" s="32">
        <f t="shared" si="15"/>
        <v>0</v>
      </c>
      <c r="BA30" s="32">
        <f t="shared" si="16"/>
        <v>0</v>
      </c>
      <c r="BB30" s="32">
        <f t="shared" si="17"/>
        <v>0</v>
      </c>
      <c r="BC30" s="32">
        <f t="shared" si="18"/>
        <v>0</v>
      </c>
      <c r="BD30" s="32">
        <f t="shared" si="19"/>
        <v>0</v>
      </c>
      <c r="BE30" s="32">
        <f t="shared" si="20"/>
        <v>0</v>
      </c>
      <c r="BF30" s="32">
        <f t="shared" si="21"/>
        <v>0</v>
      </c>
      <c r="BG30" s="32">
        <f t="shared" si="22"/>
        <v>0</v>
      </c>
      <c r="BH30" s="32">
        <f t="shared" si="23"/>
        <v>0</v>
      </c>
      <c r="BI30" s="32">
        <f t="shared" si="24"/>
        <v>0</v>
      </c>
      <c r="BJ30" s="32">
        <f t="shared" si="25"/>
        <v>0</v>
      </c>
      <c r="BK30" s="32">
        <f t="shared" si="26"/>
        <v>0</v>
      </c>
      <c r="BL30" s="32">
        <f t="shared" si="27"/>
        <v>0</v>
      </c>
      <c r="BM30" s="32">
        <f t="shared" si="28"/>
        <v>0</v>
      </c>
      <c r="BN30" s="32">
        <f t="shared" si="29"/>
        <v>0</v>
      </c>
      <c r="BO30" s="32">
        <f t="shared" si="30"/>
        <v>0</v>
      </c>
      <c r="BP30" s="32">
        <f t="shared" si="31"/>
        <v>0</v>
      </c>
      <c r="BQ30" s="32">
        <f t="shared" si="32"/>
        <v>0</v>
      </c>
      <c r="BR30" s="32">
        <f t="shared" si="33"/>
        <v>0</v>
      </c>
      <c r="BS30" s="32">
        <f t="shared" si="34"/>
        <v>0</v>
      </c>
      <c r="BT30" s="40">
        <f t="shared" si="35"/>
        <v>0</v>
      </c>
    </row>
    <row r="31" spans="1:72">
      <c r="A31" s="6"/>
      <c r="B31" s="31"/>
      <c r="C31" s="31"/>
      <c r="D31" s="1629"/>
      <c r="E31" s="32">
        <f t="shared" si="7"/>
        <v>0</v>
      </c>
      <c r="F31" s="33"/>
      <c r="G31" s="34">
        <f t="shared" si="8"/>
        <v>0</v>
      </c>
      <c r="H31" s="35">
        <f t="shared" si="9"/>
        <v>0</v>
      </c>
      <c r="I31" s="36"/>
      <c r="J31" s="36"/>
      <c r="K31" s="36"/>
      <c r="L31" s="36"/>
      <c r="M31" s="36"/>
      <c r="N31" s="36"/>
      <c r="O31" s="36"/>
      <c r="P31" s="36"/>
      <c r="Q31" s="36"/>
      <c r="R31" s="36"/>
      <c r="S31" s="36"/>
      <c r="T31" s="36"/>
      <c r="U31" s="36"/>
      <c r="V31" s="36"/>
      <c r="W31" s="36"/>
      <c r="X31" s="36"/>
      <c r="Y31" s="36"/>
      <c r="Z31" s="36"/>
      <c r="AA31" s="36"/>
      <c r="AB31" s="36"/>
      <c r="AC31" s="32">
        <f t="shared" si="10"/>
        <v>0</v>
      </c>
      <c r="AD31" s="37"/>
      <c r="AE31" s="37"/>
      <c r="AF31" s="37"/>
      <c r="AG31" s="37"/>
      <c r="AH31" s="37"/>
      <c r="AI31" s="37"/>
      <c r="AJ31" s="37"/>
      <c r="AK31" s="37"/>
      <c r="AL31" s="37"/>
      <c r="AM31" s="37"/>
      <c r="AN31" s="37"/>
      <c r="AO31" s="37"/>
      <c r="AP31" s="37"/>
      <c r="AQ31" s="37"/>
      <c r="AR31" s="37"/>
      <c r="AS31" s="37"/>
      <c r="AT31" s="38"/>
      <c r="AU31" s="1630"/>
      <c r="AV31" s="1342">
        <f t="shared" si="11"/>
        <v>0</v>
      </c>
      <c r="AW31" s="1342">
        <f t="shared" si="12"/>
        <v>0</v>
      </c>
      <c r="AX31" s="1342">
        <f t="shared" si="13"/>
        <v>0</v>
      </c>
      <c r="AY31" s="39">
        <f t="shared" si="14"/>
        <v>0</v>
      </c>
      <c r="AZ31" s="32">
        <f t="shared" si="15"/>
        <v>0</v>
      </c>
      <c r="BA31" s="32">
        <f t="shared" si="16"/>
        <v>0</v>
      </c>
      <c r="BB31" s="32">
        <f t="shared" si="17"/>
        <v>0</v>
      </c>
      <c r="BC31" s="32">
        <f t="shared" si="18"/>
        <v>0</v>
      </c>
      <c r="BD31" s="32">
        <f t="shared" si="19"/>
        <v>0</v>
      </c>
      <c r="BE31" s="32">
        <f t="shared" si="20"/>
        <v>0</v>
      </c>
      <c r="BF31" s="32">
        <f t="shared" si="21"/>
        <v>0</v>
      </c>
      <c r="BG31" s="32">
        <f t="shared" si="22"/>
        <v>0</v>
      </c>
      <c r="BH31" s="32">
        <f t="shared" si="23"/>
        <v>0</v>
      </c>
      <c r="BI31" s="32">
        <f t="shared" si="24"/>
        <v>0</v>
      </c>
      <c r="BJ31" s="32">
        <f t="shared" si="25"/>
        <v>0</v>
      </c>
      <c r="BK31" s="32">
        <f t="shared" si="26"/>
        <v>0</v>
      </c>
      <c r="BL31" s="32">
        <f t="shared" si="27"/>
        <v>0</v>
      </c>
      <c r="BM31" s="32">
        <f t="shared" si="28"/>
        <v>0</v>
      </c>
      <c r="BN31" s="32">
        <f t="shared" si="29"/>
        <v>0</v>
      </c>
      <c r="BO31" s="32">
        <f t="shared" si="30"/>
        <v>0</v>
      </c>
      <c r="BP31" s="32">
        <f t="shared" si="31"/>
        <v>0</v>
      </c>
      <c r="BQ31" s="32">
        <f t="shared" si="32"/>
        <v>0</v>
      </c>
      <c r="BR31" s="32">
        <f t="shared" si="33"/>
        <v>0</v>
      </c>
      <c r="BS31" s="32">
        <f t="shared" si="34"/>
        <v>0</v>
      </c>
      <c r="BT31" s="40">
        <f t="shared" si="35"/>
        <v>0</v>
      </c>
    </row>
    <row r="32" spans="1:72">
      <c r="A32" s="6"/>
      <c r="B32" s="31"/>
      <c r="C32" s="31"/>
      <c r="D32" s="1629"/>
      <c r="E32" s="32">
        <f t="shared" si="7"/>
        <v>0</v>
      </c>
      <c r="F32" s="33"/>
      <c r="G32" s="34">
        <f t="shared" si="8"/>
        <v>0</v>
      </c>
      <c r="H32" s="35">
        <f t="shared" si="9"/>
        <v>0</v>
      </c>
      <c r="I32" s="36"/>
      <c r="J32" s="36"/>
      <c r="K32" s="36"/>
      <c r="L32" s="36"/>
      <c r="M32" s="36"/>
      <c r="N32" s="36"/>
      <c r="O32" s="36"/>
      <c r="P32" s="36"/>
      <c r="Q32" s="36"/>
      <c r="R32" s="36"/>
      <c r="S32" s="36"/>
      <c r="T32" s="36"/>
      <c r="U32" s="36"/>
      <c r="V32" s="36"/>
      <c r="W32" s="36"/>
      <c r="X32" s="36"/>
      <c r="Y32" s="36"/>
      <c r="Z32" s="36"/>
      <c r="AA32" s="36"/>
      <c r="AB32" s="36"/>
      <c r="AC32" s="32">
        <f t="shared" si="10"/>
        <v>0</v>
      </c>
      <c r="AD32" s="37"/>
      <c r="AE32" s="37"/>
      <c r="AF32" s="37"/>
      <c r="AG32" s="37"/>
      <c r="AH32" s="37"/>
      <c r="AI32" s="37"/>
      <c r="AJ32" s="37"/>
      <c r="AK32" s="37"/>
      <c r="AL32" s="37"/>
      <c r="AM32" s="37"/>
      <c r="AN32" s="37"/>
      <c r="AO32" s="37"/>
      <c r="AP32" s="37"/>
      <c r="AQ32" s="37"/>
      <c r="AR32" s="37"/>
      <c r="AS32" s="37"/>
      <c r="AT32" s="38"/>
      <c r="AU32" s="1630"/>
      <c r="AV32" s="1342">
        <f t="shared" si="11"/>
        <v>0</v>
      </c>
      <c r="AW32" s="1342">
        <f t="shared" si="12"/>
        <v>0</v>
      </c>
      <c r="AX32" s="1342">
        <f t="shared" si="13"/>
        <v>0</v>
      </c>
      <c r="AY32" s="39">
        <f t="shared" si="14"/>
        <v>0</v>
      </c>
      <c r="AZ32" s="32">
        <f t="shared" si="15"/>
        <v>0</v>
      </c>
      <c r="BA32" s="32">
        <f t="shared" si="16"/>
        <v>0</v>
      </c>
      <c r="BB32" s="32">
        <f t="shared" si="17"/>
        <v>0</v>
      </c>
      <c r="BC32" s="32">
        <f t="shared" si="18"/>
        <v>0</v>
      </c>
      <c r="BD32" s="32">
        <f t="shared" si="19"/>
        <v>0</v>
      </c>
      <c r="BE32" s="32">
        <f t="shared" si="20"/>
        <v>0</v>
      </c>
      <c r="BF32" s="32">
        <f t="shared" si="21"/>
        <v>0</v>
      </c>
      <c r="BG32" s="32">
        <f t="shared" si="22"/>
        <v>0</v>
      </c>
      <c r="BH32" s="32">
        <f t="shared" si="23"/>
        <v>0</v>
      </c>
      <c r="BI32" s="32">
        <f t="shared" si="24"/>
        <v>0</v>
      </c>
      <c r="BJ32" s="32">
        <f t="shared" si="25"/>
        <v>0</v>
      </c>
      <c r="BK32" s="32">
        <f t="shared" si="26"/>
        <v>0</v>
      </c>
      <c r="BL32" s="32">
        <f t="shared" si="27"/>
        <v>0</v>
      </c>
      <c r="BM32" s="32">
        <f t="shared" si="28"/>
        <v>0</v>
      </c>
      <c r="BN32" s="32">
        <f t="shared" si="29"/>
        <v>0</v>
      </c>
      <c r="BO32" s="32">
        <f t="shared" si="30"/>
        <v>0</v>
      </c>
      <c r="BP32" s="32">
        <f t="shared" si="31"/>
        <v>0</v>
      </c>
      <c r="BQ32" s="32">
        <f t="shared" si="32"/>
        <v>0</v>
      </c>
      <c r="BR32" s="32">
        <f t="shared" si="33"/>
        <v>0</v>
      </c>
      <c r="BS32" s="32">
        <f t="shared" si="34"/>
        <v>0</v>
      </c>
      <c r="BT32" s="40">
        <f t="shared" si="35"/>
        <v>0</v>
      </c>
    </row>
    <row r="33" spans="1:72">
      <c r="A33" s="6"/>
      <c r="B33" s="31"/>
      <c r="C33" s="31"/>
      <c r="D33" s="1629"/>
      <c r="E33" s="32">
        <f t="shared" si="7"/>
        <v>0</v>
      </c>
      <c r="F33" s="33"/>
      <c r="G33" s="34">
        <f t="shared" si="8"/>
        <v>0</v>
      </c>
      <c r="H33" s="35">
        <f t="shared" si="9"/>
        <v>0</v>
      </c>
      <c r="I33" s="36"/>
      <c r="J33" s="36"/>
      <c r="K33" s="36"/>
      <c r="L33" s="36"/>
      <c r="M33" s="36"/>
      <c r="N33" s="36"/>
      <c r="O33" s="36"/>
      <c r="P33" s="36"/>
      <c r="Q33" s="36"/>
      <c r="R33" s="36"/>
      <c r="S33" s="36"/>
      <c r="T33" s="36"/>
      <c r="U33" s="36"/>
      <c r="V33" s="36"/>
      <c r="W33" s="36"/>
      <c r="X33" s="36"/>
      <c r="Y33" s="36"/>
      <c r="Z33" s="36"/>
      <c r="AA33" s="36"/>
      <c r="AB33" s="36"/>
      <c r="AC33" s="32">
        <f t="shared" si="10"/>
        <v>0</v>
      </c>
      <c r="AD33" s="37"/>
      <c r="AE33" s="37"/>
      <c r="AF33" s="37"/>
      <c r="AG33" s="37"/>
      <c r="AH33" s="37"/>
      <c r="AI33" s="37"/>
      <c r="AJ33" s="37"/>
      <c r="AK33" s="37"/>
      <c r="AL33" s="37"/>
      <c r="AM33" s="37"/>
      <c r="AN33" s="37"/>
      <c r="AO33" s="37"/>
      <c r="AP33" s="37"/>
      <c r="AQ33" s="37"/>
      <c r="AR33" s="37"/>
      <c r="AS33" s="37"/>
      <c r="AT33" s="38"/>
      <c r="AU33" s="1630"/>
      <c r="AV33" s="1342">
        <f t="shared" si="11"/>
        <v>0</v>
      </c>
      <c r="AW33" s="1342">
        <f t="shared" si="12"/>
        <v>0</v>
      </c>
      <c r="AX33" s="1342">
        <f t="shared" si="13"/>
        <v>0</v>
      </c>
      <c r="AY33" s="39">
        <f t="shared" si="14"/>
        <v>0</v>
      </c>
      <c r="AZ33" s="32">
        <f t="shared" si="15"/>
        <v>0</v>
      </c>
      <c r="BA33" s="32">
        <f t="shared" si="16"/>
        <v>0</v>
      </c>
      <c r="BB33" s="32">
        <f t="shared" si="17"/>
        <v>0</v>
      </c>
      <c r="BC33" s="32">
        <f t="shared" si="18"/>
        <v>0</v>
      </c>
      <c r="BD33" s="32">
        <f t="shared" si="19"/>
        <v>0</v>
      </c>
      <c r="BE33" s="32">
        <f t="shared" si="20"/>
        <v>0</v>
      </c>
      <c r="BF33" s="32">
        <f t="shared" si="21"/>
        <v>0</v>
      </c>
      <c r="BG33" s="32">
        <f t="shared" si="22"/>
        <v>0</v>
      </c>
      <c r="BH33" s="32">
        <f t="shared" si="23"/>
        <v>0</v>
      </c>
      <c r="BI33" s="32">
        <f t="shared" si="24"/>
        <v>0</v>
      </c>
      <c r="BJ33" s="32">
        <f t="shared" si="25"/>
        <v>0</v>
      </c>
      <c r="BK33" s="32">
        <f t="shared" si="26"/>
        <v>0</v>
      </c>
      <c r="BL33" s="32">
        <f t="shared" si="27"/>
        <v>0</v>
      </c>
      <c r="BM33" s="32">
        <f t="shared" si="28"/>
        <v>0</v>
      </c>
      <c r="BN33" s="32">
        <f t="shared" si="29"/>
        <v>0</v>
      </c>
      <c r="BO33" s="32">
        <f t="shared" si="30"/>
        <v>0</v>
      </c>
      <c r="BP33" s="32">
        <f t="shared" si="31"/>
        <v>0</v>
      </c>
      <c r="BQ33" s="32">
        <f t="shared" si="32"/>
        <v>0</v>
      </c>
      <c r="BR33" s="32">
        <f t="shared" si="33"/>
        <v>0</v>
      </c>
      <c r="BS33" s="32">
        <f t="shared" si="34"/>
        <v>0</v>
      </c>
      <c r="BT33" s="40">
        <f t="shared" si="35"/>
        <v>0</v>
      </c>
    </row>
    <row r="34" spans="1:72">
      <c r="A34" s="6"/>
      <c r="B34" s="31"/>
      <c r="C34" s="31"/>
      <c r="D34" s="1629"/>
      <c r="E34" s="32">
        <f t="shared" si="7"/>
        <v>0</v>
      </c>
      <c r="F34" s="33"/>
      <c r="G34" s="34">
        <f t="shared" si="8"/>
        <v>0</v>
      </c>
      <c r="H34" s="35">
        <f t="shared" si="9"/>
        <v>0</v>
      </c>
      <c r="I34" s="36"/>
      <c r="J34" s="36"/>
      <c r="K34" s="36"/>
      <c r="L34" s="36"/>
      <c r="M34" s="36"/>
      <c r="N34" s="36"/>
      <c r="O34" s="36"/>
      <c r="P34" s="36"/>
      <c r="Q34" s="36"/>
      <c r="R34" s="36"/>
      <c r="S34" s="36"/>
      <c r="T34" s="36"/>
      <c r="U34" s="36"/>
      <c r="V34" s="36"/>
      <c r="W34" s="36"/>
      <c r="X34" s="36"/>
      <c r="Y34" s="36"/>
      <c r="Z34" s="36"/>
      <c r="AA34" s="36"/>
      <c r="AB34" s="36"/>
      <c r="AC34" s="32">
        <f t="shared" si="10"/>
        <v>0</v>
      </c>
      <c r="AD34" s="37"/>
      <c r="AE34" s="37"/>
      <c r="AF34" s="37"/>
      <c r="AG34" s="37"/>
      <c r="AH34" s="37"/>
      <c r="AI34" s="37"/>
      <c r="AJ34" s="37"/>
      <c r="AK34" s="37"/>
      <c r="AL34" s="37"/>
      <c r="AM34" s="37"/>
      <c r="AN34" s="37"/>
      <c r="AO34" s="37"/>
      <c r="AP34" s="37"/>
      <c r="AQ34" s="37"/>
      <c r="AR34" s="37"/>
      <c r="AS34" s="37"/>
      <c r="AT34" s="38"/>
      <c r="AU34" s="1630"/>
      <c r="AV34" s="1342">
        <f t="shared" si="11"/>
        <v>0</v>
      </c>
      <c r="AW34" s="1342">
        <f t="shared" si="12"/>
        <v>0</v>
      </c>
      <c r="AX34" s="1342">
        <f t="shared" si="13"/>
        <v>0</v>
      </c>
      <c r="AY34" s="39">
        <f t="shared" si="14"/>
        <v>0</v>
      </c>
      <c r="AZ34" s="32">
        <f t="shared" si="15"/>
        <v>0</v>
      </c>
      <c r="BA34" s="32">
        <f t="shared" si="16"/>
        <v>0</v>
      </c>
      <c r="BB34" s="32">
        <f t="shared" si="17"/>
        <v>0</v>
      </c>
      <c r="BC34" s="32">
        <f t="shared" si="18"/>
        <v>0</v>
      </c>
      <c r="BD34" s="32">
        <f t="shared" si="19"/>
        <v>0</v>
      </c>
      <c r="BE34" s="32">
        <f t="shared" si="20"/>
        <v>0</v>
      </c>
      <c r="BF34" s="32">
        <f t="shared" si="21"/>
        <v>0</v>
      </c>
      <c r="BG34" s="32">
        <f t="shared" si="22"/>
        <v>0</v>
      </c>
      <c r="BH34" s="32">
        <f t="shared" si="23"/>
        <v>0</v>
      </c>
      <c r="BI34" s="32">
        <f t="shared" si="24"/>
        <v>0</v>
      </c>
      <c r="BJ34" s="32">
        <f t="shared" si="25"/>
        <v>0</v>
      </c>
      <c r="BK34" s="32">
        <f t="shared" si="26"/>
        <v>0</v>
      </c>
      <c r="BL34" s="32">
        <f t="shared" si="27"/>
        <v>0</v>
      </c>
      <c r="BM34" s="32">
        <f t="shared" si="28"/>
        <v>0</v>
      </c>
      <c r="BN34" s="32">
        <f t="shared" si="29"/>
        <v>0</v>
      </c>
      <c r="BO34" s="32">
        <f t="shared" si="30"/>
        <v>0</v>
      </c>
      <c r="BP34" s="32">
        <f t="shared" si="31"/>
        <v>0</v>
      </c>
      <c r="BQ34" s="32">
        <f t="shared" si="32"/>
        <v>0</v>
      </c>
      <c r="BR34" s="32">
        <f t="shared" si="33"/>
        <v>0</v>
      </c>
      <c r="BS34" s="32">
        <f t="shared" si="34"/>
        <v>0</v>
      </c>
      <c r="BT34" s="40">
        <f t="shared" si="35"/>
        <v>0</v>
      </c>
    </row>
    <row r="35" spans="1:72">
      <c r="A35" s="6"/>
      <c r="B35" s="31"/>
      <c r="C35" s="31"/>
      <c r="D35" s="1629"/>
      <c r="E35" s="32">
        <f t="shared" si="7"/>
        <v>0</v>
      </c>
      <c r="F35" s="33"/>
      <c r="G35" s="34">
        <f t="shared" si="8"/>
        <v>0</v>
      </c>
      <c r="H35" s="35">
        <f t="shared" si="9"/>
        <v>0</v>
      </c>
      <c r="I35" s="36"/>
      <c r="J35" s="36"/>
      <c r="K35" s="36"/>
      <c r="L35" s="36"/>
      <c r="M35" s="36"/>
      <c r="N35" s="36"/>
      <c r="O35" s="36"/>
      <c r="P35" s="36"/>
      <c r="Q35" s="36"/>
      <c r="R35" s="36"/>
      <c r="S35" s="36"/>
      <c r="T35" s="36"/>
      <c r="U35" s="36"/>
      <c r="V35" s="36"/>
      <c r="W35" s="36"/>
      <c r="X35" s="36"/>
      <c r="Y35" s="36"/>
      <c r="Z35" s="36"/>
      <c r="AA35" s="36"/>
      <c r="AB35" s="36"/>
      <c r="AC35" s="32">
        <f t="shared" si="10"/>
        <v>0</v>
      </c>
      <c r="AD35" s="37"/>
      <c r="AE35" s="37"/>
      <c r="AF35" s="37"/>
      <c r="AG35" s="37"/>
      <c r="AH35" s="37"/>
      <c r="AI35" s="37"/>
      <c r="AJ35" s="37"/>
      <c r="AK35" s="37"/>
      <c r="AL35" s="37"/>
      <c r="AM35" s="37"/>
      <c r="AN35" s="37"/>
      <c r="AO35" s="37"/>
      <c r="AP35" s="37"/>
      <c r="AQ35" s="37"/>
      <c r="AR35" s="37"/>
      <c r="AS35" s="37"/>
      <c r="AT35" s="38"/>
      <c r="AU35" s="1630"/>
      <c r="AV35" s="1342">
        <f t="shared" si="11"/>
        <v>0</v>
      </c>
      <c r="AW35" s="1342">
        <f t="shared" si="12"/>
        <v>0</v>
      </c>
      <c r="AX35" s="1342">
        <f t="shared" si="13"/>
        <v>0</v>
      </c>
      <c r="AY35" s="39">
        <f t="shared" si="14"/>
        <v>0</v>
      </c>
      <c r="AZ35" s="32">
        <f t="shared" si="15"/>
        <v>0</v>
      </c>
      <c r="BA35" s="32">
        <f t="shared" si="16"/>
        <v>0</v>
      </c>
      <c r="BB35" s="32">
        <f t="shared" si="17"/>
        <v>0</v>
      </c>
      <c r="BC35" s="32">
        <f t="shared" si="18"/>
        <v>0</v>
      </c>
      <c r="BD35" s="32">
        <f t="shared" si="19"/>
        <v>0</v>
      </c>
      <c r="BE35" s="32">
        <f t="shared" si="20"/>
        <v>0</v>
      </c>
      <c r="BF35" s="32">
        <f t="shared" si="21"/>
        <v>0</v>
      </c>
      <c r="BG35" s="32">
        <f t="shared" si="22"/>
        <v>0</v>
      </c>
      <c r="BH35" s="32">
        <f t="shared" si="23"/>
        <v>0</v>
      </c>
      <c r="BI35" s="32">
        <f t="shared" si="24"/>
        <v>0</v>
      </c>
      <c r="BJ35" s="32">
        <f t="shared" si="25"/>
        <v>0</v>
      </c>
      <c r="BK35" s="32">
        <f t="shared" si="26"/>
        <v>0</v>
      </c>
      <c r="BL35" s="32">
        <f t="shared" si="27"/>
        <v>0</v>
      </c>
      <c r="BM35" s="32">
        <f t="shared" si="28"/>
        <v>0</v>
      </c>
      <c r="BN35" s="32">
        <f t="shared" si="29"/>
        <v>0</v>
      </c>
      <c r="BO35" s="32">
        <f t="shared" si="30"/>
        <v>0</v>
      </c>
      <c r="BP35" s="32">
        <f t="shared" si="31"/>
        <v>0</v>
      </c>
      <c r="BQ35" s="32">
        <f t="shared" si="32"/>
        <v>0</v>
      </c>
      <c r="BR35" s="32">
        <f t="shared" si="33"/>
        <v>0</v>
      </c>
      <c r="BS35" s="32">
        <f t="shared" si="34"/>
        <v>0</v>
      </c>
      <c r="BT35" s="40">
        <f t="shared" si="35"/>
        <v>0</v>
      </c>
    </row>
    <row r="36" spans="1:72">
      <c r="A36" s="6"/>
      <c r="B36" s="31"/>
      <c r="C36" s="31"/>
      <c r="D36" s="1629"/>
      <c r="E36" s="32">
        <f t="shared" si="7"/>
        <v>0</v>
      </c>
      <c r="F36" s="33"/>
      <c r="G36" s="34">
        <f t="shared" si="8"/>
        <v>0</v>
      </c>
      <c r="H36" s="35">
        <f t="shared" si="9"/>
        <v>0</v>
      </c>
      <c r="I36" s="36"/>
      <c r="J36" s="36"/>
      <c r="K36" s="36"/>
      <c r="L36" s="36"/>
      <c r="M36" s="36"/>
      <c r="N36" s="36"/>
      <c r="O36" s="36"/>
      <c r="P36" s="36"/>
      <c r="Q36" s="36"/>
      <c r="R36" s="36"/>
      <c r="S36" s="36"/>
      <c r="T36" s="36"/>
      <c r="U36" s="36"/>
      <c r="V36" s="36"/>
      <c r="W36" s="36"/>
      <c r="X36" s="36"/>
      <c r="Y36" s="36"/>
      <c r="Z36" s="36"/>
      <c r="AA36" s="36"/>
      <c r="AB36" s="36"/>
      <c r="AC36" s="32">
        <f t="shared" si="10"/>
        <v>0</v>
      </c>
      <c r="AD36" s="37"/>
      <c r="AE36" s="37"/>
      <c r="AF36" s="37"/>
      <c r="AG36" s="37"/>
      <c r="AH36" s="37"/>
      <c r="AI36" s="37"/>
      <c r="AJ36" s="37"/>
      <c r="AK36" s="37"/>
      <c r="AL36" s="37"/>
      <c r="AM36" s="37"/>
      <c r="AN36" s="37"/>
      <c r="AO36" s="37"/>
      <c r="AP36" s="37"/>
      <c r="AQ36" s="37"/>
      <c r="AR36" s="37"/>
      <c r="AS36" s="37"/>
      <c r="AT36" s="38"/>
      <c r="AU36" s="1630"/>
      <c r="AV36" s="1342">
        <f t="shared" si="11"/>
        <v>0</v>
      </c>
      <c r="AW36" s="1342">
        <f t="shared" si="12"/>
        <v>0</v>
      </c>
      <c r="AX36" s="1342">
        <f t="shared" si="13"/>
        <v>0</v>
      </c>
      <c r="AY36" s="39">
        <f t="shared" si="14"/>
        <v>0</v>
      </c>
      <c r="AZ36" s="32">
        <f t="shared" si="15"/>
        <v>0</v>
      </c>
      <c r="BA36" s="32">
        <f t="shared" si="16"/>
        <v>0</v>
      </c>
      <c r="BB36" s="32">
        <f t="shared" si="17"/>
        <v>0</v>
      </c>
      <c r="BC36" s="32">
        <f t="shared" si="18"/>
        <v>0</v>
      </c>
      <c r="BD36" s="32">
        <f t="shared" si="19"/>
        <v>0</v>
      </c>
      <c r="BE36" s="32">
        <f t="shared" si="20"/>
        <v>0</v>
      </c>
      <c r="BF36" s="32">
        <f t="shared" si="21"/>
        <v>0</v>
      </c>
      <c r="BG36" s="32">
        <f t="shared" si="22"/>
        <v>0</v>
      </c>
      <c r="BH36" s="32">
        <f t="shared" si="23"/>
        <v>0</v>
      </c>
      <c r="BI36" s="32">
        <f t="shared" si="24"/>
        <v>0</v>
      </c>
      <c r="BJ36" s="32">
        <f t="shared" si="25"/>
        <v>0</v>
      </c>
      <c r="BK36" s="32">
        <f t="shared" si="26"/>
        <v>0</v>
      </c>
      <c r="BL36" s="32">
        <f t="shared" si="27"/>
        <v>0</v>
      </c>
      <c r="BM36" s="32">
        <f t="shared" si="28"/>
        <v>0</v>
      </c>
      <c r="BN36" s="32">
        <f t="shared" si="29"/>
        <v>0</v>
      </c>
      <c r="BO36" s="32">
        <f t="shared" si="30"/>
        <v>0</v>
      </c>
      <c r="BP36" s="32">
        <f t="shared" si="31"/>
        <v>0</v>
      </c>
      <c r="BQ36" s="32">
        <f t="shared" si="32"/>
        <v>0</v>
      </c>
      <c r="BR36" s="32">
        <f t="shared" si="33"/>
        <v>0</v>
      </c>
      <c r="BS36" s="32">
        <f t="shared" si="34"/>
        <v>0</v>
      </c>
      <c r="BT36" s="40">
        <f t="shared" si="35"/>
        <v>0</v>
      </c>
    </row>
    <row r="37" spans="1:72">
      <c r="A37" s="6"/>
      <c r="B37" s="31"/>
      <c r="C37" s="31"/>
      <c r="D37" s="1629"/>
      <c r="E37" s="32">
        <f t="shared" si="7"/>
        <v>0</v>
      </c>
      <c r="F37" s="33"/>
      <c r="G37" s="34">
        <f t="shared" si="8"/>
        <v>0</v>
      </c>
      <c r="H37" s="35">
        <f t="shared" si="9"/>
        <v>0</v>
      </c>
      <c r="I37" s="36"/>
      <c r="J37" s="36"/>
      <c r="K37" s="36"/>
      <c r="L37" s="36"/>
      <c r="M37" s="36"/>
      <c r="N37" s="36"/>
      <c r="O37" s="36"/>
      <c r="P37" s="36"/>
      <c r="Q37" s="36"/>
      <c r="R37" s="36"/>
      <c r="S37" s="36"/>
      <c r="T37" s="36"/>
      <c r="U37" s="36"/>
      <c r="V37" s="36"/>
      <c r="W37" s="36"/>
      <c r="X37" s="36"/>
      <c r="Y37" s="36"/>
      <c r="Z37" s="36"/>
      <c r="AA37" s="36"/>
      <c r="AB37" s="36"/>
      <c r="AC37" s="32">
        <f t="shared" si="10"/>
        <v>0</v>
      </c>
      <c r="AD37" s="37"/>
      <c r="AE37" s="37"/>
      <c r="AF37" s="37"/>
      <c r="AG37" s="37"/>
      <c r="AH37" s="37"/>
      <c r="AI37" s="37"/>
      <c r="AJ37" s="37"/>
      <c r="AK37" s="37"/>
      <c r="AL37" s="37"/>
      <c r="AM37" s="37"/>
      <c r="AN37" s="37"/>
      <c r="AO37" s="37"/>
      <c r="AP37" s="37"/>
      <c r="AQ37" s="37"/>
      <c r="AR37" s="37"/>
      <c r="AS37" s="37"/>
      <c r="AT37" s="38"/>
      <c r="AU37" s="1630"/>
      <c r="AV37" s="1342">
        <f t="shared" si="11"/>
        <v>0</v>
      </c>
      <c r="AW37" s="1342">
        <f t="shared" si="12"/>
        <v>0</v>
      </c>
      <c r="AX37" s="1342">
        <f t="shared" si="13"/>
        <v>0</v>
      </c>
      <c r="AY37" s="39">
        <f t="shared" si="14"/>
        <v>0</v>
      </c>
      <c r="AZ37" s="32">
        <f t="shared" si="15"/>
        <v>0</v>
      </c>
      <c r="BA37" s="32">
        <f t="shared" si="16"/>
        <v>0</v>
      </c>
      <c r="BB37" s="32">
        <f t="shared" si="17"/>
        <v>0</v>
      </c>
      <c r="BC37" s="32">
        <f t="shared" si="18"/>
        <v>0</v>
      </c>
      <c r="BD37" s="32">
        <f t="shared" si="19"/>
        <v>0</v>
      </c>
      <c r="BE37" s="32">
        <f t="shared" si="20"/>
        <v>0</v>
      </c>
      <c r="BF37" s="32">
        <f t="shared" si="21"/>
        <v>0</v>
      </c>
      <c r="BG37" s="32">
        <f t="shared" si="22"/>
        <v>0</v>
      </c>
      <c r="BH37" s="32">
        <f t="shared" si="23"/>
        <v>0</v>
      </c>
      <c r="BI37" s="32">
        <f t="shared" si="24"/>
        <v>0</v>
      </c>
      <c r="BJ37" s="32">
        <f t="shared" si="25"/>
        <v>0</v>
      </c>
      <c r="BK37" s="32">
        <f t="shared" si="26"/>
        <v>0</v>
      </c>
      <c r="BL37" s="32">
        <f t="shared" si="27"/>
        <v>0</v>
      </c>
      <c r="BM37" s="32">
        <f t="shared" si="28"/>
        <v>0</v>
      </c>
      <c r="BN37" s="32">
        <f t="shared" si="29"/>
        <v>0</v>
      </c>
      <c r="BO37" s="32">
        <f t="shared" si="30"/>
        <v>0</v>
      </c>
      <c r="BP37" s="32">
        <f t="shared" si="31"/>
        <v>0</v>
      </c>
      <c r="BQ37" s="32">
        <f t="shared" si="32"/>
        <v>0</v>
      </c>
      <c r="BR37" s="32">
        <f t="shared" si="33"/>
        <v>0</v>
      </c>
      <c r="BS37" s="32">
        <f t="shared" si="34"/>
        <v>0</v>
      </c>
      <c r="BT37" s="40">
        <f t="shared" si="35"/>
        <v>0</v>
      </c>
    </row>
    <row r="38" spans="1:72">
      <c r="A38" s="6"/>
      <c r="B38" s="31"/>
      <c r="C38" s="31"/>
      <c r="D38" s="1629"/>
      <c r="E38" s="32">
        <f t="shared" si="7"/>
        <v>0</v>
      </c>
      <c r="F38" s="33"/>
      <c r="G38" s="34">
        <f t="shared" si="8"/>
        <v>0</v>
      </c>
      <c r="H38" s="35">
        <f t="shared" si="9"/>
        <v>0</v>
      </c>
      <c r="I38" s="36"/>
      <c r="J38" s="36"/>
      <c r="K38" s="36"/>
      <c r="L38" s="36"/>
      <c r="M38" s="36"/>
      <c r="N38" s="36"/>
      <c r="O38" s="36"/>
      <c r="P38" s="36"/>
      <c r="Q38" s="36"/>
      <c r="R38" s="36"/>
      <c r="S38" s="36"/>
      <c r="T38" s="36"/>
      <c r="U38" s="36"/>
      <c r="V38" s="36"/>
      <c r="W38" s="36"/>
      <c r="X38" s="36"/>
      <c r="Y38" s="36"/>
      <c r="Z38" s="36"/>
      <c r="AA38" s="36"/>
      <c r="AB38" s="36"/>
      <c r="AC38" s="32">
        <f t="shared" si="10"/>
        <v>0</v>
      </c>
      <c r="AD38" s="37"/>
      <c r="AE38" s="37"/>
      <c r="AF38" s="37"/>
      <c r="AG38" s="37"/>
      <c r="AH38" s="37"/>
      <c r="AI38" s="37"/>
      <c r="AJ38" s="37"/>
      <c r="AK38" s="37"/>
      <c r="AL38" s="37"/>
      <c r="AM38" s="37"/>
      <c r="AN38" s="37"/>
      <c r="AO38" s="37"/>
      <c r="AP38" s="37"/>
      <c r="AQ38" s="37"/>
      <c r="AR38" s="37"/>
      <c r="AS38" s="37"/>
      <c r="AT38" s="38"/>
      <c r="AU38" s="1630"/>
      <c r="AV38" s="1342">
        <f t="shared" si="11"/>
        <v>0</v>
      </c>
      <c r="AW38" s="1342">
        <f t="shared" si="12"/>
        <v>0</v>
      </c>
      <c r="AX38" s="1342">
        <f t="shared" si="13"/>
        <v>0</v>
      </c>
      <c r="AY38" s="39">
        <f t="shared" si="14"/>
        <v>0</v>
      </c>
      <c r="AZ38" s="32">
        <f t="shared" si="15"/>
        <v>0</v>
      </c>
      <c r="BA38" s="32">
        <f t="shared" si="16"/>
        <v>0</v>
      </c>
      <c r="BB38" s="32">
        <f t="shared" si="17"/>
        <v>0</v>
      </c>
      <c r="BC38" s="32">
        <f t="shared" si="18"/>
        <v>0</v>
      </c>
      <c r="BD38" s="32">
        <f t="shared" si="19"/>
        <v>0</v>
      </c>
      <c r="BE38" s="32">
        <f t="shared" si="20"/>
        <v>0</v>
      </c>
      <c r="BF38" s="32">
        <f t="shared" si="21"/>
        <v>0</v>
      </c>
      <c r="BG38" s="32">
        <f t="shared" si="22"/>
        <v>0</v>
      </c>
      <c r="BH38" s="32">
        <f t="shared" si="23"/>
        <v>0</v>
      </c>
      <c r="BI38" s="32">
        <f t="shared" si="24"/>
        <v>0</v>
      </c>
      <c r="BJ38" s="32">
        <f t="shared" si="25"/>
        <v>0</v>
      </c>
      <c r="BK38" s="32">
        <f t="shared" si="26"/>
        <v>0</v>
      </c>
      <c r="BL38" s="32">
        <f t="shared" si="27"/>
        <v>0</v>
      </c>
      <c r="BM38" s="32">
        <f t="shared" si="28"/>
        <v>0</v>
      </c>
      <c r="BN38" s="32">
        <f t="shared" si="29"/>
        <v>0</v>
      </c>
      <c r="BO38" s="32">
        <f t="shared" si="30"/>
        <v>0</v>
      </c>
      <c r="BP38" s="32">
        <f t="shared" si="31"/>
        <v>0</v>
      </c>
      <c r="BQ38" s="32">
        <f t="shared" si="32"/>
        <v>0</v>
      </c>
      <c r="BR38" s="32">
        <f t="shared" si="33"/>
        <v>0</v>
      </c>
      <c r="BS38" s="32">
        <f t="shared" si="34"/>
        <v>0</v>
      </c>
      <c r="BT38" s="40">
        <f t="shared" si="35"/>
        <v>0</v>
      </c>
    </row>
    <row r="39" spans="1:72">
      <c r="A39" s="6"/>
      <c r="B39" s="31"/>
      <c r="C39" s="31"/>
      <c r="D39" s="1629"/>
      <c r="E39" s="32">
        <f t="shared" si="7"/>
        <v>0</v>
      </c>
      <c r="F39" s="33"/>
      <c r="G39" s="34">
        <f t="shared" si="8"/>
        <v>0</v>
      </c>
      <c r="H39" s="35">
        <f t="shared" si="9"/>
        <v>0</v>
      </c>
      <c r="I39" s="36"/>
      <c r="J39" s="36"/>
      <c r="K39" s="36"/>
      <c r="L39" s="36"/>
      <c r="M39" s="36"/>
      <c r="N39" s="36"/>
      <c r="O39" s="36"/>
      <c r="P39" s="36"/>
      <c r="Q39" s="36"/>
      <c r="R39" s="36"/>
      <c r="S39" s="36"/>
      <c r="T39" s="36"/>
      <c r="U39" s="36"/>
      <c r="V39" s="36"/>
      <c r="W39" s="36"/>
      <c r="X39" s="36"/>
      <c r="Y39" s="36"/>
      <c r="Z39" s="36"/>
      <c r="AA39" s="36"/>
      <c r="AB39" s="36"/>
      <c r="AC39" s="32">
        <f t="shared" si="10"/>
        <v>0</v>
      </c>
      <c r="AD39" s="37"/>
      <c r="AE39" s="37"/>
      <c r="AF39" s="37"/>
      <c r="AG39" s="37"/>
      <c r="AH39" s="37"/>
      <c r="AI39" s="37"/>
      <c r="AJ39" s="37"/>
      <c r="AK39" s="37"/>
      <c r="AL39" s="37"/>
      <c r="AM39" s="37"/>
      <c r="AN39" s="37"/>
      <c r="AO39" s="37"/>
      <c r="AP39" s="37"/>
      <c r="AQ39" s="37"/>
      <c r="AR39" s="37"/>
      <c r="AS39" s="37"/>
      <c r="AT39" s="38"/>
      <c r="AU39" s="1630"/>
      <c r="AV39" s="1342">
        <f t="shared" si="11"/>
        <v>0</v>
      </c>
      <c r="AW39" s="1342">
        <f t="shared" si="12"/>
        <v>0</v>
      </c>
      <c r="AX39" s="1342">
        <f t="shared" si="13"/>
        <v>0</v>
      </c>
      <c r="AY39" s="39">
        <f t="shared" si="14"/>
        <v>0</v>
      </c>
      <c r="AZ39" s="32">
        <f t="shared" si="15"/>
        <v>0</v>
      </c>
      <c r="BA39" s="32">
        <f t="shared" si="16"/>
        <v>0</v>
      </c>
      <c r="BB39" s="32">
        <f t="shared" si="17"/>
        <v>0</v>
      </c>
      <c r="BC39" s="32">
        <f t="shared" si="18"/>
        <v>0</v>
      </c>
      <c r="BD39" s="32">
        <f t="shared" si="19"/>
        <v>0</v>
      </c>
      <c r="BE39" s="32">
        <f t="shared" si="20"/>
        <v>0</v>
      </c>
      <c r="BF39" s="32">
        <f t="shared" si="21"/>
        <v>0</v>
      </c>
      <c r="BG39" s="32">
        <f t="shared" si="22"/>
        <v>0</v>
      </c>
      <c r="BH39" s="32">
        <f t="shared" si="23"/>
        <v>0</v>
      </c>
      <c r="BI39" s="32">
        <f t="shared" si="24"/>
        <v>0</v>
      </c>
      <c r="BJ39" s="32">
        <f t="shared" si="25"/>
        <v>0</v>
      </c>
      <c r="BK39" s="32">
        <f t="shared" si="26"/>
        <v>0</v>
      </c>
      <c r="BL39" s="32">
        <f t="shared" si="27"/>
        <v>0</v>
      </c>
      <c r="BM39" s="32">
        <f t="shared" si="28"/>
        <v>0</v>
      </c>
      <c r="BN39" s="32">
        <f t="shared" si="29"/>
        <v>0</v>
      </c>
      <c r="BO39" s="32">
        <f t="shared" si="30"/>
        <v>0</v>
      </c>
      <c r="BP39" s="32">
        <f t="shared" si="31"/>
        <v>0</v>
      </c>
      <c r="BQ39" s="32">
        <f t="shared" si="32"/>
        <v>0</v>
      </c>
      <c r="BR39" s="32">
        <f t="shared" si="33"/>
        <v>0</v>
      </c>
      <c r="BS39" s="32">
        <f t="shared" si="34"/>
        <v>0</v>
      </c>
      <c r="BT39" s="40">
        <f t="shared" si="35"/>
        <v>0</v>
      </c>
    </row>
    <row r="40" spans="1:72">
      <c r="A40" s="6"/>
      <c r="B40" s="31"/>
      <c r="C40" s="31"/>
      <c r="D40" s="1629"/>
      <c r="E40" s="32">
        <f t="shared" si="7"/>
        <v>0</v>
      </c>
      <c r="F40" s="33"/>
      <c r="G40" s="34">
        <f t="shared" si="8"/>
        <v>0</v>
      </c>
      <c r="H40" s="35">
        <f t="shared" si="9"/>
        <v>0</v>
      </c>
      <c r="I40" s="36"/>
      <c r="J40" s="36"/>
      <c r="K40" s="36"/>
      <c r="L40" s="36"/>
      <c r="M40" s="36"/>
      <c r="N40" s="36"/>
      <c r="O40" s="36"/>
      <c r="P40" s="36"/>
      <c r="Q40" s="36"/>
      <c r="R40" s="36"/>
      <c r="S40" s="36"/>
      <c r="T40" s="36"/>
      <c r="U40" s="36"/>
      <c r="V40" s="36"/>
      <c r="W40" s="36"/>
      <c r="X40" s="36"/>
      <c r="Y40" s="36"/>
      <c r="Z40" s="36"/>
      <c r="AA40" s="36"/>
      <c r="AB40" s="36"/>
      <c r="AC40" s="32">
        <f t="shared" si="10"/>
        <v>0</v>
      </c>
      <c r="AD40" s="37"/>
      <c r="AE40" s="37"/>
      <c r="AF40" s="37"/>
      <c r="AG40" s="37"/>
      <c r="AH40" s="37"/>
      <c r="AI40" s="37"/>
      <c r="AJ40" s="37"/>
      <c r="AK40" s="37"/>
      <c r="AL40" s="37"/>
      <c r="AM40" s="37"/>
      <c r="AN40" s="37"/>
      <c r="AO40" s="37"/>
      <c r="AP40" s="37"/>
      <c r="AQ40" s="37"/>
      <c r="AR40" s="37"/>
      <c r="AS40" s="37"/>
      <c r="AT40" s="38"/>
      <c r="AU40" s="1630"/>
      <c r="AV40" s="1342">
        <f t="shared" si="11"/>
        <v>0</v>
      </c>
      <c r="AW40" s="1342">
        <f t="shared" si="12"/>
        <v>0</v>
      </c>
      <c r="AX40" s="1342">
        <f t="shared" si="13"/>
        <v>0</v>
      </c>
      <c r="AY40" s="39">
        <f t="shared" si="14"/>
        <v>0</v>
      </c>
      <c r="AZ40" s="32">
        <f t="shared" si="15"/>
        <v>0</v>
      </c>
      <c r="BA40" s="32">
        <f t="shared" si="16"/>
        <v>0</v>
      </c>
      <c r="BB40" s="32">
        <f t="shared" si="17"/>
        <v>0</v>
      </c>
      <c r="BC40" s="32">
        <f t="shared" si="18"/>
        <v>0</v>
      </c>
      <c r="BD40" s="32">
        <f t="shared" si="19"/>
        <v>0</v>
      </c>
      <c r="BE40" s="32">
        <f t="shared" si="20"/>
        <v>0</v>
      </c>
      <c r="BF40" s="32">
        <f t="shared" si="21"/>
        <v>0</v>
      </c>
      <c r="BG40" s="32">
        <f t="shared" si="22"/>
        <v>0</v>
      </c>
      <c r="BH40" s="32">
        <f t="shared" si="23"/>
        <v>0</v>
      </c>
      <c r="BI40" s="32">
        <f t="shared" si="24"/>
        <v>0</v>
      </c>
      <c r="BJ40" s="32">
        <f t="shared" si="25"/>
        <v>0</v>
      </c>
      <c r="BK40" s="32">
        <f t="shared" si="26"/>
        <v>0</v>
      </c>
      <c r="BL40" s="32">
        <f t="shared" si="27"/>
        <v>0</v>
      </c>
      <c r="BM40" s="32">
        <f t="shared" si="28"/>
        <v>0</v>
      </c>
      <c r="BN40" s="32">
        <f t="shared" si="29"/>
        <v>0</v>
      </c>
      <c r="BO40" s="32">
        <f t="shared" si="30"/>
        <v>0</v>
      </c>
      <c r="BP40" s="32">
        <f t="shared" si="31"/>
        <v>0</v>
      </c>
      <c r="BQ40" s="32">
        <f t="shared" si="32"/>
        <v>0</v>
      </c>
      <c r="BR40" s="32">
        <f t="shared" si="33"/>
        <v>0</v>
      </c>
      <c r="BS40" s="32">
        <f t="shared" si="34"/>
        <v>0</v>
      </c>
      <c r="BT40" s="40">
        <f t="shared" si="35"/>
        <v>0</v>
      </c>
    </row>
    <row r="41" spans="1:72">
      <c r="A41" s="6"/>
      <c r="B41" s="31"/>
      <c r="C41" s="31"/>
      <c r="D41" s="1629"/>
      <c r="E41" s="32">
        <f t="shared" si="7"/>
        <v>0</v>
      </c>
      <c r="F41" s="33"/>
      <c r="G41" s="34">
        <f t="shared" si="8"/>
        <v>0</v>
      </c>
      <c r="H41" s="35">
        <f t="shared" si="9"/>
        <v>0</v>
      </c>
      <c r="I41" s="36"/>
      <c r="J41" s="36"/>
      <c r="K41" s="36"/>
      <c r="L41" s="36"/>
      <c r="M41" s="36"/>
      <c r="N41" s="36"/>
      <c r="O41" s="36"/>
      <c r="P41" s="36"/>
      <c r="Q41" s="36"/>
      <c r="R41" s="36"/>
      <c r="S41" s="36"/>
      <c r="T41" s="36"/>
      <c r="U41" s="36"/>
      <c r="V41" s="36"/>
      <c r="W41" s="36"/>
      <c r="X41" s="36"/>
      <c r="Y41" s="36"/>
      <c r="Z41" s="36"/>
      <c r="AA41" s="36"/>
      <c r="AB41" s="36"/>
      <c r="AC41" s="32">
        <f t="shared" si="10"/>
        <v>0</v>
      </c>
      <c r="AD41" s="37"/>
      <c r="AE41" s="37"/>
      <c r="AF41" s="37"/>
      <c r="AG41" s="37"/>
      <c r="AH41" s="37"/>
      <c r="AI41" s="37"/>
      <c r="AJ41" s="37"/>
      <c r="AK41" s="37"/>
      <c r="AL41" s="37"/>
      <c r="AM41" s="37"/>
      <c r="AN41" s="37"/>
      <c r="AO41" s="37"/>
      <c r="AP41" s="37"/>
      <c r="AQ41" s="37"/>
      <c r="AR41" s="37"/>
      <c r="AS41" s="37"/>
      <c r="AT41" s="38"/>
      <c r="AU41" s="1630"/>
      <c r="AV41" s="1342">
        <f t="shared" si="11"/>
        <v>0</v>
      </c>
      <c r="AW41" s="1342">
        <f t="shared" si="12"/>
        <v>0</v>
      </c>
      <c r="AX41" s="1342">
        <f t="shared" si="13"/>
        <v>0</v>
      </c>
      <c r="AY41" s="39">
        <f t="shared" si="14"/>
        <v>0</v>
      </c>
      <c r="AZ41" s="32">
        <f t="shared" si="15"/>
        <v>0</v>
      </c>
      <c r="BA41" s="32">
        <f t="shared" si="16"/>
        <v>0</v>
      </c>
      <c r="BB41" s="32">
        <f t="shared" si="17"/>
        <v>0</v>
      </c>
      <c r="BC41" s="32">
        <f t="shared" si="18"/>
        <v>0</v>
      </c>
      <c r="BD41" s="32">
        <f t="shared" si="19"/>
        <v>0</v>
      </c>
      <c r="BE41" s="32">
        <f t="shared" si="20"/>
        <v>0</v>
      </c>
      <c r="BF41" s="32">
        <f t="shared" si="21"/>
        <v>0</v>
      </c>
      <c r="BG41" s="32">
        <f t="shared" si="22"/>
        <v>0</v>
      </c>
      <c r="BH41" s="32">
        <f t="shared" si="23"/>
        <v>0</v>
      </c>
      <c r="BI41" s="32">
        <f t="shared" si="24"/>
        <v>0</v>
      </c>
      <c r="BJ41" s="32">
        <f t="shared" si="25"/>
        <v>0</v>
      </c>
      <c r="BK41" s="32">
        <f t="shared" si="26"/>
        <v>0</v>
      </c>
      <c r="BL41" s="32">
        <f t="shared" si="27"/>
        <v>0</v>
      </c>
      <c r="BM41" s="32">
        <f t="shared" si="28"/>
        <v>0</v>
      </c>
      <c r="BN41" s="32">
        <f t="shared" si="29"/>
        <v>0</v>
      </c>
      <c r="BO41" s="32">
        <f t="shared" si="30"/>
        <v>0</v>
      </c>
      <c r="BP41" s="32">
        <f t="shared" si="31"/>
        <v>0</v>
      </c>
      <c r="BQ41" s="32">
        <f t="shared" si="32"/>
        <v>0</v>
      </c>
      <c r="BR41" s="32">
        <f t="shared" si="33"/>
        <v>0</v>
      </c>
      <c r="BS41" s="32">
        <f t="shared" si="34"/>
        <v>0</v>
      </c>
      <c r="BT41" s="40">
        <f t="shared" si="35"/>
        <v>0</v>
      </c>
    </row>
    <row r="42" spans="1:72">
      <c r="A42" s="6"/>
      <c r="B42" s="31"/>
      <c r="C42" s="31"/>
      <c r="D42" s="1629"/>
      <c r="E42" s="32">
        <f t="shared" si="7"/>
        <v>0</v>
      </c>
      <c r="F42" s="33"/>
      <c r="G42" s="34">
        <f t="shared" si="8"/>
        <v>0</v>
      </c>
      <c r="H42" s="35">
        <f t="shared" si="9"/>
        <v>0</v>
      </c>
      <c r="I42" s="36"/>
      <c r="J42" s="36"/>
      <c r="K42" s="36"/>
      <c r="L42" s="36"/>
      <c r="M42" s="36"/>
      <c r="N42" s="36"/>
      <c r="O42" s="36"/>
      <c r="P42" s="36"/>
      <c r="Q42" s="36"/>
      <c r="R42" s="36"/>
      <c r="S42" s="36"/>
      <c r="T42" s="36"/>
      <c r="U42" s="36"/>
      <c r="V42" s="36"/>
      <c r="W42" s="36"/>
      <c r="X42" s="36"/>
      <c r="Y42" s="36"/>
      <c r="Z42" s="36"/>
      <c r="AA42" s="36"/>
      <c r="AB42" s="36"/>
      <c r="AC42" s="32">
        <f t="shared" si="10"/>
        <v>0</v>
      </c>
      <c r="AD42" s="37"/>
      <c r="AE42" s="37"/>
      <c r="AF42" s="37"/>
      <c r="AG42" s="37"/>
      <c r="AH42" s="37"/>
      <c r="AI42" s="37"/>
      <c r="AJ42" s="37"/>
      <c r="AK42" s="37"/>
      <c r="AL42" s="37"/>
      <c r="AM42" s="37"/>
      <c r="AN42" s="37"/>
      <c r="AO42" s="37"/>
      <c r="AP42" s="37"/>
      <c r="AQ42" s="37"/>
      <c r="AR42" s="37"/>
      <c r="AS42" s="37"/>
      <c r="AT42" s="38"/>
      <c r="AU42" s="1630"/>
      <c r="AV42" s="1342">
        <f t="shared" si="11"/>
        <v>0</v>
      </c>
      <c r="AW42" s="1342">
        <f t="shared" si="12"/>
        <v>0</v>
      </c>
      <c r="AX42" s="1342">
        <f t="shared" si="13"/>
        <v>0</v>
      </c>
      <c r="AY42" s="39">
        <f t="shared" si="14"/>
        <v>0</v>
      </c>
      <c r="AZ42" s="32">
        <f t="shared" si="15"/>
        <v>0</v>
      </c>
      <c r="BA42" s="32">
        <f t="shared" si="16"/>
        <v>0</v>
      </c>
      <c r="BB42" s="32">
        <f t="shared" si="17"/>
        <v>0</v>
      </c>
      <c r="BC42" s="32">
        <f t="shared" si="18"/>
        <v>0</v>
      </c>
      <c r="BD42" s="32">
        <f t="shared" si="19"/>
        <v>0</v>
      </c>
      <c r="BE42" s="32">
        <f t="shared" si="20"/>
        <v>0</v>
      </c>
      <c r="BF42" s="32">
        <f t="shared" si="21"/>
        <v>0</v>
      </c>
      <c r="BG42" s="32">
        <f t="shared" si="22"/>
        <v>0</v>
      </c>
      <c r="BH42" s="32">
        <f t="shared" si="23"/>
        <v>0</v>
      </c>
      <c r="BI42" s="32">
        <f t="shared" si="24"/>
        <v>0</v>
      </c>
      <c r="BJ42" s="32">
        <f t="shared" si="25"/>
        <v>0</v>
      </c>
      <c r="BK42" s="32">
        <f t="shared" si="26"/>
        <v>0</v>
      </c>
      <c r="BL42" s="32">
        <f t="shared" si="27"/>
        <v>0</v>
      </c>
      <c r="BM42" s="32">
        <f t="shared" si="28"/>
        <v>0</v>
      </c>
      <c r="BN42" s="32">
        <f t="shared" si="29"/>
        <v>0</v>
      </c>
      <c r="BO42" s="32">
        <f t="shared" si="30"/>
        <v>0</v>
      </c>
      <c r="BP42" s="32">
        <f t="shared" si="31"/>
        <v>0</v>
      </c>
      <c r="BQ42" s="32">
        <f t="shared" si="32"/>
        <v>0</v>
      </c>
      <c r="BR42" s="32">
        <f t="shared" si="33"/>
        <v>0</v>
      </c>
      <c r="BS42" s="32">
        <f t="shared" si="34"/>
        <v>0</v>
      </c>
      <c r="BT42" s="40">
        <f t="shared" si="35"/>
        <v>0</v>
      </c>
    </row>
    <row r="43" spans="1:72">
      <c r="A43" s="6"/>
      <c r="B43" s="31"/>
      <c r="C43" s="31"/>
      <c r="D43" s="1629"/>
      <c r="E43" s="32">
        <f t="shared" si="7"/>
        <v>0</v>
      </c>
      <c r="F43" s="33"/>
      <c r="G43" s="34">
        <f t="shared" si="8"/>
        <v>0</v>
      </c>
      <c r="H43" s="35">
        <f t="shared" si="9"/>
        <v>0</v>
      </c>
      <c r="I43" s="36"/>
      <c r="J43" s="36"/>
      <c r="K43" s="36"/>
      <c r="L43" s="36"/>
      <c r="M43" s="36"/>
      <c r="N43" s="36"/>
      <c r="O43" s="36"/>
      <c r="P43" s="36"/>
      <c r="Q43" s="36"/>
      <c r="R43" s="36"/>
      <c r="S43" s="36"/>
      <c r="T43" s="36"/>
      <c r="U43" s="36"/>
      <c r="V43" s="36"/>
      <c r="W43" s="36"/>
      <c r="X43" s="36"/>
      <c r="Y43" s="36"/>
      <c r="Z43" s="36"/>
      <c r="AA43" s="36"/>
      <c r="AB43" s="36"/>
      <c r="AC43" s="32">
        <f t="shared" si="10"/>
        <v>0</v>
      </c>
      <c r="AD43" s="37"/>
      <c r="AE43" s="37"/>
      <c r="AF43" s="37"/>
      <c r="AG43" s="37"/>
      <c r="AH43" s="37"/>
      <c r="AI43" s="37"/>
      <c r="AJ43" s="37"/>
      <c r="AK43" s="37"/>
      <c r="AL43" s="37"/>
      <c r="AM43" s="37"/>
      <c r="AN43" s="37"/>
      <c r="AO43" s="37"/>
      <c r="AP43" s="37"/>
      <c r="AQ43" s="37"/>
      <c r="AR43" s="37"/>
      <c r="AS43" s="37"/>
      <c r="AT43" s="38"/>
      <c r="AU43" s="1630"/>
      <c r="AV43" s="1342">
        <f t="shared" si="11"/>
        <v>0</v>
      </c>
      <c r="AW43" s="1342">
        <f t="shared" si="12"/>
        <v>0</v>
      </c>
      <c r="AX43" s="1342">
        <f t="shared" si="13"/>
        <v>0</v>
      </c>
      <c r="AY43" s="39">
        <f t="shared" si="14"/>
        <v>0</v>
      </c>
      <c r="AZ43" s="32">
        <f t="shared" si="15"/>
        <v>0</v>
      </c>
      <c r="BA43" s="32">
        <f t="shared" si="16"/>
        <v>0</v>
      </c>
      <c r="BB43" s="32">
        <f t="shared" si="17"/>
        <v>0</v>
      </c>
      <c r="BC43" s="32">
        <f t="shared" si="18"/>
        <v>0</v>
      </c>
      <c r="BD43" s="32">
        <f t="shared" si="19"/>
        <v>0</v>
      </c>
      <c r="BE43" s="32">
        <f t="shared" si="20"/>
        <v>0</v>
      </c>
      <c r="BF43" s="32">
        <f t="shared" si="21"/>
        <v>0</v>
      </c>
      <c r="BG43" s="32">
        <f t="shared" si="22"/>
        <v>0</v>
      </c>
      <c r="BH43" s="32">
        <f t="shared" si="23"/>
        <v>0</v>
      </c>
      <c r="BI43" s="32">
        <f t="shared" si="24"/>
        <v>0</v>
      </c>
      <c r="BJ43" s="32">
        <f t="shared" si="25"/>
        <v>0</v>
      </c>
      <c r="BK43" s="32">
        <f t="shared" si="26"/>
        <v>0</v>
      </c>
      <c r="BL43" s="32">
        <f t="shared" si="27"/>
        <v>0</v>
      </c>
      <c r="BM43" s="32">
        <f t="shared" si="28"/>
        <v>0</v>
      </c>
      <c r="BN43" s="32">
        <f t="shared" si="29"/>
        <v>0</v>
      </c>
      <c r="BO43" s="32">
        <f t="shared" si="30"/>
        <v>0</v>
      </c>
      <c r="BP43" s="32">
        <f t="shared" si="31"/>
        <v>0</v>
      </c>
      <c r="BQ43" s="32">
        <f t="shared" si="32"/>
        <v>0</v>
      </c>
      <c r="BR43" s="32">
        <f t="shared" si="33"/>
        <v>0</v>
      </c>
      <c r="BS43" s="32">
        <f t="shared" si="34"/>
        <v>0</v>
      </c>
      <c r="BT43" s="40">
        <f t="shared" si="35"/>
        <v>0</v>
      </c>
    </row>
    <row r="44" spans="1:72">
      <c r="A44" s="6"/>
      <c r="B44" s="31"/>
      <c r="C44" s="31"/>
      <c r="D44" s="1629"/>
      <c r="E44" s="32">
        <f t="shared" si="7"/>
        <v>0</v>
      </c>
      <c r="F44" s="33"/>
      <c r="G44" s="34">
        <f t="shared" si="8"/>
        <v>0</v>
      </c>
      <c r="H44" s="35">
        <f t="shared" si="9"/>
        <v>0</v>
      </c>
      <c r="I44" s="36"/>
      <c r="J44" s="36"/>
      <c r="K44" s="36"/>
      <c r="L44" s="36"/>
      <c r="M44" s="36"/>
      <c r="N44" s="36"/>
      <c r="O44" s="36"/>
      <c r="P44" s="36"/>
      <c r="Q44" s="36"/>
      <c r="R44" s="36"/>
      <c r="S44" s="36"/>
      <c r="T44" s="36"/>
      <c r="U44" s="36"/>
      <c r="V44" s="36"/>
      <c r="W44" s="36"/>
      <c r="X44" s="36"/>
      <c r="Y44" s="36"/>
      <c r="Z44" s="36"/>
      <c r="AA44" s="36"/>
      <c r="AB44" s="36"/>
      <c r="AC44" s="32">
        <f t="shared" si="10"/>
        <v>0</v>
      </c>
      <c r="AD44" s="37"/>
      <c r="AE44" s="37"/>
      <c r="AF44" s="37"/>
      <c r="AG44" s="37"/>
      <c r="AH44" s="37"/>
      <c r="AI44" s="37"/>
      <c r="AJ44" s="37"/>
      <c r="AK44" s="37"/>
      <c r="AL44" s="37"/>
      <c r="AM44" s="37"/>
      <c r="AN44" s="37"/>
      <c r="AO44" s="37"/>
      <c r="AP44" s="37"/>
      <c r="AQ44" s="37"/>
      <c r="AR44" s="37"/>
      <c r="AS44" s="37"/>
      <c r="AT44" s="38"/>
      <c r="AU44" s="1630"/>
      <c r="AV44" s="1342">
        <f t="shared" si="11"/>
        <v>0</v>
      </c>
      <c r="AW44" s="1342">
        <f t="shared" si="12"/>
        <v>0</v>
      </c>
      <c r="AX44" s="1342">
        <f t="shared" si="13"/>
        <v>0</v>
      </c>
      <c r="AY44" s="39">
        <f t="shared" si="14"/>
        <v>0</v>
      </c>
      <c r="AZ44" s="32">
        <f t="shared" si="15"/>
        <v>0</v>
      </c>
      <c r="BA44" s="32">
        <f t="shared" si="16"/>
        <v>0</v>
      </c>
      <c r="BB44" s="32">
        <f t="shared" si="17"/>
        <v>0</v>
      </c>
      <c r="BC44" s="32">
        <f t="shared" si="18"/>
        <v>0</v>
      </c>
      <c r="BD44" s="32">
        <f t="shared" si="19"/>
        <v>0</v>
      </c>
      <c r="BE44" s="32">
        <f t="shared" si="20"/>
        <v>0</v>
      </c>
      <c r="BF44" s="32">
        <f t="shared" si="21"/>
        <v>0</v>
      </c>
      <c r="BG44" s="32">
        <f t="shared" si="22"/>
        <v>0</v>
      </c>
      <c r="BH44" s="32">
        <f t="shared" si="23"/>
        <v>0</v>
      </c>
      <c r="BI44" s="32">
        <f t="shared" si="24"/>
        <v>0</v>
      </c>
      <c r="BJ44" s="32">
        <f t="shared" si="25"/>
        <v>0</v>
      </c>
      <c r="BK44" s="32">
        <f t="shared" si="26"/>
        <v>0</v>
      </c>
      <c r="BL44" s="32">
        <f t="shared" si="27"/>
        <v>0</v>
      </c>
      <c r="BM44" s="32">
        <f t="shared" si="28"/>
        <v>0</v>
      </c>
      <c r="BN44" s="32">
        <f t="shared" si="29"/>
        <v>0</v>
      </c>
      <c r="BO44" s="32">
        <f t="shared" si="30"/>
        <v>0</v>
      </c>
      <c r="BP44" s="32">
        <f t="shared" si="31"/>
        <v>0</v>
      </c>
      <c r="BQ44" s="32">
        <f t="shared" si="32"/>
        <v>0</v>
      </c>
      <c r="BR44" s="32">
        <f t="shared" si="33"/>
        <v>0</v>
      </c>
      <c r="BS44" s="32">
        <f t="shared" si="34"/>
        <v>0</v>
      </c>
      <c r="BT44" s="40">
        <f t="shared" si="35"/>
        <v>0</v>
      </c>
    </row>
    <row r="45" spans="1:72">
      <c r="A45" s="6"/>
      <c r="B45" s="31"/>
      <c r="C45" s="31"/>
      <c r="D45" s="1629"/>
      <c r="E45" s="32">
        <f t="shared" si="7"/>
        <v>0</v>
      </c>
      <c r="F45" s="33"/>
      <c r="G45" s="34">
        <f t="shared" si="8"/>
        <v>0</v>
      </c>
      <c r="H45" s="35">
        <f t="shared" si="9"/>
        <v>0</v>
      </c>
      <c r="I45" s="36"/>
      <c r="J45" s="36"/>
      <c r="K45" s="36"/>
      <c r="L45" s="36"/>
      <c r="M45" s="36"/>
      <c r="N45" s="36"/>
      <c r="O45" s="36"/>
      <c r="P45" s="36"/>
      <c r="Q45" s="36"/>
      <c r="R45" s="36"/>
      <c r="S45" s="36"/>
      <c r="T45" s="36"/>
      <c r="U45" s="36"/>
      <c r="V45" s="36"/>
      <c r="W45" s="36"/>
      <c r="X45" s="36"/>
      <c r="Y45" s="36"/>
      <c r="Z45" s="36"/>
      <c r="AA45" s="36"/>
      <c r="AB45" s="36"/>
      <c r="AC45" s="32">
        <f t="shared" si="10"/>
        <v>0</v>
      </c>
      <c r="AD45" s="37"/>
      <c r="AE45" s="37"/>
      <c r="AF45" s="37"/>
      <c r="AG45" s="37"/>
      <c r="AH45" s="37"/>
      <c r="AI45" s="37"/>
      <c r="AJ45" s="37"/>
      <c r="AK45" s="37"/>
      <c r="AL45" s="37"/>
      <c r="AM45" s="37"/>
      <c r="AN45" s="37"/>
      <c r="AO45" s="37"/>
      <c r="AP45" s="37"/>
      <c r="AQ45" s="37"/>
      <c r="AR45" s="37"/>
      <c r="AS45" s="37"/>
      <c r="AT45" s="38"/>
      <c r="AU45" s="1630"/>
      <c r="AV45" s="1342">
        <f t="shared" si="11"/>
        <v>0</v>
      </c>
      <c r="AW45" s="1342">
        <f t="shared" si="12"/>
        <v>0</v>
      </c>
      <c r="AX45" s="1342">
        <f t="shared" si="13"/>
        <v>0</v>
      </c>
      <c r="AY45" s="39">
        <f t="shared" si="14"/>
        <v>0</v>
      </c>
      <c r="AZ45" s="32">
        <f t="shared" si="15"/>
        <v>0</v>
      </c>
      <c r="BA45" s="32">
        <f t="shared" si="16"/>
        <v>0</v>
      </c>
      <c r="BB45" s="32">
        <f t="shared" si="17"/>
        <v>0</v>
      </c>
      <c r="BC45" s="32">
        <f t="shared" si="18"/>
        <v>0</v>
      </c>
      <c r="BD45" s="32">
        <f t="shared" si="19"/>
        <v>0</v>
      </c>
      <c r="BE45" s="32">
        <f t="shared" si="20"/>
        <v>0</v>
      </c>
      <c r="BF45" s="32">
        <f t="shared" si="21"/>
        <v>0</v>
      </c>
      <c r="BG45" s="32">
        <f t="shared" si="22"/>
        <v>0</v>
      </c>
      <c r="BH45" s="32">
        <f t="shared" si="23"/>
        <v>0</v>
      </c>
      <c r="BI45" s="32">
        <f t="shared" si="24"/>
        <v>0</v>
      </c>
      <c r="BJ45" s="32">
        <f t="shared" si="25"/>
        <v>0</v>
      </c>
      <c r="BK45" s="32">
        <f t="shared" si="26"/>
        <v>0</v>
      </c>
      <c r="BL45" s="32">
        <f t="shared" si="27"/>
        <v>0</v>
      </c>
      <c r="BM45" s="32">
        <f t="shared" si="28"/>
        <v>0</v>
      </c>
      <c r="BN45" s="32">
        <f t="shared" si="29"/>
        <v>0</v>
      </c>
      <c r="BO45" s="32">
        <f t="shared" si="30"/>
        <v>0</v>
      </c>
      <c r="BP45" s="32">
        <f t="shared" si="31"/>
        <v>0</v>
      </c>
      <c r="BQ45" s="32">
        <f t="shared" si="32"/>
        <v>0</v>
      </c>
      <c r="BR45" s="32">
        <f t="shared" si="33"/>
        <v>0</v>
      </c>
      <c r="BS45" s="32">
        <f t="shared" si="34"/>
        <v>0</v>
      </c>
      <c r="BT45" s="40">
        <f t="shared" si="35"/>
        <v>0</v>
      </c>
    </row>
    <row r="46" spans="1:72">
      <c r="A46" s="6"/>
      <c r="B46" s="31"/>
      <c r="C46" s="31"/>
      <c r="D46" s="1629"/>
      <c r="E46" s="32">
        <f t="shared" si="7"/>
        <v>0</v>
      </c>
      <c r="F46" s="33"/>
      <c r="G46" s="34">
        <f t="shared" si="8"/>
        <v>0</v>
      </c>
      <c r="H46" s="35">
        <f t="shared" si="9"/>
        <v>0</v>
      </c>
      <c r="I46" s="36"/>
      <c r="J46" s="36"/>
      <c r="K46" s="36"/>
      <c r="L46" s="36"/>
      <c r="M46" s="36"/>
      <c r="N46" s="36"/>
      <c r="O46" s="36"/>
      <c r="P46" s="36"/>
      <c r="Q46" s="36"/>
      <c r="R46" s="36"/>
      <c r="S46" s="36"/>
      <c r="T46" s="36"/>
      <c r="U46" s="36"/>
      <c r="V46" s="36"/>
      <c r="W46" s="36"/>
      <c r="X46" s="36"/>
      <c r="Y46" s="36"/>
      <c r="Z46" s="36"/>
      <c r="AA46" s="36"/>
      <c r="AB46" s="36"/>
      <c r="AC46" s="32">
        <f t="shared" si="10"/>
        <v>0</v>
      </c>
      <c r="AD46" s="37"/>
      <c r="AE46" s="37"/>
      <c r="AF46" s="37"/>
      <c r="AG46" s="37"/>
      <c r="AH46" s="37"/>
      <c r="AI46" s="37"/>
      <c r="AJ46" s="37"/>
      <c r="AK46" s="37"/>
      <c r="AL46" s="37"/>
      <c r="AM46" s="37"/>
      <c r="AN46" s="37"/>
      <c r="AO46" s="37"/>
      <c r="AP46" s="37"/>
      <c r="AQ46" s="37"/>
      <c r="AR46" s="37"/>
      <c r="AS46" s="37"/>
      <c r="AT46" s="38"/>
      <c r="AU46" s="1630"/>
      <c r="AV46" s="1342">
        <f t="shared" si="11"/>
        <v>0</v>
      </c>
      <c r="AW46" s="1342">
        <f t="shared" si="12"/>
        <v>0</v>
      </c>
      <c r="AX46" s="1342">
        <f t="shared" si="13"/>
        <v>0</v>
      </c>
      <c r="AY46" s="39">
        <f t="shared" si="14"/>
        <v>0</v>
      </c>
      <c r="AZ46" s="32">
        <f t="shared" si="15"/>
        <v>0</v>
      </c>
      <c r="BA46" s="32">
        <f t="shared" si="16"/>
        <v>0</v>
      </c>
      <c r="BB46" s="32">
        <f t="shared" si="17"/>
        <v>0</v>
      </c>
      <c r="BC46" s="32">
        <f t="shared" si="18"/>
        <v>0</v>
      </c>
      <c r="BD46" s="32">
        <f t="shared" si="19"/>
        <v>0</v>
      </c>
      <c r="BE46" s="32">
        <f t="shared" si="20"/>
        <v>0</v>
      </c>
      <c r="BF46" s="32">
        <f t="shared" si="21"/>
        <v>0</v>
      </c>
      <c r="BG46" s="32">
        <f t="shared" si="22"/>
        <v>0</v>
      </c>
      <c r="BH46" s="32">
        <f t="shared" si="23"/>
        <v>0</v>
      </c>
      <c r="BI46" s="32">
        <f t="shared" si="24"/>
        <v>0</v>
      </c>
      <c r="BJ46" s="32">
        <f t="shared" si="25"/>
        <v>0</v>
      </c>
      <c r="BK46" s="32">
        <f t="shared" si="26"/>
        <v>0</v>
      </c>
      <c r="BL46" s="32">
        <f t="shared" si="27"/>
        <v>0</v>
      </c>
      <c r="BM46" s="32">
        <f t="shared" si="28"/>
        <v>0</v>
      </c>
      <c r="BN46" s="32">
        <f t="shared" si="29"/>
        <v>0</v>
      </c>
      <c r="BO46" s="32">
        <f t="shared" si="30"/>
        <v>0</v>
      </c>
      <c r="BP46" s="32">
        <f t="shared" si="31"/>
        <v>0</v>
      </c>
      <c r="BQ46" s="32">
        <f t="shared" si="32"/>
        <v>0</v>
      </c>
      <c r="BR46" s="32">
        <f t="shared" si="33"/>
        <v>0</v>
      </c>
      <c r="BS46" s="32">
        <f t="shared" si="34"/>
        <v>0</v>
      </c>
      <c r="BT46" s="40">
        <f t="shared" si="35"/>
        <v>0</v>
      </c>
    </row>
    <row r="47" spans="1:72">
      <c r="A47" s="6"/>
      <c r="B47" s="31"/>
      <c r="C47" s="31"/>
      <c r="D47" s="1629"/>
      <c r="E47" s="32">
        <f t="shared" si="7"/>
        <v>0</v>
      </c>
      <c r="F47" s="33"/>
      <c r="G47" s="34">
        <f t="shared" si="8"/>
        <v>0</v>
      </c>
      <c r="H47" s="35">
        <f t="shared" si="9"/>
        <v>0</v>
      </c>
      <c r="I47" s="36"/>
      <c r="J47" s="36"/>
      <c r="K47" s="36"/>
      <c r="L47" s="36"/>
      <c r="M47" s="36"/>
      <c r="N47" s="36"/>
      <c r="O47" s="36"/>
      <c r="P47" s="36"/>
      <c r="Q47" s="36"/>
      <c r="R47" s="36"/>
      <c r="S47" s="36"/>
      <c r="T47" s="36"/>
      <c r="U47" s="36"/>
      <c r="V47" s="36"/>
      <c r="W47" s="36"/>
      <c r="X47" s="36"/>
      <c r="Y47" s="36"/>
      <c r="Z47" s="36"/>
      <c r="AA47" s="36"/>
      <c r="AB47" s="36"/>
      <c r="AC47" s="32">
        <f t="shared" si="10"/>
        <v>0</v>
      </c>
      <c r="AD47" s="37"/>
      <c r="AE47" s="37"/>
      <c r="AF47" s="37"/>
      <c r="AG47" s="37"/>
      <c r="AH47" s="37"/>
      <c r="AI47" s="37"/>
      <c r="AJ47" s="37"/>
      <c r="AK47" s="37"/>
      <c r="AL47" s="37"/>
      <c r="AM47" s="37"/>
      <c r="AN47" s="37"/>
      <c r="AO47" s="37"/>
      <c r="AP47" s="37"/>
      <c r="AQ47" s="37"/>
      <c r="AR47" s="37"/>
      <c r="AS47" s="37"/>
      <c r="AT47" s="38"/>
      <c r="AU47" s="1630"/>
      <c r="AV47" s="1342">
        <f t="shared" si="11"/>
        <v>0</v>
      </c>
      <c r="AW47" s="1342">
        <f t="shared" si="12"/>
        <v>0</v>
      </c>
      <c r="AX47" s="1342">
        <f t="shared" si="13"/>
        <v>0</v>
      </c>
      <c r="AY47" s="39">
        <f t="shared" si="14"/>
        <v>0</v>
      </c>
      <c r="AZ47" s="32">
        <f t="shared" si="15"/>
        <v>0</v>
      </c>
      <c r="BA47" s="32">
        <f t="shared" si="16"/>
        <v>0</v>
      </c>
      <c r="BB47" s="32">
        <f t="shared" si="17"/>
        <v>0</v>
      </c>
      <c r="BC47" s="32">
        <f t="shared" si="18"/>
        <v>0</v>
      </c>
      <c r="BD47" s="32">
        <f t="shared" si="19"/>
        <v>0</v>
      </c>
      <c r="BE47" s="32">
        <f t="shared" si="20"/>
        <v>0</v>
      </c>
      <c r="BF47" s="32">
        <f t="shared" si="21"/>
        <v>0</v>
      </c>
      <c r="BG47" s="32">
        <f t="shared" si="22"/>
        <v>0</v>
      </c>
      <c r="BH47" s="32">
        <f t="shared" si="23"/>
        <v>0</v>
      </c>
      <c r="BI47" s="32">
        <f t="shared" si="24"/>
        <v>0</v>
      </c>
      <c r="BJ47" s="32">
        <f t="shared" si="25"/>
        <v>0</v>
      </c>
      <c r="BK47" s="32">
        <f t="shared" si="26"/>
        <v>0</v>
      </c>
      <c r="BL47" s="32">
        <f t="shared" si="27"/>
        <v>0</v>
      </c>
      <c r="BM47" s="32">
        <f t="shared" si="28"/>
        <v>0</v>
      </c>
      <c r="BN47" s="32">
        <f t="shared" si="29"/>
        <v>0</v>
      </c>
      <c r="BO47" s="32">
        <f t="shared" si="30"/>
        <v>0</v>
      </c>
      <c r="BP47" s="32">
        <f t="shared" si="31"/>
        <v>0</v>
      </c>
      <c r="BQ47" s="32">
        <f t="shared" si="32"/>
        <v>0</v>
      </c>
      <c r="BR47" s="32">
        <f t="shared" si="33"/>
        <v>0</v>
      </c>
      <c r="BS47" s="32">
        <f t="shared" si="34"/>
        <v>0</v>
      </c>
      <c r="BT47" s="40">
        <f t="shared" si="35"/>
        <v>0</v>
      </c>
    </row>
    <row r="48" spans="1:72">
      <c r="A48" s="6"/>
      <c r="B48" s="31"/>
      <c r="C48" s="31"/>
      <c r="D48" s="1629"/>
      <c r="E48" s="32">
        <f t="shared" si="7"/>
        <v>0</v>
      </c>
      <c r="F48" s="33"/>
      <c r="G48" s="34">
        <f t="shared" si="8"/>
        <v>0</v>
      </c>
      <c r="H48" s="35">
        <f t="shared" si="9"/>
        <v>0</v>
      </c>
      <c r="I48" s="36"/>
      <c r="J48" s="36"/>
      <c r="K48" s="36"/>
      <c r="L48" s="36"/>
      <c r="M48" s="36"/>
      <c r="N48" s="36"/>
      <c r="O48" s="36"/>
      <c r="P48" s="36"/>
      <c r="Q48" s="36"/>
      <c r="R48" s="36"/>
      <c r="S48" s="36"/>
      <c r="T48" s="36"/>
      <c r="U48" s="36"/>
      <c r="V48" s="36"/>
      <c r="W48" s="36"/>
      <c r="X48" s="36"/>
      <c r="Y48" s="36"/>
      <c r="Z48" s="36"/>
      <c r="AA48" s="36"/>
      <c r="AB48" s="36"/>
      <c r="AC48" s="32">
        <f t="shared" si="10"/>
        <v>0</v>
      </c>
      <c r="AD48" s="37"/>
      <c r="AE48" s="37"/>
      <c r="AF48" s="37"/>
      <c r="AG48" s="37"/>
      <c r="AH48" s="37"/>
      <c r="AI48" s="37"/>
      <c r="AJ48" s="37"/>
      <c r="AK48" s="37"/>
      <c r="AL48" s="37"/>
      <c r="AM48" s="37"/>
      <c r="AN48" s="37"/>
      <c r="AO48" s="37"/>
      <c r="AP48" s="37"/>
      <c r="AQ48" s="37"/>
      <c r="AR48" s="37"/>
      <c r="AS48" s="37"/>
      <c r="AT48" s="38"/>
      <c r="AU48" s="1630"/>
      <c r="AV48" s="1342">
        <f t="shared" si="11"/>
        <v>0</v>
      </c>
      <c r="AW48" s="1342">
        <f t="shared" si="12"/>
        <v>0</v>
      </c>
      <c r="AX48" s="1342">
        <f t="shared" si="13"/>
        <v>0</v>
      </c>
      <c r="AY48" s="39">
        <f t="shared" si="14"/>
        <v>0</v>
      </c>
      <c r="AZ48" s="32">
        <f t="shared" si="15"/>
        <v>0</v>
      </c>
      <c r="BA48" s="32">
        <f t="shared" si="16"/>
        <v>0</v>
      </c>
      <c r="BB48" s="32">
        <f t="shared" si="17"/>
        <v>0</v>
      </c>
      <c r="BC48" s="32">
        <f t="shared" si="18"/>
        <v>0</v>
      </c>
      <c r="BD48" s="32">
        <f t="shared" si="19"/>
        <v>0</v>
      </c>
      <c r="BE48" s="32">
        <f t="shared" si="20"/>
        <v>0</v>
      </c>
      <c r="BF48" s="32">
        <f t="shared" si="21"/>
        <v>0</v>
      </c>
      <c r="BG48" s="32">
        <f t="shared" si="22"/>
        <v>0</v>
      </c>
      <c r="BH48" s="32">
        <f t="shared" si="23"/>
        <v>0</v>
      </c>
      <c r="BI48" s="32">
        <f t="shared" si="24"/>
        <v>0</v>
      </c>
      <c r="BJ48" s="32">
        <f t="shared" si="25"/>
        <v>0</v>
      </c>
      <c r="BK48" s="32">
        <f t="shared" si="26"/>
        <v>0</v>
      </c>
      <c r="BL48" s="32">
        <f t="shared" si="27"/>
        <v>0</v>
      </c>
      <c r="BM48" s="32">
        <f t="shared" si="28"/>
        <v>0</v>
      </c>
      <c r="BN48" s="32">
        <f t="shared" si="29"/>
        <v>0</v>
      </c>
      <c r="BO48" s="32">
        <f t="shared" si="30"/>
        <v>0</v>
      </c>
      <c r="BP48" s="32">
        <f t="shared" si="31"/>
        <v>0</v>
      </c>
      <c r="BQ48" s="32">
        <f t="shared" si="32"/>
        <v>0</v>
      </c>
      <c r="BR48" s="32">
        <f t="shared" si="33"/>
        <v>0</v>
      </c>
      <c r="BS48" s="32">
        <f t="shared" si="34"/>
        <v>0</v>
      </c>
      <c r="BT48" s="40">
        <f t="shared" si="35"/>
        <v>0</v>
      </c>
    </row>
    <row r="49" spans="1:72">
      <c r="A49" s="6"/>
      <c r="B49" s="31"/>
      <c r="C49" s="31"/>
      <c r="D49" s="1629"/>
      <c r="E49" s="32">
        <f t="shared" si="7"/>
        <v>0</v>
      </c>
      <c r="F49" s="33"/>
      <c r="G49" s="34">
        <f t="shared" si="8"/>
        <v>0</v>
      </c>
      <c r="H49" s="35">
        <f t="shared" si="9"/>
        <v>0</v>
      </c>
      <c r="I49" s="36"/>
      <c r="J49" s="36"/>
      <c r="K49" s="36"/>
      <c r="L49" s="36"/>
      <c r="M49" s="36"/>
      <c r="N49" s="36"/>
      <c r="O49" s="36"/>
      <c r="P49" s="36"/>
      <c r="Q49" s="36"/>
      <c r="R49" s="36"/>
      <c r="S49" s="36"/>
      <c r="T49" s="36"/>
      <c r="U49" s="36"/>
      <c r="V49" s="36"/>
      <c r="W49" s="36"/>
      <c r="X49" s="36"/>
      <c r="Y49" s="36"/>
      <c r="Z49" s="36"/>
      <c r="AA49" s="36"/>
      <c r="AB49" s="36"/>
      <c r="AC49" s="32">
        <f t="shared" si="10"/>
        <v>0</v>
      </c>
      <c r="AD49" s="37"/>
      <c r="AE49" s="37"/>
      <c r="AF49" s="37"/>
      <c r="AG49" s="37"/>
      <c r="AH49" s="37"/>
      <c r="AI49" s="37"/>
      <c r="AJ49" s="37"/>
      <c r="AK49" s="37"/>
      <c r="AL49" s="37"/>
      <c r="AM49" s="37"/>
      <c r="AN49" s="37"/>
      <c r="AO49" s="37"/>
      <c r="AP49" s="37"/>
      <c r="AQ49" s="37"/>
      <c r="AR49" s="37"/>
      <c r="AS49" s="37"/>
      <c r="AT49" s="38"/>
      <c r="AU49" s="1630"/>
      <c r="AV49" s="1342">
        <f t="shared" si="11"/>
        <v>0</v>
      </c>
      <c r="AW49" s="1342">
        <f t="shared" si="12"/>
        <v>0</v>
      </c>
      <c r="AX49" s="1342">
        <f t="shared" si="13"/>
        <v>0</v>
      </c>
      <c r="AY49" s="39">
        <f t="shared" si="14"/>
        <v>0</v>
      </c>
      <c r="AZ49" s="32">
        <f t="shared" si="15"/>
        <v>0</v>
      </c>
      <c r="BA49" s="32">
        <f t="shared" si="16"/>
        <v>0</v>
      </c>
      <c r="BB49" s="32">
        <f t="shared" si="17"/>
        <v>0</v>
      </c>
      <c r="BC49" s="32">
        <f t="shared" si="18"/>
        <v>0</v>
      </c>
      <c r="BD49" s="32">
        <f t="shared" si="19"/>
        <v>0</v>
      </c>
      <c r="BE49" s="32">
        <f t="shared" si="20"/>
        <v>0</v>
      </c>
      <c r="BF49" s="32">
        <f t="shared" si="21"/>
        <v>0</v>
      </c>
      <c r="BG49" s="32">
        <f t="shared" si="22"/>
        <v>0</v>
      </c>
      <c r="BH49" s="32">
        <f t="shared" si="23"/>
        <v>0</v>
      </c>
      <c r="BI49" s="32">
        <f t="shared" si="24"/>
        <v>0</v>
      </c>
      <c r="BJ49" s="32">
        <f t="shared" si="25"/>
        <v>0</v>
      </c>
      <c r="BK49" s="32">
        <f t="shared" si="26"/>
        <v>0</v>
      </c>
      <c r="BL49" s="32">
        <f t="shared" si="27"/>
        <v>0</v>
      </c>
      <c r="BM49" s="32">
        <f t="shared" si="28"/>
        <v>0</v>
      </c>
      <c r="BN49" s="32">
        <f t="shared" si="29"/>
        <v>0</v>
      </c>
      <c r="BO49" s="32">
        <f t="shared" si="30"/>
        <v>0</v>
      </c>
      <c r="BP49" s="32">
        <f t="shared" si="31"/>
        <v>0</v>
      </c>
      <c r="BQ49" s="32">
        <f t="shared" si="32"/>
        <v>0</v>
      </c>
      <c r="BR49" s="32">
        <f t="shared" si="33"/>
        <v>0</v>
      </c>
      <c r="BS49" s="32">
        <f t="shared" si="34"/>
        <v>0</v>
      </c>
      <c r="BT49" s="40">
        <f t="shared" si="35"/>
        <v>0</v>
      </c>
    </row>
    <row r="50" spans="1:72">
      <c r="A50" s="6"/>
      <c r="B50" s="31"/>
      <c r="C50" s="31"/>
      <c r="D50" s="1629"/>
      <c r="E50" s="32">
        <f t="shared" si="7"/>
        <v>0</v>
      </c>
      <c r="F50" s="33"/>
      <c r="G50" s="34">
        <f t="shared" si="8"/>
        <v>0</v>
      </c>
      <c r="H50" s="35">
        <f t="shared" si="9"/>
        <v>0</v>
      </c>
      <c r="I50" s="36"/>
      <c r="J50" s="36"/>
      <c r="K50" s="36"/>
      <c r="L50" s="36"/>
      <c r="M50" s="36"/>
      <c r="N50" s="36"/>
      <c r="O50" s="36"/>
      <c r="P50" s="36"/>
      <c r="Q50" s="36"/>
      <c r="R50" s="36"/>
      <c r="S50" s="36"/>
      <c r="T50" s="36"/>
      <c r="U50" s="36"/>
      <c r="V50" s="36"/>
      <c r="W50" s="36"/>
      <c r="X50" s="36"/>
      <c r="Y50" s="36"/>
      <c r="Z50" s="36"/>
      <c r="AA50" s="36"/>
      <c r="AB50" s="36"/>
      <c r="AC50" s="32">
        <f t="shared" si="10"/>
        <v>0</v>
      </c>
      <c r="AD50" s="37"/>
      <c r="AE50" s="37"/>
      <c r="AF50" s="37"/>
      <c r="AG50" s="37"/>
      <c r="AH50" s="37"/>
      <c r="AI50" s="37"/>
      <c r="AJ50" s="37"/>
      <c r="AK50" s="37"/>
      <c r="AL50" s="37"/>
      <c r="AM50" s="37"/>
      <c r="AN50" s="37"/>
      <c r="AO50" s="37"/>
      <c r="AP50" s="37"/>
      <c r="AQ50" s="37"/>
      <c r="AR50" s="37"/>
      <c r="AS50" s="37"/>
      <c r="AT50" s="38"/>
      <c r="AU50" s="1630"/>
      <c r="AV50" s="1342">
        <f t="shared" si="11"/>
        <v>0</v>
      </c>
      <c r="AW50" s="1342">
        <f t="shared" si="12"/>
        <v>0</v>
      </c>
      <c r="AX50" s="1342">
        <f t="shared" si="13"/>
        <v>0</v>
      </c>
      <c r="AY50" s="39">
        <f t="shared" si="14"/>
        <v>0</v>
      </c>
      <c r="AZ50" s="32">
        <f t="shared" si="15"/>
        <v>0</v>
      </c>
      <c r="BA50" s="32">
        <f t="shared" si="16"/>
        <v>0</v>
      </c>
      <c r="BB50" s="32">
        <f t="shared" si="17"/>
        <v>0</v>
      </c>
      <c r="BC50" s="32">
        <f t="shared" si="18"/>
        <v>0</v>
      </c>
      <c r="BD50" s="32">
        <f t="shared" si="19"/>
        <v>0</v>
      </c>
      <c r="BE50" s="32">
        <f t="shared" si="20"/>
        <v>0</v>
      </c>
      <c r="BF50" s="32">
        <f t="shared" si="21"/>
        <v>0</v>
      </c>
      <c r="BG50" s="32">
        <f t="shared" si="22"/>
        <v>0</v>
      </c>
      <c r="BH50" s="32">
        <f t="shared" si="23"/>
        <v>0</v>
      </c>
      <c r="BI50" s="32">
        <f t="shared" si="24"/>
        <v>0</v>
      </c>
      <c r="BJ50" s="32">
        <f t="shared" si="25"/>
        <v>0</v>
      </c>
      <c r="BK50" s="32">
        <f t="shared" si="26"/>
        <v>0</v>
      </c>
      <c r="BL50" s="32">
        <f t="shared" si="27"/>
        <v>0</v>
      </c>
      <c r="BM50" s="32">
        <f t="shared" si="28"/>
        <v>0</v>
      </c>
      <c r="BN50" s="32">
        <f t="shared" si="29"/>
        <v>0</v>
      </c>
      <c r="BO50" s="32">
        <f t="shared" si="30"/>
        <v>0</v>
      </c>
      <c r="BP50" s="32">
        <f t="shared" si="31"/>
        <v>0</v>
      </c>
      <c r="BQ50" s="32">
        <f t="shared" si="32"/>
        <v>0</v>
      </c>
      <c r="BR50" s="32">
        <f t="shared" si="33"/>
        <v>0</v>
      </c>
      <c r="BS50" s="32">
        <f t="shared" si="34"/>
        <v>0</v>
      </c>
      <c r="BT50" s="40">
        <f t="shared" si="35"/>
        <v>0</v>
      </c>
    </row>
    <row r="51" spans="1:72">
      <c r="A51" s="6"/>
      <c r="B51" s="31"/>
      <c r="C51" s="31"/>
      <c r="D51" s="1629"/>
      <c r="E51" s="32">
        <f t="shared" si="7"/>
        <v>0</v>
      </c>
      <c r="F51" s="33"/>
      <c r="G51" s="34">
        <f t="shared" si="8"/>
        <v>0</v>
      </c>
      <c r="H51" s="35">
        <f t="shared" si="9"/>
        <v>0</v>
      </c>
      <c r="I51" s="36"/>
      <c r="J51" s="36"/>
      <c r="K51" s="36"/>
      <c r="L51" s="36"/>
      <c r="M51" s="36"/>
      <c r="N51" s="36"/>
      <c r="O51" s="36"/>
      <c r="P51" s="36"/>
      <c r="Q51" s="36"/>
      <c r="R51" s="36"/>
      <c r="S51" s="36"/>
      <c r="T51" s="36"/>
      <c r="U51" s="36"/>
      <c r="V51" s="36"/>
      <c r="W51" s="36"/>
      <c r="X51" s="36"/>
      <c r="Y51" s="36"/>
      <c r="Z51" s="36"/>
      <c r="AA51" s="36"/>
      <c r="AB51" s="36"/>
      <c r="AC51" s="32">
        <f t="shared" si="10"/>
        <v>0</v>
      </c>
      <c r="AD51" s="37"/>
      <c r="AE51" s="37"/>
      <c r="AF51" s="37"/>
      <c r="AG51" s="37"/>
      <c r="AH51" s="37"/>
      <c r="AI51" s="37"/>
      <c r="AJ51" s="37"/>
      <c r="AK51" s="37"/>
      <c r="AL51" s="37"/>
      <c r="AM51" s="37"/>
      <c r="AN51" s="37"/>
      <c r="AO51" s="37"/>
      <c r="AP51" s="37"/>
      <c r="AQ51" s="37"/>
      <c r="AR51" s="37"/>
      <c r="AS51" s="37"/>
      <c r="AT51" s="38"/>
      <c r="AU51" s="1630"/>
      <c r="AV51" s="1342">
        <f t="shared" si="11"/>
        <v>0</v>
      </c>
      <c r="AW51" s="1342">
        <f t="shared" si="12"/>
        <v>0</v>
      </c>
      <c r="AX51" s="1342">
        <f t="shared" si="13"/>
        <v>0</v>
      </c>
      <c r="AY51" s="39">
        <f t="shared" si="14"/>
        <v>0</v>
      </c>
      <c r="AZ51" s="32">
        <f t="shared" si="15"/>
        <v>0</v>
      </c>
      <c r="BA51" s="32">
        <f t="shared" si="16"/>
        <v>0</v>
      </c>
      <c r="BB51" s="32">
        <f t="shared" si="17"/>
        <v>0</v>
      </c>
      <c r="BC51" s="32">
        <f t="shared" si="18"/>
        <v>0</v>
      </c>
      <c r="BD51" s="32">
        <f t="shared" si="19"/>
        <v>0</v>
      </c>
      <c r="BE51" s="32">
        <f t="shared" si="20"/>
        <v>0</v>
      </c>
      <c r="BF51" s="32">
        <f t="shared" si="21"/>
        <v>0</v>
      </c>
      <c r="BG51" s="32">
        <f t="shared" si="22"/>
        <v>0</v>
      </c>
      <c r="BH51" s="32">
        <f t="shared" si="23"/>
        <v>0</v>
      </c>
      <c r="BI51" s="32">
        <f t="shared" si="24"/>
        <v>0</v>
      </c>
      <c r="BJ51" s="32">
        <f t="shared" si="25"/>
        <v>0</v>
      </c>
      <c r="BK51" s="32">
        <f t="shared" si="26"/>
        <v>0</v>
      </c>
      <c r="BL51" s="32">
        <f t="shared" si="27"/>
        <v>0</v>
      </c>
      <c r="BM51" s="32">
        <f t="shared" si="28"/>
        <v>0</v>
      </c>
      <c r="BN51" s="32">
        <f t="shared" si="29"/>
        <v>0</v>
      </c>
      <c r="BO51" s="32">
        <f t="shared" si="30"/>
        <v>0</v>
      </c>
      <c r="BP51" s="32">
        <f t="shared" si="31"/>
        <v>0</v>
      </c>
      <c r="BQ51" s="32">
        <f t="shared" si="32"/>
        <v>0</v>
      </c>
      <c r="BR51" s="32">
        <f t="shared" si="33"/>
        <v>0</v>
      </c>
      <c r="BS51" s="32">
        <f t="shared" si="34"/>
        <v>0</v>
      </c>
      <c r="BT51" s="40">
        <f t="shared" si="35"/>
        <v>0</v>
      </c>
    </row>
    <row r="52" spans="1:72">
      <c r="A52" s="6"/>
      <c r="B52" s="31"/>
      <c r="C52" s="31"/>
      <c r="D52" s="1629"/>
      <c r="E52" s="32">
        <f t="shared" si="7"/>
        <v>0</v>
      </c>
      <c r="F52" s="33"/>
      <c r="G52" s="34">
        <f t="shared" si="8"/>
        <v>0</v>
      </c>
      <c r="H52" s="35">
        <f t="shared" si="9"/>
        <v>0</v>
      </c>
      <c r="I52" s="36"/>
      <c r="J52" s="36"/>
      <c r="K52" s="36"/>
      <c r="L52" s="36"/>
      <c r="M52" s="36"/>
      <c r="N52" s="36"/>
      <c r="O52" s="36"/>
      <c r="P52" s="36"/>
      <c r="Q52" s="36"/>
      <c r="R52" s="36"/>
      <c r="S52" s="36"/>
      <c r="T52" s="36"/>
      <c r="U52" s="36"/>
      <c r="V52" s="36"/>
      <c r="W52" s="36"/>
      <c r="X52" s="36"/>
      <c r="Y52" s="36"/>
      <c r="Z52" s="36"/>
      <c r="AA52" s="36"/>
      <c r="AB52" s="36"/>
      <c r="AC52" s="32">
        <f t="shared" si="10"/>
        <v>0</v>
      </c>
      <c r="AD52" s="37"/>
      <c r="AE52" s="37"/>
      <c r="AF52" s="37"/>
      <c r="AG52" s="37"/>
      <c r="AH52" s="37"/>
      <c r="AI52" s="37"/>
      <c r="AJ52" s="37"/>
      <c r="AK52" s="37"/>
      <c r="AL52" s="37"/>
      <c r="AM52" s="37"/>
      <c r="AN52" s="37"/>
      <c r="AO52" s="37"/>
      <c r="AP52" s="37"/>
      <c r="AQ52" s="37"/>
      <c r="AR52" s="37"/>
      <c r="AS52" s="37"/>
      <c r="AT52" s="38"/>
      <c r="AU52" s="1630"/>
      <c r="AV52" s="1342">
        <f t="shared" si="11"/>
        <v>0</v>
      </c>
      <c r="AW52" s="1342">
        <f t="shared" si="12"/>
        <v>0</v>
      </c>
      <c r="AX52" s="1342">
        <f t="shared" si="13"/>
        <v>0</v>
      </c>
      <c r="AY52" s="39">
        <f t="shared" si="14"/>
        <v>0</v>
      </c>
      <c r="AZ52" s="32">
        <f t="shared" si="15"/>
        <v>0</v>
      </c>
      <c r="BA52" s="32">
        <f t="shared" si="16"/>
        <v>0</v>
      </c>
      <c r="BB52" s="32">
        <f t="shared" si="17"/>
        <v>0</v>
      </c>
      <c r="BC52" s="32">
        <f t="shared" si="18"/>
        <v>0</v>
      </c>
      <c r="BD52" s="32">
        <f t="shared" si="19"/>
        <v>0</v>
      </c>
      <c r="BE52" s="32">
        <f t="shared" si="20"/>
        <v>0</v>
      </c>
      <c r="BF52" s="32">
        <f t="shared" si="21"/>
        <v>0</v>
      </c>
      <c r="BG52" s="32">
        <f t="shared" si="22"/>
        <v>0</v>
      </c>
      <c r="BH52" s="32">
        <f t="shared" si="23"/>
        <v>0</v>
      </c>
      <c r="BI52" s="32">
        <f t="shared" si="24"/>
        <v>0</v>
      </c>
      <c r="BJ52" s="32">
        <f t="shared" si="25"/>
        <v>0</v>
      </c>
      <c r="BK52" s="32">
        <f t="shared" si="26"/>
        <v>0</v>
      </c>
      <c r="BL52" s="32">
        <f t="shared" si="27"/>
        <v>0</v>
      </c>
      <c r="BM52" s="32">
        <f t="shared" si="28"/>
        <v>0</v>
      </c>
      <c r="BN52" s="32">
        <f t="shared" si="29"/>
        <v>0</v>
      </c>
      <c r="BO52" s="32">
        <f t="shared" si="30"/>
        <v>0</v>
      </c>
      <c r="BP52" s="32">
        <f t="shared" si="31"/>
        <v>0</v>
      </c>
      <c r="BQ52" s="32">
        <f t="shared" si="32"/>
        <v>0</v>
      </c>
      <c r="BR52" s="32">
        <f t="shared" si="33"/>
        <v>0</v>
      </c>
      <c r="BS52" s="32">
        <f t="shared" si="34"/>
        <v>0</v>
      </c>
      <c r="BT52" s="40">
        <f t="shared" si="35"/>
        <v>0</v>
      </c>
    </row>
    <row r="53" spans="1:72">
      <c r="A53" s="6"/>
      <c r="B53" s="31"/>
      <c r="C53" s="31"/>
      <c r="D53" s="1629"/>
      <c r="E53" s="32">
        <f t="shared" si="7"/>
        <v>0</v>
      </c>
      <c r="F53" s="33"/>
      <c r="G53" s="34">
        <f t="shared" si="8"/>
        <v>0</v>
      </c>
      <c r="H53" s="35">
        <f t="shared" si="9"/>
        <v>0</v>
      </c>
      <c r="I53" s="36"/>
      <c r="J53" s="36"/>
      <c r="K53" s="36"/>
      <c r="L53" s="36"/>
      <c r="M53" s="36"/>
      <c r="N53" s="36"/>
      <c r="O53" s="36"/>
      <c r="P53" s="36"/>
      <c r="Q53" s="36"/>
      <c r="R53" s="36"/>
      <c r="S53" s="36"/>
      <c r="T53" s="36"/>
      <c r="U53" s="36"/>
      <c r="V53" s="36"/>
      <c r="W53" s="36"/>
      <c r="X53" s="36"/>
      <c r="Y53" s="36"/>
      <c r="Z53" s="36"/>
      <c r="AA53" s="36"/>
      <c r="AB53" s="36"/>
      <c r="AC53" s="32">
        <f t="shared" si="10"/>
        <v>0</v>
      </c>
      <c r="AD53" s="37"/>
      <c r="AE53" s="37"/>
      <c r="AF53" s="37"/>
      <c r="AG53" s="37"/>
      <c r="AH53" s="37"/>
      <c r="AI53" s="37"/>
      <c r="AJ53" s="37"/>
      <c r="AK53" s="37"/>
      <c r="AL53" s="37"/>
      <c r="AM53" s="37"/>
      <c r="AN53" s="37"/>
      <c r="AO53" s="37"/>
      <c r="AP53" s="37"/>
      <c r="AQ53" s="37"/>
      <c r="AR53" s="37"/>
      <c r="AS53" s="37"/>
      <c r="AT53" s="38"/>
      <c r="AU53" s="1630"/>
      <c r="AV53" s="1342">
        <f t="shared" si="11"/>
        <v>0</v>
      </c>
      <c r="AW53" s="1342">
        <f t="shared" si="12"/>
        <v>0</v>
      </c>
      <c r="AX53" s="1342">
        <f t="shared" si="13"/>
        <v>0</v>
      </c>
      <c r="AY53" s="39">
        <f t="shared" si="14"/>
        <v>0</v>
      </c>
      <c r="AZ53" s="32">
        <f t="shared" si="15"/>
        <v>0</v>
      </c>
      <c r="BA53" s="32">
        <f t="shared" si="16"/>
        <v>0</v>
      </c>
      <c r="BB53" s="32">
        <f t="shared" si="17"/>
        <v>0</v>
      </c>
      <c r="BC53" s="32">
        <f t="shared" si="18"/>
        <v>0</v>
      </c>
      <c r="BD53" s="32">
        <f t="shared" si="19"/>
        <v>0</v>
      </c>
      <c r="BE53" s="32">
        <f t="shared" si="20"/>
        <v>0</v>
      </c>
      <c r="BF53" s="32">
        <f t="shared" si="21"/>
        <v>0</v>
      </c>
      <c r="BG53" s="32">
        <f t="shared" si="22"/>
        <v>0</v>
      </c>
      <c r="BH53" s="32">
        <f t="shared" si="23"/>
        <v>0</v>
      </c>
      <c r="BI53" s="32">
        <f t="shared" si="24"/>
        <v>0</v>
      </c>
      <c r="BJ53" s="32">
        <f t="shared" si="25"/>
        <v>0</v>
      </c>
      <c r="BK53" s="32">
        <f t="shared" si="26"/>
        <v>0</v>
      </c>
      <c r="BL53" s="32">
        <f t="shared" si="27"/>
        <v>0</v>
      </c>
      <c r="BM53" s="32">
        <f t="shared" si="28"/>
        <v>0</v>
      </c>
      <c r="BN53" s="32">
        <f t="shared" si="29"/>
        <v>0</v>
      </c>
      <c r="BO53" s="32">
        <f t="shared" si="30"/>
        <v>0</v>
      </c>
      <c r="BP53" s="32">
        <f t="shared" si="31"/>
        <v>0</v>
      </c>
      <c r="BQ53" s="32">
        <f t="shared" si="32"/>
        <v>0</v>
      </c>
      <c r="BR53" s="32">
        <f t="shared" si="33"/>
        <v>0</v>
      </c>
      <c r="BS53" s="32">
        <f t="shared" si="34"/>
        <v>0</v>
      </c>
      <c r="BT53" s="40">
        <f t="shared" si="35"/>
        <v>0</v>
      </c>
    </row>
    <row r="54" spans="1:72">
      <c r="A54" s="6"/>
      <c r="B54" s="31"/>
      <c r="C54" s="31"/>
      <c r="D54" s="1629"/>
      <c r="E54" s="32">
        <f t="shared" si="7"/>
        <v>0</v>
      </c>
      <c r="F54" s="33"/>
      <c r="G54" s="34">
        <f t="shared" si="8"/>
        <v>0</v>
      </c>
      <c r="H54" s="35">
        <f t="shared" si="9"/>
        <v>0</v>
      </c>
      <c r="I54" s="36"/>
      <c r="J54" s="36"/>
      <c r="K54" s="36"/>
      <c r="L54" s="36"/>
      <c r="M54" s="36"/>
      <c r="N54" s="36"/>
      <c r="O54" s="36"/>
      <c r="P54" s="36"/>
      <c r="Q54" s="36"/>
      <c r="R54" s="36"/>
      <c r="S54" s="36"/>
      <c r="T54" s="36"/>
      <c r="U54" s="36"/>
      <c r="V54" s="36"/>
      <c r="W54" s="36"/>
      <c r="X54" s="36"/>
      <c r="Y54" s="36"/>
      <c r="Z54" s="36"/>
      <c r="AA54" s="36"/>
      <c r="AB54" s="36"/>
      <c r="AC54" s="32">
        <f t="shared" si="10"/>
        <v>0</v>
      </c>
      <c r="AD54" s="37"/>
      <c r="AE54" s="37"/>
      <c r="AF54" s="37"/>
      <c r="AG54" s="37"/>
      <c r="AH54" s="37"/>
      <c r="AI54" s="37"/>
      <c r="AJ54" s="37"/>
      <c r="AK54" s="37"/>
      <c r="AL54" s="37"/>
      <c r="AM54" s="37"/>
      <c r="AN54" s="37"/>
      <c r="AO54" s="37"/>
      <c r="AP54" s="37"/>
      <c r="AQ54" s="37"/>
      <c r="AR54" s="37"/>
      <c r="AS54" s="37"/>
      <c r="AT54" s="38"/>
      <c r="AU54" s="1630"/>
      <c r="AV54" s="1342">
        <f t="shared" si="11"/>
        <v>0</v>
      </c>
      <c r="AW54" s="1342">
        <f t="shared" si="12"/>
        <v>0</v>
      </c>
      <c r="AX54" s="1342">
        <f t="shared" si="13"/>
        <v>0</v>
      </c>
      <c r="AY54" s="39">
        <f t="shared" si="14"/>
        <v>0</v>
      </c>
      <c r="AZ54" s="32">
        <f t="shared" si="15"/>
        <v>0</v>
      </c>
      <c r="BA54" s="32">
        <f t="shared" si="16"/>
        <v>0</v>
      </c>
      <c r="BB54" s="32">
        <f t="shared" si="17"/>
        <v>0</v>
      </c>
      <c r="BC54" s="32">
        <f t="shared" si="18"/>
        <v>0</v>
      </c>
      <c r="BD54" s="32">
        <f t="shared" si="19"/>
        <v>0</v>
      </c>
      <c r="BE54" s="32">
        <f t="shared" si="20"/>
        <v>0</v>
      </c>
      <c r="BF54" s="32">
        <f t="shared" si="21"/>
        <v>0</v>
      </c>
      <c r="BG54" s="32">
        <f t="shared" si="22"/>
        <v>0</v>
      </c>
      <c r="BH54" s="32">
        <f t="shared" si="23"/>
        <v>0</v>
      </c>
      <c r="BI54" s="32">
        <f t="shared" si="24"/>
        <v>0</v>
      </c>
      <c r="BJ54" s="32">
        <f t="shared" si="25"/>
        <v>0</v>
      </c>
      <c r="BK54" s="32">
        <f t="shared" si="26"/>
        <v>0</v>
      </c>
      <c r="BL54" s="32">
        <f t="shared" si="27"/>
        <v>0</v>
      </c>
      <c r="BM54" s="32">
        <f t="shared" si="28"/>
        <v>0</v>
      </c>
      <c r="BN54" s="32">
        <f t="shared" si="29"/>
        <v>0</v>
      </c>
      <c r="BO54" s="32">
        <f t="shared" si="30"/>
        <v>0</v>
      </c>
      <c r="BP54" s="32">
        <f t="shared" si="31"/>
        <v>0</v>
      </c>
      <c r="BQ54" s="32">
        <f t="shared" si="32"/>
        <v>0</v>
      </c>
      <c r="BR54" s="32">
        <f t="shared" si="33"/>
        <v>0</v>
      </c>
      <c r="BS54" s="32">
        <f t="shared" si="34"/>
        <v>0</v>
      </c>
      <c r="BT54" s="40">
        <f t="shared" si="35"/>
        <v>0</v>
      </c>
    </row>
    <row r="55" spans="1:72">
      <c r="A55" s="6"/>
      <c r="B55" s="31"/>
      <c r="C55" s="31"/>
      <c r="D55" s="1629"/>
      <c r="E55" s="32">
        <f t="shared" si="7"/>
        <v>0</v>
      </c>
      <c r="F55" s="33"/>
      <c r="G55" s="34">
        <f t="shared" si="8"/>
        <v>0</v>
      </c>
      <c r="H55" s="35">
        <f t="shared" si="9"/>
        <v>0</v>
      </c>
      <c r="I55" s="36"/>
      <c r="J55" s="36"/>
      <c r="K55" s="36"/>
      <c r="L55" s="36"/>
      <c r="M55" s="36"/>
      <c r="N55" s="36"/>
      <c r="O55" s="36"/>
      <c r="P55" s="36"/>
      <c r="Q55" s="36"/>
      <c r="R55" s="36"/>
      <c r="S55" s="36"/>
      <c r="T55" s="36"/>
      <c r="U55" s="36"/>
      <c r="V55" s="36"/>
      <c r="W55" s="36"/>
      <c r="X55" s="36"/>
      <c r="Y55" s="36"/>
      <c r="Z55" s="36"/>
      <c r="AA55" s="36"/>
      <c r="AB55" s="36"/>
      <c r="AC55" s="32">
        <f t="shared" si="10"/>
        <v>0</v>
      </c>
      <c r="AD55" s="37"/>
      <c r="AE55" s="37"/>
      <c r="AF55" s="37"/>
      <c r="AG55" s="37"/>
      <c r="AH55" s="37"/>
      <c r="AI55" s="37"/>
      <c r="AJ55" s="37"/>
      <c r="AK55" s="37"/>
      <c r="AL55" s="37"/>
      <c r="AM55" s="37"/>
      <c r="AN55" s="37"/>
      <c r="AO55" s="37"/>
      <c r="AP55" s="37"/>
      <c r="AQ55" s="37"/>
      <c r="AR55" s="37"/>
      <c r="AS55" s="37"/>
      <c r="AT55" s="38"/>
      <c r="AU55" s="1630"/>
      <c r="AV55" s="1342">
        <f t="shared" si="11"/>
        <v>0</v>
      </c>
      <c r="AW55" s="1342">
        <f t="shared" si="12"/>
        <v>0</v>
      </c>
      <c r="AX55" s="1342">
        <f t="shared" si="13"/>
        <v>0</v>
      </c>
      <c r="AY55" s="39">
        <f t="shared" si="14"/>
        <v>0</v>
      </c>
      <c r="AZ55" s="32">
        <f t="shared" si="15"/>
        <v>0</v>
      </c>
      <c r="BA55" s="32">
        <f t="shared" si="16"/>
        <v>0</v>
      </c>
      <c r="BB55" s="32">
        <f t="shared" si="17"/>
        <v>0</v>
      </c>
      <c r="BC55" s="32">
        <f t="shared" si="18"/>
        <v>0</v>
      </c>
      <c r="BD55" s="32">
        <f t="shared" si="19"/>
        <v>0</v>
      </c>
      <c r="BE55" s="32">
        <f t="shared" si="20"/>
        <v>0</v>
      </c>
      <c r="BF55" s="32">
        <f t="shared" si="21"/>
        <v>0</v>
      </c>
      <c r="BG55" s="32">
        <f t="shared" si="22"/>
        <v>0</v>
      </c>
      <c r="BH55" s="32">
        <f t="shared" si="23"/>
        <v>0</v>
      </c>
      <c r="BI55" s="32">
        <f t="shared" si="24"/>
        <v>0</v>
      </c>
      <c r="BJ55" s="32">
        <f t="shared" si="25"/>
        <v>0</v>
      </c>
      <c r="BK55" s="32">
        <f t="shared" si="26"/>
        <v>0</v>
      </c>
      <c r="BL55" s="32">
        <f t="shared" si="27"/>
        <v>0</v>
      </c>
      <c r="BM55" s="32">
        <f t="shared" si="28"/>
        <v>0</v>
      </c>
      <c r="BN55" s="32">
        <f t="shared" si="29"/>
        <v>0</v>
      </c>
      <c r="BO55" s="32">
        <f t="shared" si="30"/>
        <v>0</v>
      </c>
      <c r="BP55" s="32">
        <f t="shared" si="31"/>
        <v>0</v>
      </c>
      <c r="BQ55" s="32">
        <f t="shared" si="32"/>
        <v>0</v>
      </c>
      <c r="BR55" s="32">
        <f t="shared" si="33"/>
        <v>0</v>
      </c>
      <c r="BS55" s="32">
        <f t="shared" si="34"/>
        <v>0</v>
      </c>
      <c r="BT55" s="40">
        <f t="shared" si="35"/>
        <v>0</v>
      </c>
    </row>
    <row r="56" spans="1:72">
      <c r="A56" s="6"/>
      <c r="B56" s="31"/>
      <c r="C56" s="31"/>
      <c r="D56" s="1629"/>
      <c r="E56" s="32">
        <f t="shared" si="7"/>
        <v>0</v>
      </c>
      <c r="F56" s="33"/>
      <c r="G56" s="34">
        <f t="shared" si="8"/>
        <v>0</v>
      </c>
      <c r="H56" s="35">
        <f t="shared" si="9"/>
        <v>0</v>
      </c>
      <c r="I56" s="36"/>
      <c r="J56" s="36"/>
      <c r="K56" s="36"/>
      <c r="L56" s="36"/>
      <c r="M56" s="36"/>
      <c r="N56" s="36"/>
      <c r="O56" s="36"/>
      <c r="P56" s="36"/>
      <c r="Q56" s="36"/>
      <c r="R56" s="36"/>
      <c r="S56" s="36"/>
      <c r="T56" s="36"/>
      <c r="U56" s="36"/>
      <c r="V56" s="36"/>
      <c r="W56" s="36"/>
      <c r="X56" s="36"/>
      <c r="Y56" s="36"/>
      <c r="Z56" s="36"/>
      <c r="AA56" s="36"/>
      <c r="AB56" s="36"/>
      <c r="AC56" s="32">
        <f t="shared" si="10"/>
        <v>0</v>
      </c>
      <c r="AD56" s="37"/>
      <c r="AE56" s="37"/>
      <c r="AF56" s="37"/>
      <c r="AG56" s="37"/>
      <c r="AH56" s="37"/>
      <c r="AI56" s="37"/>
      <c r="AJ56" s="37"/>
      <c r="AK56" s="37"/>
      <c r="AL56" s="37"/>
      <c r="AM56" s="37"/>
      <c r="AN56" s="37"/>
      <c r="AO56" s="37"/>
      <c r="AP56" s="37"/>
      <c r="AQ56" s="37"/>
      <c r="AR56" s="37"/>
      <c r="AS56" s="37"/>
      <c r="AT56" s="38"/>
      <c r="AU56" s="1630"/>
      <c r="AV56" s="1342">
        <f t="shared" si="11"/>
        <v>0</v>
      </c>
      <c r="AW56" s="1342">
        <f t="shared" si="12"/>
        <v>0</v>
      </c>
      <c r="AX56" s="1342">
        <f t="shared" si="13"/>
        <v>0</v>
      </c>
      <c r="AY56" s="39">
        <f t="shared" si="14"/>
        <v>0</v>
      </c>
      <c r="AZ56" s="32">
        <f t="shared" si="15"/>
        <v>0</v>
      </c>
      <c r="BA56" s="32">
        <f t="shared" si="16"/>
        <v>0</v>
      </c>
      <c r="BB56" s="32">
        <f t="shared" si="17"/>
        <v>0</v>
      </c>
      <c r="BC56" s="32">
        <f t="shared" si="18"/>
        <v>0</v>
      </c>
      <c r="BD56" s="32">
        <f t="shared" si="19"/>
        <v>0</v>
      </c>
      <c r="BE56" s="32">
        <f t="shared" si="20"/>
        <v>0</v>
      </c>
      <c r="BF56" s="32">
        <f t="shared" si="21"/>
        <v>0</v>
      </c>
      <c r="BG56" s="32">
        <f t="shared" si="22"/>
        <v>0</v>
      </c>
      <c r="BH56" s="32">
        <f t="shared" si="23"/>
        <v>0</v>
      </c>
      <c r="BI56" s="32">
        <f t="shared" si="24"/>
        <v>0</v>
      </c>
      <c r="BJ56" s="32">
        <f t="shared" si="25"/>
        <v>0</v>
      </c>
      <c r="BK56" s="32">
        <f t="shared" si="26"/>
        <v>0</v>
      </c>
      <c r="BL56" s="32">
        <f t="shared" si="27"/>
        <v>0</v>
      </c>
      <c r="BM56" s="32">
        <f t="shared" si="28"/>
        <v>0</v>
      </c>
      <c r="BN56" s="32">
        <f t="shared" si="29"/>
        <v>0</v>
      </c>
      <c r="BO56" s="32">
        <f t="shared" si="30"/>
        <v>0</v>
      </c>
      <c r="BP56" s="32">
        <f t="shared" si="31"/>
        <v>0</v>
      </c>
      <c r="BQ56" s="32">
        <f t="shared" si="32"/>
        <v>0</v>
      </c>
      <c r="BR56" s="32">
        <f t="shared" si="33"/>
        <v>0</v>
      </c>
      <c r="BS56" s="32">
        <f t="shared" si="34"/>
        <v>0</v>
      </c>
      <c r="BT56" s="40">
        <f t="shared" si="35"/>
        <v>0</v>
      </c>
    </row>
    <row r="57" spans="1:72">
      <c r="A57" s="6"/>
      <c r="B57" s="31"/>
      <c r="C57" s="31"/>
      <c r="D57" s="1629"/>
      <c r="E57" s="32">
        <f t="shared" si="7"/>
        <v>0</v>
      </c>
      <c r="F57" s="33"/>
      <c r="G57" s="34">
        <f t="shared" si="8"/>
        <v>0</v>
      </c>
      <c r="H57" s="35">
        <f t="shared" si="9"/>
        <v>0</v>
      </c>
      <c r="I57" s="36"/>
      <c r="J57" s="36"/>
      <c r="K57" s="36"/>
      <c r="L57" s="36"/>
      <c r="M57" s="36"/>
      <c r="N57" s="36"/>
      <c r="O57" s="36"/>
      <c r="P57" s="36"/>
      <c r="Q57" s="36"/>
      <c r="R57" s="36"/>
      <c r="S57" s="36"/>
      <c r="T57" s="36"/>
      <c r="U57" s="36"/>
      <c r="V57" s="36"/>
      <c r="W57" s="36"/>
      <c r="X57" s="36"/>
      <c r="Y57" s="36"/>
      <c r="Z57" s="36"/>
      <c r="AA57" s="36"/>
      <c r="AB57" s="36"/>
      <c r="AC57" s="32">
        <f t="shared" si="10"/>
        <v>0</v>
      </c>
      <c r="AD57" s="37"/>
      <c r="AE57" s="37"/>
      <c r="AF57" s="37"/>
      <c r="AG57" s="37"/>
      <c r="AH57" s="37"/>
      <c r="AI57" s="37"/>
      <c r="AJ57" s="37"/>
      <c r="AK57" s="37"/>
      <c r="AL57" s="37"/>
      <c r="AM57" s="37"/>
      <c r="AN57" s="37"/>
      <c r="AO57" s="37"/>
      <c r="AP57" s="37"/>
      <c r="AQ57" s="37"/>
      <c r="AR57" s="37"/>
      <c r="AS57" s="37"/>
      <c r="AT57" s="38"/>
      <c r="AU57" s="1630"/>
      <c r="AV57" s="1342">
        <f t="shared" si="11"/>
        <v>0</v>
      </c>
      <c r="AW57" s="1342">
        <f t="shared" si="12"/>
        <v>0</v>
      </c>
      <c r="AX57" s="1342">
        <f t="shared" si="13"/>
        <v>0</v>
      </c>
      <c r="AY57" s="39">
        <f t="shared" si="14"/>
        <v>0</v>
      </c>
      <c r="AZ57" s="32">
        <f t="shared" si="15"/>
        <v>0</v>
      </c>
      <c r="BA57" s="32">
        <f t="shared" si="16"/>
        <v>0</v>
      </c>
      <c r="BB57" s="32">
        <f t="shared" si="17"/>
        <v>0</v>
      </c>
      <c r="BC57" s="32">
        <f t="shared" si="18"/>
        <v>0</v>
      </c>
      <c r="BD57" s="32">
        <f t="shared" si="19"/>
        <v>0</v>
      </c>
      <c r="BE57" s="32">
        <f t="shared" si="20"/>
        <v>0</v>
      </c>
      <c r="BF57" s="32">
        <f t="shared" si="21"/>
        <v>0</v>
      </c>
      <c r="BG57" s="32">
        <f t="shared" si="22"/>
        <v>0</v>
      </c>
      <c r="BH57" s="32">
        <f t="shared" si="23"/>
        <v>0</v>
      </c>
      <c r="BI57" s="32">
        <f t="shared" si="24"/>
        <v>0</v>
      </c>
      <c r="BJ57" s="32">
        <f t="shared" si="25"/>
        <v>0</v>
      </c>
      <c r="BK57" s="32">
        <f t="shared" si="26"/>
        <v>0</v>
      </c>
      <c r="BL57" s="32">
        <f t="shared" si="27"/>
        <v>0</v>
      </c>
      <c r="BM57" s="32">
        <f t="shared" si="28"/>
        <v>0</v>
      </c>
      <c r="BN57" s="32">
        <f t="shared" si="29"/>
        <v>0</v>
      </c>
      <c r="BO57" s="32">
        <f t="shared" si="30"/>
        <v>0</v>
      </c>
      <c r="BP57" s="32">
        <f t="shared" si="31"/>
        <v>0</v>
      </c>
      <c r="BQ57" s="32">
        <f t="shared" si="32"/>
        <v>0</v>
      </c>
      <c r="BR57" s="32">
        <f t="shared" si="33"/>
        <v>0</v>
      </c>
      <c r="BS57" s="32">
        <f t="shared" si="34"/>
        <v>0</v>
      </c>
      <c r="BT57" s="40">
        <f t="shared" si="35"/>
        <v>0</v>
      </c>
    </row>
    <row r="58" spans="1:72">
      <c r="A58" s="6"/>
      <c r="B58" s="31"/>
      <c r="C58" s="31"/>
      <c r="D58" s="1629"/>
      <c r="E58" s="32">
        <f t="shared" si="7"/>
        <v>0</v>
      </c>
      <c r="F58" s="33"/>
      <c r="G58" s="34">
        <f t="shared" si="8"/>
        <v>0</v>
      </c>
      <c r="H58" s="35">
        <f t="shared" si="9"/>
        <v>0</v>
      </c>
      <c r="I58" s="36"/>
      <c r="J58" s="36"/>
      <c r="K58" s="36"/>
      <c r="L58" s="36"/>
      <c r="M58" s="36"/>
      <c r="N58" s="36"/>
      <c r="O58" s="36"/>
      <c r="P58" s="36"/>
      <c r="Q58" s="36"/>
      <c r="R58" s="36"/>
      <c r="S58" s="36"/>
      <c r="T58" s="36"/>
      <c r="U58" s="36"/>
      <c r="V58" s="36"/>
      <c r="W58" s="36"/>
      <c r="X58" s="36"/>
      <c r="Y58" s="36"/>
      <c r="Z58" s="36"/>
      <c r="AA58" s="36"/>
      <c r="AB58" s="36"/>
      <c r="AC58" s="32">
        <f t="shared" si="10"/>
        <v>0</v>
      </c>
      <c r="AD58" s="37"/>
      <c r="AE58" s="37"/>
      <c r="AF58" s="37"/>
      <c r="AG58" s="37"/>
      <c r="AH58" s="37"/>
      <c r="AI58" s="37"/>
      <c r="AJ58" s="37"/>
      <c r="AK58" s="37"/>
      <c r="AL58" s="37"/>
      <c r="AM58" s="37"/>
      <c r="AN58" s="37"/>
      <c r="AO58" s="37"/>
      <c r="AP58" s="37"/>
      <c r="AQ58" s="37"/>
      <c r="AR58" s="37"/>
      <c r="AS58" s="37"/>
      <c r="AT58" s="38"/>
      <c r="AU58" s="1630"/>
      <c r="AV58" s="1342">
        <f t="shared" si="11"/>
        <v>0</v>
      </c>
      <c r="AW58" s="1342">
        <f t="shared" si="12"/>
        <v>0</v>
      </c>
      <c r="AX58" s="1342">
        <f t="shared" si="13"/>
        <v>0</v>
      </c>
      <c r="AY58" s="39">
        <f t="shared" si="14"/>
        <v>0</v>
      </c>
      <c r="AZ58" s="32">
        <f t="shared" si="15"/>
        <v>0</v>
      </c>
      <c r="BA58" s="32">
        <f t="shared" si="16"/>
        <v>0</v>
      </c>
      <c r="BB58" s="32">
        <f t="shared" si="17"/>
        <v>0</v>
      </c>
      <c r="BC58" s="32">
        <f t="shared" si="18"/>
        <v>0</v>
      </c>
      <c r="BD58" s="32">
        <f t="shared" si="19"/>
        <v>0</v>
      </c>
      <c r="BE58" s="32">
        <f t="shared" si="20"/>
        <v>0</v>
      </c>
      <c r="BF58" s="32">
        <f t="shared" si="21"/>
        <v>0</v>
      </c>
      <c r="BG58" s="32">
        <f t="shared" si="22"/>
        <v>0</v>
      </c>
      <c r="BH58" s="32">
        <f t="shared" si="23"/>
        <v>0</v>
      </c>
      <c r="BI58" s="32">
        <f t="shared" si="24"/>
        <v>0</v>
      </c>
      <c r="BJ58" s="32">
        <f t="shared" si="25"/>
        <v>0</v>
      </c>
      <c r="BK58" s="32">
        <f t="shared" si="26"/>
        <v>0</v>
      </c>
      <c r="BL58" s="32">
        <f t="shared" si="27"/>
        <v>0</v>
      </c>
      <c r="BM58" s="32">
        <f t="shared" si="28"/>
        <v>0</v>
      </c>
      <c r="BN58" s="32">
        <f t="shared" si="29"/>
        <v>0</v>
      </c>
      <c r="BO58" s="32">
        <f t="shared" si="30"/>
        <v>0</v>
      </c>
      <c r="BP58" s="32">
        <f t="shared" si="31"/>
        <v>0</v>
      </c>
      <c r="BQ58" s="32">
        <f t="shared" si="32"/>
        <v>0</v>
      </c>
      <c r="BR58" s="32">
        <f t="shared" si="33"/>
        <v>0</v>
      </c>
      <c r="BS58" s="32">
        <f t="shared" si="34"/>
        <v>0</v>
      </c>
      <c r="BT58" s="40">
        <f t="shared" si="35"/>
        <v>0</v>
      </c>
    </row>
    <row r="59" spans="1:72">
      <c r="A59" s="6"/>
      <c r="B59" s="31"/>
      <c r="C59" s="31"/>
      <c r="D59" s="1629"/>
      <c r="E59" s="32">
        <f t="shared" si="7"/>
        <v>0</v>
      </c>
      <c r="F59" s="33"/>
      <c r="G59" s="34">
        <f t="shared" si="8"/>
        <v>0</v>
      </c>
      <c r="H59" s="35">
        <f t="shared" si="9"/>
        <v>0</v>
      </c>
      <c r="I59" s="36"/>
      <c r="J59" s="36"/>
      <c r="K59" s="36"/>
      <c r="L59" s="36"/>
      <c r="M59" s="36"/>
      <c r="N59" s="36"/>
      <c r="O59" s="36"/>
      <c r="P59" s="36"/>
      <c r="Q59" s="36"/>
      <c r="R59" s="36"/>
      <c r="S59" s="36"/>
      <c r="T59" s="36"/>
      <c r="U59" s="36"/>
      <c r="V59" s="36"/>
      <c r="W59" s="36"/>
      <c r="X59" s="36"/>
      <c r="Y59" s="36"/>
      <c r="Z59" s="36"/>
      <c r="AA59" s="36"/>
      <c r="AB59" s="36"/>
      <c r="AC59" s="32">
        <f t="shared" si="10"/>
        <v>0</v>
      </c>
      <c r="AD59" s="37"/>
      <c r="AE59" s="37"/>
      <c r="AF59" s="37"/>
      <c r="AG59" s="37"/>
      <c r="AH59" s="37"/>
      <c r="AI59" s="37"/>
      <c r="AJ59" s="37"/>
      <c r="AK59" s="37"/>
      <c r="AL59" s="37"/>
      <c r="AM59" s="37"/>
      <c r="AN59" s="37"/>
      <c r="AO59" s="37"/>
      <c r="AP59" s="37"/>
      <c r="AQ59" s="37"/>
      <c r="AR59" s="37"/>
      <c r="AS59" s="37"/>
      <c r="AT59" s="38"/>
      <c r="AU59" s="1630"/>
      <c r="AV59" s="1342">
        <f t="shared" si="11"/>
        <v>0</v>
      </c>
      <c r="AW59" s="1342">
        <f t="shared" si="12"/>
        <v>0</v>
      </c>
      <c r="AX59" s="1342">
        <f t="shared" si="13"/>
        <v>0</v>
      </c>
      <c r="AY59" s="39">
        <f t="shared" si="14"/>
        <v>0</v>
      </c>
      <c r="AZ59" s="32">
        <f t="shared" si="15"/>
        <v>0</v>
      </c>
      <c r="BA59" s="32">
        <f t="shared" si="16"/>
        <v>0</v>
      </c>
      <c r="BB59" s="32">
        <f t="shared" si="17"/>
        <v>0</v>
      </c>
      <c r="BC59" s="32">
        <f t="shared" si="18"/>
        <v>0</v>
      </c>
      <c r="BD59" s="32">
        <f t="shared" si="19"/>
        <v>0</v>
      </c>
      <c r="BE59" s="32">
        <f t="shared" si="20"/>
        <v>0</v>
      </c>
      <c r="BF59" s="32">
        <f t="shared" si="21"/>
        <v>0</v>
      </c>
      <c r="BG59" s="32">
        <f t="shared" si="22"/>
        <v>0</v>
      </c>
      <c r="BH59" s="32">
        <f t="shared" si="23"/>
        <v>0</v>
      </c>
      <c r="BI59" s="32">
        <f t="shared" si="24"/>
        <v>0</v>
      </c>
      <c r="BJ59" s="32">
        <f t="shared" si="25"/>
        <v>0</v>
      </c>
      <c r="BK59" s="32">
        <f t="shared" si="26"/>
        <v>0</v>
      </c>
      <c r="BL59" s="32">
        <f t="shared" si="27"/>
        <v>0</v>
      </c>
      <c r="BM59" s="32">
        <f t="shared" si="28"/>
        <v>0</v>
      </c>
      <c r="BN59" s="32">
        <f t="shared" si="29"/>
        <v>0</v>
      </c>
      <c r="BO59" s="32">
        <f t="shared" si="30"/>
        <v>0</v>
      </c>
      <c r="BP59" s="32">
        <f t="shared" si="31"/>
        <v>0</v>
      </c>
      <c r="BQ59" s="32">
        <f t="shared" si="32"/>
        <v>0</v>
      </c>
      <c r="BR59" s="32">
        <f t="shared" si="33"/>
        <v>0</v>
      </c>
      <c r="BS59" s="32">
        <f t="shared" si="34"/>
        <v>0</v>
      </c>
      <c r="BT59" s="40">
        <f t="shared" si="35"/>
        <v>0</v>
      </c>
    </row>
    <row r="60" spans="1:72">
      <c r="A60" s="6"/>
      <c r="B60" s="31"/>
      <c r="C60" s="31"/>
      <c r="D60" s="1629"/>
      <c r="E60" s="32">
        <f t="shared" si="7"/>
        <v>0</v>
      </c>
      <c r="F60" s="33"/>
      <c r="G60" s="34">
        <f t="shared" si="8"/>
        <v>0</v>
      </c>
      <c r="H60" s="35">
        <f t="shared" si="9"/>
        <v>0</v>
      </c>
      <c r="I60" s="36"/>
      <c r="J60" s="36"/>
      <c r="K60" s="36"/>
      <c r="L60" s="36"/>
      <c r="M60" s="36"/>
      <c r="N60" s="36"/>
      <c r="O60" s="36"/>
      <c r="P60" s="36"/>
      <c r="Q60" s="36"/>
      <c r="R60" s="36"/>
      <c r="S60" s="36"/>
      <c r="T60" s="36"/>
      <c r="U60" s="36"/>
      <c r="V60" s="36"/>
      <c r="W60" s="36"/>
      <c r="X60" s="36"/>
      <c r="Y60" s="36"/>
      <c r="Z60" s="36"/>
      <c r="AA60" s="36"/>
      <c r="AB60" s="36"/>
      <c r="AC60" s="32">
        <f t="shared" si="10"/>
        <v>0</v>
      </c>
      <c r="AD60" s="37"/>
      <c r="AE60" s="37"/>
      <c r="AF60" s="37"/>
      <c r="AG60" s="37"/>
      <c r="AH60" s="37"/>
      <c r="AI60" s="37"/>
      <c r="AJ60" s="37"/>
      <c r="AK60" s="37"/>
      <c r="AL60" s="37"/>
      <c r="AM60" s="37"/>
      <c r="AN60" s="37"/>
      <c r="AO60" s="37"/>
      <c r="AP60" s="37"/>
      <c r="AQ60" s="37"/>
      <c r="AR60" s="37"/>
      <c r="AS60" s="37"/>
      <c r="AT60" s="38"/>
      <c r="AU60" s="1630"/>
      <c r="AV60" s="1342">
        <f t="shared" si="11"/>
        <v>0</v>
      </c>
      <c r="AW60" s="1342">
        <f t="shared" si="12"/>
        <v>0</v>
      </c>
      <c r="AX60" s="1342">
        <f t="shared" si="13"/>
        <v>0</v>
      </c>
      <c r="AY60" s="39">
        <f t="shared" si="14"/>
        <v>0</v>
      </c>
      <c r="AZ60" s="32">
        <f t="shared" si="15"/>
        <v>0</v>
      </c>
      <c r="BA60" s="32">
        <f t="shared" si="16"/>
        <v>0</v>
      </c>
      <c r="BB60" s="32">
        <f t="shared" si="17"/>
        <v>0</v>
      </c>
      <c r="BC60" s="32">
        <f t="shared" si="18"/>
        <v>0</v>
      </c>
      <c r="BD60" s="32">
        <f t="shared" si="19"/>
        <v>0</v>
      </c>
      <c r="BE60" s="32">
        <f t="shared" si="20"/>
        <v>0</v>
      </c>
      <c r="BF60" s="32">
        <f t="shared" si="21"/>
        <v>0</v>
      </c>
      <c r="BG60" s="32">
        <f t="shared" si="22"/>
        <v>0</v>
      </c>
      <c r="BH60" s="32">
        <f t="shared" si="23"/>
        <v>0</v>
      </c>
      <c r="BI60" s="32">
        <f t="shared" si="24"/>
        <v>0</v>
      </c>
      <c r="BJ60" s="32">
        <f t="shared" si="25"/>
        <v>0</v>
      </c>
      <c r="BK60" s="32">
        <f t="shared" si="26"/>
        <v>0</v>
      </c>
      <c r="BL60" s="32">
        <f t="shared" si="27"/>
        <v>0</v>
      </c>
      <c r="BM60" s="32">
        <f t="shared" si="28"/>
        <v>0</v>
      </c>
      <c r="BN60" s="32">
        <f t="shared" si="29"/>
        <v>0</v>
      </c>
      <c r="BO60" s="32">
        <f t="shared" si="30"/>
        <v>0</v>
      </c>
      <c r="BP60" s="32">
        <f t="shared" si="31"/>
        <v>0</v>
      </c>
      <c r="BQ60" s="32">
        <f t="shared" si="32"/>
        <v>0</v>
      </c>
      <c r="BR60" s="32">
        <f t="shared" si="33"/>
        <v>0</v>
      </c>
      <c r="BS60" s="32">
        <f t="shared" si="34"/>
        <v>0</v>
      </c>
      <c r="BT60" s="40">
        <f t="shared" si="35"/>
        <v>0</v>
      </c>
    </row>
    <row r="61" spans="1:72">
      <c r="A61" s="6"/>
      <c r="B61" s="31"/>
      <c r="C61" s="31"/>
      <c r="D61" s="1629"/>
      <c r="E61" s="32">
        <f t="shared" si="7"/>
        <v>0</v>
      </c>
      <c r="F61" s="33"/>
      <c r="G61" s="34">
        <f t="shared" si="8"/>
        <v>0</v>
      </c>
      <c r="H61" s="35">
        <f t="shared" si="9"/>
        <v>0</v>
      </c>
      <c r="I61" s="36"/>
      <c r="J61" s="36"/>
      <c r="K61" s="36"/>
      <c r="L61" s="36"/>
      <c r="M61" s="36"/>
      <c r="N61" s="36"/>
      <c r="O61" s="36"/>
      <c r="P61" s="36"/>
      <c r="Q61" s="36"/>
      <c r="R61" s="36"/>
      <c r="S61" s="36"/>
      <c r="T61" s="36"/>
      <c r="U61" s="36"/>
      <c r="V61" s="36"/>
      <c r="W61" s="36"/>
      <c r="X61" s="36"/>
      <c r="Y61" s="36"/>
      <c r="Z61" s="36"/>
      <c r="AA61" s="36"/>
      <c r="AB61" s="36"/>
      <c r="AC61" s="32">
        <f t="shared" si="10"/>
        <v>0</v>
      </c>
      <c r="AD61" s="37"/>
      <c r="AE61" s="37"/>
      <c r="AF61" s="37"/>
      <c r="AG61" s="37"/>
      <c r="AH61" s="37"/>
      <c r="AI61" s="37"/>
      <c r="AJ61" s="37"/>
      <c r="AK61" s="37"/>
      <c r="AL61" s="37"/>
      <c r="AM61" s="37"/>
      <c r="AN61" s="37"/>
      <c r="AO61" s="37"/>
      <c r="AP61" s="37"/>
      <c r="AQ61" s="37"/>
      <c r="AR61" s="37"/>
      <c r="AS61" s="37"/>
      <c r="AT61" s="38"/>
      <c r="AU61" s="1630"/>
      <c r="AV61" s="1342">
        <f t="shared" si="11"/>
        <v>0</v>
      </c>
      <c r="AW61" s="1342">
        <f t="shared" si="12"/>
        <v>0</v>
      </c>
      <c r="AX61" s="1342">
        <f t="shared" si="13"/>
        <v>0</v>
      </c>
      <c r="AY61" s="39">
        <f t="shared" si="14"/>
        <v>0</v>
      </c>
      <c r="AZ61" s="32">
        <f t="shared" si="15"/>
        <v>0</v>
      </c>
      <c r="BA61" s="32">
        <f t="shared" si="16"/>
        <v>0</v>
      </c>
      <c r="BB61" s="32">
        <f t="shared" si="17"/>
        <v>0</v>
      </c>
      <c r="BC61" s="32">
        <f t="shared" si="18"/>
        <v>0</v>
      </c>
      <c r="BD61" s="32">
        <f t="shared" si="19"/>
        <v>0</v>
      </c>
      <c r="BE61" s="32">
        <f t="shared" si="20"/>
        <v>0</v>
      </c>
      <c r="BF61" s="32">
        <f t="shared" si="21"/>
        <v>0</v>
      </c>
      <c r="BG61" s="32">
        <f t="shared" si="22"/>
        <v>0</v>
      </c>
      <c r="BH61" s="32">
        <f t="shared" si="23"/>
        <v>0</v>
      </c>
      <c r="BI61" s="32">
        <f t="shared" si="24"/>
        <v>0</v>
      </c>
      <c r="BJ61" s="32">
        <f t="shared" si="25"/>
        <v>0</v>
      </c>
      <c r="BK61" s="32">
        <f t="shared" si="26"/>
        <v>0</v>
      </c>
      <c r="BL61" s="32">
        <f t="shared" si="27"/>
        <v>0</v>
      </c>
      <c r="BM61" s="32">
        <f t="shared" si="28"/>
        <v>0</v>
      </c>
      <c r="BN61" s="32">
        <f t="shared" si="29"/>
        <v>0</v>
      </c>
      <c r="BO61" s="32">
        <f t="shared" si="30"/>
        <v>0</v>
      </c>
      <c r="BP61" s="32">
        <f t="shared" si="31"/>
        <v>0</v>
      </c>
      <c r="BQ61" s="32">
        <f t="shared" si="32"/>
        <v>0</v>
      </c>
      <c r="BR61" s="32">
        <f t="shared" si="33"/>
        <v>0</v>
      </c>
      <c r="BS61" s="32">
        <f t="shared" si="34"/>
        <v>0</v>
      </c>
      <c r="BT61" s="40">
        <f t="shared" si="35"/>
        <v>0</v>
      </c>
    </row>
    <row r="62" spans="1:72">
      <c r="A62" s="6"/>
      <c r="B62" s="31"/>
      <c r="C62" s="31"/>
      <c r="D62" s="1629"/>
      <c r="E62" s="32">
        <f t="shared" si="7"/>
        <v>0</v>
      </c>
      <c r="F62" s="33"/>
      <c r="G62" s="34">
        <f t="shared" si="8"/>
        <v>0</v>
      </c>
      <c r="H62" s="35">
        <f t="shared" si="9"/>
        <v>0</v>
      </c>
      <c r="I62" s="36"/>
      <c r="J62" s="36"/>
      <c r="K62" s="36"/>
      <c r="L62" s="36"/>
      <c r="M62" s="36"/>
      <c r="N62" s="36"/>
      <c r="O62" s="36"/>
      <c r="P62" s="36"/>
      <c r="Q62" s="36"/>
      <c r="R62" s="36"/>
      <c r="S62" s="36"/>
      <c r="T62" s="36"/>
      <c r="U62" s="36"/>
      <c r="V62" s="36"/>
      <c r="W62" s="36"/>
      <c r="X62" s="36"/>
      <c r="Y62" s="36"/>
      <c r="Z62" s="36"/>
      <c r="AA62" s="36"/>
      <c r="AB62" s="36"/>
      <c r="AC62" s="32">
        <f t="shared" si="10"/>
        <v>0</v>
      </c>
      <c r="AD62" s="37"/>
      <c r="AE62" s="37"/>
      <c r="AF62" s="37"/>
      <c r="AG62" s="37"/>
      <c r="AH62" s="37"/>
      <c r="AI62" s="37"/>
      <c r="AJ62" s="37"/>
      <c r="AK62" s="37"/>
      <c r="AL62" s="37"/>
      <c r="AM62" s="37"/>
      <c r="AN62" s="37"/>
      <c r="AO62" s="37"/>
      <c r="AP62" s="37"/>
      <c r="AQ62" s="37"/>
      <c r="AR62" s="37"/>
      <c r="AS62" s="37"/>
      <c r="AT62" s="38"/>
      <c r="AU62" s="1630"/>
      <c r="AV62" s="1342">
        <f t="shared" si="11"/>
        <v>0</v>
      </c>
      <c r="AW62" s="1342">
        <f t="shared" si="12"/>
        <v>0</v>
      </c>
      <c r="AX62" s="1342">
        <f t="shared" si="13"/>
        <v>0</v>
      </c>
      <c r="AY62" s="39">
        <f t="shared" si="14"/>
        <v>0</v>
      </c>
      <c r="AZ62" s="32">
        <f t="shared" si="15"/>
        <v>0</v>
      </c>
      <c r="BA62" s="32">
        <f t="shared" si="16"/>
        <v>0</v>
      </c>
      <c r="BB62" s="32">
        <f t="shared" si="17"/>
        <v>0</v>
      </c>
      <c r="BC62" s="32">
        <f t="shared" si="18"/>
        <v>0</v>
      </c>
      <c r="BD62" s="32">
        <f t="shared" si="19"/>
        <v>0</v>
      </c>
      <c r="BE62" s="32">
        <f t="shared" si="20"/>
        <v>0</v>
      </c>
      <c r="BF62" s="32">
        <f t="shared" si="21"/>
        <v>0</v>
      </c>
      <c r="BG62" s="32">
        <f t="shared" si="22"/>
        <v>0</v>
      </c>
      <c r="BH62" s="32">
        <f t="shared" si="23"/>
        <v>0</v>
      </c>
      <c r="BI62" s="32">
        <f t="shared" si="24"/>
        <v>0</v>
      </c>
      <c r="BJ62" s="32">
        <f t="shared" si="25"/>
        <v>0</v>
      </c>
      <c r="BK62" s="32">
        <f t="shared" si="26"/>
        <v>0</v>
      </c>
      <c r="BL62" s="32">
        <f t="shared" si="27"/>
        <v>0</v>
      </c>
      <c r="BM62" s="32">
        <f t="shared" si="28"/>
        <v>0</v>
      </c>
      <c r="BN62" s="32">
        <f t="shared" si="29"/>
        <v>0</v>
      </c>
      <c r="BO62" s="32">
        <f t="shared" si="30"/>
        <v>0</v>
      </c>
      <c r="BP62" s="32">
        <f t="shared" si="31"/>
        <v>0</v>
      </c>
      <c r="BQ62" s="32">
        <f t="shared" si="32"/>
        <v>0</v>
      </c>
      <c r="BR62" s="32">
        <f t="shared" si="33"/>
        <v>0</v>
      </c>
      <c r="BS62" s="32">
        <f t="shared" si="34"/>
        <v>0</v>
      </c>
      <c r="BT62" s="40">
        <f t="shared" si="35"/>
        <v>0</v>
      </c>
    </row>
    <row r="63" spans="1:72">
      <c r="A63" s="6"/>
      <c r="B63" s="31"/>
      <c r="C63" s="31"/>
      <c r="D63" s="1629"/>
      <c r="E63" s="32">
        <f t="shared" si="7"/>
        <v>0</v>
      </c>
      <c r="F63" s="33"/>
      <c r="G63" s="34">
        <f t="shared" si="8"/>
        <v>0</v>
      </c>
      <c r="H63" s="35">
        <f t="shared" si="9"/>
        <v>0</v>
      </c>
      <c r="I63" s="36"/>
      <c r="J63" s="36"/>
      <c r="K63" s="36"/>
      <c r="L63" s="36"/>
      <c r="M63" s="36"/>
      <c r="N63" s="36"/>
      <c r="O63" s="36"/>
      <c r="P63" s="36"/>
      <c r="Q63" s="36"/>
      <c r="R63" s="36"/>
      <c r="S63" s="36"/>
      <c r="T63" s="36"/>
      <c r="U63" s="36"/>
      <c r="V63" s="36"/>
      <c r="W63" s="36"/>
      <c r="X63" s="36"/>
      <c r="Y63" s="36"/>
      <c r="Z63" s="36"/>
      <c r="AA63" s="36"/>
      <c r="AB63" s="36"/>
      <c r="AC63" s="32">
        <f t="shared" si="10"/>
        <v>0</v>
      </c>
      <c r="AD63" s="37"/>
      <c r="AE63" s="37"/>
      <c r="AF63" s="37"/>
      <c r="AG63" s="37"/>
      <c r="AH63" s="37"/>
      <c r="AI63" s="37"/>
      <c r="AJ63" s="37"/>
      <c r="AK63" s="37"/>
      <c r="AL63" s="37"/>
      <c r="AM63" s="37"/>
      <c r="AN63" s="37"/>
      <c r="AO63" s="37"/>
      <c r="AP63" s="37"/>
      <c r="AQ63" s="37"/>
      <c r="AR63" s="37"/>
      <c r="AS63" s="37"/>
      <c r="AT63" s="38"/>
      <c r="AU63" s="1630"/>
      <c r="AV63" s="1342">
        <f t="shared" si="11"/>
        <v>0</v>
      </c>
      <c r="AW63" s="1342">
        <f t="shared" si="12"/>
        <v>0</v>
      </c>
      <c r="AX63" s="1342">
        <f t="shared" si="13"/>
        <v>0</v>
      </c>
      <c r="AY63" s="39">
        <f t="shared" si="14"/>
        <v>0</v>
      </c>
      <c r="AZ63" s="32">
        <f t="shared" si="15"/>
        <v>0</v>
      </c>
      <c r="BA63" s="32">
        <f t="shared" si="16"/>
        <v>0</v>
      </c>
      <c r="BB63" s="32">
        <f t="shared" si="17"/>
        <v>0</v>
      </c>
      <c r="BC63" s="32">
        <f t="shared" si="18"/>
        <v>0</v>
      </c>
      <c r="BD63" s="32">
        <f t="shared" si="19"/>
        <v>0</v>
      </c>
      <c r="BE63" s="32">
        <f t="shared" si="20"/>
        <v>0</v>
      </c>
      <c r="BF63" s="32">
        <f t="shared" si="21"/>
        <v>0</v>
      </c>
      <c r="BG63" s="32">
        <f t="shared" si="22"/>
        <v>0</v>
      </c>
      <c r="BH63" s="32">
        <f t="shared" si="23"/>
        <v>0</v>
      </c>
      <c r="BI63" s="32">
        <f t="shared" si="24"/>
        <v>0</v>
      </c>
      <c r="BJ63" s="32">
        <f t="shared" si="25"/>
        <v>0</v>
      </c>
      <c r="BK63" s="32">
        <f t="shared" si="26"/>
        <v>0</v>
      </c>
      <c r="BL63" s="32">
        <f t="shared" si="27"/>
        <v>0</v>
      </c>
      <c r="BM63" s="32">
        <f t="shared" si="28"/>
        <v>0</v>
      </c>
      <c r="BN63" s="32">
        <f t="shared" si="29"/>
        <v>0</v>
      </c>
      <c r="BO63" s="32">
        <f t="shared" si="30"/>
        <v>0</v>
      </c>
      <c r="BP63" s="32">
        <f t="shared" si="31"/>
        <v>0</v>
      </c>
      <c r="BQ63" s="32">
        <f t="shared" si="32"/>
        <v>0</v>
      </c>
      <c r="BR63" s="32">
        <f t="shared" si="33"/>
        <v>0</v>
      </c>
      <c r="BS63" s="32">
        <f t="shared" si="34"/>
        <v>0</v>
      </c>
      <c r="BT63" s="40">
        <f t="shared" si="35"/>
        <v>0</v>
      </c>
    </row>
    <row r="64" spans="1:72">
      <c r="A64" s="6"/>
      <c r="B64" s="31"/>
      <c r="C64" s="31"/>
      <c r="D64" s="1629"/>
      <c r="E64" s="32">
        <f t="shared" si="7"/>
        <v>0</v>
      </c>
      <c r="F64" s="33"/>
      <c r="G64" s="34">
        <f t="shared" si="8"/>
        <v>0</v>
      </c>
      <c r="H64" s="35">
        <f t="shared" si="9"/>
        <v>0</v>
      </c>
      <c r="I64" s="36"/>
      <c r="J64" s="36"/>
      <c r="K64" s="36"/>
      <c r="L64" s="36"/>
      <c r="M64" s="36"/>
      <c r="N64" s="36"/>
      <c r="O64" s="36"/>
      <c r="P64" s="36"/>
      <c r="Q64" s="36"/>
      <c r="R64" s="36"/>
      <c r="S64" s="36"/>
      <c r="T64" s="36"/>
      <c r="U64" s="36"/>
      <c r="V64" s="36"/>
      <c r="W64" s="36"/>
      <c r="X64" s="36"/>
      <c r="Y64" s="36"/>
      <c r="Z64" s="36"/>
      <c r="AA64" s="36"/>
      <c r="AB64" s="36"/>
      <c r="AC64" s="32">
        <f t="shared" si="10"/>
        <v>0</v>
      </c>
      <c r="AD64" s="37"/>
      <c r="AE64" s="37"/>
      <c r="AF64" s="37"/>
      <c r="AG64" s="37"/>
      <c r="AH64" s="37"/>
      <c r="AI64" s="37"/>
      <c r="AJ64" s="37"/>
      <c r="AK64" s="37"/>
      <c r="AL64" s="37"/>
      <c r="AM64" s="37"/>
      <c r="AN64" s="37"/>
      <c r="AO64" s="37"/>
      <c r="AP64" s="37"/>
      <c r="AQ64" s="37"/>
      <c r="AR64" s="37"/>
      <c r="AS64" s="37"/>
      <c r="AT64" s="38"/>
      <c r="AU64" s="1630"/>
      <c r="AV64" s="1342">
        <f t="shared" si="11"/>
        <v>0</v>
      </c>
      <c r="AW64" s="1342">
        <f t="shared" si="12"/>
        <v>0</v>
      </c>
      <c r="AX64" s="1342">
        <f t="shared" si="13"/>
        <v>0</v>
      </c>
      <c r="AY64" s="39">
        <f t="shared" si="14"/>
        <v>0</v>
      </c>
      <c r="AZ64" s="32">
        <f t="shared" si="15"/>
        <v>0</v>
      </c>
      <c r="BA64" s="32">
        <f t="shared" si="16"/>
        <v>0</v>
      </c>
      <c r="BB64" s="32">
        <f t="shared" si="17"/>
        <v>0</v>
      </c>
      <c r="BC64" s="32">
        <f t="shared" si="18"/>
        <v>0</v>
      </c>
      <c r="BD64" s="32">
        <f t="shared" si="19"/>
        <v>0</v>
      </c>
      <c r="BE64" s="32">
        <f t="shared" si="20"/>
        <v>0</v>
      </c>
      <c r="BF64" s="32">
        <f t="shared" si="21"/>
        <v>0</v>
      </c>
      <c r="BG64" s="32">
        <f t="shared" si="22"/>
        <v>0</v>
      </c>
      <c r="BH64" s="32">
        <f t="shared" si="23"/>
        <v>0</v>
      </c>
      <c r="BI64" s="32">
        <f t="shared" si="24"/>
        <v>0</v>
      </c>
      <c r="BJ64" s="32">
        <f t="shared" si="25"/>
        <v>0</v>
      </c>
      <c r="BK64" s="32">
        <f t="shared" si="26"/>
        <v>0</v>
      </c>
      <c r="BL64" s="32">
        <f t="shared" si="27"/>
        <v>0</v>
      </c>
      <c r="BM64" s="32">
        <f t="shared" si="28"/>
        <v>0</v>
      </c>
      <c r="BN64" s="32">
        <f t="shared" si="29"/>
        <v>0</v>
      </c>
      <c r="BO64" s="32">
        <f t="shared" si="30"/>
        <v>0</v>
      </c>
      <c r="BP64" s="32">
        <f t="shared" si="31"/>
        <v>0</v>
      </c>
      <c r="BQ64" s="32">
        <f t="shared" si="32"/>
        <v>0</v>
      </c>
      <c r="BR64" s="32">
        <f t="shared" si="33"/>
        <v>0</v>
      </c>
      <c r="BS64" s="32">
        <f t="shared" si="34"/>
        <v>0</v>
      </c>
      <c r="BT64" s="40">
        <f t="shared" si="35"/>
        <v>0</v>
      </c>
    </row>
    <row r="65" spans="1:72">
      <c r="A65" s="6"/>
      <c r="B65" s="31"/>
      <c r="C65" s="31"/>
      <c r="D65" s="1629"/>
      <c r="E65" s="32">
        <f t="shared" si="7"/>
        <v>0</v>
      </c>
      <c r="F65" s="33"/>
      <c r="G65" s="34">
        <f t="shared" si="8"/>
        <v>0</v>
      </c>
      <c r="H65" s="35">
        <f t="shared" si="9"/>
        <v>0</v>
      </c>
      <c r="I65" s="36"/>
      <c r="J65" s="36"/>
      <c r="K65" s="36"/>
      <c r="L65" s="36"/>
      <c r="M65" s="36"/>
      <c r="N65" s="36"/>
      <c r="O65" s="36"/>
      <c r="P65" s="36"/>
      <c r="Q65" s="36"/>
      <c r="R65" s="36"/>
      <c r="S65" s="36"/>
      <c r="T65" s="36"/>
      <c r="U65" s="36"/>
      <c r="V65" s="36"/>
      <c r="W65" s="36"/>
      <c r="X65" s="36"/>
      <c r="Y65" s="36"/>
      <c r="Z65" s="36"/>
      <c r="AA65" s="36"/>
      <c r="AB65" s="36"/>
      <c r="AC65" s="32">
        <f t="shared" si="10"/>
        <v>0</v>
      </c>
      <c r="AD65" s="37"/>
      <c r="AE65" s="37"/>
      <c r="AF65" s="37"/>
      <c r="AG65" s="37"/>
      <c r="AH65" s="37"/>
      <c r="AI65" s="37"/>
      <c r="AJ65" s="37"/>
      <c r="AK65" s="37"/>
      <c r="AL65" s="37"/>
      <c r="AM65" s="37"/>
      <c r="AN65" s="37"/>
      <c r="AO65" s="37"/>
      <c r="AP65" s="37"/>
      <c r="AQ65" s="37"/>
      <c r="AR65" s="37"/>
      <c r="AS65" s="37"/>
      <c r="AT65" s="38"/>
      <c r="AU65" s="1630"/>
      <c r="AV65" s="1342">
        <f t="shared" si="11"/>
        <v>0</v>
      </c>
      <c r="AW65" s="1342">
        <f t="shared" si="12"/>
        <v>0</v>
      </c>
      <c r="AX65" s="1342">
        <f t="shared" si="13"/>
        <v>0</v>
      </c>
      <c r="AY65" s="39">
        <f t="shared" si="14"/>
        <v>0</v>
      </c>
      <c r="AZ65" s="32">
        <f t="shared" si="15"/>
        <v>0</v>
      </c>
      <c r="BA65" s="32">
        <f t="shared" si="16"/>
        <v>0</v>
      </c>
      <c r="BB65" s="32">
        <f t="shared" si="17"/>
        <v>0</v>
      </c>
      <c r="BC65" s="32">
        <f t="shared" si="18"/>
        <v>0</v>
      </c>
      <c r="BD65" s="32">
        <f t="shared" si="19"/>
        <v>0</v>
      </c>
      <c r="BE65" s="32">
        <f t="shared" si="20"/>
        <v>0</v>
      </c>
      <c r="BF65" s="32">
        <f t="shared" si="21"/>
        <v>0</v>
      </c>
      <c r="BG65" s="32">
        <f t="shared" si="22"/>
        <v>0</v>
      </c>
      <c r="BH65" s="32">
        <f t="shared" si="23"/>
        <v>0</v>
      </c>
      <c r="BI65" s="32">
        <f t="shared" si="24"/>
        <v>0</v>
      </c>
      <c r="BJ65" s="32">
        <f t="shared" si="25"/>
        <v>0</v>
      </c>
      <c r="BK65" s="32">
        <f t="shared" si="26"/>
        <v>0</v>
      </c>
      <c r="BL65" s="32">
        <f t="shared" si="27"/>
        <v>0</v>
      </c>
      <c r="BM65" s="32">
        <f t="shared" si="28"/>
        <v>0</v>
      </c>
      <c r="BN65" s="32">
        <f t="shared" si="29"/>
        <v>0</v>
      </c>
      <c r="BO65" s="32">
        <f t="shared" si="30"/>
        <v>0</v>
      </c>
      <c r="BP65" s="32">
        <f t="shared" si="31"/>
        <v>0</v>
      </c>
      <c r="BQ65" s="32">
        <f t="shared" si="32"/>
        <v>0</v>
      </c>
      <c r="BR65" s="32">
        <f t="shared" si="33"/>
        <v>0</v>
      </c>
      <c r="BS65" s="32">
        <f t="shared" si="34"/>
        <v>0</v>
      </c>
      <c r="BT65" s="40">
        <f t="shared" si="35"/>
        <v>0</v>
      </c>
    </row>
    <row r="66" spans="1:72">
      <c r="A66" s="6"/>
      <c r="B66" s="31"/>
      <c r="C66" s="31"/>
      <c r="D66" s="1629"/>
      <c r="E66" s="32">
        <f t="shared" si="7"/>
        <v>0</v>
      </c>
      <c r="F66" s="33"/>
      <c r="G66" s="34">
        <f t="shared" si="8"/>
        <v>0</v>
      </c>
      <c r="H66" s="35">
        <f t="shared" si="9"/>
        <v>0</v>
      </c>
      <c r="I66" s="36"/>
      <c r="J66" s="36"/>
      <c r="K66" s="36"/>
      <c r="L66" s="36"/>
      <c r="M66" s="36"/>
      <c r="N66" s="36"/>
      <c r="O66" s="36"/>
      <c r="P66" s="36"/>
      <c r="Q66" s="36"/>
      <c r="R66" s="36"/>
      <c r="S66" s="36"/>
      <c r="T66" s="36"/>
      <c r="U66" s="36"/>
      <c r="V66" s="36"/>
      <c r="W66" s="36"/>
      <c r="X66" s="36"/>
      <c r="Y66" s="36"/>
      <c r="Z66" s="36"/>
      <c r="AA66" s="36"/>
      <c r="AB66" s="36"/>
      <c r="AC66" s="32">
        <f t="shared" si="10"/>
        <v>0</v>
      </c>
      <c r="AD66" s="37"/>
      <c r="AE66" s="37"/>
      <c r="AF66" s="37"/>
      <c r="AG66" s="37"/>
      <c r="AH66" s="37"/>
      <c r="AI66" s="37"/>
      <c r="AJ66" s="37"/>
      <c r="AK66" s="37"/>
      <c r="AL66" s="37"/>
      <c r="AM66" s="37"/>
      <c r="AN66" s="37"/>
      <c r="AO66" s="37"/>
      <c r="AP66" s="37"/>
      <c r="AQ66" s="37"/>
      <c r="AR66" s="37"/>
      <c r="AS66" s="37"/>
      <c r="AT66" s="38"/>
      <c r="AU66" s="1630"/>
      <c r="AV66" s="1342">
        <f t="shared" si="11"/>
        <v>0</v>
      </c>
      <c r="AW66" s="1342">
        <f t="shared" si="12"/>
        <v>0</v>
      </c>
      <c r="AX66" s="1342">
        <f t="shared" si="13"/>
        <v>0</v>
      </c>
      <c r="AY66" s="39">
        <f t="shared" si="14"/>
        <v>0</v>
      </c>
      <c r="AZ66" s="32">
        <f t="shared" si="15"/>
        <v>0</v>
      </c>
      <c r="BA66" s="32">
        <f t="shared" si="16"/>
        <v>0</v>
      </c>
      <c r="BB66" s="32">
        <f t="shared" si="17"/>
        <v>0</v>
      </c>
      <c r="BC66" s="32">
        <f t="shared" si="18"/>
        <v>0</v>
      </c>
      <c r="BD66" s="32">
        <f t="shared" si="19"/>
        <v>0</v>
      </c>
      <c r="BE66" s="32">
        <f t="shared" si="20"/>
        <v>0</v>
      </c>
      <c r="BF66" s="32">
        <f t="shared" si="21"/>
        <v>0</v>
      </c>
      <c r="BG66" s="32">
        <f t="shared" si="22"/>
        <v>0</v>
      </c>
      <c r="BH66" s="32">
        <f t="shared" si="23"/>
        <v>0</v>
      </c>
      <c r="BI66" s="32">
        <f t="shared" si="24"/>
        <v>0</v>
      </c>
      <c r="BJ66" s="32">
        <f t="shared" si="25"/>
        <v>0</v>
      </c>
      <c r="BK66" s="32">
        <f t="shared" si="26"/>
        <v>0</v>
      </c>
      <c r="BL66" s="32">
        <f t="shared" si="27"/>
        <v>0</v>
      </c>
      <c r="BM66" s="32">
        <f t="shared" si="28"/>
        <v>0</v>
      </c>
      <c r="BN66" s="32">
        <f t="shared" si="29"/>
        <v>0</v>
      </c>
      <c r="BO66" s="32">
        <f t="shared" si="30"/>
        <v>0</v>
      </c>
      <c r="BP66" s="32">
        <f t="shared" si="31"/>
        <v>0</v>
      </c>
      <c r="BQ66" s="32">
        <f t="shared" si="32"/>
        <v>0</v>
      </c>
      <c r="BR66" s="32">
        <f t="shared" si="33"/>
        <v>0</v>
      </c>
      <c r="BS66" s="32">
        <f t="shared" si="34"/>
        <v>0</v>
      </c>
      <c r="BT66" s="40">
        <f t="shared" si="35"/>
        <v>0</v>
      </c>
    </row>
    <row r="67" spans="1:72">
      <c r="A67" s="6"/>
      <c r="B67" s="31"/>
      <c r="C67" s="31"/>
      <c r="D67" s="1629"/>
      <c r="E67" s="32">
        <f t="shared" si="7"/>
        <v>0</v>
      </c>
      <c r="F67" s="33"/>
      <c r="G67" s="34">
        <f t="shared" si="8"/>
        <v>0</v>
      </c>
      <c r="H67" s="35">
        <f t="shared" si="9"/>
        <v>0</v>
      </c>
      <c r="I67" s="36"/>
      <c r="J67" s="36"/>
      <c r="K67" s="36"/>
      <c r="L67" s="36"/>
      <c r="M67" s="36"/>
      <c r="N67" s="36"/>
      <c r="O67" s="36"/>
      <c r="P67" s="36"/>
      <c r="Q67" s="36"/>
      <c r="R67" s="36"/>
      <c r="S67" s="36"/>
      <c r="T67" s="36"/>
      <c r="U67" s="36"/>
      <c r="V67" s="36"/>
      <c r="W67" s="36"/>
      <c r="X67" s="36"/>
      <c r="Y67" s="36"/>
      <c r="Z67" s="36"/>
      <c r="AA67" s="36"/>
      <c r="AB67" s="36"/>
      <c r="AC67" s="32">
        <f t="shared" si="10"/>
        <v>0</v>
      </c>
      <c r="AD67" s="37"/>
      <c r="AE67" s="37"/>
      <c r="AF67" s="37"/>
      <c r="AG67" s="37"/>
      <c r="AH67" s="37"/>
      <c r="AI67" s="37"/>
      <c r="AJ67" s="37"/>
      <c r="AK67" s="37"/>
      <c r="AL67" s="37"/>
      <c r="AM67" s="37"/>
      <c r="AN67" s="37"/>
      <c r="AO67" s="37"/>
      <c r="AP67" s="37"/>
      <c r="AQ67" s="37"/>
      <c r="AR67" s="37"/>
      <c r="AS67" s="37"/>
      <c r="AT67" s="38"/>
      <c r="AU67" s="1630"/>
      <c r="AV67" s="1342">
        <f t="shared" si="11"/>
        <v>0</v>
      </c>
      <c r="AW67" s="1342">
        <f t="shared" si="12"/>
        <v>0</v>
      </c>
      <c r="AX67" s="1342">
        <f t="shared" si="13"/>
        <v>0</v>
      </c>
      <c r="AY67" s="39">
        <f t="shared" si="14"/>
        <v>0</v>
      </c>
      <c r="AZ67" s="32">
        <f t="shared" si="15"/>
        <v>0</v>
      </c>
      <c r="BA67" s="32">
        <f t="shared" si="16"/>
        <v>0</v>
      </c>
      <c r="BB67" s="32">
        <f t="shared" si="17"/>
        <v>0</v>
      </c>
      <c r="BC67" s="32">
        <f t="shared" si="18"/>
        <v>0</v>
      </c>
      <c r="BD67" s="32">
        <f t="shared" si="19"/>
        <v>0</v>
      </c>
      <c r="BE67" s="32">
        <f t="shared" si="20"/>
        <v>0</v>
      </c>
      <c r="BF67" s="32">
        <f t="shared" si="21"/>
        <v>0</v>
      </c>
      <c r="BG67" s="32">
        <f t="shared" si="22"/>
        <v>0</v>
      </c>
      <c r="BH67" s="32">
        <f t="shared" si="23"/>
        <v>0</v>
      </c>
      <c r="BI67" s="32">
        <f t="shared" si="24"/>
        <v>0</v>
      </c>
      <c r="BJ67" s="32">
        <f t="shared" si="25"/>
        <v>0</v>
      </c>
      <c r="BK67" s="32">
        <f t="shared" si="26"/>
        <v>0</v>
      </c>
      <c r="BL67" s="32">
        <f t="shared" si="27"/>
        <v>0</v>
      </c>
      <c r="BM67" s="32">
        <f t="shared" si="28"/>
        <v>0</v>
      </c>
      <c r="BN67" s="32">
        <f t="shared" si="29"/>
        <v>0</v>
      </c>
      <c r="BO67" s="32">
        <f t="shared" si="30"/>
        <v>0</v>
      </c>
      <c r="BP67" s="32">
        <f t="shared" si="31"/>
        <v>0</v>
      </c>
      <c r="BQ67" s="32">
        <f t="shared" si="32"/>
        <v>0</v>
      </c>
      <c r="BR67" s="32">
        <f t="shared" si="33"/>
        <v>0</v>
      </c>
      <c r="BS67" s="32">
        <f t="shared" si="34"/>
        <v>0</v>
      </c>
      <c r="BT67" s="40">
        <f t="shared" si="35"/>
        <v>0</v>
      </c>
    </row>
    <row r="68" spans="1:72">
      <c r="A68" s="6"/>
      <c r="B68" s="31"/>
      <c r="C68" s="31"/>
      <c r="D68" s="1629"/>
      <c r="E68" s="32">
        <f t="shared" si="7"/>
        <v>0</v>
      </c>
      <c r="F68" s="33"/>
      <c r="G68" s="34">
        <f t="shared" si="8"/>
        <v>0</v>
      </c>
      <c r="H68" s="35">
        <f t="shared" si="9"/>
        <v>0</v>
      </c>
      <c r="I68" s="36"/>
      <c r="J68" s="36"/>
      <c r="K68" s="36"/>
      <c r="L68" s="36"/>
      <c r="M68" s="36"/>
      <c r="N68" s="36"/>
      <c r="O68" s="36"/>
      <c r="P68" s="36"/>
      <c r="Q68" s="36"/>
      <c r="R68" s="36"/>
      <c r="S68" s="36"/>
      <c r="T68" s="36"/>
      <c r="U68" s="36"/>
      <c r="V68" s="36"/>
      <c r="W68" s="36"/>
      <c r="X68" s="36"/>
      <c r="Y68" s="36"/>
      <c r="Z68" s="36"/>
      <c r="AA68" s="36"/>
      <c r="AB68" s="36"/>
      <c r="AC68" s="32">
        <f t="shared" si="10"/>
        <v>0</v>
      </c>
      <c r="AD68" s="37"/>
      <c r="AE68" s="37"/>
      <c r="AF68" s="37"/>
      <c r="AG68" s="37"/>
      <c r="AH68" s="37"/>
      <c r="AI68" s="37"/>
      <c r="AJ68" s="37"/>
      <c r="AK68" s="37"/>
      <c r="AL68" s="37"/>
      <c r="AM68" s="37"/>
      <c r="AN68" s="37"/>
      <c r="AO68" s="37"/>
      <c r="AP68" s="37"/>
      <c r="AQ68" s="37"/>
      <c r="AR68" s="37"/>
      <c r="AS68" s="37"/>
      <c r="AT68" s="38"/>
      <c r="AU68" s="1630"/>
      <c r="AV68" s="1342">
        <f t="shared" si="11"/>
        <v>0</v>
      </c>
      <c r="AW68" s="1342">
        <f t="shared" si="12"/>
        <v>0</v>
      </c>
      <c r="AX68" s="1342">
        <f t="shared" si="13"/>
        <v>0</v>
      </c>
      <c r="AY68" s="39">
        <f t="shared" si="14"/>
        <v>0</v>
      </c>
      <c r="AZ68" s="32">
        <f t="shared" si="15"/>
        <v>0</v>
      </c>
      <c r="BA68" s="32">
        <f t="shared" si="16"/>
        <v>0</v>
      </c>
      <c r="BB68" s="32">
        <f t="shared" si="17"/>
        <v>0</v>
      </c>
      <c r="BC68" s="32">
        <f t="shared" si="18"/>
        <v>0</v>
      </c>
      <c r="BD68" s="32">
        <f t="shared" si="19"/>
        <v>0</v>
      </c>
      <c r="BE68" s="32">
        <f t="shared" si="20"/>
        <v>0</v>
      </c>
      <c r="BF68" s="32">
        <f t="shared" si="21"/>
        <v>0</v>
      </c>
      <c r="BG68" s="32">
        <f t="shared" si="22"/>
        <v>0</v>
      </c>
      <c r="BH68" s="32">
        <f t="shared" si="23"/>
        <v>0</v>
      </c>
      <c r="BI68" s="32">
        <f t="shared" si="24"/>
        <v>0</v>
      </c>
      <c r="BJ68" s="32">
        <f t="shared" si="25"/>
        <v>0</v>
      </c>
      <c r="BK68" s="32">
        <f t="shared" si="26"/>
        <v>0</v>
      </c>
      <c r="BL68" s="32">
        <f t="shared" si="27"/>
        <v>0</v>
      </c>
      <c r="BM68" s="32">
        <f t="shared" si="28"/>
        <v>0</v>
      </c>
      <c r="BN68" s="32">
        <f t="shared" si="29"/>
        <v>0</v>
      </c>
      <c r="BO68" s="32">
        <f t="shared" si="30"/>
        <v>0</v>
      </c>
      <c r="BP68" s="32">
        <f t="shared" si="31"/>
        <v>0</v>
      </c>
      <c r="BQ68" s="32">
        <f t="shared" si="32"/>
        <v>0</v>
      </c>
      <c r="BR68" s="32">
        <f t="shared" si="33"/>
        <v>0</v>
      </c>
      <c r="BS68" s="32">
        <f t="shared" si="34"/>
        <v>0</v>
      </c>
      <c r="BT68" s="40">
        <f t="shared" si="35"/>
        <v>0</v>
      </c>
    </row>
    <row r="69" spans="1:72">
      <c r="A69" s="6"/>
      <c r="B69" s="31"/>
      <c r="C69" s="31"/>
      <c r="D69" s="1629"/>
      <c r="E69" s="32">
        <f t="shared" si="7"/>
        <v>0</v>
      </c>
      <c r="F69" s="33"/>
      <c r="G69" s="34">
        <f t="shared" si="8"/>
        <v>0</v>
      </c>
      <c r="H69" s="35">
        <f t="shared" si="9"/>
        <v>0</v>
      </c>
      <c r="I69" s="36"/>
      <c r="J69" s="36"/>
      <c r="K69" s="36"/>
      <c r="L69" s="36"/>
      <c r="M69" s="36"/>
      <c r="N69" s="36"/>
      <c r="O69" s="36"/>
      <c r="P69" s="36"/>
      <c r="Q69" s="36"/>
      <c r="R69" s="36"/>
      <c r="S69" s="36"/>
      <c r="T69" s="36"/>
      <c r="U69" s="36"/>
      <c r="V69" s="36"/>
      <c r="W69" s="36"/>
      <c r="X69" s="36"/>
      <c r="Y69" s="36"/>
      <c r="Z69" s="36"/>
      <c r="AA69" s="36"/>
      <c r="AB69" s="36"/>
      <c r="AC69" s="32">
        <f t="shared" si="10"/>
        <v>0</v>
      </c>
      <c r="AD69" s="37"/>
      <c r="AE69" s="37"/>
      <c r="AF69" s="37"/>
      <c r="AG69" s="37"/>
      <c r="AH69" s="37"/>
      <c r="AI69" s="37"/>
      <c r="AJ69" s="37"/>
      <c r="AK69" s="37"/>
      <c r="AL69" s="37"/>
      <c r="AM69" s="37"/>
      <c r="AN69" s="37"/>
      <c r="AO69" s="37"/>
      <c r="AP69" s="37"/>
      <c r="AQ69" s="37"/>
      <c r="AR69" s="37"/>
      <c r="AS69" s="37"/>
      <c r="AT69" s="38"/>
      <c r="AU69" s="1630"/>
      <c r="AV69" s="1342">
        <f t="shared" si="11"/>
        <v>0</v>
      </c>
      <c r="AW69" s="1342">
        <f t="shared" si="12"/>
        <v>0</v>
      </c>
      <c r="AX69" s="1342">
        <f t="shared" si="13"/>
        <v>0</v>
      </c>
      <c r="AY69" s="39">
        <f t="shared" si="14"/>
        <v>0</v>
      </c>
      <c r="AZ69" s="32">
        <f t="shared" si="15"/>
        <v>0</v>
      </c>
      <c r="BA69" s="32">
        <f t="shared" si="16"/>
        <v>0</v>
      </c>
      <c r="BB69" s="32">
        <f t="shared" si="17"/>
        <v>0</v>
      </c>
      <c r="BC69" s="32">
        <f t="shared" si="18"/>
        <v>0</v>
      </c>
      <c r="BD69" s="32">
        <f t="shared" si="19"/>
        <v>0</v>
      </c>
      <c r="BE69" s="32">
        <f t="shared" si="20"/>
        <v>0</v>
      </c>
      <c r="BF69" s="32">
        <f t="shared" si="21"/>
        <v>0</v>
      </c>
      <c r="BG69" s="32">
        <f t="shared" si="22"/>
        <v>0</v>
      </c>
      <c r="BH69" s="32">
        <f t="shared" si="23"/>
        <v>0</v>
      </c>
      <c r="BI69" s="32">
        <f t="shared" si="24"/>
        <v>0</v>
      </c>
      <c r="BJ69" s="32">
        <f t="shared" si="25"/>
        <v>0</v>
      </c>
      <c r="BK69" s="32">
        <f t="shared" si="26"/>
        <v>0</v>
      </c>
      <c r="BL69" s="32">
        <f t="shared" si="27"/>
        <v>0</v>
      </c>
      <c r="BM69" s="32">
        <f t="shared" si="28"/>
        <v>0</v>
      </c>
      <c r="BN69" s="32">
        <f t="shared" si="29"/>
        <v>0</v>
      </c>
      <c r="BO69" s="32">
        <f t="shared" si="30"/>
        <v>0</v>
      </c>
      <c r="BP69" s="32">
        <f t="shared" si="31"/>
        <v>0</v>
      </c>
      <c r="BQ69" s="32">
        <f t="shared" si="32"/>
        <v>0</v>
      </c>
      <c r="BR69" s="32">
        <f t="shared" si="33"/>
        <v>0</v>
      </c>
      <c r="BS69" s="32">
        <f t="shared" si="34"/>
        <v>0</v>
      </c>
      <c r="BT69" s="40">
        <f t="shared" si="35"/>
        <v>0</v>
      </c>
    </row>
    <row r="70" spans="1:72">
      <c r="A70" s="6"/>
      <c r="B70" s="31"/>
      <c r="C70" s="31"/>
      <c r="D70" s="1629"/>
      <c r="E70" s="32">
        <f t="shared" si="7"/>
        <v>0</v>
      </c>
      <c r="F70" s="33"/>
      <c r="G70" s="34">
        <f t="shared" si="8"/>
        <v>0</v>
      </c>
      <c r="H70" s="35">
        <f t="shared" si="9"/>
        <v>0</v>
      </c>
      <c r="I70" s="36"/>
      <c r="J70" s="36"/>
      <c r="K70" s="36"/>
      <c r="L70" s="36"/>
      <c r="M70" s="36"/>
      <c r="N70" s="36"/>
      <c r="O70" s="36"/>
      <c r="P70" s="36"/>
      <c r="Q70" s="36"/>
      <c r="R70" s="36"/>
      <c r="S70" s="36"/>
      <c r="T70" s="36"/>
      <c r="U70" s="36"/>
      <c r="V70" s="36"/>
      <c r="W70" s="36"/>
      <c r="X70" s="36"/>
      <c r="Y70" s="36"/>
      <c r="Z70" s="36"/>
      <c r="AA70" s="36"/>
      <c r="AB70" s="36"/>
      <c r="AC70" s="32">
        <f t="shared" si="10"/>
        <v>0</v>
      </c>
      <c r="AD70" s="37"/>
      <c r="AE70" s="37"/>
      <c r="AF70" s="37"/>
      <c r="AG70" s="37"/>
      <c r="AH70" s="37"/>
      <c r="AI70" s="37"/>
      <c r="AJ70" s="37"/>
      <c r="AK70" s="37"/>
      <c r="AL70" s="37"/>
      <c r="AM70" s="37"/>
      <c r="AN70" s="37"/>
      <c r="AO70" s="37"/>
      <c r="AP70" s="37"/>
      <c r="AQ70" s="37"/>
      <c r="AR70" s="37"/>
      <c r="AS70" s="37"/>
      <c r="AT70" s="38"/>
      <c r="AU70" s="1630"/>
      <c r="AV70" s="1342">
        <f t="shared" si="11"/>
        <v>0</v>
      </c>
      <c r="AW70" s="1342">
        <f t="shared" si="12"/>
        <v>0</v>
      </c>
      <c r="AX70" s="1342">
        <f t="shared" si="13"/>
        <v>0</v>
      </c>
      <c r="AY70" s="39">
        <f t="shared" si="14"/>
        <v>0</v>
      </c>
      <c r="AZ70" s="32">
        <f t="shared" si="15"/>
        <v>0</v>
      </c>
      <c r="BA70" s="32">
        <f t="shared" si="16"/>
        <v>0</v>
      </c>
      <c r="BB70" s="32">
        <f t="shared" si="17"/>
        <v>0</v>
      </c>
      <c r="BC70" s="32">
        <f t="shared" si="18"/>
        <v>0</v>
      </c>
      <c r="BD70" s="32">
        <f t="shared" si="19"/>
        <v>0</v>
      </c>
      <c r="BE70" s="32">
        <f t="shared" si="20"/>
        <v>0</v>
      </c>
      <c r="BF70" s="32">
        <f t="shared" si="21"/>
        <v>0</v>
      </c>
      <c r="BG70" s="32">
        <f t="shared" si="22"/>
        <v>0</v>
      </c>
      <c r="BH70" s="32">
        <f t="shared" si="23"/>
        <v>0</v>
      </c>
      <c r="BI70" s="32">
        <f t="shared" si="24"/>
        <v>0</v>
      </c>
      <c r="BJ70" s="32">
        <f t="shared" si="25"/>
        <v>0</v>
      </c>
      <c r="BK70" s="32">
        <f t="shared" si="26"/>
        <v>0</v>
      </c>
      <c r="BL70" s="32">
        <f t="shared" si="27"/>
        <v>0</v>
      </c>
      <c r="BM70" s="32">
        <f t="shared" si="28"/>
        <v>0</v>
      </c>
      <c r="BN70" s="32">
        <f t="shared" si="29"/>
        <v>0</v>
      </c>
      <c r="BO70" s="32">
        <f t="shared" si="30"/>
        <v>0</v>
      </c>
      <c r="BP70" s="32">
        <f t="shared" si="31"/>
        <v>0</v>
      </c>
      <c r="BQ70" s="32">
        <f t="shared" si="32"/>
        <v>0</v>
      </c>
      <c r="BR70" s="32">
        <f t="shared" si="33"/>
        <v>0</v>
      </c>
      <c r="BS70" s="32">
        <f t="shared" si="34"/>
        <v>0</v>
      </c>
      <c r="BT70" s="40">
        <f t="shared" si="35"/>
        <v>0</v>
      </c>
    </row>
    <row r="71" spans="1:72">
      <c r="A71" s="6"/>
      <c r="B71" s="31"/>
      <c r="C71" s="31"/>
      <c r="D71" s="1629"/>
      <c r="E71" s="32">
        <f t="shared" si="7"/>
        <v>0</v>
      </c>
      <c r="F71" s="33"/>
      <c r="G71" s="34">
        <f t="shared" si="8"/>
        <v>0</v>
      </c>
      <c r="H71" s="35">
        <f t="shared" si="9"/>
        <v>0</v>
      </c>
      <c r="I71" s="36"/>
      <c r="J71" s="36"/>
      <c r="K71" s="36"/>
      <c r="L71" s="36"/>
      <c r="M71" s="36"/>
      <c r="N71" s="36"/>
      <c r="O71" s="36"/>
      <c r="P71" s="36"/>
      <c r="Q71" s="36"/>
      <c r="R71" s="36"/>
      <c r="S71" s="36"/>
      <c r="T71" s="36"/>
      <c r="U71" s="36"/>
      <c r="V71" s="36"/>
      <c r="W71" s="36"/>
      <c r="X71" s="36"/>
      <c r="Y71" s="36"/>
      <c r="Z71" s="36"/>
      <c r="AA71" s="36"/>
      <c r="AB71" s="36"/>
      <c r="AC71" s="32">
        <f t="shared" si="10"/>
        <v>0</v>
      </c>
      <c r="AD71" s="37"/>
      <c r="AE71" s="37"/>
      <c r="AF71" s="37"/>
      <c r="AG71" s="37"/>
      <c r="AH71" s="37"/>
      <c r="AI71" s="37"/>
      <c r="AJ71" s="37"/>
      <c r="AK71" s="37"/>
      <c r="AL71" s="37"/>
      <c r="AM71" s="37"/>
      <c r="AN71" s="37"/>
      <c r="AO71" s="37"/>
      <c r="AP71" s="37"/>
      <c r="AQ71" s="37"/>
      <c r="AR71" s="37"/>
      <c r="AS71" s="37"/>
      <c r="AT71" s="38"/>
      <c r="AU71" s="1630"/>
      <c r="AV71" s="1342">
        <f t="shared" si="11"/>
        <v>0</v>
      </c>
      <c r="AW71" s="1342">
        <f t="shared" si="12"/>
        <v>0</v>
      </c>
      <c r="AX71" s="1342">
        <f t="shared" si="13"/>
        <v>0</v>
      </c>
      <c r="AY71" s="39">
        <f t="shared" si="14"/>
        <v>0</v>
      </c>
      <c r="AZ71" s="32">
        <f t="shared" si="15"/>
        <v>0</v>
      </c>
      <c r="BA71" s="32">
        <f t="shared" si="16"/>
        <v>0</v>
      </c>
      <c r="BB71" s="32">
        <f t="shared" si="17"/>
        <v>0</v>
      </c>
      <c r="BC71" s="32">
        <f t="shared" si="18"/>
        <v>0</v>
      </c>
      <c r="BD71" s="32">
        <f t="shared" si="19"/>
        <v>0</v>
      </c>
      <c r="BE71" s="32">
        <f t="shared" si="20"/>
        <v>0</v>
      </c>
      <c r="BF71" s="32">
        <f t="shared" si="21"/>
        <v>0</v>
      </c>
      <c r="BG71" s="32">
        <f t="shared" si="22"/>
        <v>0</v>
      </c>
      <c r="BH71" s="32">
        <f t="shared" si="23"/>
        <v>0</v>
      </c>
      <c r="BI71" s="32">
        <f t="shared" si="24"/>
        <v>0</v>
      </c>
      <c r="BJ71" s="32">
        <f t="shared" si="25"/>
        <v>0</v>
      </c>
      <c r="BK71" s="32">
        <f t="shared" si="26"/>
        <v>0</v>
      </c>
      <c r="BL71" s="32">
        <f t="shared" si="27"/>
        <v>0</v>
      </c>
      <c r="BM71" s="32">
        <f t="shared" si="28"/>
        <v>0</v>
      </c>
      <c r="BN71" s="32">
        <f t="shared" si="29"/>
        <v>0</v>
      </c>
      <c r="BO71" s="32">
        <f t="shared" si="30"/>
        <v>0</v>
      </c>
      <c r="BP71" s="32">
        <f t="shared" si="31"/>
        <v>0</v>
      </c>
      <c r="BQ71" s="32">
        <f t="shared" si="32"/>
        <v>0</v>
      </c>
      <c r="BR71" s="32">
        <f t="shared" si="33"/>
        <v>0</v>
      </c>
      <c r="BS71" s="32">
        <f t="shared" si="34"/>
        <v>0</v>
      </c>
      <c r="BT71" s="40">
        <f t="shared" si="35"/>
        <v>0</v>
      </c>
    </row>
    <row r="72" spans="1:72">
      <c r="A72" s="6"/>
      <c r="B72" s="31"/>
      <c r="C72" s="31"/>
      <c r="D72" s="1629"/>
      <c r="E72" s="32">
        <f t="shared" si="7"/>
        <v>0</v>
      </c>
      <c r="F72" s="33"/>
      <c r="G72" s="34">
        <f t="shared" si="8"/>
        <v>0</v>
      </c>
      <c r="H72" s="35">
        <f t="shared" si="9"/>
        <v>0</v>
      </c>
      <c r="I72" s="36"/>
      <c r="J72" s="36"/>
      <c r="K72" s="36"/>
      <c r="L72" s="36"/>
      <c r="M72" s="36"/>
      <c r="N72" s="36"/>
      <c r="O72" s="36"/>
      <c r="P72" s="36"/>
      <c r="Q72" s="36"/>
      <c r="R72" s="36"/>
      <c r="S72" s="36"/>
      <c r="T72" s="36"/>
      <c r="U72" s="36"/>
      <c r="V72" s="36"/>
      <c r="W72" s="36"/>
      <c r="X72" s="36"/>
      <c r="Y72" s="36"/>
      <c r="Z72" s="36"/>
      <c r="AA72" s="36"/>
      <c r="AB72" s="36"/>
      <c r="AC72" s="32">
        <f t="shared" si="10"/>
        <v>0</v>
      </c>
      <c r="AD72" s="37"/>
      <c r="AE72" s="37"/>
      <c r="AF72" s="37"/>
      <c r="AG72" s="37"/>
      <c r="AH72" s="37"/>
      <c r="AI72" s="37"/>
      <c r="AJ72" s="37"/>
      <c r="AK72" s="37"/>
      <c r="AL72" s="37"/>
      <c r="AM72" s="37"/>
      <c r="AN72" s="37"/>
      <c r="AO72" s="37"/>
      <c r="AP72" s="37"/>
      <c r="AQ72" s="37"/>
      <c r="AR72" s="37"/>
      <c r="AS72" s="37"/>
      <c r="AT72" s="38"/>
      <c r="AU72" s="1630"/>
      <c r="AV72" s="1342">
        <f t="shared" si="11"/>
        <v>0</v>
      </c>
      <c r="AW72" s="1342">
        <f t="shared" si="12"/>
        <v>0</v>
      </c>
      <c r="AX72" s="1342">
        <f t="shared" si="13"/>
        <v>0</v>
      </c>
      <c r="AY72" s="39">
        <f t="shared" si="14"/>
        <v>0</v>
      </c>
      <c r="AZ72" s="32">
        <f t="shared" si="15"/>
        <v>0</v>
      </c>
      <c r="BA72" s="32">
        <f t="shared" si="16"/>
        <v>0</v>
      </c>
      <c r="BB72" s="32">
        <f t="shared" si="17"/>
        <v>0</v>
      </c>
      <c r="BC72" s="32">
        <f t="shared" si="18"/>
        <v>0</v>
      </c>
      <c r="BD72" s="32">
        <f t="shared" si="19"/>
        <v>0</v>
      </c>
      <c r="BE72" s="32">
        <f t="shared" si="20"/>
        <v>0</v>
      </c>
      <c r="BF72" s="32">
        <f t="shared" si="21"/>
        <v>0</v>
      </c>
      <c r="BG72" s="32">
        <f t="shared" si="22"/>
        <v>0</v>
      </c>
      <c r="BH72" s="32">
        <f t="shared" si="23"/>
        <v>0</v>
      </c>
      <c r="BI72" s="32">
        <f t="shared" si="24"/>
        <v>0</v>
      </c>
      <c r="BJ72" s="32">
        <f t="shared" si="25"/>
        <v>0</v>
      </c>
      <c r="BK72" s="32">
        <f t="shared" si="26"/>
        <v>0</v>
      </c>
      <c r="BL72" s="32">
        <f t="shared" si="27"/>
        <v>0</v>
      </c>
      <c r="BM72" s="32">
        <f t="shared" si="28"/>
        <v>0</v>
      </c>
      <c r="BN72" s="32">
        <f t="shared" si="29"/>
        <v>0</v>
      </c>
      <c r="BO72" s="32">
        <f t="shared" si="30"/>
        <v>0</v>
      </c>
      <c r="BP72" s="32">
        <f t="shared" si="31"/>
        <v>0</v>
      </c>
      <c r="BQ72" s="32">
        <f t="shared" si="32"/>
        <v>0</v>
      </c>
      <c r="BR72" s="32">
        <f t="shared" si="33"/>
        <v>0</v>
      </c>
      <c r="BS72" s="32">
        <f t="shared" si="34"/>
        <v>0</v>
      </c>
      <c r="BT72" s="40">
        <f t="shared" si="35"/>
        <v>0</v>
      </c>
    </row>
    <row r="73" spans="1:72">
      <c r="A73" s="6"/>
      <c r="B73" s="31"/>
      <c r="C73" s="31"/>
      <c r="D73" s="1629"/>
      <c r="E73" s="32">
        <f t="shared" si="7"/>
        <v>0</v>
      </c>
      <c r="F73" s="33"/>
      <c r="G73" s="34">
        <f t="shared" si="8"/>
        <v>0</v>
      </c>
      <c r="H73" s="35">
        <f t="shared" si="9"/>
        <v>0</v>
      </c>
      <c r="I73" s="36"/>
      <c r="J73" s="36"/>
      <c r="K73" s="36"/>
      <c r="L73" s="36"/>
      <c r="M73" s="36"/>
      <c r="N73" s="36"/>
      <c r="O73" s="36"/>
      <c r="P73" s="36"/>
      <c r="Q73" s="36"/>
      <c r="R73" s="36"/>
      <c r="S73" s="36"/>
      <c r="T73" s="36"/>
      <c r="U73" s="36"/>
      <c r="V73" s="36"/>
      <c r="W73" s="36"/>
      <c r="X73" s="36"/>
      <c r="Y73" s="36"/>
      <c r="Z73" s="36"/>
      <c r="AA73" s="36"/>
      <c r="AB73" s="36"/>
      <c r="AC73" s="32">
        <f t="shared" si="10"/>
        <v>0</v>
      </c>
      <c r="AD73" s="37"/>
      <c r="AE73" s="37"/>
      <c r="AF73" s="37"/>
      <c r="AG73" s="37"/>
      <c r="AH73" s="37"/>
      <c r="AI73" s="37"/>
      <c r="AJ73" s="37"/>
      <c r="AK73" s="37"/>
      <c r="AL73" s="37"/>
      <c r="AM73" s="37"/>
      <c r="AN73" s="37"/>
      <c r="AO73" s="37"/>
      <c r="AP73" s="37"/>
      <c r="AQ73" s="37"/>
      <c r="AR73" s="37"/>
      <c r="AS73" s="37"/>
      <c r="AT73" s="38"/>
      <c r="AU73" s="1630"/>
      <c r="AV73" s="1342">
        <f t="shared" si="11"/>
        <v>0</v>
      </c>
      <c r="AW73" s="1342">
        <f t="shared" si="12"/>
        <v>0</v>
      </c>
      <c r="AX73" s="1342">
        <f t="shared" si="13"/>
        <v>0</v>
      </c>
      <c r="AY73" s="39">
        <f t="shared" si="14"/>
        <v>0</v>
      </c>
      <c r="AZ73" s="32">
        <f t="shared" si="15"/>
        <v>0</v>
      </c>
      <c r="BA73" s="32">
        <f t="shared" si="16"/>
        <v>0</v>
      </c>
      <c r="BB73" s="32">
        <f t="shared" si="17"/>
        <v>0</v>
      </c>
      <c r="BC73" s="32">
        <f t="shared" si="18"/>
        <v>0</v>
      </c>
      <c r="BD73" s="32">
        <f t="shared" si="19"/>
        <v>0</v>
      </c>
      <c r="BE73" s="32">
        <f t="shared" si="20"/>
        <v>0</v>
      </c>
      <c r="BF73" s="32">
        <f t="shared" si="21"/>
        <v>0</v>
      </c>
      <c r="BG73" s="32">
        <f t="shared" si="22"/>
        <v>0</v>
      </c>
      <c r="BH73" s="32">
        <f t="shared" si="23"/>
        <v>0</v>
      </c>
      <c r="BI73" s="32">
        <f t="shared" si="24"/>
        <v>0</v>
      </c>
      <c r="BJ73" s="32">
        <f t="shared" si="25"/>
        <v>0</v>
      </c>
      <c r="BK73" s="32">
        <f t="shared" si="26"/>
        <v>0</v>
      </c>
      <c r="BL73" s="32">
        <f t="shared" si="27"/>
        <v>0</v>
      </c>
      <c r="BM73" s="32">
        <f t="shared" si="28"/>
        <v>0</v>
      </c>
      <c r="BN73" s="32">
        <f t="shared" si="29"/>
        <v>0</v>
      </c>
      <c r="BO73" s="32">
        <f t="shared" si="30"/>
        <v>0</v>
      </c>
      <c r="BP73" s="32">
        <f t="shared" si="31"/>
        <v>0</v>
      </c>
      <c r="BQ73" s="32">
        <f t="shared" si="32"/>
        <v>0</v>
      </c>
      <c r="BR73" s="32">
        <f t="shared" si="33"/>
        <v>0</v>
      </c>
      <c r="BS73" s="32">
        <f t="shared" si="34"/>
        <v>0</v>
      </c>
      <c r="BT73" s="40">
        <f t="shared" si="35"/>
        <v>0</v>
      </c>
    </row>
    <row r="74" spans="1:72">
      <c r="A74" s="6"/>
      <c r="B74" s="31"/>
      <c r="C74" s="31"/>
      <c r="D74" s="1629"/>
      <c r="E74" s="32">
        <f t="shared" si="7"/>
        <v>0</v>
      </c>
      <c r="F74" s="33"/>
      <c r="G74" s="34">
        <f t="shared" si="8"/>
        <v>0</v>
      </c>
      <c r="H74" s="35">
        <f t="shared" si="9"/>
        <v>0</v>
      </c>
      <c r="I74" s="36"/>
      <c r="J74" s="36"/>
      <c r="K74" s="36"/>
      <c r="L74" s="36"/>
      <c r="M74" s="36"/>
      <c r="N74" s="36"/>
      <c r="O74" s="36"/>
      <c r="P74" s="36"/>
      <c r="Q74" s="36"/>
      <c r="R74" s="36"/>
      <c r="S74" s="36"/>
      <c r="T74" s="36"/>
      <c r="U74" s="36"/>
      <c r="V74" s="36"/>
      <c r="W74" s="36"/>
      <c r="X74" s="36"/>
      <c r="Y74" s="36"/>
      <c r="Z74" s="36"/>
      <c r="AA74" s="36"/>
      <c r="AB74" s="36"/>
      <c r="AC74" s="32">
        <f t="shared" si="10"/>
        <v>0</v>
      </c>
      <c r="AD74" s="37"/>
      <c r="AE74" s="37"/>
      <c r="AF74" s="37"/>
      <c r="AG74" s="37"/>
      <c r="AH74" s="37"/>
      <c r="AI74" s="37"/>
      <c r="AJ74" s="37"/>
      <c r="AK74" s="37"/>
      <c r="AL74" s="37"/>
      <c r="AM74" s="37"/>
      <c r="AN74" s="37"/>
      <c r="AO74" s="37"/>
      <c r="AP74" s="37"/>
      <c r="AQ74" s="37"/>
      <c r="AR74" s="37"/>
      <c r="AS74" s="37"/>
      <c r="AT74" s="38"/>
      <c r="AU74" s="1630"/>
      <c r="AV74" s="1342">
        <f t="shared" si="11"/>
        <v>0</v>
      </c>
      <c r="AW74" s="1342">
        <f t="shared" si="12"/>
        <v>0</v>
      </c>
      <c r="AX74" s="1342">
        <f t="shared" si="13"/>
        <v>0</v>
      </c>
      <c r="AY74" s="39">
        <f t="shared" si="14"/>
        <v>0</v>
      </c>
      <c r="AZ74" s="32">
        <f t="shared" si="15"/>
        <v>0</v>
      </c>
      <c r="BA74" s="32">
        <f t="shared" si="16"/>
        <v>0</v>
      </c>
      <c r="BB74" s="32">
        <f t="shared" si="17"/>
        <v>0</v>
      </c>
      <c r="BC74" s="32">
        <f t="shared" si="18"/>
        <v>0</v>
      </c>
      <c r="BD74" s="32">
        <f t="shared" si="19"/>
        <v>0</v>
      </c>
      <c r="BE74" s="32">
        <f t="shared" si="20"/>
        <v>0</v>
      </c>
      <c r="BF74" s="32">
        <f t="shared" si="21"/>
        <v>0</v>
      </c>
      <c r="BG74" s="32">
        <f t="shared" si="22"/>
        <v>0</v>
      </c>
      <c r="BH74" s="32">
        <f t="shared" si="23"/>
        <v>0</v>
      </c>
      <c r="BI74" s="32">
        <f t="shared" si="24"/>
        <v>0</v>
      </c>
      <c r="BJ74" s="32">
        <f t="shared" si="25"/>
        <v>0</v>
      </c>
      <c r="BK74" s="32">
        <f t="shared" si="26"/>
        <v>0</v>
      </c>
      <c r="BL74" s="32">
        <f t="shared" si="27"/>
        <v>0</v>
      </c>
      <c r="BM74" s="32">
        <f t="shared" si="28"/>
        <v>0</v>
      </c>
      <c r="BN74" s="32">
        <f t="shared" si="29"/>
        <v>0</v>
      </c>
      <c r="BO74" s="32">
        <f t="shared" si="30"/>
        <v>0</v>
      </c>
      <c r="BP74" s="32">
        <f t="shared" si="31"/>
        <v>0</v>
      </c>
      <c r="BQ74" s="32">
        <f t="shared" si="32"/>
        <v>0</v>
      </c>
      <c r="BR74" s="32">
        <f t="shared" si="33"/>
        <v>0</v>
      </c>
      <c r="BS74" s="32">
        <f t="shared" si="34"/>
        <v>0</v>
      </c>
      <c r="BT74" s="40">
        <f t="shared" si="35"/>
        <v>0</v>
      </c>
    </row>
    <row r="75" spans="1:72">
      <c r="A75" s="6"/>
      <c r="B75" s="31"/>
      <c r="C75" s="31"/>
      <c r="D75" s="1629"/>
      <c r="E75" s="32">
        <f t="shared" si="7"/>
        <v>0</v>
      </c>
      <c r="F75" s="33"/>
      <c r="G75" s="34">
        <f t="shared" si="8"/>
        <v>0</v>
      </c>
      <c r="H75" s="35">
        <f t="shared" si="9"/>
        <v>0</v>
      </c>
      <c r="I75" s="36"/>
      <c r="J75" s="36"/>
      <c r="K75" s="36"/>
      <c r="L75" s="36"/>
      <c r="M75" s="36"/>
      <c r="N75" s="36"/>
      <c r="O75" s="36"/>
      <c r="P75" s="36"/>
      <c r="Q75" s="36"/>
      <c r="R75" s="36"/>
      <c r="S75" s="36"/>
      <c r="T75" s="36"/>
      <c r="U75" s="36"/>
      <c r="V75" s="36"/>
      <c r="W75" s="36"/>
      <c r="X75" s="36"/>
      <c r="Y75" s="36"/>
      <c r="Z75" s="36"/>
      <c r="AA75" s="36"/>
      <c r="AB75" s="36"/>
      <c r="AC75" s="32">
        <f t="shared" si="10"/>
        <v>0</v>
      </c>
      <c r="AD75" s="37"/>
      <c r="AE75" s="37"/>
      <c r="AF75" s="37"/>
      <c r="AG75" s="37"/>
      <c r="AH75" s="37"/>
      <c r="AI75" s="37"/>
      <c r="AJ75" s="37"/>
      <c r="AK75" s="37"/>
      <c r="AL75" s="37"/>
      <c r="AM75" s="37"/>
      <c r="AN75" s="37"/>
      <c r="AO75" s="37"/>
      <c r="AP75" s="37"/>
      <c r="AQ75" s="37"/>
      <c r="AR75" s="37"/>
      <c r="AS75" s="37"/>
      <c r="AT75" s="38"/>
      <c r="AU75" s="1630"/>
      <c r="AV75" s="1342">
        <f t="shared" si="11"/>
        <v>0</v>
      </c>
      <c r="AW75" s="1342">
        <f t="shared" si="12"/>
        <v>0</v>
      </c>
      <c r="AX75" s="1342">
        <f t="shared" si="13"/>
        <v>0</v>
      </c>
      <c r="AY75" s="39">
        <f t="shared" si="14"/>
        <v>0</v>
      </c>
      <c r="AZ75" s="32">
        <f t="shared" si="15"/>
        <v>0</v>
      </c>
      <c r="BA75" s="32">
        <f t="shared" si="16"/>
        <v>0</v>
      </c>
      <c r="BB75" s="32">
        <f t="shared" si="17"/>
        <v>0</v>
      </c>
      <c r="BC75" s="32">
        <f t="shared" si="18"/>
        <v>0</v>
      </c>
      <c r="BD75" s="32">
        <f t="shared" si="19"/>
        <v>0</v>
      </c>
      <c r="BE75" s="32">
        <f t="shared" si="20"/>
        <v>0</v>
      </c>
      <c r="BF75" s="32">
        <f t="shared" si="21"/>
        <v>0</v>
      </c>
      <c r="BG75" s="32">
        <f t="shared" si="22"/>
        <v>0</v>
      </c>
      <c r="BH75" s="32">
        <f t="shared" si="23"/>
        <v>0</v>
      </c>
      <c r="BI75" s="32">
        <f t="shared" si="24"/>
        <v>0</v>
      </c>
      <c r="BJ75" s="32">
        <f t="shared" si="25"/>
        <v>0</v>
      </c>
      <c r="BK75" s="32">
        <f t="shared" si="26"/>
        <v>0</v>
      </c>
      <c r="BL75" s="32">
        <f t="shared" si="27"/>
        <v>0</v>
      </c>
      <c r="BM75" s="32">
        <f t="shared" si="28"/>
        <v>0</v>
      </c>
      <c r="BN75" s="32">
        <f t="shared" si="29"/>
        <v>0</v>
      </c>
      <c r="BO75" s="32">
        <f t="shared" si="30"/>
        <v>0</v>
      </c>
      <c r="BP75" s="32">
        <f t="shared" si="31"/>
        <v>0</v>
      </c>
      <c r="BQ75" s="32">
        <f t="shared" si="32"/>
        <v>0</v>
      </c>
      <c r="BR75" s="32">
        <f t="shared" si="33"/>
        <v>0</v>
      </c>
      <c r="BS75" s="32">
        <f t="shared" si="34"/>
        <v>0</v>
      </c>
      <c r="BT75" s="40">
        <f t="shared" si="35"/>
        <v>0</v>
      </c>
    </row>
    <row r="76" spans="1:72">
      <c r="A76" s="6"/>
      <c r="B76" s="31"/>
      <c r="C76" s="31"/>
      <c r="D76" s="1629"/>
      <c r="E76" s="32">
        <f t="shared" si="7"/>
        <v>0</v>
      </c>
      <c r="F76" s="33"/>
      <c r="G76" s="34">
        <f t="shared" si="8"/>
        <v>0</v>
      </c>
      <c r="H76" s="35">
        <f t="shared" si="9"/>
        <v>0</v>
      </c>
      <c r="I76" s="36"/>
      <c r="J76" s="36"/>
      <c r="K76" s="36"/>
      <c r="L76" s="36"/>
      <c r="M76" s="36"/>
      <c r="N76" s="36"/>
      <c r="O76" s="36"/>
      <c r="P76" s="36"/>
      <c r="Q76" s="36"/>
      <c r="R76" s="36"/>
      <c r="S76" s="36"/>
      <c r="T76" s="36"/>
      <c r="U76" s="36"/>
      <c r="V76" s="36"/>
      <c r="W76" s="36"/>
      <c r="X76" s="36"/>
      <c r="Y76" s="36"/>
      <c r="Z76" s="36"/>
      <c r="AA76" s="36"/>
      <c r="AB76" s="36"/>
      <c r="AC76" s="32">
        <f t="shared" si="10"/>
        <v>0</v>
      </c>
      <c r="AD76" s="37"/>
      <c r="AE76" s="37"/>
      <c r="AF76" s="37"/>
      <c r="AG76" s="37"/>
      <c r="AH76" s="37"/>
      <c r="AI76" s="37"/>
      <c r="AJ76" s="37"/>
      <c r="AK76" s="37"/>
      <c r="AL76" s="37"/>
      <c r="AM76" s="37"/>
      <c r="AN76" s="37"/>
      <c r="AO76" s="37"/>
      <c r="AP76" s="37"/>
      <c r="AQ76" s="37"/>
      <c r="AR76" s="37"/>
      <c r="AS76" s="37"/>
      <c r="AT76" s="38"/>
      <c r="AU76" s="1630"/>
      <c r="AV76" s="1342">
        <f t="shared" si="11"/>
        <v>0</v>
      </c>
      <c r="AW76" s="1342">
        <f t="shared" si="12"/>
        <v>0</v>
      </c>
      <c r="AX76" s="1342">
        <f t="shared" si="13"/>
        <v>0</v>
      </c>
      <c r="AY76" s="39">
        <f t="shared" si="14"/>
        <v>0</v>
      </c>
      <c r="AZ76" s="32">
        <f t="shared" si="15"/>
        <v>0</v>
      </c>
      <c r="BA76" s="32">
        <f t="shared" si="16"/>
        <v>0</v>
      </c>
      <c r="BB76" s="32">
        <f t="shared" si="17"/>
        <v>0</v>
      </c>
      <c r="BC76" s="32">
        <f t="shared" si="18"/>
        <v>0</v>
      </c>
      <c r="BD76" s="32">
        <f t="shared" si="19"/>
        <v>0</v>
      </c>
      <c r="BE76" s="32">
        <f t="shared" si="20"/>
        <v>0</v>
      </c>
      <c r="BF76" s="32">
        <f t="shared" si="21"/>
        <v>0</v>
      </c>
      <c r="BG76" s="32">
        <f t="shared" si="22"/>
        <v>0</v>
      </c>
      <c r="BH76" s="32">
        <f t="shared" si="23"/>
        <v>0</v>
      </c>
      <c r="BI76" s="32">
        <f t="shared" si="24"/>
        <v>0</v>
      </c>
      <c r="BJ76" s="32">
        <f t="shared" si="25"/>
        <v>0</v>
      </c>
      <c r="BK76" s="32">
        <f t="shared" si="26"/>
        <v>0</v>
      </c>
      <c r="BL76" s="32">
        <f t="shared" si="27"/>
        <v>0</v>
      </c>
      <c r="BM76" s="32">
        <f t="shared" si="28"/>
        <v>0</v>
      </c>
      <c r="BN76" s="32">
        <f t="shared" si="29"/>
        <v>0</v>
      </c>
      <c r="BO76" s="32">
        <f t="shared" si="30"/>
        <v>0</v>
      </c>
      <c r="BP76" s="32">
        <f t="shared" si="31"/>
        <v>0</v>
      </c>
      <c r="BQ76" s="32">
        <f t="shared" si="32"/>
        <v>0</v>
      </c>
      <c r="BR76" s="32">
        <f t="shared" si="33"/>
        <v>0</v>
      </c>
      <c r="BS76" s="32">
        <f t="shared" si="34"/>
        <v>0</v>
      </c>
      <c r="BT76" s="40">
        <f t="shared" si="35"/>
        <v>0</v>
      </c>
    </row>
    <row r="77" spans="1:72">
      <c r="A77" s="6"/>
      <c r="B77" s="31"/>
      <c r="C77" s="31"/>
      <c r="D77" s="1629"/>
      <c r="E77" s="32">
        <f t="shared" si="7"/>
        <v>0</v>
      </c>
      <c r="F77" s="33"/>
      <c r="G77" s="34">
        <f t="shared" si="8"/>
        <v>0</v>
      </c>
      <c r="H77" s="35">
        <f t="shared" si="9"/>
        <v>0</v>
      </c>
      <c r="I77" s="36"/>
      <c r="J77" s="36"/>
      <c r="K77" s="36"/>
      <c r="L77" s="36"/>
      <c r="M77" s="36"/>
      <c r="N77" s="36"/>
      <c r="O77" s="36"/>
      <c r="P77" s="36"/>
      <c r="Q77" s="36"/>
      <c r="R77" s="36"/>
      <c r="S77" s="36"/>
      <c r="T77" s="36"/>
      <c r="U77" s="36"/>
      <c r="V77" s="36"/>
      <c r="W77" s="36"/>
      <c r="X77" s="36"/>
      <c r="Y77" s="36"/>
      <c r="Z77" s="36"/>
      <c r="AA77" s="36"/>
      <c r="AB77" s="36"/>
      <c r="AC77" s="32">
        <f t="shared" si="10"/>
        <v>0</v>
      </c>
      <c r="AD77" s="37"/>
      <c r="AE77" s="37"/>
      <c r="AF77" s="37"/>
      <c r="AG77" s="37"/>
      <c r="AH77" s="37"/>
      <c r="AI77" s="37"/>
      <c r="AJ77" s="37"/>
      <c r="AK77" s="37"/>
      <c r="AL77" s="37"/>
      <c r="AM77" s="37"/>
      <c r="AN77" s="37"/>
      <c r="AO77" s="37"/>
      <c r="AP77" s="37"/>
      <c r="AQ77" s="37"/>
      <c r="AR77" s="37"/>
      <c r="AS77" s="37"/>
      <c r="AT77" s="38"/>
      <c r="AU77" s="1630"/>
      <c r="AV77" s="1342">
        <f t="shared" si="11"/>
        <v>0</v>
      </c>
      <c r="AW77" s="1342">
        <f t="shared" si="12"/>
        <v>0</v>
      </c>
      <c r="AX77" s="1342">
        <f t="shared" si="13"/>
        <v>0</v>
      </c>
      <c r="AY77" s="39">
        <f t="shared" si="14"/>
        <v>0</v>
      </c>
      <c r="AZ77" s="32">
        <f t="shared" si="15"/>
        <v>0</v>
      </c>
      <c r="BA77" s="32">
        <f t="shared" si="16"/>
        <v>0</v>
      </c>
      <c r="BB77" s="32">
        <f t="shared" si="17"/>
        <v>0</v>
      </c>
      <c r="BC77" s="32">
        <f t="shared" si="18"/>
        <v>0</v>
      </c>
      <c r="BD77" s="32">
        <f t="shared" si="19"/>
        <v>0</v>
      </c>
      <c r="BE77" s="32">
        <f t="shared" si="20"/>
        <v>0</v>
      </c>
      <c r="BF77" s="32">
        <f t="shared" si="21"/>
        <v>0</v>
      </c>
      <c r="BG77" s="32">
        <f t="shared" si="22"/>
        <v>0</v>
      </c>
      <c r="BH77" s="32">
        <f t="shared" si="23"/>
        <v>0</v>
      </c>
      <c r="BI77" s="32">
        <f t="shared" si="24"/>
        <v>0</v>
      </c>
      <c r="BJ77" s="32">
        <f t="shared" si="25"/>
        <v>0</v>
      </c>
      <c r="BK77" s="32">
        <f t="shared" si="26"/>
        <v>0</v>
      </c>
      <c r="BL77" s="32">
        <f t="shared" si="27"/>
        <v>0</v>
      </c>
      <c r="BM77" s="32">
        <f t="shared" si="28"/>
        <v>0</v>
      </c>
      <c r="BN77" s="32">
        <f t="shared" si="29"/>
        <v>0</v>
      </c>
      <c r="BO77" s="32">
        <f t="shared" si="30"/>
        <v>0</v>
      </c>
      <c r="BP77" s="32">
        <f t="shared" si="31"/>
        <v>0</v>
      </c>
      <c r="BQ77" s="32">
        <f t="shared" si="32"/>
        <v>0</v>
      </c>
      <c r="BR77" s="32">
        <f t="shared" si="33"/>
        <v>0</v>
      </c>
      <c r="BS77" s="32">
        <f t="shared" si="34"/>
        <v>0</v>
      </c>
      <c r="BT77" s="40">
        <f t="shared" si="35"/>
        <v>0</v>
      </c>
    </row>
    <row r="78" spans="1:72">
      <c r="A78" s="6"/>
      <c r="B78" s="31"/>
      <c r="C78" s="31"/>
      <c r="D78" s="1629"/>
      <c r="E78" s="32">
        <f t="shared" si="7"/>
        <v>0</v>
      </c>
      <c r="F78" s="33"/>
      <c r="G78" s="34">
        <f t="shared" si="8"/>
        <v>0</v>
      </c>
      <c r="H78" s="35">
        <f t="shared" si="9"/>
        <v>0</v>
      </c>
      <c r="I78" s="36"/>
      <c r="J78" s="36"/>
      <c r="K78" s="36"/>
      <c r="L78" s="36"/>
      <c r="M78" s="36"/>
      <c r="N78" s="36"/>
      <c r="O78" s="36"/>
      <c r="P78" s="36"/>
      <c r="Q78" s="36"/>
      <c r="R78" s="36"/>
      <c r="S78" s="36"/>
      <c r="T78" s="36"/>
      <c r="U78" s="36"/>
      <c r="V78" s="36"/>
      <c r="W78" s="36"/>
      <c r="X78" s="36"/>
      <c r="Y78" s="36"/>
      <c r="Z78" s="36"/>
      <c r="AA78" s="36"/>
      <c r="AB78" s="36"/>
      <c r="AC78" s="32">
        <f t="shared" si="10"/>
        <v>0</v>
      </c>
      <c r="AD78" s="37"/>
      <c r="AE78" s="37"/>
      <c r="AF78" s="37"/>
      <c r="AG78" s="37"/>
      <c r="AH78" s="37"/>
      <c r="AI78" s="37"/>
      <c r="AJ78" s="37"/>
      <c r="AK78" s="37"/>
      <c r="AL78" s="37"/>
      <c r="AM78" s="37"/>
      <c r="AN78" s="37"/>
      <c r="AO78" s="37"/>
      <c r="AP78" s="37"/>
      <c r="AQ78" s="37"/>
      <c r="AR78" s="37"/>
      <c r="AS78" s="37"/>
      <c r="AT78" s="38"/>
      <c r="AU78" s="1630"/>
      <c r="AV78" s="1342">
        <f t="shared" si="11"/>
        <v>0</v>
      </c>
      <c r="AW78" s="1342">
        <f t="shared" si="12"/>
        <v>0</v>
      </c>
      <c r="AX78" s="1342">
        <f t="shared" si="13"/>
        <v>0</v>
      </c>
      <c r="AY78" s="39">
        <f t="shared" si="14"/>
        <v>0</v>
      </c>
      <c r="AZ78" s="32">
        <f t="shared" si="15"/>
        <v>0</v>
      </c>
      <c r="BA78" s="32">
        <f t="shared" si="16"/>
        <v>0</v>
      </c>
      <c r="BB78" s="32">
        <f t="shared" si="17"/>
        <v>0</v>
      </c>
      <c r="BC78" s="32">
        <f t="shared" si="18"/>
        <v>0</v>
      </c>
      <c r="BD78" s="32">
        <f t="shared" si="19"/>
        <v>0</v>
      </c>
      <c r="BE78" s="32">
        <f t="shared" si="20"/>
        <v>0</v>
      </c>
      <c r="BF78" s="32">
        <f t="shared" si="21"/>
        <v>0</v>
      </c>
      <c r="BG78" s="32">
        <f t="shared" si="22"/>
        <v>0</v>
      </c>
      <c r="BH78" s="32">
        <f t="shared" si="23"/>
        <v>0</v>
      </c>
      <c r="BI78" s="32">
        <f t="shared" si="24"/>
        <v>0</v>
      </c>
      <c r="BJ78" s="32">
        <f t="shared" si="25"/>
        <v>0</v>
      </c>
      <c r="BK78" s="32">
        <f t="shared" si="26"/>
        <v>0</v>
      </c>
      <c r="BL78" s="32">
        <f t="shared" si="27"/>
        <v>0</v>
      </c>
      <c r="BM78" s="32">
        <f t="shared" si="28"/>
        <v>0</v>
      </c>
      <c r="BN78" s="32">
        <f t="shared" si="29"/>
        <v>0</v>
      </c>
      <c r="BO78" s="32">
        <f t="shared" si="30"/>
        <v>0</v>
      </c>
      <c r="BP78" s="32">
        <f t="shared" si="31"/>
        <v>0</v>
      </c>
      <c r="BQ78" s="32">
        <f t="shared" si="32"/>
        <v>0</v>
      </c>
      <c r="BR78" s="32">
        <f t="shared" si="33"/>
        <v>0</v>
      </c>
      <c r="BS78" s="32">
        <f t="shared" si="34"/>
        <v>0</v>
      </c>
      <c r="BT78" s="40">
        <f t="shared" si="35"/>
        <v>0</v>
      </c>
    </row>
    <row r="79" spans="1:72">
      <c r="A79" s="6"/>
      <c r="B79" s="31"/>
      <c r="C79" s="31"/>
      <c r="D79" s="1629"/>
      <c r="E79" s="32">
        <f t="shared" si="7"/>
        <v>0</v>
      </c>
      <c r="F79" s="33"/>
      <c r="G79" s="34">
        <f t="shared" si="8"/>
        <v>0</v>
      </c>
      <c r="H79" s="35">
        <f t="shared" si="9"/>
        <v>0</v>
      </c>
      <c r="I79" s="36"/>
      <c r="J79" s="36"/>
      <c r="K79" s="36"/>
      <c r="L79" s="36"/>
      <c r="M79" s="36"/>
      <c r="N79" s="36"/>
      <c r="O79" s="36"/>
      <c r="P79" s="36"/>
      <c r="Q79" s="36"/>
      <c r="R79" s="36"/>
      <c r="S79" s="36"/>
      <c r="T79" s="36"/>
      <c r="U79" s="36"/>
      <c r="V79" s="36"/>
      <c r="W79" s="36"/>
      <c r="X79" s="36"/>
      <c r="Y79" s="36"/>
      <c r="Z79" s="36"/>
      <c r="AA79" s="36"/>
      <c r="AB79" s="36"/>
      <c r="AC79" s="32">
        <f t="shared" si="10"/>
        <v>0</v>
      </c>
      <c r="AD79" s="37"/>
      <c r="AE79" s="37"/>
      <c r="AF79" s="37"/>
      <c r="AG79" s="37"/>
      <c r="AH79" s="37"/>
      <c r="AI79" s="37"/>
      <c r="AJ79" s="37"/>
      <c r="AK79" s="37"/>
      <c r="AL79" s="37"/>
      <c r="AM79" s="37"/>
      <c r="AN79" s="37"/>
      <c r="AO79" s="37"/>
      <c r="AP79" s="37"/>
      <c r="AQ79" s="37"/>
      <c r="AR79" s="37"/>
      <c r="AS79" s="37"/>
      <c r="AT79" s="38"/>
      <c r="AU79" s="1630"/>
      <c r="AV79" s="1342">
        <f t="shared" si="11"/>
        <v>0</v>
      </c>
      <c r="AW79" s="1342">
        <f t="shared" si="12"/>
        <v>0</v>
      </c>
      <c r="AX79" s="1342">
        <f t="shared" si="13"/>
        <v>0</v>
      </c>
      <c r="AY79" s="39">
        <f t="shared" si="14"/>
        <v>0</v>
      </c>
      <c r="AZ79" s="32">
        <f t="shared" si="15"/>
        <v>0</v>
      </c>
      <c r="BA79" s="32">
        <f t="shared" si="16"/>
        <v>0</v>
      </c>
      <c r="BB79" s="32">
        <f t="shared" si="17"/>
        <v>0</v>
      </c>
      <c r="BC79" s="32">
        <f t="shared" si="18"/>
        <v>0</v>
      </c>
      <c r="BD79" s="32">
        <f t="shared" si="19"/>
        <v>0</v>
      </c>
      <c r="BE79" s="32">
        <f t="shared" si="20"/>
        <v>0</v>
      </c>
      <c r="BF79" s="32">
        <f t="shared" si="21"/>
        <v>0</v>
      </c>
      <c r="BG79" s="32">
        <f t="shared" si="22"/>
        <v>0</v>
      </c>
      <c r="BH79" s="32">
        <f t="shared" si="23"/>
        <v>0</v>
      </c>
      <c r="BI79" s="32">
        <f t="shared" si="24"/>
        <v>0</v>
      </c>
      <c r="BJ79" s="32">
        <f t="shared" si="25"/>
        <v>0</v>
      </c>
      <c r="BK79" s="32">
        <f t="shared" si="26"/>
        <v>0</v>
      </c>
      <c r="BL79" s="32">
        <f t="shared" si="27"/>
        <v>0</v>
      </c>
      <c r="BM79" s="32">
        <f t="shared" si="28"/>
        <v>0</v>
      </c>
      <c r="BN79" s="32">
        <f t="shared" si="29"/>
        <v>0</v>
      </c>
      <c r="BO79" s="32">
        <f t="shared" si="30"/>
        <v>0</v>
      </c>
      <c r="BP79" s="32">
        <f t="shared" si="31"/>
        <v>0</v>
      </c>
      <c r="BQ79" s="32">
        <f t="shared" si="32"/>
        <v>0</v>
      </c>
      <c r="BR79" s="32">
        <f t="shared" si="33"/>
        <v>0</v>
      </c>
      <c r="BS79" s="32">
        <f t="shared" si="34"/>
        <v>0</v>
      </c>
      <c r="BT79" s="40">
        <f t="shared" si="35"/>
        <v>0</v>
      </c>
    </row>
    <row r="80" spans="1:72">
      <c r="A80" s="6"/>
      <c r="B80" s="31"/>
      <c r="C80" s="31"/>
      <c r="D80" s="1629"/>
      <c r="E80" s="32">
        <f t="shared" si="7"/>
        <v>0</v>
      </c>
      <c r="F80" s="33"/>
      <c r="G80" s="34">
        <f t="shared" si="8"/>
        <v>0</v>
      </c>
      <c r="H80" s="35">
        <f t="shared" si="9"/>
        <v>0</v>
      </c>
      <c r="I80" s="36"/>
      <c r="J80" s="36"/>
      <c r="K80" s="36"/>
      <c r="L80" s="36"/>
      <c r="M80" s="36"/>
      <c r="N80" s="36"/>
      <c r="O80" s="36"/>
      <c r="P80" s="36"/>
      <c r="Q80" s="36"/>
      <c r="R80" s="36"/>
      <c r="S80" s="36"/>
      <c r="T80" s="36"/>
      <c r="U80" s="36"/>
      <c r="V80" s="36"/>
      <c r="W80" s="36"/>
      <c r="X80" s="36"/>
      <c r="Y80" s="36"/>
      <c r="Z80" s="36"/>
      <c r="AA80" s="36"/>
      <c r="AB80" s="36"/>
      <c r="AC80" s="32">
        <f t="shared" si="10"/>
        <v>0</v>
      </c>
      <c r="AD80" s="37"/>
      <c r="AE80" s="37"/>
      <c r="AF80" s="37"/>
      <c r="AG80" s="37"/>
      <c r="AH80" s="37"/>
      <c r="AI80" s="37"/>
      <c r="AJ80" s="37"/>
      <c r="AK80" s="37"/>
      <c r="AL80" s="37"/>
      <c r="AM80" s="37"/>
      <c r="AN80" s="37"/>
      <c r="AO80" s="37"/>
      <c r="AP80" s="37"/>
      <c r="AQ80" s="37"/>
      <c r="AR80" s="37"/>
      <c r="AS80" s="37"/>
      <c r="AT80" s="38"/>
      <c r="AU80" s="1630"/>
      <c r="AV80" s="1342">
        <f t="shared" si="11"/>
        <v>0</v>
      </c>
      <c r="AW80" s="1342">
        <f t="shared" si="12"/>
        <v>0</v>
      </c>
      <c r="AX80" s="1342">
        <f t="shared" si="13"/>
        <v>0</v>
      </c>
      <c r="AY80" s="39">
        <f t="shared" si="14"/>
        <v>0</v>
      </c>
      <c r="AZ80" s="32">
        <f t="shared" si="15"/>
        <v>0</v>
      </c>
      <c r="BA80" s="32">
        <f t="shared" si="16"/>
        <v>0</v>
      </c>
      <c r="BB80" s="32">
        <f t="shared" si="17"/>
        <v>0</v>
      </c>
      <c r="BC80" s="32">
        <f t="shared" si="18"/>
        <v>0</v>
      </c>
      <c r="BD80" s="32">
        <f t="shared" si="19"/>
        <v>0</v>
      </c>
      <c r="BE80" s="32">
        <f t="shared" si="20"/>
        <v>0</v>
      </c>
      <c r="BF80" s="32">
        <f t="shared" si="21"/>
        <v>0</v>
      </c>
      <c r="BG80" s="32">
        <f t="shared" si="22"/>
        <v>0</v>
      </c>
      <c r="BH80" s="32">
        <f t="shared" si="23"/>
        <v>0</v>
      </c>
      <c r="BI80" s="32">
        <f t="shared" si="24"/>
        <v>0</v>
      </c>
      <c r="BJ80" s="32">
        <f t="shared" si="25"/>
        <v>0</v>
      </c>
      <c r="BK80" s="32">
        <f t="shared" si="26"/>
        <v>0</v>
      </c>
      <c r="BL80" s="32">
        <f t="shared" si="27"/>
        <v>0</v>
      </c>
      <c r="BM80" s="32">
        <f t="shared" si="28"/>
        <v>0</v>
      </c>
      <c r="BN80" s="32">
        <f t="shared" si="29"/>
        <v>0</v>
      </c>
      <c r="BO80" s="32">
        <f t="shared" si="30"/>
        <v>0</v>
      </c>
      <c r="BP80" s="32">
        <f t="shared" si="31"/>
        <v>0</v>
      </c>
      <c r="BQ80" s="32">
        <f t="shared" si="32"/>
        <v>0</v>
      </c>
      <c r="BR80" s="32">
        <f t="shared" si="33"/>
        <v>0</v>
      </c>
      <c r="BS80" s="32">
        <f t="shared" si="34"/>
        <v>0</v>
      </c>
      <c r="BT80" s="40">
        <f t="shared" si="35"/>
        <v>0</v>
      </c>
    </row>
    <row r="81" spans="1:72">
      <c r="A81" s="6"/>
      <c r="B81" s="31"/>
      <c r="C81" s="31"/>
      <c r="D81" s="1629"/>
      <c r="E81" s="32">
        <f t="shared" si="7"/>
        <v>0</v>
      </c>
      <c r="F81" s="33"/>
      <c r="G81" s="34">
        <f t="shared" si="8"/>
        <v>0</v>
      </c>
      <c r="H81" s="35">
        <f t="shared" si="9"/>
        <v>0</v>
      </c>
      <c r="I81" s="36"/>
      <c r="J81" s="36"/>
      <c r="K81" s="36"/>
      <c r="L81" s="36"/>
      <c r="M81" s="36"/>
      <c r="N81" s="36"/>
      <c r="O81" s="36"/>
      <c r="P81" s="36"/>
      <c r="Q81" s="36"/>
      <c r="R81" s="36"/>
      <c r="S81" s="36"/>
      <c r="T81" s="36"/>
      <c r="U81" s="36"/>
      <c r="V81" s="36"/>
      <c r="W81" s="36"/>
      <c r="X81" s="36"/>
      <c r="Y81" s="36"/>
      <c r="Z81" s="36"/>
      <c r="AA81" s="36"/>
      <c r="AB81" s="36"/>
      <c r="AC81" s="32">
        <f t="shared" si="10"/>
        <v>0</v>
      </c>
      <c r="AD81" s="37"/>
      <c r="AE81" s="37"/>
      <c r="AF81" s="37"/>
      <c r="AG81" s="37"/>
      <c r="AH81" s="37"/>
      <c r="AI81" s="37"/>
      <c r="AJ81" s="37"/>
      <c r="AK81" s="37"/>
      <c r="AL81" s="37"/>
      <c r="AM81" s="37"/>
      <c r="AN81" s="37"/>
      <c r="AO81" s="37"/>
      <c r="AP81" s="37"/>
      <c r="AQ81" s="37"/>
      <c r="AR81" s="37"/>
      <c r="AS81" s="37"/>
      <c r="AT81" s="38"/>
      <c r="AU81" s="1630"/>
      <c r="AV81" s="1342">
        <f t="shared" si="11"/>
        <v>0</v>
      </c>
      <c r="AW81" s="1342">
        <f t="shared" si="12"/>
        <v>0</v>
      </c>
      <c r="AX81" s="1342">
        <f t="shared" si="13"/>
        <v>0</v>
      </c>
      <c r="AY81" s="39">
        <f t="shared" si="14"/>
        <v>0</v>
      </c>
      <c r="AZ81" s="32">
        <f t="shared" si="15"/>
        <v>0</v>
      </c>
      <c r="BA81" s="32">
        <f t="shared" si="16"/>
        <v>0</v>
      </c>
      <c r="BB81" s="32">
        <f t="shared" si="17"/>
        <v>0</v>
      </c>
      <c r="BC81" s="32">
        <f t="shared" si="18"/>
        <v>0</v>
      </c>
      <c r="BD81" s="32">
        <f t="shared" si="19"/>
        <v>0</v>
      </c>
      <c r="BE81" s="32">
        <f t="shared" si="20"/>
        <v>0</v>
      </c>
      <c r="BF81" s="32">
        <f t="shared" si="21"/>
        <v>0</v>
      </c>
      <c r="BG81" s="32">
        <f t="shared" si="22"/>
        <v>0</v>
      </c>
      <c r="BH81" s="32">
        <f t="shared" si="23"/>
        <v>0</v>
      </c>
      <c r="BI81" s="32">
        <f t="shared" si="24"/>
        <v>0</v>
      </c>
      <c r="BJ81" s="32">
        <f t="shared" si="25"/>
        <v>0</v>
      </c>
      <c r="BK81" s="32">
        <f t="shared" si="26"/>
        <v>0</v>
      </c>
      <c r="BL81" s="32">
        <f t="shared" si="27"/>
        <v>0</v>
      </c>
      <c r="BM81" s="32">
        <f t="shared" si="28"/>
        <v>0</v>
      </c>
      <c r="BN81" s="32">
        <f t="shared" si="29"/>
        <v>0</v>
      </c>
      <c r="BO81" s="32">
        <f t="shared" si="30"/>
        <v>0</v>
      </c>
      <c r="BP81" s="32">
        <f t="shared" si="31"/>
        <v>0</v>
      </c>
      <c r="BQ81" s="32">
        <f t="shared" si="32"/>
        <v>0</v>
      </c>
      <c r="BR81" s="32">
        <f t="shared" si="33"/>
        <v>0</v>
      </c>
      <c r="BS81" s="32">
        <f t="shared" si="34"/>
        <v>0</v>
      </c>
      <c r="BT81" s="40">
        <f t="shared" si="35"/>
        <v>0</v>
      </c>
    </row>
    <row r="82" spans="1:72">
      <c r="A82" s="6"/>
      <c r="B82" s="31"/>
      <c r="C82" s="31"/>
      <c r="D82" s="1629"/>
      <c r="E82" s="32">
        <f t="shared" si="7"/>
        <v>0</v>
      </c>
      <c r="F82" s="33"/>
      <c r="G82" s="34">
        <f t="shared" si="8"/>
        <v>0</v>
      </c>
      <c r="H82" s="35">
        <f t="shared" si="9"/>
        <v>0</v>
      </c>
      <c r="I82" s="36"/>
      <c r="J82" s="36"/>
      <c r="K82" s="36"/>
      <c r="L82" s="36"/>
      <c r="M82" s="36"/>
      <c r="N82" s="36"/>
      <c r="O82" s="36"/>
      <c r="P82" s="36"/>
      <c r="Q82" s="36"/>
      <c r="R82" s="36"/>
      <c r="S82" s="36"/>
      <c r="T82" s="36"/>
      <c r="U82" s="36"/>
      <c r="V82" s="36"/>
      <c r="W82" s="36"/>
      <c r="X82" s="36"/>
      <c r="Y82" s="36"/>
      <c r="Z82" s="36"/>
      <c r="AA82" s="36"/>
      <c r="AB82" s="36"/>
      <c r="AC82" s="32">
        <f t="shared" si="10"/>
        <v>0</v>
      </c>
      <c r="AD82" s="37"/>
      <c r="AE82" s="37"/>
      <c r="AF82" s="37"/>
      <c r="AG82" s="37"/>
      <c r="AH82" s="37"/>
      <c r="AI82" s="37"/>
      <c r="AJ82" s="37"/>
      <c r="AK82" s="37"/>
      <c r="AL82" s="37"/>
      <c r="AM82" s="37"/>
      <c r="AN82" s="37"/>
      <c r="AO82" s="37"/>
      <c r="AP82" s="37"/>
      <c r="AQ82" s="37"/>
      <c r="AR82" s="37"/>
      <c r="AS82" s="37"/>
      <c r="AT82" s="38"/>
      <c r="AU82" s="1630"/>
      <c r="AV82" s="1342">
        <f t="shared" si="11"/>
        <v>0</v>
      </c>
      <c r="AW82" s="1342">
        <f t="shared" si="12"/>
        <v>0</v>
      </c>
      <c r="AX82" s="1342">
        <f t="shared" si="13"/>
        <v>0</v>
      </c>
      <c r="AY82" s="39">
        <f t="shared" si="14"/>
        <v>0</v>
      </c>
      <c r="AZ82" s="32">
        <f t="shared" si="15"/>
        <v>0</v>
      </c>
      <c r="BA82" s="32">
        <f t="shared" si="16"/>
        <v>0</v>
      </c>
      <c r="BB82" s="32">
        <f t="shared" si="17"/>
        <v>0</v>
      </c>
      <c r="BC82" s="32">
        <f t="shared" si="18"/>
        <v>0</v>
      </c>
      <c r="BD82" s="32">
        <f t="shared" si="19"/>
        <v>0</v>
      </c>
      <c r="BE82" s="32">
        <f t="shared" si="20"/>
        <v>0</v>
      </c>
      <c r="BF82" s="32">
        <f t="shared" si="21"/>
        <v>0</v>
      </c>
      <c r="BG82" s="32">
        <f t="shared" si="22"/>
        <v>0</v>
      </c>
      <c r="BH82" s="32">
        <f t="shared" si="23"/>
        <v>0</v>
      </c>
      <c r="BI82" s="32">
        <f t="shared" si="24"/>
        <v>0</v>
      </c>
      <c r="BJ82" s="32">
        <f t="shared" si="25"/>
        <v>0</v>
      </c>
      <c r="BK82" s="32">
        <f t="shared" si="26"/>
        <v>0</v>
      </c>
      <c r="BL82" s="32">
        <f t="shared" si="27"/>
        <v>0</v>
      </c>
      <c r="BM82" s="32">
        <f t="shared" si="28"/>
        <v>0</v>
      </c>
      <c r="BN82" s="32">
        <f t="shared" si="29"/>
        <v>0</v>
      </c>
      <c r="BO82" s="32">
        <f t="shared" si="30"/>
        <v>0</v>
      </c>
      <c r="BP82" s="32">
        <f t="shared" si="31"/>
        <v>0</v>
      </c>
      <c r="BQ82" s="32">
        <f t="shared" si="32"/>
        <v>0</v>
      </c>
      <c r="BR82" s="32">
        <f t="shared" si="33"/>
        <v>0</v>
      </c>
      <c r="BS82" s="32">
        <f t="shared" si="34"/>
        <v>0</v>
      </c>
      <c r="BT82" s="40">
        <f t="shared" si="35"/>
        <v>0</v>
      </c>
    </row>
    <row r="83" spans="1:72">
      <c r="A83" s="6"/>
      <c r="B83" s="31"/>
      <c r="C83" s="31"/>
      <c r="D83" s="1629"/>
      <c r="E83" s="32">
        <f t="shared" si="7"/>
        <v>0</v>
      </c>
      <c r="F83" s="33"/>
      <c r="G83" s="34">
        <f t="shared" si="8"/>
        <v>0</v>
      </c>
      <c r="H83" s="35">
        <f t="shared" si="9"/>
        <v>0</v>
      </c>
      <c r="I83" s="36"/>
      <c r="J83" s="36"/>
      <c r="K83" s="36"/>
      <c r="L83" s="36"/>
      <c r="M83" s="36"/>
      <c r="N83" s="36"/>
      <c r="O83" s="36"/>
      <c r="P83" s="36"/>
      <c r="Q83" s="36"/>
      <c r="R83" s="36"/>
      <c r="S83" s="36"/>
      <c r="T83" s="36"/>
      <c r="U83" s="36"/>
      <c r="V83" s="36"/>
      <c r="W83" s="36"/>
      <c r="X83" s="36"/>
      <c r="Y83" s="36"/>
      <c r="Z83" s="36"/>
      <c r="AA83" s="36"/>
      <c r="AB83" s="36"/>
      <c r="AC83" s="32">
        <f t="shared" si="10"/>
        <v>0</v>
      </c>
      <c r="AD83" s="37"/>
      <c r="AE83" s="37"/>
      <c r="AF83" s="37"/>
      <c r="AG83" s="37"/>
      <c r="AH83" s="37"/>
      <c r="AI83" s="37"/>
      <c r="AJ83" s="37"/>
      <c r="AK83" s="37"/>
      <c r="AL83" s="37"/>
      <c r="AM83" s="37"/>
      <c r="AN83" s="37"/>
      <c r="AO83" s="37"/>
      <c r="AP83" s="37"/>
      <c r="AQ83" s="37"/>
      <c r="AR83" s="37"/>
      <c r="AS83" s="37"/>
      <c r="AT83" s="38"/>
      <c r="AU83" s="1630"/>
      <c r="AV83" s="1342">
        <f t="shared" si="11"/>
        <v>0</v>
      </c>
      <c r="AW83" s="1342">
        <f t="shared" si="12"/>
        <v>0</v>
      </c>
      <c r="AX83" s="1342">
        <f t="shared" si="13"/>
        <v>0</v>
      </c>
      <c r="AY83" s="39">
        <f t="shared" si="14"/>
        <v>0</v>
      </c>
      <c r="AZ83" s="32">
        <f t="shared" si="15"/>
        <v>0</v>
      </c>
      <c r="BA83" s="32">
        <f t="shared" si="16"/>
        <v>0</v>
      </c>
      <c r="BB83" s="32">
        <f t="shared" si="17"/>
        <v>0</v>
      </c>
      <c r="BC83" s="32">
        <f t="shared" si="18"/>
        <v>0</v>
      </c>
      <c r="BD83" s="32">
        <f t="shared" si="19"/>
        <v>0</v>
      </c>
      <c r="BE83" s="32">
        <f t="shared" si="20"/>
        <v>0</v>
      </c>
      <c r="BF83" s="32">
        <f t="shared" si="21"/>
        <v>0</v>
      </c>
      <c r="BG83" s="32">
        <f t="shared" si="22"/>
        <v>0</v>
      </c>
      <c r="BH83" s="32">
        <f t="shared" si="23"/>
        <v>0</v>
      </c>
      <c r="BI83" s="32">
        <f t="shared" si="24"/>
        <v>0</v>
      </c>
      <c r="BJ83" s="32">
        <f t="shared" si="25"/>
        <v>0</v>
      </c>
      <c r="BK83" s="32">
        <f t="shared" si="26"/>
        <v>0</v>
      </c>
      <c r="BL83" s="32">
        <f t="shared" si="27"/>
        <v>0</v>
      </c>
      <c r="BM83" s="32">
        <f t="shared" si="28"/>
        <v>0</v>
      </c>
      <c r="BN83" s="32">
        <f t="shared" si="29"/>
        <v>0</v>
      </c>
      <c r="BO83" s="32">
        <f t="shared" si="30"/>
        <v>0</v>
      </c>
      <c r="BP83" s="32">
        <f t="shared" si="31"/>
        <v>0</v>
      </c>
      <c r="BQ83" s="32">
        <f t="shared" si="32"/>
        <v>0</v>
      </c>
      <c r="BR83" s="32">
        <f t="shared" si="33"/>
        <v>0</v>
      </c>
      <c r="BS83" s="32">
        <f t="shared" si="34"/>
        <v>0</v>
      </c>
      <c r="BT83" s="40">
        <f t="shared" si="35"/>
        <v>0</v>
      </c>
    </row>
    <row r="84" spans="1:72">
      <c r="A84" s="6"/>
      <c r="B84" s="31"/>
      <c r="C84" s="31"/>
      <c r="D84" s="1629"/>
      <c r="E84" s="32">
        <f t="shared" si="7"/>
        <v>0</v>
      </c>
      <c r="F84" s="33"/>
      <c r="G84" s="34">
        <f t="shared" si="8"/>
        <v>0</v>
      </c>
      <c r="H84" s="35">
        <f t="shared" si="9"/>
        <v>0</v>
      </c>
      <c r="I84" s="36"/>
      <c r="J84" s="36"/>
      <c r="K84" s="36"/>
      <c r="L84" s="36"/>
      <c r="M84" s="36"/>
      <c r="N84" s="36"/>
      <c r="O84" s="36"/>
      <c r="P84" s="36"/>
      <c r="Q84" s="36"/>
      <c r="R84" s="36"/>
      <c r="S84" s="36"/>
      <c r="T84" s="36"/>
      <c r="U84" s="36"/>
      <c r="V84" s="36"/>
      <c r="W84" s="36"/>
      <c r="X84" s="36"/>
      <c r="Y84" s="36"/>
      <c r="Z84" s="36"/>
      <c r="AA84" s="36"/>
      <c r="AB84" s="36"/>
      <c r="AC84" s="32">
        <f t="shared" si="10"/>
        <v>0</v>
      </c>
      <c r="AD84" s="37"/>
      <c r="AE84" s="37"/>
      <c r="AF84" s="37"/>
      <c r="AG84" s="37"/>
      <c r="AH84" s="37"/>
      <c r="AI84" s="37"/>
      <c r="AJ84" s="37"/>
      <c r="AK84" s="37"/>
      <c r="AL84" s="37"/>
      <c r="AM84" s="37"/>
      <c r="AN84" s="37"/>
      <c r="AO84" s="37"/>
      <c r="AP84" s="37"/>
      <c r="AQ84" s="37"/>
      <c r="AR84" s="37"/>
      <c r="AS84" s="37"/>
      <c r="AT84" s="38"/>
      <c r="AU84" s="1630"/>
      <c r="AV84" s="1342">
        <f t="shared" si="11"/>
        <v>0</v>
      </c>
      <c r="AW84" s="1342">
        <f t="shared" si="12"/>
        <v>0</v>
      </c>
      <c r="AX84" s="1342">
        <f t="shared" si="13"/>
        <v>0</v>
      </c>
      <c r="AY84" s="39">
        <f t="shared" si="14"/>
        <v>0</v>
      </c>
      <c r="AZ84" s="32">
        <f t="shared" si="15"/>
        <v>0</v>
      </c>
      <c r="BA84" s="32">
        <f t="shared" si="16"/>
        <v>0</v>
      </c>
      <c r="BB84" s="32">
        <f t="shared" si="17"/>
        <v>0</v>
      </c>
      <c r="BC84" s="32">
        <f t="shared" si="18"/>
        <v>0</v>
      </c>
      <c r="BD84" s="32">
        <f t="shared" si="19"/>
        <v>0</v>
      </c>
      <c r="BE84" s="32">
        <f t="shared" si="20"/>
        <v>0</v>
      </c>
      <c r="BF84" s="32">
        <f t="shared" si="21"/>
        <v>0</v>
      </c>
      <c r="BG84" s="32">
        <f t="shared" si="22"/>
        <v>0</v>
      </c>
      <c r="BH84" s="32">
        <f t="shared" si="23"/>
        <v>0</v>
      </c>
      <c r="BI84" s="32">
        <f t="shared" si="24"/>
        <v>0</v>
      </c>
      <c r="BJ84" s="32">
        <f t="shared" si="25"/>
        <v>0</v>
      </c>
      <c r="BK84" s="32">
        <f t="shared" si="26"/>
        <v>0</v>
      </c>
      <c r="BL84" s="32">
        <f t="shared" si="27"/>
        <v>0</v>
      </c>
      <c r="BM84" s="32">
        <f t="shared" si="28"/>
        <v>0</v>
      </c>
      <c r="BN84" s="32">
        <f t="shared" si="29"/>
        <v>0</v>
      </c>
      <c r="BO84" s="32">
        <f t="shared" si="30"/>
        <v>0</v>
      </c>
      <c r="BP84" s="32">
        <f t="shared" si="31"/>
        <v>0</v>
      </c>
      <c r="BQ84" s="32">
        <f t="shared" si="32"/>
        <v>0</v>
      </c>
      <c r="BR84" s="32">
        <f t="shared" si="33"/>
        <v>0</v>
      </c>
      <c r="BS84" s="32">
        <f t="shared" si="34"/>
        <v>0</v>
      </c>
      <c r="BT84" s="40">
        <f t="shared" si="35"/>
        <v>0</v>
      </c>
    </row>
    <row r="85" spans="1:72">
      <c r="A85" s="6"/>
      <c r="B85" s="31"/>
      <c r="C85" s="31"/>
      <c r="D85" s="1629"/>
      <c r="E85" s="32">
        <f t="shared" si="7"/>
        <v>0</v>
      </c>
      <c r="F85" s="33"/>
      <c r="G85" s="34">
        <f t="shared" si="8"/>
        <v>0</v>
      </c>
      <c r="H85" s="35">
        <f t="shared" si="9"/>
        <v>0</v>
      </c>
      <c r="I85" s="36"/>
      <c r="J85" s="36"/>
      <c r="K85" s="36"/>
      <c r="L85" s="36"/>
      <c r="M85" s="36"/>
      <c r="N85" s="36"/>
      <c r="O85" s="36"/>
      <c r="P85" s="36"/>
      <c r="Q85" s="36"/>
      <c r="R85" s="36"/>
      <c r="S85" s="36"/>
      <c r="T85" s="36"/>
      <c r="U85" s="36"/>
      <c r="V85" s="36"/>
      <c r="W85" s="36"/>
      <c r="X85" s="36"/>
      <c r="Y85" s="36"/>
      <c r="Z85" s="36"/>
      <c r="AA85" s="36"/>
      <c r="AB85" s="36"/>
      <c r="AC85" s="32">
        <f t="shared" si="10"/>
        <v>0</v>
      </c>
      <c r="AD85" s="37"/>
      <c r="AE85" s="37"/>
      <c r="AF85" s="37"/>
      <c r="AG85" s="37"/>
      <c r="AH85" s="37"/>
      <c r="AI85" s="37"/>
      <c r="AJ85" s="37"/>
      <c r="AK85" s="37"/>
      <c r="AL85" s="37"/>
      <c r="AM85" s="37"/>
      <c r="AN85" s="37"/>
      <c r="AO85" s="37"/>
      <c r="AP85" s="37"/>
      <c r="AQ85" s="37"/>
      <c r="AR85" s="37"/>
      <c r="AS85" s="37"/>
      <c r="AT85" s="38"/>
      <c r="AU85" s="1630"/>
      <c r="AV85" s="1342">
        <f t="shared" si="11"/>
        <v>0</v>
      </c>
      <c r="AW85" s="1342">
        <f t="shared" si="12"/>
        <v>0</v>
      </c>
      <c r="AX85" s="1342">
        <f t="shared" si="13"/>
        <v>0</v>
      </c>
      <c r="AY85" s="39">
        <f t="shared" si="14"/>
        <v>0</v>
      </c>
      <c r="AZ85" s="32">
        <f t="shared" si="15"/>
        <v>0</v>
      </c>
      <c r="BA85" s="32">
        <f t="shared" si="16"/>
        <v>0</v>
      </c>
      <c r="BB85" s="32">
        <f t="shared" si="17"/>
        <v>0</v>
      </c>
      <c r="BC85" s="32">
        <f t="shared" si="18"/>
        <v>0</v>
      </c>
      <c r="BD85" s="32">
        <f t="shared" si="19"/>
        <v>0</v>
      </c>
      <c r="BE85" s="32">
        <f t="shared" si="20"/>
        <v>0</v>
      </c>
      <c r="BF85" s="32">
        <f t="shared" si="21"/>
        <v>0</v>
      </c>
      <c r="BG85" s="32">
        <f t="shared" si="22"/>
        <v>0</v>
      </c>
      <c r="BH85" s="32">
        <f t="shared" si="23"/>
        <v>0</v>
      </c>
      <c r="BI85" s="32">
        <f t="shared" si="24"/>
        <v>0</v>
      </c>
      <c r="BJ85" s="32">
        <f t="shared" si="25"/>
        <v>0</v>
      </c>
      <c r="BK85" s="32">
        <f t="shared" si="26"/>
        <v>0</v>
      </c>
      <c r="BL85" s="32">
        <f t="shared" si="27"/>
        <v>0</v>
      </c>
      <c r="BM85" s="32">
        <f t="shared" si="28"/>
        <v>0</v>
      </c>
      <c r="BN85" s="32">
        <f t="shared" si="29"/>
        <v>0</v>
      </c>
      <c r="BO85" s="32">
        <f t="shared" si="30"/>
        <v>0</v>
      </c>
      <c r="BP85" s="32">
        <f t="shared" si="31"/>
        <v>0</v>
      </c>
      <c r="BQ85" s="32">
        <f t="shared" si="32"/>
        <v>0</v>
      </c>
      <c r="BR85" s="32">
        <f t="shared" si="33"/>
        <v>0</v>
      </c>
      <c r="BS85" s="32">
        <f t="shared" si="34"/>
        <v>0</v>
      </c>
      <c r="BT85" s="40">
        <f t="shared" si="35"/>
        <v>0</v>
      </c>
    </row>
    <row r="86" spans="1:72">
      <c r="A86" s="6"/>
      <c r="B86" s="31"/>
      <c r="C86" s="31"/>
      <c r="D86" s="1629"/>
      <c r="E86" s="32">
        <f t="shared" si="7"/>
        <v>0</v>
      </c>
      <c r="F86" s="33"/>
      <c r="G86" s="34">
        <f t="shared" si="8"/>
        <v>0</v>
      </c>
      <c r="H86" s="35">
        <f t="shared" si="9"/>
        <v>0</v>
      </c>
      <c r="I86" s="36"/>
      <c r="J86" s="36"/>
      <c r="K86" s="36"/>
      <c r="L86" s="36"/>
      <c r="M86" s="36"/>
      <c r="N86" s="36"/>
      <c r="O86" s="36"/>
      <c r="P86" s="36"/>
      <c r="Q86" s="36"/>
      <c r="R86" s="36"/>
      <c r="S86" s="36"/>
      <c r="T86" s="36"/>
      <c r="U86" s="36"/>
      <c r="V86" s="36"/>
      <c r="W86" s="36"/>
      <c r="X86" s="36"/>
      <c r="Y86" s="36"/>
      <c r="Z86" s="36"/>
      <c r="AA86" s="36"/>
      <c r="AB86" s="36"/>
      <c r="AC86" s="32">
        <f t="shared" si="10"/>
        <v>0</v>
      </c>
      <c r="AD86" s="37"/>
      <c r="AE86" s="37"/>
      <c r="AF86" s="37"/>
      <c r="AG86" s="37"/>
      <c r="AH86" s="37"/>
      <c r="AI86" s="37"/>
      <c r="AJ86" s="37"/>
      <c r="AK86" s="37"/>
      <c r="AL86" s="37"/>
      <c r="AM86" s="37"/>
      <c r="AN86" s="37"/>
      <c r="AO86" s="37"/>
      <c r="AP86" s="37"/>
      <c r="AQ86" s="37"/>
      <c r="AR86" s="37"/>
      <c r="AS86" s="37"/>
      <c r="AT86" s="38"/>
      <c r="AU86" s="1630"/>
      <c r="AV86" s="1342">
        <f t="shared" si="11"/>
        <v>0</v>
      </c>
      <c r="AW86" s="1342">
        <f t="shared" si="12"/>
        <v>0</v>
      </c>
      <c r="AX86" s="1342">
        <f t="shared" si="13"/>
        <v>0</v>
      </c>
      <c r="AY86" s="39">
        <f t="shared" si="14"/>
        <v>0</v>
      </c>
      <c r="AZ86" s="32">
        <f t="shared" si="15"/>
        <v>0</v>
      </c>
      <c r="BA86" s="32">
        <f t="shared" si="16"/>
        <v>0</v>
      </c>
      <c r="BB86" s="32">
        <f t="shared" si="17"/>
        <v>0</v>
      </c>
      <c r="BC86" s="32">
        <f t="shared" si="18"/>
        <v>0</v>
      </c>
      <c r="BD86" s="32">
        <f t="shared" si="19"/>
        <v>0</v>
      </c>
      <c r="BE86" s="32">
        <f t="shared" si="20"/>
        <v>0</v>
      </c>
      <c r="BF86" s="32">
        <f t="shared" si="21"/>
        <v>0</v>
      </c>
      <c r="BG86" s="32">
        <f t="shared" si="22"/>
        <v>0</v>
      </c>
      <c r="BH86" s="32">
        <f t="shared" si="23"/>
        <v>0</v>
      </c>
      <c r="BI86" s="32">
        <f t="shared" si="24"/>
        <v>0</v>
      </c>
      <c r="BJ86" s="32">
        <f t="shared" si="25"/>
        <v>0</v>
      </c>
      <c r="BK86" s="32">
        <f t="shared" si="26"/>
        <v>0</v>
      </c>
      <c r="BL86" s="32">
        <f t="shared" si="27"/>
        <v>0</v>
      </c>
      <c r="BM86" s="32">
        <f t="shared" si="28"/>
        <v>0</v>
      </c>
      <c r="BN86" s="32">
        <f t="shared" si="29"/>
        <v>0</v>
      </c>
      <c r="BO86" s="32">
        <f t="shared" si="30"/>
        <v>0</v>
      </c>
      <c r="BP86" s="32">
        <f t="shared" si="31"/>
        <v>0</v>
      </c>
      <c r="BQ86" s="32">
        <f t="shared" si="32"/>
        <v>0</v>
      </c>
      <c r="BR86" s="32">
        <f t="shared" si="33"/>
        <v>0</v>
      </c>
      <c r="BS86" s="32">
        <f t="shared" si="34"/>
        <v>0</v>
      </c>
      <c r="BT86" s="40">
        <f t="shared" si="35"/>
        <v>0</v>
      </c>
    </row>
    <row r="87" spans="1:72">
      <c r="A87" s="6"/>
      <c r="B87" s="31"/>
      <c r="C87" s="31"/>
      <c r="D87" s="1629"/>
      <c r="E87" s="32">
        <f t="shared" si="7"/>
        <v>0</v>
      </c>
      <c r="F87" s="33"/>
      <c r="G87" s="34">
        <f t="shared" si="8"/>
        <v>0</v>
      </c>
      <c r="H87" s="35">
        <f t="shared" si="9"/>
        <v>0</v>
      </c>
      <c r="I87" s="36"/>
      <c r="J87" s="36"/>
      <c r="K87" s="36"/>
      <c r="L87" s="36"/>
      <c r="M87" s="36"/>
      <c r="N87" s="36"/>
      <c r="O87" s="36"/>
      <c r="P87" s="36"/>
      <c r="Q87" s="36"/>
      <c r="R87" s="36"/>
      <c r="S87" s="36"/>
      <c r="T87" s="36"/>
      <c r="U87" s="36"/>
      <c r="V87" s="36"/>
      <c r="W87" s="36"/>
      <c r="X87" s="36"/>
      <c r="Y87" s="36"/>
      <c r="Z87" s="36"/>
      <c r="AA87" s="36"/>
      <c r="AB87" s="36"/>
      <c r="AC87" s="32">
        <f t="shared" si="10"/>
        <v>0</v>
      </c>
      <c r="AD87" s="37"/>
      <c r="AE87" s="37"/>
      <c r="AF87" s="37"/>
      <c r="AG87" s="37"/>
      <c r="AH87" s="37"/>
      <c r="AI87" s="37"/>
      <c r="AJ87" s="37"/>
      <c r="AK87" s="37"/>
      <c r="AL87" s="37"/>
      <c r="AM87" s="37"/>
      <c r="AN87" s="37"/>
      <c r="AO87" s="37"/>
      <c r="AP87" s="37"/>
      <c r="AQ87" s="37"/>
      <c r="AR87" s="37"/>
      <c r="AS87" s="37"/>
      <c r="AT87" s="38"/>
      <c r="AU87" s="1630"/>
      <c r="AV87" s="1342">
        <f t="shared" si="11"/>
        <v>0</v>
      </c>
      <c r="AW87" s="1342">
        <f t="shared" si="12"/>
        <v>0</v>
      </c>
      <c r="AX87" s="1342">
        <f t="shared" si="13"/>
        <v>0</v>
      </c>
      <c r="AY87" s="39">
        <f t="shared" si="14"/>
        <v>0</v>
      </c>
      <c r="AZ87" s="32">
        <f t="shared" si="15"/>
        <v>0</v>
      </c>
      <c r="BA87" s="32">
        <f t="shared" si="16"/>
        <v>0</v>
      </c>
      <c r="BB87" s="32">
        <f t="shared" si="17"/>
        <v>0</v>
      </c>
      <c r="BC87" s="32">
        <f t="shared" si="18"/>
        <v>0</v>
      </c>
      <c r="BD87" s="32">
        <f t="shared" si="19"/>
        <v>0</v>
      </c>
      <c r="BE87" s="32">
        <f t="shared" si="20"/>
        <v>0</v>
      </c>
      <c r="BF87" s="32">
        <f t="shared" si="21"/>
        <v>0</v>
      </c>
      <c r="BG87" s="32">
        <f t="shared" si="22"/>
        <v>0</v>
      </c>
      <c r="BH87" s="32">
        <f t="shared" si="23"/>
        <v>0</v>
      </c>
      <c r="BI87" s="32">
        <f t="shared" si="24"/>
        <v>0</v>
      </c>
      <c r="BJ87" s="32">
        <f t="shared" si="25"/>
        <v>0</v>
      </c>
      <c r="BK87" s="32">
        <f t="shared" si="26"/>
        <v>0</v>
      </c>
      <c r="BL87" s="32">
        <f t="shared" si="27"/>
        <v>0</v>
      </c>
      <c r="BM87" s="32">
        <f t="shared" si="28"/>
        <v>0</v>
      </c>
      <c r="BN87" s="32">
        <f t="shared" si="29"/>
        <v>0</v>
      </c>
      <c r="BO87" s="32">
        <f t="shared" si="30"/>
        <v>0</v>
      </c>
      <c r="BP87" s="32">
        <f t="shared" si="31"/>
        <v>0</v>
      </c>
      <c r="BQ87" s="32">
        <f t="shared" si="32"/>
        <v>0</v>
      </c>
      <c r="BR87" s="32">
        <f t="shared" si="33"/>
        <v>0</v>
      </c>
      <c r="BS87" s="32">
        <f t="shared" si="34"/>
        <v>0</v>
      </c>
      <c r="BT87" s="40">
        <f t="shared" si="35"/>
        <v>0</v>
      </c>
    </row>
    <row r="88" spans="1:72">
      <c r="A88" s="6"/>
      <c r="B88" s="31"/>
      <c r="C88" s="31"/>
      <c r="D88" s="1629"/>
      <c r="E88" s="32">
        <f t="shared" si="7"/>
        <v>0</v>
      </c>
      <c r="F88" s="33"/>
      <c r="G88" s="34">
        <f t="shared" si="8"/>
        <v>0</v>
      </c>
      <c r="H88" s="35">
        <f t="shared" si="9"/>
        <v>0</v>
      </c>
      <c r="I88" s="36"/>
      <c r="J88" s="36"/>
      <c r="K88" s="36"/>
      <c r="L88" s="36"/>
      <c r="M88" s="36"/>
      <c r="N88" s="36"/>
      <c r="O88" s="36"/>
      <c r="P88" s="36"/>
      <c r="Q88" s="36"/>
      <c r="R88" s="36"/>
      <c r="S88" s="36"/>
      <c r="T88" s="36"/>
      <c r="U88" s="36"/>
      <c r="V88" s="36"/>
      <c r="W88" s="36"/>
      <c r="X88" s="36"/>
      <c r="Y88" s="36"/>
      <c r="Z88" s="36"/>
      <c r="AA88" s="36"/>
      <c r="AB88" s="36"/>
      <c r="AC88" s="32">
        <f t="shared" si="10"/>
        <v>0</v>
      </c>
      <c r="AD88" s="37"/>
      <c r="AE88" s="37"/>
      <c r="AF88" s="37"/>
      <c r="AG88" s="37"/>
      <c r="AH88" s="37"/>
      <c r="AI88" s="37"/>
      <c r="AJ88" s="37"/>
      <c r="AK88" s="37"/>
      <c r="AL88" s="37"/>
      <c r="AM88" s="37"/>
      <c r="AN88" s="37"/>
      <c r="AO88" s="37"/>
      <c r="AP88" s="37"/>
      <c r="AQ88" s="37"/>
      <c r="AR88" s="37"/>
      <c r="AS88" s="37"/>
      <c r="AT88" s="38"/>
      <c r="AU88" s="1630"/>
      <c r="AV88" s="1342">
        <f t="shared" si="11"/>
        <v>0</v>
      </c>
      <c r="AW88" s="1342">
        <f t="shared" si="12"/>
        <v>0</v>
      </c>
      <c r="AX88" s="1342">
        <f t="shared" si="13"/>
        <v>0</v>
      </c>
      <c r="AY88" s="39">
        <f t="shared" si="14"/>
        <v>0</v>
      </c>
      <c r="AZ88" s="32">
        <f t="shared" si="15"/>
        <v>0</v>
      </c>
      <c r="BA88" s="32">
        <f t="shared" si="16"/>
        <v>0</v>
      </c>
      <c r="BB88" s="32">
        <f t="shared" si="17"/>
        <v>0</v>
      </c>
      <c r="BC88" s="32">
        <f t="shared" si="18"/>
        <v>0</v>
      </c>
      <c r="BD88" s="32">
        <f t="shared" si="19"/>
        <v>0</v>
      </c>
      <c r="BE88" s="32">
        <f t="shared" si="20"/>
        <v>0</v>
      </c>
      <c r="BF88" s="32">
        <f t="shared" si="21"/>
        <v>0</v>
      </c>
      <c r="BG88" s="32">
        <f t="shared" si="22"/>
        <v>0</v>
      </c>
      <c r="BH88" s="32">
        <f t="shared" si="23"/>
        <v>0</v>
      </c>
      <c r="BI88" s="32">
        <f t="shared" si="24"/>
        <v>0</v>
      </c>
      <c r="BJ88" s="32">
        <f t="shared" si="25"/>
        <v>0</v>
      </c>
      <c r="BK88" s="32">
        <f t="shared" si="26"/>
        <v>0</v>
      </c>
      <c r="BL88" s="32">
        <f t="shared" si="27"/>
        <v>0</v>
      </c>
      <c r="BM88" s="32">
        <f t="shared" si="28"/>
        <v>0</v>
      </c>
      <c r="BN88" s="32">
        <f t="shared" si="29"/>
        <v>0</v>
      </c>
      <c r="BO88" s="32">
        <f t="shared" si="30"/>
        <v>0</v>
      </c>
      <c r="BP88" s="32">
        <f t="shared" si="31"/>
        <v>0</v>
      </c>
      <c r="BQ88" s="32">
        <f t="shared" si="32"/>
        <v>0</v>
      </c>
      <c r="BR88" s="32">
        <f t="shared" si="33"/>
        <v>0</v>
      </c>
      <c r="BS88" s="32">
        <f t="shared" si="34"/>
        <v>0</v>
      </c>
      <c r="BT88" s="40">
        <f t="shared" si="35"/>
        <v>0</v>
      </c>
    </row>
    <row r="89" spans="1:72">
      <c r="A89" s="6"/>
      <c r="B89" s="31"/>
      <c r="C89" s="31"/>
      <c r="D89" s="1629"/>
      <c r="E89" s="32">
        <f t="shared" si="7"/>
        <v>0</v>
      </c>
      <c r="F89" s="33"/>
      <c r="G89" s="34">
        <f t="shared" si="8"/>
        <v>0</v>
      </c>
      <c r="H89" s="35">
        <f t="shared" si="9"/>
        <v>0</v>
      </c>
      <c r="I89" s="36"/>
      <c r="J89" s="36"/>
      <c r="K89" s="36"/>
      <c r="L89" s="36"/>
      <c r="M89" s="36"/>
      <c r="N89" s="36"/>
      <c r="O89" s="36"/>
      <c r="P89" s="36"/>
      <c r="Q89" s="36"/>
      <c r="R89" s="36"/>
      <c r="S89" s="36"/>
      <c r="T89" s="36"/>
      <c r="U89" s="36"/>
      <c r="V89" s="36"/>
      <c r="W89" s="36"/>
      <c r="X89" s="36"/>
      <c r="Y89" s="36"/>
      <c r="Z89" s="36"/>
      <c r="AA89" s="36"/>
      <c r="AB89" s="36"/>
      <c r="AC89" s="32">
        <f t="shared" si="10"/>
        <v>0</v>
      </c>
      <c r="AD89" s="37"/>
      <c r="AE89" s="37"/>
      <c r="AF89" s="37"/>
      <c r="AG89" s="37"/>
      <c r="AH89" s="37"/>
      <c r="AI89" s="37"/>
      <c r="AJ89" s="37"/>
      <c r="AK89" s="37"/>
      <c r="AL89" s="37"/>
      <c r="AM89" s="37"/>
      <c r="AN89" s="37"/>
      <c r="AO89" s="37"/>
      <c r="AP89" s="37"/>
      <c r="AQ89" s="37"/>
      <c r="AR89" s="37"/>
      <c r="AS89" s="37"/>
      <c r="AT89" s="38"/>
      <c r="AU89" s="1630"/>
      <c r="AV89" s="1342">
        <f t="shared" si="11"/>
        <v>0</v>
      </c>
      <c r="AW89" s="1342">
        <f t="shared" si="12"/>
        <v>0</v>
      </c>
      <c r="AX89" s="1342">
        <f t="shared" si="13"/>
        <v>0</v>
      </c>
      <c r="AY89" s="39">
        <f t="shared" si="14"/>
        <v>0</v>
      </c>
      <c r="AZ89" s="32">
        <f t="shared" si="15"/>
        <v>0</v>
      </c>
      <c r="BA89" s="32">
        <f t="shared" si="16"/>
        <v>0</v>
      </c>
      <c r="BB89" s="32">
        <f t="shared" si="17"/>
        <v>0</v>
      </c>
      <c r="BC89" s="32">
        <f t="shared" si="18"/>
        <v>0</v>
      </c>
      <c r="BD89" s="32">
        <f t="shared" si="19"/>
        <v>0</v>
      </c>
      <c r="BE89" s="32">
        <f t="shared" si="20"/>
        <v>0</v>
      </c>
      <c r="BF89" s="32">
        <f t="shared" si="21"/>
        <v>0</v>
      </c>
      <c r="BG89" s="32">
        <f t="shared" si="22"/>
        <v>0</v>
      </c>
      <c r="BH89" s="32">
        <f t="shared" si="23"/>
        <v>0</v>
      </c>
      <c r="BI89" s="32">
        <f t="shared" si="24"/>
        <v>0</v>
      </c>
      <c r="BJ89" s="32">
        <f t="shared" si="25"/>
        <v>0</v>
      </c>
      <c r="BK89" s="32">
        <f t="shared" si="26"/>
        <v>0</v>
      </c>
      <c r="BL89" s="32">
        <f t="shared" si="27"/>
        <v>0</v>
      </c>
      <c r="BM89" s="32">
        <f t="shared" si="28"/>
        <v>0</v>
      </c>
      <c r="BN89" s="32">
        <f t="shared" si="29"/>
        <v>0</v>
      </c>
      <c r="BO89" s="32">
        <f t="shared" si="30"/>
        <v>0</v>
      </c>
      <c r="BP89" s="32">
        <f t="shared" si="31"/>
        <v>0</v>
      </c>
      <c r="BQ89" s="32">
        <f t="shared" si="32"/>
        <v>0</v>
      </c>
      <c r="BR89" s="32">
        <f t="shared" si="33"/>
        <v>0</v>
      </c>
      <c r="BS89" s="32">
        <f t="shared" si="34"/>
        <v>0</v>
      </c>
      <c r="BT89" s="40">
        <f t="shared" si="35"/>
        <v>0</v>
      </c>
    </row>
    <row r="90" spans="1:72">
      <c r="A90" s="6"/>
      <c r="B90" s="31"/>
      <c r="C90" s="31"/>
      <c r="D90" s="1629"/>
      <c r="E90" s="32">
        <f t="shared" si="7"/>
        <v>0</v>
      </c>
      <c r="F90" s="33"/>
      <c r="G90" s="34">
        <f t="shared" si="8"/>
        <v>0</v>
      </c>
      <c r="H90" s="35">
        <f t="shared" si="9"/>
        <v>0</v>
      </c>
      <c r="I90" s="36"/>
      <c r="J90" s="36"/>
      <c r="K90" s="36"/>
      <c r="L90" s="36"/>
      <c r="M90" s="36"/>
      <c r="N90" s="36"/>
      <c r="O90" s="36"/>
      <c r="P90" s="36"/>
      <c r="Q90" s="36"/>
      <c r="R90" s="36"/>
      <c r="S90" s="36"/>
      <c r="T90" s="36"/>
      <c r="U90" s="36"/>
      <c r="V90" s="36"/>
      <c r="W90" s="36"/>
      <c r="X90" s="36"/>
      <c r="Y90" s="36"/>
      <c r="Z90" s="36"/>
      <c r="AA90" s="36"/>
      <c r="AB90" s="36"/>
      <c r="AC90" s="32">
        <f t="shared" si="10"/>
        <v>0</v>
      </c>
      <c r="AD90" s="37"/>
      <c r="AE90" s="37"/>
      <c r="AF90" s="37"/>
      <c r="AG90" s="37"/>
      <c r="AH90" s="37"/>
      <c r="AI90" s="37"/>
      <c r="AJ90" s="37"/>
      <c r="AK90" s="37"/>
      <c r="AL90" s="37"/>
      <c r="AM90" s="37"/>
      <c r="AN90" s="37"/>
      <c r="AO90" s="37"/>
      <c r="AP90" s="37"/>
      <c r="AQ90" s="37"/>
      <c r="AR90" s="37"/>
      <c r="AS90" s="37"/>
      <c r="AT90" s="38"/>
      <c r="AU90" s="1630"/>
      <c r="AV90" s="1342">
        <f t="shared" si="11"/>
        <v>0</v>
      </c>
      <c r="AW90" s="1342">
        <f t="shared" si="12"/>
        <v>0</v>
      </c>
      <c r="AX90" s="1342">
        <f t="shared" si="13"/>
        <v>0</v>
      </c>
      <c r="AY90" s="39">
        <f t="shared" si="14"/>
        <v>0</v>
      </c>
      <c r="AZ90" s="32">
        <f t="shared" si="15"/>
        <v>0</v>
      </c>
      <c r="BA90" s="32">
        <f t="shared" si="16"/>
        <v>0</v>
      </c>
      <c r="BB90" s="32">
        <f t="shared" si="17"/>
        <v>0</v>
      </c>
      <c r="BC90" s="32">
        <f t="shared" si="18"/>
        <v>0</v>
      </c>
      <c r="BD90" s="32">
        <f t="shared" si="19"/>
        <v>0</v>
      </c>
      <c r="BE90" s="32">
        <f t="shared" si="20"/>
        <v>0</v>
      </c>
      <c r="BF90" s="32">
        <f t="shared" si="21"/>
        <v>0</v>
      </c>
      <c r="BG90" s="32">
        <f t="shared" si="22"/>
        <v>0</v>
      </c>
      <c r="BH90" s="32">
        <f t="shared" si="23"/>
        <v>0</v>
      </c>
      <c r="BI90" s="32">
        <f t="shared" si="24"/>
        <v>0</v>
      </c>
      <c r="BJ90" s="32">
        <f t="shared" si="25"/>
        <v>0</v>
      </c>
      <c r="BK90" s="32">
        <f t="shared" si="26"/>
        <v>0</v>
      </c>
      <c r="BL90" s="32">
        <f t="shared" si="27"/>
        <v>0</v>
      </c>
      <c r="BM90" s="32">
        <f t="shared" si="28"/>
        <v>0</v>
      </c>
      <c r="BN90" s="32">
        <f t="shared" si="29"/>
        <v>0</v>
      </c>
      <c r="BO90" s="32">
        <f t="shared" si="30"/>
        <v>0</v>
      </c>
      <c r="BP90" s="32">
        <f t="shared" si="31"/>
        <v>0</v>
      </c>
      <c r="BQ90" s="32">
        <f t="shared" si="32"/>
        <v>0</v>
      </c>
      <c r="BR90" s="32">
        <f t="shared" si="33"/>
        <v>0</v>
      </c>
      <c r="BS90" s="32">
        <f t="shared" si="34"/>
        <v>0</v>
      </c>
      <c r="BT90" s="40">
        <f t="shared" si="35"/>
        <v>0</v>
      </c>
    </row>
    <row r="91" spans="1:72">
      <c r="A91" s="6"/>
      <c r="B91" s="31"/>
      <c r="C91" s="31"/>
      <c r="D91" s="1629"/>
      <c r="E91" s="32">
        <f t="shared" si="7"/>
        <v>0</v>
      </c>
      <c r="F91" s="33"/>
      <c r="G91" s="34">
        <f t="shared" si="8"/>
        <v>0</v>
      </c>
      <c r="H91" s="35">
        <f t="shared" si="9"/>
        <v>0</v>
      </c>
      <c r="I91" s="36"/>
      <c r="J91" s="36"/>
      <c r="K91" s="36"/>
      <c r="L91" s="36"/>
      <c r="M91" s="36"/>
      <c r="N91" s="36"/>
      <c r="O91" s="36"/>
      <c r="P91" s="36"/>
      <c r="Q91" s="36"/>
      <c r="R91" s="36"/>
      <c r="S91" s="36"/>
      <c r="T91" s="36"/>
      <c r="U91" s="36"/>
      <c r="V91" s="36"/>
      <c r="W91" s="36"/>
      <c r="X91" s="36"/>
      <c r="Y91" s="36"/>
      <c r="Z91" s="36"/>
      <c r="AA91" s="36"/>
      <c r="AB91" s="36"/>
      <c r="AC91" s="32">
        <f t="shared" si="10"/>
        <v>0</v>
      </c>
      <c r="AD91" s="37"/>
      <c r="AE91" s="37"/>
      <c r="AF91" s="37"/>
      <c r="AG91" s="37"/>
      <c r="AH91" s="37"/>
      <c r="AI91" s="37"/>
      <c r="AJ91" s="37"/>
      <c r="AK91" s="37"/>
      <c r="AL91" s="37"/>
      <c r="AM91" s="37"/>
      <c r="AN91" s="37"/>
      <c r="AO91" s="37"/>
      <c r="AP91" s="37"/>
      <c r="AQ91" s="37"/>
      <c r="AR91" s="37"/>
      <c r="AS91" s="37"/>
      <c r="AT91" s="38"/>
      <c r="AU91" s="1630"/>
      <c r="AV91" s="1342">
        <f t="shared" si="11"/>
        <v>0</v>
      </c>
      <c r="AW91" s="1342">
        <f t="shared" si="12"/>
        <v>0</v>
      </c>
      <c r="AX91" s="1342">
        <f t="shared" si="13"/>
        <v>0</v>
      </c>
      <c r="AY91" s="39">
        <f t="shared" si="14"/>
        <v>0</v>
      </c>
      <c r="AZ91" s="32">
        <f t="shared" si="15"/>
        <v>0</v>
      </c>
      <c r="BA91" s="32">
        <f t="shared" si="16"/>
        <v>0</v>
      </c>
      <c r="BB91" s="32">
        <f t="shared" si="17"/>
        <v>0</v>
      </c>
      <c r="BC91" s="32">
        <f t="shared" si="18"/>
        <v>0</v>
      </c>
      <c r="BD91" s="32">
        <f t="shared" si="19"/>
        <v>0</v>
      </c>
      <c r="BE91" s="32">
        <f t="shared" si="20"/>
        <v>0</v>
      </c>
      <c r="BF91" s="32">
        <f t="shared" si="21"/>
        <v>0</v>
      </c>
      <c r="BG91" s="32">
        <f t="shared" si="22"/>
        <v>0</v>
      </c>
      <c r="BH91" s="32">
        <f t="shared" si="23"/>
        <v>0</v>
      </c>
      <c r="BI91" s="32">
        <f t="shared" si="24"/>
        <v>0</v>
      </c>
      <c r="BJ91" s="32">
        <f t="shared" si="25"/>
        <v>0</v>
      </c>
      <c r="BK91" s="32">
        <f t="shared" si="26"/>
        <v>0</v>
      </c>
      <c r="BL91" s="32">
        <f t="shared" si="27"/>
        <v>0</v>
      </c>
      <c r="BM91" s="32">
        <f t="shared" si="28"/>
        <v>0</v>
      </c>
      <c r="BN91" s="32">
        <f t="shared" si="29"/>
        <v>0</v>
      </c>
      <c r="BO91" s="32">
        <f t="shared" si="30"/>
        <v>0</v>
      </c>
      <c r="BP91" s="32">
        <f t="shared" si="31"/>
        <v>0</v>
      </c>
      <c r="BQ91" s="32">
        <f t="shared" si="32"/>
        <v>0</v>
      </c>
      <c r="BR91" s="32">
        <f t="shared" si="33"/>
        <v>0</v>
      </c>
      <c r="BS91" s="32">
        <f t="shared" si="34"/>
        <v>0</v>
      </c>
      <c r="BT91" s="40">
        <f t="shared" si="35"/>
        <v>0</v>
      </c>
    </row>
    <row r="92" spans="1:72">
      <c r="A92" s="6"/>
      <c r="B92" s="31"/>
      <c r="C92" s="31"/>
      <c r="D92" s="1629"/>
      <c r="E92" s="32">
        <f t="shared" si="7"/>
        <v>0</v>
      </c>
      <c r="F92" s="33"/>
      <c r="G92" s="34">
        <f t="shared" si="8"/>
        <v>0</v>
      </c>
      <c r="H92" s="35">
        <f t="shared" si="9"/>
        <v>0</v>
      </c>
      <c r="I92" s="36"/>
      <c r="J92" s="36"/>
      <c r="K92" s="36"/>
      <c r="L92" s="36"/>
      <c r="M92" s="36"/>
      <c r="N92" s="36"/>
      <c r="O92" s="36"/>
      <c r="P92" s="36"/>
      <c r="Q92" s="36"/>
      <c r="R92" s="36"/>
      <c r="S92" s="36"/>
      <c r="T92" s="36"/>
      <c r="U92" s="36"/>
      <c r="V92" s="36"/>
      <c r="W92" s="36"/>
      <c r="X92" s="36"/>
      <c r="Y92" s="36"/>
      <c r="Z92" s="36"/>
      <c r="AA92" s="36"/>
      <c r="AB92" s="36"/>
      <c r="AC92" s="32">
        <f t="shared" si="10"/>
        <v>0</v>
      </c>
      <c r="AD92" s="37"/>
      <c r="AE92" s="37"/>
      <c r="AF92" s="37"/>
      <c r="AG92" s="37"/>
      <c r="AH92" s="37"/>
      <c r="AI92" s="37"/>
      <c r="AJ92" s="37"/>
      <c r="AK92" s="37"/>
      <c r="AL92" s="37"/>
      <c r="AM92" s="37"/>
      <c r="AN92" s="37"/>
      <c r="AO92" s="37"/>
      <c r="AP92" s="37"/>
      <c r="AQ92" s="37"/>
      <c r="AR92" s="37"/>
      <c r="AS92" s="37"/>
      <c r="AT92" s="38"/>
      <c r="AU92" s="1630"/>
      <c r="AV92" s="1342">
        <f t="shared" si="11"/>
        <v>0</v>
      </c>
      <c r="AW92" s="1342">
        <f t="shared" si="12"/>
        <v>0</v>
      </c>
      <c r="AX92" s="1342">
        <f t="shared" si="13"/>
        <v>0</v>
      </c>
      <c r="AY92" s="39">
        <f t="shared" si="14"/>
        <v>0</v>
      </c>
      <c r="AZ92" s="32">
        <f t="shared" si="15"/>
        <v>0</v>
      </c>
      <c r="BA92" s="32">
        <f t="shared" si="16"/>
        <v>0</v>
      </c>
      <c r="BB92" s="32">
        <f t="shared" si="17"/>
        <v>0</v>
      </c>
      <c r="BC92" s="32">
        <f t="shared" si="18"/>
        <v>0</v>
      </c>
      <c r="BD92" s="32">
        <f t="shared" si="19"/>
        <v>0</v>
      </c>
      <c r="BE92" s="32">
        <f t="shared" si="20"/>
        <v>0</v>
      </c>
      <c r="BF92" s="32">
        <f t="shared" si="21"/>
        <v>0</v>
      </c>
      <c r="BG92" s="32">
        <f t="shared" si="22"/>
        <v>0</v>
      </c>
      <c r="BH92" s="32">
        <f t="shared" si="23"/>
        <v>0</v>
      </c>
      <c r="BI92" s="32">
        <f t="shared" si="24"/>
        <v>0</v>
      </c>
      <c r="BJ92" s="32">
        <f t="shared" si="25"/>
        <v>0</v>
      </c>
      <c r="BK92" s="32">
        <f t="shared" si="26"/>
        <v>0</v>
      </c>
      <c r="BL92" s="32">
        <f t="shared" si="27"/>
        <v>0</v>
      </c>
      <c r="BM92" s="32">
        <f t="shared" si="28"/>
        <v>0</v>
      </c>
      <c r="BN92" s="32">
        <f t="shared" si="29"/>
        <v>0</v>
      </c>
      <c r="BO92" s="32">
        <f t="shared" si="30"/>
        <v>0</v>
      </c>
      <c r="BP92" s="32">
        <f t="shared" si="31"/>
        <v>0</v>
      </c>
      <c r="BQ92" s="32">
        <f t="shared" si="32"/>
        <v>0</v>
      </c>
      <c r="BR92" s="32">
        <f t="shared" si="33"/>
        <v>0</v>
      </c>
      <c r="BS92" s="32">
        <f t="shared" si="34"/>
        <v>0</v>
      </c>
      <c r="BT92" s="40">
        <f t="shared" si="35"/>
        <v>0</v>
      </c>
    </row>
    <row r="93" spans="1:72">
      <c r="A93" s="6"/>
      <c r="B93" s="31"/>
      <c r="C93" s="31"/>
      <c r="D93" s="1629"/>
      <c r="E93" s="32">
        <f t="shared" si="7"/>
        <v>0</v>
      </c>
      <c r="F93" s="33"/>
      <c r="G93" s="34">
        <f t="shared" si="8"/>
        <v>0</v>
      </c>
      <c r="H93" s="35">
        <f t="shared" si="9"/>
        <v>0</v>
      </c>
      <c r="I93" s="36"/>
      <c r="J93" s="36"/>
      <c r="K93" s="36"/>
      <c r="L93" s="36"/>
      <c r="M93" s="36"/>
      <c r="N93" s="36"/>
      <c r="O93" s="36"/>
      <c r="P93" s="36"/>
      <c r="Q93" s="36"/>
      <c r="R93" s="36"/>
      <c r="S93" s="36"/>
      <c r="T93" s="36"/>
      <c r="U93" s="36"/>
      <c r="V93" s="36"/>
      <c r="W93" s="36"/>
      <c r="X93" s="36"/>
      <c r="Y93" s="36"/>
      <c r="Z93" s="36"/>
      <c r="AA93" s="36"/>
      <c r="AB93" s="36"/>
      <c r="AC93" s="32">
        <f t="shared" si="10"/>
        <v>0</v>
      </c>
      <c r="AD93" s="37"/>
      <c r="AE93" s="37"/>
      <c r="AF93" s="37"/>
      <c r="AG93" s="37"/>
      <c r="AH93" s="37"/>
      <c r="AI93" s="37"/>
      <c r="AJ93" s="37"/>
      <c r="AK93" s="37"/>
      <c r="AL93" s="37"/>
      <c r="AM93" s="37"/>
      <c r="AN93" s="37"/>
      <c r="AO93" s="37"/>
      <c r="AP93" s="37"/>
      <c r="AQ93" s="37"/>
      <c r="AR93" s="37"/>
      <c r="AS93" s="37"/>
      <c r="AT93" s="38"/>
      <c r="AU93" s="1630"/>
      <c r="AV93" s="1342">
        <f t="shared" si="11"/>
        <v>0</v>
      </c>
      <c r="AW93" s="1342">
        <f t="shared" si="12"/>
        <v>0</v>
      </c>
      <c r="AX93" s="1342">
        <f t="shared" si="13"/>
        <v>0</v>
      </c>
      <c r="AY93" s="39">
        <f t="shared" si="14"/>
        <v>0</v>
      </c>
      <c r="AZ93" s="32">
        <f t="shared" si="15"/>
        <v>0</v>
      </c>
      <c r="BA93" s="32">
        <f t="shared" si="16"/>
        <v>0</v>
      </c>
      <c r="BB93" s="32">
        <f t="shared" si="17"/>
        <v>0</v>
      </c>
      <c r="BC93" s="32">
        <f t="shared" si="18"/>
        <v>0</v>
      </c>
      <c r="BD93" s="32">
        <f t="shared" si="19"/>
        <v>0</v>
      </c>
      <c r="BE93" s="32">
        <f t="shared" si="20"/>
        <v>0</v>
      </c>
      <c r="BF93" s="32">
        <f t="shared" si="21"/>
        <v>0</v>
      </c>
      <c r="BG93" s="32">
        <f t="shared" si="22"/>
        <v>0</v>
      </c>
      <c r="BH93" s="32">
        <f t="shared" si="23"/>
        <v>0</v>
      </c>
      <c r="BI93" s="32">
        <f t="shared" si="24"/>
        <v>0</v>
      </c>
      <c r="BJ93" s="32">
        <f t="shared" si="25"/>
        <v>0</v>
      </c>
      <c r="BK93" s="32">
        <f t="shared" si="26"/>
        <v>0</v>
      </c>
      <c r="BL93" s="32">
        <f t="shared" si="27"/>
        <v>0</v>
      </c>
      <c r="BM93" s="32">
        <f t="shared" si="28"/>
        <v>0</v>
      </c>
      <c r="BN93" s="32">
        <f t="shared" si="29"/>
        <v>0</v>
      </c>
      <c r="BO93" s="32">
        <f t="shared" si="30"/>
        <v>0</v>
      </c>
      <c r="BP93" s="32">
        <f t="shared" si="31"/>
        <v>0</v>
      </c>
      <c r="BQ93" s="32">
        <f t="shared" si="32"/>
        <v>0</v>
      </c>
      <c r="BR93" s="32">
        <f t="shared" si="33"/>
        <v>0</v>
      </c>
      <c r="BS93" s="32">
        <f t="shared" si="34"/>
        <v>0</v>
      </c>
      <c r="BT93" s="40">
        <f t="shared" si="35"/>
        <v>0</v>
      </c>
    </row>
    <row r="94" spans="1:72">
      <c r="A94" s="6"/>
      <c r="B94" s="31"/>
      <c r="C94" s="31"/>
      <c r="D94" s="1629"/>
      <c r="E94" s="32">
        <f t="shared" si="7"/>
        <v>0</v>
      </c>
      <c r="F94" s="33"/>
      <c r="G94" s="34">
        <f t="shared" si="8"/>
        <v>0</v>
      </c>
      <c r="H94" s="35">
        <f t="shared" si="9"/>
        <v>0</v>
      </c>
      <c r="I94" s="36"/>
      <c r="J94" s="36"/>
      <c r="K94" s="36"/>
      <c r="L94" s="36"/>
      <c r="M94" s="36"/>
      <c r="N94" s="36"/>
      <c r="O94" s="36"/>
      <c r="P94" s="36"/>
      <c r="Q94" s="36"/>
      <c r="R94" s="36"/>
      <c r="S94" s="36"/>
      <c r="T94" s="36"/>
      <c r="U94" s="36"/>
      <c r="V94" s="36"/>
      <c r="W94" s="36"/>
      <c r="X94" s="36"/>
      <c r="Y94" s="36"/>
      <c r="Z94" s="36"/>
      <c r="AA94" s="36"/>
      <c r="AB94" s="36"/>
      <c r="AC94" s="32">
        <f t="shared" si="10"/>
        <v>0</v>
      </c>
      <c r="AD94" s="37"/>
      <c r="AE94" s="37"/>
      <c r="AF94" s="37"/>
      <c r="AG94" s="37"/>
      <c r="AH94" s="37"/>
      <c r="AI94" s="37"/>
      <c r="AJ94" s="37"/>
      <c r="AK94" s="37"/>
      <c r="AL94" s="37"/>
      <c r="AM94" s="37"/>
      <c r="AN94" s="37"/>
      <c r="AO94" s="37"/>
      <c r="AP94" s="37"/>
      <c r="AQ94" s="37"/>
      <c r="AR94" s="37"/>
      <c r="AS94" s="37"/>
      <c r="AT94" s="38"/>
      <c r="AU94" s="1630"/>
      <c r="AV94" s="1342">
        <f t="shared" si="11"/>
        <v>0</v>
      </c>
      <c r="AW94" s="1342">
        <f t="shared" si="12"/>
        <v>0</v>
      </c>
      <c r="AX94" s="1342">
        <f t="shared" si="13"/>
        <v>0</v>
      </c>
      <c r="AY94" s="39">
        <f t="shared" si="14"/>
        <v>0</v>
      </c>
      <c r="AZ94" s="32">
        <f t="shared" si="15"/>
        <v>0</v>
      </c>
      <c r="BA94" s="32">
        <f t="shared" si="16"/>
        <v>0</v>
      </c>
      <c r="BB94" s="32">
        <f t="shared" si="17"/>
        <v>0</v>
      </c>
      <c r="BC94" s="32">
        <f t="shared" si="18"/>
        <v>0</v>
      </c>
      <c r="BD94" s="32">
        <f t="shared" si="19"/>
        <v>0</v>
      </c>
      <c r="BE94" s="32">
        <f t="shared" si="20"/>
        <v>0</v>
      </c>
      <c r="BF94" s="32">
        <f t="shared" si="21"/>
        <v>0</v>
      </c>
      <c r="BG94" s="32">
        <f t="shared" si="22"/>
        <v>0</v>
      </c>
      <c r="BH94" s="32">
        <f t="shared" si="23"/>
        <v>0</v>
      </c>
      <c r="BI94" s="32">
        <f t="shared" si="24"/>
        <v>0</v>
      </c>
      <c r="BJ94" s="32">
        <f t="shared" si="25"/>
        <v>0</v>
      </c>
      <c r="BK94" s="32">
        <f t="shared" si="26"/>
        <v>0</v>
      </c>
      <c r="BL94" s="32">
        <f t="shared" si="27"/>
        <v>0</v>
      </c>
      <c r="BM94" s="32">
        <f t="shared" si="28"/>
        <v>0</v>
      </c>
      <c r="BN94" s="32">
        <f t="shared" si="29"/>
        <v>0</v>
      </c>
      <c r="BO94" s="32">
        <f t="shared" si="30"/>
        <v>0</v>
      </c>
      <c r="BP94" s="32">
        <f t="shared" si="31"/>
        <v>0</v>
      </c>
      <c r="BQ94" s="32">
        <f t="shared" si="32"/>
        <v>0</v>
      </c>
      <c r="BR94" s="32">
        <f t="shared" si="33"/>
        <v>0</v>
      </c>
      <c r="BS94" s="32">
        <f t="shared" si="34"/>
        <v>0</v>
      </c>
      <c r="BT94" s="40">
        <f t="shared" si="35"/>
        <v>0</v>
      </c>
    </row>
    <row r="95" spans="1:72">
      <c r="A95" s="6"/>
      <c r="B95" s="31"/>
      <c r="C95" s="31"/>
      <c r="D95" s="1629"/>
      <c r="E95" s="32">
        <f t="shared" si="7"/>
        <v>0</v>
      </c>
      <c r="F95" s="33"/>
      <c r="G95" s="34">
        <f t="shared" si="8"/>
        <v>0</v>
      </c>
      <c r="H95" s="35">
        <f t="shared" si="9"/>
        <v>0</v>
      </c>
      <c r="I95" s="36"/>
      <c r="J95" s="36"/>
      <c r="K95" s="36"/>
      <c r="L95" s="36"/>
      <c r="M95" s="36"/>
      <c r="N95" s="36"/>
      <c r="O95" s="36"/>
      <c r="P95" s="36"/>
      <c r="Q95" s="36"/>
      <c r="R95" s="36"/>
      <c r="S95" s="36"/>
      <c r="T95" s="36"/>
      <c r="U95" s="36"/>
      <c r="V95" s="36"/>
      <c r="W95" s="36"/>
      <c r="X95" s="36"/>
      <c r="Y95" s="36"/>
      <c r="Z95" s="36"/>
      <c r="AA95" s="36"/>
      <c r="AB95" s="36"/>
      <c r="AC95" s="32">
        <f t="shared" si="10"/>
        <v>0</v>
      </c>
      <c r="AD95" s="37"/>
      <c r="AE95" s="37"/>
      <c r="AF95" s="37"/>
      <c r="AG95" s="37"/>
      <c r="AH95" s="37"/>
      <c r="AI95" s="37"/>
      <c r="AJ95" s="37"/>
      <c r="AK95" s="37"/>
      <c r="AL95" s="37"/>
      <c r="AM95" s="37"/>
      <c r="AN95" s="37"/>
      <c r="AO95" s="37"/>
      <c r="AP95" s="37"/>
      <c r="AQ95" s="37"/>
      <c r="AR95" s="37"/>
      <c r="AS95" s="37"/>
      <c r="AT95" s="38"/>
      <c r="AU95" s="1630"/>
      <c r="AV95" s="1342">
        <f t="shared" si="11"/>
        <v>0</v>
      </c>
      <c r="AW95" s="1342">
        <f t="shared" si="12"/>
        <v>0</v>
      </c>
      <c r="AX95" s="1342">
        <f t="shared" si="13"/>
        <v>0</v>
      </c>
      <c r="AY95" s="39">
        <f t="shared" si="14"/>
        <v>0</v>
      </c>
      <c r="AZ95" s="32">
        <f t="shared" si="15"/>
        <v>0</v>
      </c>
      <c r="BA95" s="32">
        <f t="shared" si="16"/>
        <v>0</v>
      </c>
      <c r="BB95" s="32">
        <f t="shared" si="17"/>
        <v>0</v>
      </c>
      <c r="BC95" s="32">
        <f t="shared" si="18"/>
        <v>0</v>
      </c>
      <c r="BD95" s="32">
        <f t="shared" si="19"/>
        <v>0</v>
      </c>
      <c r="BE95" s="32">
        <f t="shared" si="20"/>
        <v>0</v>
      </c>
      <c r="BF95" s="32">
        <f t="shared" si="21"/>
        <v>0</v>
      </c>
      <c r="BG95" s="32">
        <f t="shared" si="22"/>
        <v>0</v>
      </c>
      <c r="BH95" s="32">
        <f t="shared" si="23"/>
        <v>0</v>
      </c>
      <c r="BI95" s="32">
        <f t="shared" si="24"/>
        <v>0</v>
      </c>
      <c r="BJ95" s="32">
        <f t="shared" si="25"/>
        <v>0</v>
      </c>
      <c r="BK95" s="32">
        <f t="shared" si="26"/>
        <v>0</v>
      </c>
      <c r="BL95" s="32">
        <f t="shared" si="27"/>
        <v>0</v>
      </c>
      <c r="BM95" s="32">
        <f t="shared" si="28"/>
        <v>0</v>
      </c>
      <c r="BN95" s="32">
        <f t="shared" si="29"/>
        <v>0</v>
      </c>
      <c r="BO95" s="32">
        <f t="shared" si="30"/>
        <v>0</v>
      </c>
      <c r="BP95" s="32">
        <f t="shared" si="31"/>
        <v>0</v>
      </c>
      <c r="BQ95" s="32">
        <f t="shared" si="32"/>
        <v>0</v>
      </c>
      <c r="BR95" s="32">
        <f t="shared" si="33"/>
        <v>0</v>
      </c>
      <c r="BS95" s="32">
        <f t="shared" si="34"/>
        <v>0</v>
      </c>
      <c r="BT95" s="40">
        <f t="shared" si="35"/>
        <v>0</v>
      </c>
    </row>
    <row r="96" spans="1:72">
      <c r="A96" s="6"/>
      <c r="B96" s="31"/>
      <c r="C96" s="31"/>
      <c r="D96" s="1629"/>
      <c r="E96" s="32">
        <f t="shared" si="7"/>
        <v>0</v>
      </c>
      <c r="F96" s="33"/>
      <c r="G96" s="34">
        <f t="shared" si="8"/>
        <v>0</v>
      </c>
      <c r="H96" s="35">
        <f t="shared" si="9"/>
        <v>0</v>
      </c>
      <c r="I96" s="36"/>
      <c r="J96" s="36"/>
      <c r="K96" s="36"/>
      <c r="L96" s="36"/>
      <c r="M96" s="36"/>
      <c r="N96" s="36"/>
      <c r="O96" s="36"/>
      <c r="P96" s="36"/>
      <c r="Q96" s="36"/>
      <c r="R96" s="36"/>
      <c r="S96" s="36"/>
      <c r="T96" s="36"/>
      <c r="U96" s="36"/>
      <c r="V96" s="36"/>
      <c r="W96" s="36"/>
      <c r="X96" s="36"/>
      <c r="Y96" s="36"/>
      <c r="Z96" s="36"/>
      <c r="AA96" s="36"/>
      <c r="AB96" s="36"/>
      <c r="AC96" s="32">
        <f t="shared" si="10"/>
        <v>0</v>
      </c>
      <c r="AD96" s="37"/>
      <c r="AE96" s="37"/>
      <c r="AF96" s="37"/>
      <c r="AG96" s="37"/>
      <c r="AH96" s="37"/>
      <c r="AI96" s="37"/>
      <c r="AJ96" s="37"/>
      <c r="AK96" s="37"/>
      <c r="AL96" s="37"/>
      <c r="AM96" s="37"/>
      <c r="AN96" s="37"/>
      <c r="AO96" s="37"/>
      <c r="AP96" s="37"/>
      <c r="AQ96" s="37"/>
      <c r="AR96" s="37"/>
      <c r="AS96" s="37"/>
      <c r="AT96" s="38"/>
      <c r="AU96" s="1630"/>
      <c r="AV96" s="1342">
        <f t="shared" si="11"/>
        <v>0</v>
      </c>
      <c r="AW96" s="1342">
        <f t="shared" si="12"/>
        <v>0</v>
      </c>
      <c r="AX96" s="1342">
        <f t="shared" si="13"/>
        <v>0</v>
      </c>
      <c r="AY96" s="39">
        <f t="shared" si="14"/>
        <v>0</v>
      </c>
      <c r="AZ96" s="32">
        <f t="shared" si="15"/>
        <v>0</v>
      </c>
      <c r="BA96" s="32">
        <f t="shared" si="16"/>
        <v>0</v>
      </c>
      <c r="BB96" s="32">
        <f t="shared" si="17"/>
        <v>0</v>
      </c>
      <c r="BC96" s="32">
        <f t="shared" si="18"/>
        <v>0</v>
      </c>
      <c r="BD96" s="32">
        <f t="shared" si="19"/>
        <v>0</v>
      </c>
      <c r="BE96" s="32">
        <f t="shared" si="20"/>
        <v>0</v>
      </c>
      <c r="BF96" s="32">
        <f t="shared" si="21"/>
        <v>0</v>
      </c>
      <c r="BG96" s="32">
        <f t="shared" si="22"/>
        <v>0</v>
      </c>
      <c r="BH96" s="32">
        <f t="shared" si="23"/>
        <v>0</v>
      </c>
      <c r="BI96" s="32">
        <f t="shared" si="24"/>
        <v>0</v>
      </c>
      <c r="BJ96" s="32">
        <f t="shared" si="25"/>
        <v>0</v>
      </c>
      <c r="BK96" s="32">
        <f t="shared" si="26"/>
        <v>0</v>
      </c>
      <c r="BL96" s="32">
        <f t="shared" si="27"/>
        <v>0</v>
      </c>
      <c r="BM96" s="32">
        <f t="shared" si="28"/>
        <v>0</v>
      </c>
      <c r="BN96" s="32">
        <f t="shared" si="29"/>
        <v>0</v>
      </c>
      <c r="BO96" s="32">
        <f t="shared" si="30"/>
        <v>0</v>
      </c>
      <c r="BP96" s="32">
        <f t="shared" si="31"/>
        <v>0</v>
      </c>
      <c r="BQ96" s="32">
        <f t="shared" si="32"/>
        <v>0</v>
      </c>
      <c r="BR96" s="32">
        <f t="shared" si="33"/>
        <v>0</v>
      </c>
      <c r="BS96" s="32">
        <f t="shared" si="34"/>
        <v>0</v>
      </c>
      <c r="BT96" s="40">
        <f t="shared" si="35"/>
        <v>0</v>
      </c>
    </row>
    <row r="97" spans="1:72">
      <c r="A97" s="6"/>
      <c r="B97" s="31"/>
      <c r="C97" s="31"/>
      <c r="D97" s="1629"/>
      <c r="E97" s="32">
        <f t="shared" si="7"/>
        <v>0</v>
      </c>
      <c r="F97" s="33"/>
      <c r="G97" s="34">
        <f t="shared" si="8"/>
        <v>0</v>
      </c>
      <c r="H97" s="35">
        <f t="shared" si="9"/>
        <v>0</v>
      </c>
      <c r="I97" s="36"/>
      <c r="J97" s="36"/>
      <c r="K97" s="36"/>
      <c r="L97" s="36"/>
      <c r="M97" s="36"/>
      <c r="N97" s="36"/>
      <c r="O97" s="36"/>
      <c r="P97" s="36"/>
      <c r="Q97" s="36"/>
      <c r="R97" s="36"/>
      <c r="S97" s="36"/>
      <c r="T97" s="36"/>
      <c r="U97" s="36"/>
      <c r="V97" s="36"/>
      <c r="W97" s="36"/>
      <c r="X97" s="36"/>
      <c r="Y97" s="36"/>
      <c r="Z97" s="36"/>
      <c r="AA97" s="36"/>
      <c r="AB97" s="36"/>
      <c r="AC97" s="32">
        <f t="shared" si="10"/>
        <v>0</v>
      </c>
      <c r="AD97" s="37"/>
      <c r="AE97" s="37"/>
      <c r="AF97" s="37"/>
      <c r="AG97" s="37"/>
      <c r="AH97" s="37"/>
      <c r="AI97" s="37"/>
      <c r="AJ97" s="37"/>
      <c r="AK97" s="37"/>
      <c r="AL97" s="37"/>
      <c r="AM97" s="37"/>
      <c r="AN97" s="37"/>
      <c r="AO97" s="37"/>
      <c r="AP97" s="37"/>
      <c r="AQ97" s="37"/>
      <c r="AR97" s="37"/>
      <c r="AS97" s="37"/>
      <c r="AT97" s="38"/>
      <c r="AU97" s="1630"/>
      <c r="AV97" s="1342">
        <f t="shared" si="11"/>
        <v>0</v>
      </c>
      <c r="AW97" s="1342">
        <f t="shared" si="12"/>
        <v>0</v>
      </c>
      <c r="AX97" s="1342">
        <f t="shared" si="13"/>
        <v>0</v>
      </c>
      <c r="AY97" s="39">
        <f t="shared" si="14"/>
        <v>0</v>
      </c>
      <c r="AZ97" s="32">
        <f t="shared" si="15"/>
        <v>0</v>
      </c>
      <c r="BA97" s="32">
        <f t="shared" si="16"/>
        <v>0</v>
      </c>
      <c r="BB97" s="32">
        <f t="shared" si="17"/>
        <v>0</v>
      </c>
      <c r="BC97" s="32">
        <f t="shared" si="18"/>
        <v>0</v>
      </c>
      <c r="BD97" s="32">
        <f t="shared" si="19"/>
        <v>0</v>
      </c>
      <c r="BE97" s="32">
        <f t="shared" si="20"/>
        <v>0</v>
      </c>
      <c r="BF97" s="32">
        <f t="shared" si="21"/>
        <v>0</v>
      </c>
      <c r="BG97" s="32">
        <f t="shared" si="22"/>
        <v>0</v>
      </c>
      <c r="BH97" s="32">
        <f t="shared" si="23"/>
        <v>0</v>
      </c>
      <c r="BI97" s="32">
        <f t="shared" si="24"/>
        <v>0</v>
      </c>
      <c r="BJ97" s="32">
        <f t="shared" si="25"/>
        <v>0</v>
      </c>
      <c r="BK97" s="32">
        <f t="shared" si="26"/>
        <v>0</v>
      </c>
      <c r="BL97" s="32">
        <f t="shared" si="27"/>
        <v>0</v>
      </c>
      <c r="BM97" s="32">
        <f t="shared" si="28"/>
        <v>0</v>
      </c>
      <c r="BN97" s="32">
        <f t="shared" si="29"/>
        <v>0</v>
      </c>
      <c r="BO97" s="32">
        <f t="shared" si="30"/>
        <v>0</v>
      </c>
      <c r="BP97" s="32">
        <f t="shared" si="31"/>
        <v>0</v>
      </c>
      <c r="BQ97" s="32">
        <f t="shared" si="32"/>
        <v>0</v>
      </c>
      <c r="BR97" s="32">
        <f t="shared" si="33"/>
        <v>0</v>
      </c>
      <c r="BS97" s="32">
        <f t="shared" si="34"/>
        <v>0</v>
      </c>
      <c r="BT97" s="40">
        <f t="shared" si="35"/>
        <v>0</v>
      </c>
    </row>
    <row r="98" spans="1:72">
      <c r="A98" s="6"/>
      <c r="B98" s="31"/>
      <c r="C98" s="31"/>
      <c r="D98" s="1629"/>
      <c r="E98" s="32">
        <f t="shared" si="7"/>
        <v>0</v>
      </c>
      <c r="F98" s="33"/>
      <c r="G98" s="34">
        <f t="shared" si="8"/>
        <v>0</v>
      </c>
      <c r="H98" s="35">
        <f t="shared" si="9"/>
        <v>0</v>
      </c>
      <c r="I98" s="36"/>
      <c r="J98" s="36"/>
      <c r="K98" s="36"/>
      <c r="L98" s="36"/>
      <c r="M98" s="36"/>
      <c r="N98" s="36"/>
      <c r="O98" s="36"/>
      <c r="P98" s="36"/>
      <c r="Q98" s="36"/>
      <c r="R98" s="36"/>
      <c r="S98" s="36"/>
      <c r="T98" s="36"/>
      <c r="U98" s="36"/>
      <c r="V98" s="36"/>
      <c r="W98" s="36"/>
      <c r="X98" s="36"/>
      <c r="Y98" s="36"/>
      <c r="Z98" s="36"/>
      <c r="AA98" s="36"/>
      <c r="AB98" s="36"/>
      <c r="AC98" s="32">
        <f t="shared" si="10"/>
        <v>0</v>
      </c>
      <c r="AD98" s="37"/>
      <c r="AE98" s="37"/>
      <c r="AF98" s="37"/>
      <c r="AG98" s="37"/>
      <c r="AH98" s="37"/>
      <c r="AI98" s="37"/>
      <c r="AJ98" s="37"/>
      <c r="AK98" s="37"/>
      <c r="AL98" s="37"/>
      <c r="AM98" s="37"/>
      <c r="AN98" s="37"/>
      <c r="AO98" s="37"/>
      <c r="AP98" s="37"/>
      <c r="AQ98" s="37"/>
      <c r="AR98" s="37"/>
      <c r="AS98" s="37"/>
      <c r="AT98" s="38"/>
      <c r="AU98" s="1630"/>
      <c r="AV98" s="1342">
        <f t="shared" si="11"/>
        <v>0</v>
      </c>
      <c r="AW98" s="1342">
        <f t="shared" si="12"/>
        <v>0</v>
      </c>
      <c r="AX98" s="1342">
        <f t="shared" si="13"/>
        <v>0</v>
      </c>
      <c r="AY98" s="39">
        <f t="shared" si="14"/>
        <v>0</v>
      </c>
      <c r="AZ98" s="32">
        <f t="shared" si="15"/>
        <v>0</v>
      </c>
      <c r="BA98" s="32">
        <f t="shared" si="16"/>
        <v>0</v>
      </c>
      <c r="BB98" s="32">
        <f t="shared" si="17"/>
        <v>0</v>
      </c>
      <c r="BC98" s="32">
        <f t="shared" si="18"/>
        <v>0</v>
      </c>
      <c r="BD98" s="32">
        <f t="shared" si="19"/>
        <v>0</v>
      </c>
      <c r="BE98" s="32">
        <f t="shared" si="20"/>
        <v>0</v>
      </c>
      <c r="BF98" s="32">
        <f t="shared" si="21"/>
        <v>0</v>
      </c>
      <c r="BG98" s="32">
        <f t="shared" si="22"/>
        <v>0</v>
      </c>
      <c r="BH98" s="32">
        <f t="shared" si="23"/>
        <v>0</v>
      </c>
      <c r="BI98" s="32">
        <f t="shared" si="24"/>
        <v>0</v>
      </c>
      <c r="BJ98" s="32">
        <f t="shared" si="25"/>
        <v>0</v>
      </c>
      <c r="BK98" s="32">
        <f t="shared" si="26"/>
        <v>0</v>
      </c>
      <c r="BL98" s="32">
        <f t="shared" si="27"/>
        <v>0</v>
      </c>
      <c r="BM98" s="32">
        <f t="shared" si="28"/>
        <v>0</v>
      </c>
      <c r="BN98" s="32">
        <f t="shared" si="29"/>
        <v>0</v>
      </c>
      <c r="BO98" s="32">
        <f t="shared" si="30"/>
        <v>0</v>
      </c>
      <c r="BP98" s="32">
        <f t="shared" si="31"/>
        <v>0</v>
      </c>
      <c r="BQ98" s="32">
        <f t="shared" si="32"/>
        <v>0</v>
      </c>
      <c r="BR98" s="32">
        <f t="shared" si="33"/>
        <v>0</v>
      </c>
      <c r="BS98" s="32">
        <f t="shared" si="34"/>
        <v>0</v>
      </c>
      <c r="BT98" s="40">
        <f t="shared" si="35"/>
        <v>0</v>
      </c>
    </row>
    <row r="99" spans="1:72">
      <c r="A99" s="6"/>
      <c r="B99" s="31"/>
      <c r="C99" s="31"/>
      <c r="D99" s="1629"/>
      <c r="E99" s="32">
        <f t="shared" si="7"/>
        <v>0</v>
      </c>
      <c r="F99" s="33"/>
      <c r="G99" s="34">
        <f t="shared" si="8"/>
        <v>0</v>
      </c>
      <c r="H99" s="35">
        <f t="shared" si="9"/>
        <v>0</v>
      </c>
      <c r="I99" s="36"/>
      <c r="J99" s="36"/>
      <c r="K99" s="36"/>
      <c r="L99" s="36"/>
      <c r="M99" s="36"/>
      <c r="N99" s="36"/>
      <c r="O99" s="36"/>
      <c r="P99" s="36"/>
      <c r="Q99" s="36"/>
      <c r="R99" s="36"/>
      <c r="S99" s="36"/>
      <c r="T99" s="36"/>
      <c r="U99" s="36"/>
      <c r="V99" s="36"/>
      <c r="W99" s="36"/>
      <c r="X99" s="36"/>
      <c r="Y99" s="36"/>
      <c r="Z99" s="36"/>
      <c r="AA99" s="36"/>
      <c r="AB99" s="36"/>
      <c r="AC99" s="32">
        <f t="shared" si="10"/>
        <v>0</v>
      </c>
      <c r="AD99" s="37"/>
      <c r="AE99" s="37"/>
      <c r="AF99" s="37"/>
      <c r="AG99" s="37"/>
      <c r="AH99" s="37"/>
      <c r="AI99" s="37"/>
      <c r="AJ99" s="37"/>
      <c r="AK99" s="37"/>
      <c r="AL99" s="37"/>
      <c r="AM99" s="37"/>
      <c r="AN99" s="37"/>
      <c r="AO99" s="37"/>
      <c r="AP99" s="37"/>
      <c r="AQ99" s="37"/>
      <c r="AR99" s="37"/>
      <c r="AS99" s="37"/>
      <c r="AT99" s="38"/>
      <c r="AU99" s="1630"/>
      <c r="AV99" s="1342">
        <f t="shared" si="11"/>
        <v>0</v>
      </c>
      <c r="AW99" s="1342">
        <f t="shared" si="12"/>
        <v>0</v>
      </c>
      <c r="AX99" s="1342">
        <f t="shared" si="13"/>
        <v>0</v>
      </c>
      <c r="AY99" s="39">
        <f t="shared" si="14"/>
        <v>0</v>
      </c>
      <c r="AZ99" s="32">
        <f t="shared" si="15"/>
        <v>0</v>
      </c>
      <c r="BA99" s="32">
        <f t="shared" si="16"/>
        <v>0</v>
      </c>
      <c r="BB99" s="32">
        <f t="shared" si="17"/>
        <v>0</v>
      </c>
      <c r="BC99" s="32">
        <f t="shared" si="18"/>
        <v>0</v>
      </c>
      <c r="BD99" s="32">
        <f t="shared" si="19"/>
        <v>0</v>
      </c>
      <c r="BE99" s="32">
        <f t="shared" si="20"/>
        <v>0</v>
      </c>
      <c r="BF99" s="32">
        <f t="shared" si="21"/>
        <v>0</v>
      </c>
      <c r="BG99" s="32">
        <f t="shared" si="22"/>
        <v>0</v>
      </c>
      <c r="BH99" s="32">
        <f t="shared" si="23"/>
        <v>0</v>
      </c>
      <c r="BI99" s="32">
        <f t="shared" si="24"/>
        <v>0</v>
      </c>
      <c r="BJ99" s="32">
        <f t="shared" si="25"/>
        <v>0</v>
      </c>
      <c r="BK99" s="32">
        <f t="shared" si="26"/>
        <v>0</v>
      </c>
      <c r="BL99" s="32">
        <f t="shared" si="27"/>
        <v>0</v>
      </c>
      <c r="BM99" s="32">
        <f t="shared" si="28"/>
        <v>0</v>
      </c>
      <c r="BN99" s="32">
        <f t="shared" si="29"/>
        <v>0</v>
      </c>
      <c r="BO99" s="32">
        <f t="shared" si="30"/>
        <v>0</v>
      </c>
      <c r="BP99" s="32">
        <f t="shared" si="31"/>
        <v>0</v>
      </c>
      <c r="BQ99" s="32">
        <f t="shared" si="32"/>
        <v>0</v>
      </c>
      <c r="BR99" s="32">
        <f t="shared" si="33"/>
        <v>0</v>
      </c>
      <c r="BS99" s="32">
        <f t="shared" si="34"/>
        <v>0</v>
      </c>
      <c r="BT99" s="40">
        <f t="shared" si="35"/>
        <v>0</v>
      </c>
    </row>
    <row r="100" spans="1:72">
      <c r="A100" s="6"/>
      <c r="B100" s="31"/>
      <c r="C100" s="31"/>
      <c r="D100" s="1629"/>
      <c r="E100" s="32">
        <f t="shared" si="7"/>
        <v>0</v>
      </c>
      <c r="F100" s="33"/>
      <c r="G100" s="34">
        <f t="shared" si="8"/>
        <v>0</v>
      </c>
      <c r="H100" s="35">
        <f t="shared" si="9"/>
        <v>0</v>
      </c>
      <c r="I100" s="36"/>
      <c r="J100" s="36"/>
      <c r="K100" s="36"/>
      <c r="L100" s="36"/>
      <c r="M100" s="36"/>
      <c r="N100" s="36"/>
      <c r="O100" s="36"/>
      <c r="P100" s="36"/>
      <c r="Q100" s="36"/>
      <c r="R100" s="36"/>
      <c r="S100" s="36"/>
      <c r="T100" s="36"/>
      <c r="U100" s="36"/>
      <c r="V100" s="36"/>
      <c r="W100" s="36"/>
      <c r="X100" s="36"/>
      <c r="Y100" s="36"/>
      <c r="Z100" s="36"/>
      <c r="AA100" s="36"/>
      <c r="AB100" s="36"/>
      <c r="AC100" s="32">
        <f t="shared" si="10"/>
        <v>0</v>
      </c>
      <c r="AD100" s="37"/>
      <c r="AE100" s="37"/>
      <c r="AF100" s="37"/>
      <c r="AG100" s="37"/>
      <c r="AH100" s="37"/>
      <c r="AI100" s="37"/>
      <c r="AJ100" s="37"/>
      <c r="AK100" s="37"/>
      <c r="AL100" s="37"/>
      <c r="AM100" s="37"/>
      <c r="AN100" s="37"/>
      <c r="AO100" s="37"/>
      <c r="AP100" s="37"/>
      <c r="AQ100" s="37"/>
      <c r="AR100" s="37"/>
      <c r="AS100" s="37"/>
      <c r="AT100" s="38"/>
      <c r="AU100" s="1630"/>
      <c r="AV100" s="1342">
        <f t="shared" si="11"/>
        <v>0</v>
      </c>
      <c r="AW100" s="1342">
        <f t="shared" si="12"/>
        <v>0</v>
      </c>
      <c r="AX100" s="1342">
        <f t="shared" si="13"/>
        <v>0</v>
      </c>
      <c r="AY100" s="39">
        <f t="shared" si="14"/>
        <v>0</v>
      </c>
      <c r="AZ100" s="32">
        <f t="shared" si="15"/>
        <v>0</v>
      </c>
      <c r="BA100" s="32">
        <f t="shared" si="16"/>
        <v>0</v>
      </c>
      <c r="BB100" s="32">
        <f t="shared" si="17"/>
        <v>0</v>
      </c>
      <c r="BC100" s="32">
        <f t="shared" si="18"/>
        <v>0</v>
      </c>
      <c r="BD100" s="32">
        <f t="shared" si="19"/>
        <v>0</v>
      </c>
      <c r="BE100" s="32">
        <f t="shared" si="20"/>
        <v>0</v>
      </c>
      <c r="BF100" s="32">
        <f t="shared" si="21"/>
        <v>0</v>
      </c>
      <c r="BG100" s="32">
        <f t="shared" si="22"/>
        <v>0</v>
      </c>
      <c r="BH100" s="32">
        <f t="shared" si="23"/>
        <v>0</v>
      </c>
      <c r="BI100" s="32">
        <f t="shared" si="24"/>
        <v>0</v>
      </c>
      <c r="BJ100" s="32">
        <f t="shared" si="25"/>
        <v>0</v>
      </c>
      <c r="BK100" s="32">
        <f t="shared" si="26"/>
        <v>0</v>
      </c>
      <c r="BL100" s="32">
        <f t="shared" si="27"/>
        <v>0</v>
      </c>
      <c r="BM100" s="32">
        <f t="shared" si="28"/>
        <v>0</v>
      </c>
      <c r="BN100" s="32">
        <f t="shared" si="29"/>
        <v>0</v>
      </c>
      <c r="BO100" s="32">
        <f t="shared" si="30"/>
        <v>0</v>
      </c>
      <c r="BP100" s="32">
        <f t="shared" si="31"/>
        <v>0</v>
      </c>
      <c r="BQ100" s="32">
        <f t="shared" si="32"/>
        <v>0</v>
      </c>
      <c r="BR100" s="32">
        <f t="shared" si="33"/>
        <v>0</v>
      </c>
      <c r="BS100" s="32">
        <f t="shared" si="34"/>
        <v>0</v>
      </c>
      <c r="BT100" s="40">
        <f t="shared" si="35"/>
        <v>0</v>
      </c>
    </row>
    <row r="101" spans="1:72">
      <c r="A101" s="6"/>
      <c r="B101" s="31"/>
      <c r="C101" s="31"/>
      <c r="D101" s="1629"/>
      <c r="E101" s="32">
        <f t="shared" si="7"/>
        <v>0</v>
      </c>
      <c r="F101" s="33"/>
      <c r="G101" s="34">
        <f t="shared" si="8"/>
        <v>0</v>
      </c>
      <c r="H101" s="35">
        <f t="shared" si="9"/>
        <v>0</v>
      </c>
      <c r="I101" s="36"/>
      <c r="J101" s="36"/>
      <c r="K101" s="36"/>
      <c r="L101" s="36"/>
      <c r="M101" s="36"/>
      <c r="N101" s="36"/>
      <c r="O101" s="36"/>
      <c r="P101" s="36"/>
      <c r="Q101" s="36"/>
      <c r="R101" s="36"/>
      <c r="S101" s="36"/>
      <c r="T101" s="36"/>
      <c r="U101" s="36"/>
      <c r="V101" s="36"/>
      <c r="W101" s="36"/>
      <c r="X101" s="36"/>
      <c r="Y101" s="36"/>
      <c r="Z101" s="36"/>
      <c r="AA101" s="36"/>
      <c r="AB101" s="36"/>
      <c r="AC101" s="32">
        <f t="shared" si="10"/>
        <v>0</v>
      </c>
      <c r="AD101" s="37"/>
      <c r="AE101" s="37"/>
      <c r="AF101" s="37"/>
      <c r="AG101" s="37"/>
      <c r="AH101" s="37"/>
      <c r="AI101" s="37"/>
      <c r="AJ101" s="37"/>
      <c r="AK101" s="37"/>
      <c r="AL101" s="37"/>
      <c r="AM101" s="37"/>
      <c r="AN101" s="37"/>
      <c r="AO101" s="37"/>
      <c r="AP101" s="37"/>
      <c r="AQ101" s="37"/>
      <c r="AR101" s="37"/>
      <c r="AS101" s="37"/>
      <c r="AT101" s="38"/>
      <c r="AU101" s="1630"/>
      <c r="AV101" s="1342">
        <f t="shared" si="11"/>
        <v>0</v>
      </c>
      <c r="AW101" s="1342">
        <f t="shared" si="12"/>
        <v>0</v>
      </c>
      <c r="AX101" s="1342">
        <f t="shared" si="13"/>
        <v>0</v>
      </c>
      <c r="AY101" s="39">
        <f t="shared" si="14"/>
        <v>0</v>
      </c>
      <c r="AZ101" s="32">
        <f t="shared" si="15"/>
        <v>0</v>
      </c>
      <c r="BA101" s="32">
        <f t="shared" si="16"/>
        <v>0</v>
      </c>
      <c r="BB101" s="32">
        <f t="shared" si="17"/>
        <v>0</v>
      </c>
      <c r="BC101" s="32">
        <f t="shared" si="18"/>
        <v>0</v>
      </c>
      <c r="BD101" s="32">
        <f t="shared" si="19"/>
        <v>0</v>
      </c>
      <c r="BE101" s="32">
        <f t="shared" si="20"/>
        <v>0</v>
      </c>
      <c r="BF101" s="32">
        <f t="shared" si="21"/>
        <v>0</v>
      </c>
      <c r="BG101" s="32">
        <f t="shared" si="22"/>
        <v>0</v>
      </c>
      <c r="BH101" s="32">
        <f t="shared" si="23"/>
        <v>0</v>
      </c>
      <c r="BI101" s="32">
        <f t="shared" si="24"/>
        <v>0</v>
      </c>
      <c r="BJ101" s="32">
        <f t="shared" si="25"/>
        <v>0</v>
      </c>
      <c r="BK101" s="32">
        <f t="shared" si="26"/>
        <v>0</v>
      </c>
      <c r="BL101" s="32">
        <f t="shared" si="27"/>
        <v>0</v>
      </c>
      <c r="BM101" s="32">
        <f t="shared" si="28"/>
        <v>0</v>
      </c>
      <c r="BN101" s="32">
        <f t="shared" si="29"/>
        <v>0</v>
      </c>
      <c r="BO101" s="32">
        <f t="shared" si="30"/>
        <v>0</v>
      </c>
      <c r="BP101" s="32">
        <f t="shared" si="31"/>
        <v>0</v>
      </c>
      <c r="BQ101" s="32">
        <f t="shared" si="32"/>
        <v>0</v>
      </c>
      <c r="BR101" s="32">
        <f t="shared" si="33"/>
        <v>0</v>
      </c>
      <c r="BS101" s="32">
        <f t="shared" si="34"/>
        <v>0</v>
      </c>
      <c r="BT101" s="40">
        <f t="shared" si="35"/>
        <v>0</v>
      </c>
    </row>
    <row r="102" spans="1:72">
      <c r="A102" s="6"/>
      <c r="B102" s="31"/>
      <c r="C102" s="31"/>
      <c r="D102" s="1629"/>
      <c r="E102" s="32">
        <f t="shared" si="7"/>
        <v>0</v>
      </c>
      <c r="F102" s="33"/>
      <c r="G102" s="34">
        <f t="shared" si="8"/>
        <v>0</v>
      </c>
      <c r="H102" s="35">
        <f t="shared" si="9"/>
        <v>0</v>
      </c>
      <c r="I102" s="36"/>
      <c r="J102" s="36"/>
      <c r="K102" s="36"/>
      <c r="L102" s="36"/>
      <c r="M102" s="36"/>
      <c r="N102" s="36"/>
      <c r="O102" s="36"/>
      <c r="P102" s="36"/>
      <c r="Q102" s="36"/>
      <c r="R102" s="36"/>
      <c r="S102" s="36"/>
      <c r="T102" s="36"/>
      <c r="U102" s="36"/>
      <c r="V102" s="36"/>
      <c r="W102" s="36"/>
      <c r="X102" s="36"/>
      <c r="Y102" s="36"/>
      <c r="Z102" s="36"/>
      <c r="AA102" s="36"/>
      <c r="AB102" s="36"/>
      <c r="AC102" s="32">
        <f t="shared" si="10"/>
        <v>0</v>
      </c>
      <c r="AD102" s="37"/>
      <c r="AE102" s="37"/>
      <c r="AF102" s="37"/>
      <c r="AG102" s="37"/>
      <c r="AH102" s="37"/>
      <c r="AI102" s="37"/>
      <c r="AJ102" s="37"/>
      <c r="AK102" s="37"/>
      <c r="AL102" s="37"/>
      <c r="AM102" s="37"/>
      <c r="AN102" s="37"/>
      <c r="AO102" s="37"/>
      <c r="AP102" s="37"/>
      <c r="AQ102" s="37"/>
      <c r="AR102" s="37"/>
      <c r="AS102" s="37"/>
      <c r="AT102" s="38"/>
      <c r="AU102" s="1630"/>
      <c r="AV102" s="1342">
        <f t="shared" si="11"/>
        <v>0</v>
      </c>
      <c r="AW102" s="1342">
        <f t="shared" si="12"/>
        <v>0</v>
      </c>
      <c r="AX102" s="1342">
        <f t="shared" si="13"/>
        <v>0</v>
      </c>
      <c r="AY102" s="39">
        <f t="shared" si="14"/>
        <v>0</v>
      </c>
      <c r="AZ102" s="32">
        <f t="shared" si="15"/>
        <v>0</v>
      </c>
      <c r="BA102" s="32">
        <f t="shared" si="16"/>
        <v>0</v>
      </c>
      <c r="BB102" s="32">
        <f t="shared" si="17"/>
        <v>0</v>
      </c>
      <c r="BC102" s="32">
        <f t="shared" si="18"/>
        <v>0</v>
      </c>
      <c r="BD102" s="32">
        <f t="shared" si="19"/>
        <v>0</v>
      </c>
      <c r="BE102" s="32">
        <f t="shared" si="20"/>
        <v>0</v>
      </c>
      <c r="BF102" s="32">
        <f t="shared" si="21"/>
        <v>0</v>
      </c>
      <c r="BG102" s="32">
        <f t="shared" si="22"/>
        <v>0</v>
      </c>
      <c r="BH102" s="32">
        <f t="shared" si="23"/>
        <v>0</v>
      </c>
      <c r="BI102" s="32">
        <f t="shared" si="24"/>
        <v>0</v>
      </c>
      <c r="BJ102" s="32">
        <f t="shared" si="25"/>
        <v>0</v>
      </c>
      <c r="BK102" s="32">
        <f t="shared" si="26"/>
        <v>0</v>
      </c>
      <c r="BL102" s="32">
        <f t="shared" si="27"/>
        <v>0</v>
      </c>
      <c r="BM102" s="32">
        <f t="shared" si="28"/>
        <v>0</v>
      </c>
      <c r="BN102" s="32">
        <f t="shared" si="29"/>
        <v>0</v>
      </c>
      <c r="BO102" s="32">
        <f t="shared" si="30"/>
        <v>0</v>
      </c>
      <c r="BP102" s="32">
        <f t="shared" si="31"/>
        <v>0</v>
      </c>
      <c r="BQ102" s="32">
        <f t="shared" si="32"/>
        <v>0</v>
      </c>
      <c r="BR102" s="32">
        <f t="shared" si="33"/>
        <v>0</v>
      </c>
      <c r="BS102" s="32">
        <f t="shared" si="34"/>
        <v>0</v>
      </c>
      <c r="BT102" s="40">
        <f t="shared" si="35"/>
        <v>0</v>
      </c>
    </row>
    <row r="103" spans="1:72">
      <c r="A103" s="6"/>
      <c r="B103" s="31"/>
      <c r="C103" s="31"/>
      <c r="D103" s="1629"/>
      <c r="E103" s="32">
        <f t="shared" si="7"/>
        <v>0</v>
      </c>
      <c r="F103" s="33"/>
      <c r="G103" s="34">
        <f t="shared" si="8"/>
        <v>0</v>
      </c>
      <c r="H103" s="35">
        <f t="shared" si="9"/>
        <v>0</v>
      </c>
      <c r="I103" s="36"/>
      <c r="J103" s="36"/>
      <c r="K103" s="36"/>
      <c r="L103" s="36"/>
      <c r="M103" s="36"/>
      <c r="N103" s="36"/>
      <c r="O103" s="36"/>
      <c r="P103" s="36"/>
      <c r="Q103" s="36"/>
      <c r="R103" s="36"/>
      <c r="S103" s="36"/>
      <c r="T103" s="36"/>
      <c r="U103" s="36"/>
      <c r="V103" s="36"/>
      <c r="W103" s="36"/>
      <c r="X103" s="36"/>
      <c r="Y103" s="36"/>
      <c r="Z103" s="36"/>
      <c r="AA103" s="36"/>
      <c r="AB103" s="36"/>
      <c r="AC103" s="32">
        <f t="shared" si="10"/>
        <v>0</v>
      </c>
      <c r="AD103" s="37"/>
      <c r="AE103" s="37"/>
      <c r="AF103" s="37"/>
      <c r="AG103" s="37"/>
      <c r="AH103" s="37"/>
      <c r="AI103" s="37"/>
      <c r="AJ103" s="37"/>
      <c r="AK103" s="37"/>
      <c r="AL103" s="37"/>
      <c r="AM103" s="37"/>
      <c r="AN103" s="37"/>
      <c r="AO103" s="37"/>
      <c r="AP103" s="37"/>
      <c r="AQ103" s="37"/>
      <c r="AR103" s="37"/>
      <c r="AS103" s="37"/>
      <c r="AT103" s="38"/>
      <c r="AU103" s="1630"/>
      <c r="AV103" s="1342">
        <f t="shared" si="11"/>
        <v>0</v>
      </c>
      <c r="AW103" s="1342">
        <f t="shared" si="12"/>
        <v>0</v>
      </c>
      <c r="AX103" s="1342">
        <f t="shared" si="13"/>
        <v>0</v>
      </c>
      <c r="AY103" s="39">
        <f t="shared" si="14"/>
        <v>0</v>
      </c>
      <c r="AZ103" s="32">
        <f t="shared" si="15"/>
        <v>0</v>
      </c>
      <c r="BA103" s="32">
        <f t="shared" si="16"/>
        <v>0</v>
      </c>
      <c r="BB103" s="32">
        <f t="shared" si="17"/>
        <v>0</v>
      </c>
      <c r="BC103" s="32">
        <f t="shared" si="18"/>
        <v>0</v>
      </c>
      <c r="BD103" s="32">
        <f t="shared" si="19"/>
        <v>0</v>
      </c>
      <c r="BE103" s="32">
        <f t="shared" si="20"/>
        <v>0</v>
      </c>
      <c r="BF103" s="32">
        <f t="shared" si="21"/>
        <v>0</v>
      </c>
      <c r="BG103" s="32">
        <f t="shared" si="22"/>
        <v>0</v>
      </c>
      <c r="BH103" s="32">
        <f t="shared" si="23"/>
        <v>0</v>
      </c>
      <c r="BI103" s="32">
        <f t="shared" si="24"/>
        <v>0</v>
      </c>
      <c r="BJ103" s="32">
        <f t="shared" si="25"/>
        <v>0</v>
      </c>
      <c r="BK103" s="32">
        <f t="shared" si="26"/>
        <v>0</v>
      </c>
      <c r="BL103" s="32">
        <f t="shared" si="27"/>
        <v>0</v>
      </c>
      <c r="BM103" s="32">
        <f t="shared" si="28"/>
        <v>0</v>
      </c>
      <c r="BN103" s="32">
        <f t="shared" si="29"/>
        <v>0</v>
      </c>
      <c r="BO103" s="32">
        <f t="shared" si="30"/>
        <v>0</v>
      </c>
      <c r="BP103" s="32">
        <f t="shared" si="31"/>
        <v>0</v>
      </c>
      <c r="BQ103" s="32">
        <f t="shared" si="32"/>
        <v>0</v>
      </c>
      <c r="BR103" s="32">
        <f t="shared" si="33"/>
        <v>0</v>
      </c>
      <c r="BS103" s="32">
        <f t="shared" si="34"/>
        <v>0</v>
      </c>
      <c r="BT103" s="40">
        <f t="shared" si="35"/>
        <v>0</v>
      </c>
    </row>
    <row r="104" spans="1:72">
      <c r="A104" s="6"/>
      <c r="B104" s="31"/>
      <c r="C104" s="31"/>
      <c r="D104" s="1629"/>
      <c r="E104" s="32">
        <f t="shared" si="7"/>
        <v>0</v>
      </c>
      <c r="F104" s="33"/>
      <c r="G104" s="34">
        <f t="shared" si="8"/>
        <v>0</v>
      </c>
      <c r="H104" s="35">
        <f t="shared" si="9"/>
        <v>0</v>
      </c>
      <c r="I104" s="36"/>
      <c r="J104" s="36"/>
      <c r="K104" s="36"/>
      <c r="L104" s="36"/>
      <c r="M104" s="36"/>
      <c r="N104" s="36"/>
      <c r="O104" s="36"/>
      <c r="P104" s="36"/>
      <c r="Q104" s="36"/>
      <c r="R104" s="36"/>
      <c r="S104" s="36"/>
      <c r="T104" s="36"/>
      <c r="U104" s="36"/>
      <c r="V104" s="36"/>
      <c r="W104" s="36"/>
      <c r="X104" s="36"/>
      <c r="Y104" s="36"/>
      <c r="Z104" s="36"/>
      <c r="AA104" s="36"/>
      <c r="AB104" s="36"/>
      <c r="AC104" s="32">
        <f t="shared" si="10"/>
        <v>0</v>
      </c>
      <c r="AD104" s="37"/>
      <c r="AE104" s="37"/>
      <c r="AF104" s="37"/>
      <c r="AG104" s="37"/>
      <c r="AH104" s="37"/>
      <c r="AI104" s="37"/>
      <c r="AJ104" s="37"/>
      <c r="AK104" s="37"/>
      <c r="AL104" s="37"/>
      <c r="AM104" s="37"/>
      <c r="AN104" s="37"/>
      <c r="AO104" s="37"/>
      <c r="AP104" s="37"/>
      <c r="AQ104" s="37"/>
      <c r="AR104" s="37"/>
      <c r="AS104" s="37"/>
      <c r="AT104" s="38"/>
      <c r="AU104" s="1630"/>
      <c r="AV104" s="1342">
        <f t="shared" si="11"/>
        <v>0</v>
      </c>
      <c r="AW104" s="1342">
        <f t="shared" si="12"/>
        <v>0</v>
      </c>
      <c r="AX104" s="1342">
        <f t="shared" si="13"/>
        <v>0</v>
      </c>
      <c r="AY104" s="39">
        <f t="shared" si="14"/>
        <v>0</v>
      </c>
      <c r="AZ104" s="32">
        <f t="shared" si="15"/>
        <v>0</v>
      </c>
      <c r="BA104" s="32">
        <f t="shared" si="16"/>
        <v>0</v>
      </c>
      <c r="BB104" s="32">
        <f t="shared" si="17"/>
        <v>0</v>
      </c>
      <c r="BC104" s="32">
        <f t="shared" si="18"/>
        <v>0</v>
      </c>
      <c r="BD104" s="32">
        <f t="shared" si="19"/>
        <v>0</v>
      </c>
      <c r="BE104" s="32">
        <f t="shared" si="20"/>
        <v>0</v>
      </c>
      <c r="BF104" s="32">
        <f t="shared" si="21"/>
        <v>0</v>
      </c>
      <c r="BG104" s="32">
        <f t="shared" si="22"/>
        <v>0</v>
      </c>
      <c r="BH104" s="32">
        <f t="shared" si="23"/>
        <v>0</v>
      </c>
      <c r="BI104" s="32">
        <f t="shared" si="24"/>
        <v>0</v>
      </c>
      <c r="BJ104" s="32">
        <f t="shared" si="25"/>
        <v>0</v>
      </c>
      <c r="BK104" s="32">
        <f t="shared" si="26"/>
        <v>0</v>
      </c>
      <c r="BL104" s="32">
        <f t="shared" si="27"/>
        <v>0</v>
      </c>
      <c r="BM104" s="32">
        <f t="shared" si="28"/>
        <v>0</v>
      </c>
      <c r="BN104" s="32">
        <f t="shared" si="29"/>
        <v>0</v>
      </c>
      <c r="BO104" s="32">
        <f t="shared" si="30"/>
        <v>0</v>
      </c>
      <c r="BP104" s="32">
        <f t="shared" si="31"/>
        <v>0</v>
      </c>
      <c r="BQ104" s="32">
        <f t="shared" si="32"/>
        <v>0</v>
      </c>
      <c r="BR104" s="32">
        <f t="shared" si="33"/>
        <v>0</v>
      </c>
      <c r="BS104" s="32">
        <f t="shared" si="34"/>
        <v>0</v>
      </c>
      <c r="BT104" s="40">
        <f t="shared" si="35"/>
        <v>0</v>
      </c>
    </row>
    <row r="105" spans="1:72">
      <c r="A105" s="6"/>
      <c r="B105" s="31"/>
      <c r="C105" s="31"/>
      <c r="D105" s="1629"/>
      <c r="E105" s="32">
        <f t="shared" si="7"/>
        <v>0</v>
      </c>
      <c r="F105" s="33"/>
      <c r="G105" s="34">
        <f t="shared" si="8"/>
        <v>0</v>
      </c>
      <c r="H105" s="35">
        <f t="shared" si="9"/>
        <v>0</v>
      </c>
      <c r="I105" s="36"/>
      <c r="J105" s="36"/>
      <c r="K105" s="36"/>
      <c r="L105" s="36"/>
      <c r="M105" s="36"/>
      <c r="N105" s="36"/>
      <c r="O105" s="36"/>
      <c r="P105" s="36"/>
      <c r="Q105" s="36"/>
      <c r="R105" s="36"/>
      <c r="S105" s="36"/>
      <c r="T105" s="36"/>
      <c r="U105" s="36"/>
      <c r="V105" s="36"/>
      <c r="W105" s="36"/>
      <c r="X105" s="36"/>
      <c r="Y105" s="36"/>
      <c r="Z105" s="36"/>
      <c r="AA105" s="36"/>
      <c r="AB105" s="36"/>
      <c r="AC105" s="32">
        <f t="shared" si="10"/>
        <v>0</v>
      </c>
      <c r="AD105" s="37"/>
      <c r="AE105" s="37"/>
      <c r="AF105" s="37"/>
      <c r="AG105" s="37"/>
      <c r="AH105" s="37"/>
      <c r="AI105" s="37"/>
      <c r="AJ105" s="37"/>
      <c r="AK105" s="37"/>
      <c r="AL105" s="37"/>
      <c r="AM105" s="37"/>
      <c r="AN105" s="37"/>
      <c r="AO105" s="37"/>
      <c r="AP105" s="37"/>
      <c r="AQ105" s="37"/>
      <c r="AR105" s="37"/>
      <c r="AS105" s="37"/>
      <c r="AT105" s="38"/>
      <c r="AU105" s="1630"/>
      <c r="AV105" s="1342">
        <f t="shared" si="11"/>
        <v>0</v>
      </c>
      <c r="AW105" s="1342">
        <f t="shared" si="12"/>
        <v>0</v>
      </c>
      <c r="AX105" s="1342">
        <f t="shared" si="13"/>
        <v>0</v>
      </c>
      <c r="AY105" s="39">
        <f t="shared" si="14"/>
        <v>0</v>
      </c>
      <c r="AZ105" s="32">
        <f t="shared" si="15"/>
        <v>0</v>
      </c>
      <c r="BA105" s="32">
        <f t="shared" si="16"/>
        <v>0</v>
      </c>
      <c r="BB105" s="32">
        <f t="shared" si="17"/>
        <v>0</v>
      </c>
      <c r="BC105" s="32">
        <f t="shared" si="18"/>
        <v>0</v>
      </c>
      <c r="BD105" s="32">
        <f t="shared" si="19"/>
        <v>0</v>
      </c>
      <c r="BE105" s="32">
        <f t="shared" si="20"/>
        <v>0</v>
      </c>
      <c r="BF105" s="32">
        <f t="shared" si="21"/>
        <v>0</v>
      </c>
      <c r="BG105" s="32">
        <f t="shared" si="22"/>
        <v>0</v>
      </c>
      <c r="BH105" s="32">
        <f t="shared" si="23"/>
        <v>0</v>
      </c>
      <c r="BI105" s="32">
        <f t="shared" si="24"/>
        <v>0</v>
      </c>
      <c r="BJ105" s="32">
        <f t="shared" si="25"/>
        <v>0</v>
      </c>
      <c r="BK105" s="32">
        <f t="shared" si="26"/>
        <v>0</v>
      </c>
      <c r="BL105" s="32">
        <f t="shared" si="27"/>
        <v>0</v>
      </c>
      <c r="BM105" s="32">
        <f t="shared" si="28"/>
        <v>0</v>
      </c>
      <c r="BN105" s="32">
        <f t="shared" si="29"/>
        <v>0</v>
      </c>
      <c r="BO105" s="32">
        <f t="shared" si="30"/>
        <v>0</v>
      </c>
      <c r="BP105" s="32">
        <f t="shared" si="31"/>
        <v>0</v>
      </c>
      <c r="BQ105" s="32">
        <f t="shared" si="32"/>
        <v>0</v>
      </c>
      <c r="BR105" s="32">
        <f t="shared" si="33"/>
        <v>0</v>
      </c>
      <c r="BS105" s="32">
        <f t="shared" si="34"/>
        <v>0</v>
      </c>
      <c r="BT105" s="40">
        <f t="shared" si="35"/>
        <v>0</v>
      </c>
    </row>
    <row r="106" spans="1:72">
      <c r="A106" s="6"/>
      <c r="B106" s="31"/>
      <c r="C106" s="31"/>
      <c r="D106" s="1629"/>
      <c r="E106" s="32">
        <f t="shared" si="7"/>
        <v>0</v>
      </c>
      <c r="F106" s="33"/>
      <c r="G106" s="34">
        <f t="shared" si="8"/>
        <v>0</v>
      </c>
      <c r="H106" s="35">
        <f t="shared" si="9"/>
        <v>0</v>
      </c>
      <c r="I106" s="36"/>
      <c r="J106" s="36"/>
      <c r="K106" s="36"/>
      <c r="L106" s="36"/>
      <c r="M106" s="36"/>
      <c r="N106" s="36"/>
      <c r="O106" s="36"/>
      <c r="P106" s="36"/>
      <c r="Q106" s="36"/>
      <c r="R106" s="36"/>
      <c r="S106" s="36"/>
      <c r="T106" s="36"/>
      <c r="U106" s="36"/>
      <c r="V106" s="36"/>
      <c r="W106" s="36"/>
      <c r="X106" s="36"/>
      <c r="Y106" s="36"/>
      <c r="Z106" s="36"/>
      <c r="AA106" s="36"/>
      <c r="AB106" s="36"/>
      <c r="AC106" s="32">
        <f t="shared" si="10"/>
        <v>0</v>
      </c>
      <c r="AD106" s="37"/>
      <c r="AE106" s="37"/>
      <c r="AF106" s="37"/>
      <c r="AG106" s="37"/>
      <c r="AH106" s="37"/>
      <c r="AI106" s="37"/>
      <c r="AJ106" s="37"/>
      <c r="AK106" s="37"/>
      <c r="AL106" s="37"/>
      <c r="AM106" s="37"/>
      <c r="AN106" s="37"/>
      <c r="AO106" s="37"/>
      <c r="AP106" s="37"/>
      <c r="AQ106" s="37"/>
      <c r="AR106" s="37"/>
      <c r="AS106" s="37"/>
      <c r="AT106" s="38"/>
      <c r="AU106" s="1630"/>
      <c r="AV106" s="1342">
        <f t="shared" si="11"/>
        <v>0</v>
      </c>
      <c r="AW106" s="1342">
        <f t="shared" si="12"/>
        <v>0</v>
      </c>
      <c r="AX106" s="1342">
        <f t="shared" si="13"/>
        <v>0</v>
      </c>
      <c r="AY106" s="39">
        <f t="shared" si="14"/>
        <v>0</v>
      </c>
      <c r="AZ106" s="32">
        <f t="shared" si="15"/>
        <v>0</v>
      </c>
      <c r="BA106" s="32">
        <f t="shared" si="16"/>
        <v>0</v>
      </c>
      <c r="BB106" s="32">
        <f t="shared" si="17"/>
        <v>0</v>
      </c>
      <c r="BC106" s="32">
        <f t="shared" si="18"/>
        <v>0</v>
      </c>
      <c r="BD106" s="32">
        <f t="shared" si="19"/>
        <v>0</v>
      </c>
      <c r="BE106" s="32">
        <f t="shared" si="20"/>
        <v>0</v>
      </c>
      <c r="BF106" s="32">
        <f t="shared" si="21"/>
        <v>0</v>
      </c>
      <c r="BG106" s="32">
        <f t="shared" si="22"/>
        <v>0</v>
      </c>
      <c r="BH106" s="32">
        <f t="shared" si="23"/>
        <v>0</v>
      </c>
      <c r="BI106" s="32">
        <f t="shared" si="24"/>
        <v>0</v>
      </c>
      <c r="BJ106" s="32">
        <f t="shared" si="25"/>
        <v>0</v>
      </c>
      <c r="BK106" s="32">
        <f t="shared" si="26"/>
        <v>0</v>
      </c>
      <c r="BL106" s="32">
        <f t="shared" si="27"/>
        <v>0</v>
      </c>
      <c r="BM106" s="32">
        <f t="shared" si="28"/>
        <v>0</v>
      </c>
      <c r="BN106" s="32">
        <f t="shared" si="29"/>
        <v>0</v>
      </c>
      <c r="BO106" s="32">
        <f t="shared" si="30"/>
        <v>0</v>
      </c>
      <c r="BP106" s="32">
        <f t="shared" si="31"/>
        <v>0</v>
      </c>
      <c r="BQ106" s="32">
        <f t="shared" si="32"/>
        <v>0</v>
      </c>
      <c r="BR106" s="32">
        <f t="shared" si="33"/>
        <v>0</v>
      </c>
      <c r="BS106" s="32">
        <f t="shared" si="34"/>
        <v>0</v>
      </c>
      <c r="BT106" s="40">
        <f t="shared" si="35"/>
        <v>0</v>
      </c>
    </row>
    <row r="107" spans="1:72">
      <c r="A107" s="6"/>
      <c r="B107" s="31"/>
      <c r="C107" s="31"/>
      <c r="D107" s="1629"/>
      <c r="E107" s="32">
        <f t="shared" si="7"/>
        <v>0</v>
      </c>
      <c r="F107" s="33"/>
      <c r="G107" s="34">
        <f t="shared" si="8"/>
        <v>0</v>
      </c>
      <c r="H107" s="35">
        <f t="shared" si="9"/>
        <v>0</v>
      </c>
      <c r="I107" s="36"/>
      <c r="J107" s="36"/>
      <c r="K107" s="36"/>
      <c r="L107" s="36"/>
      <c r="M107" s="36"/>
      <c r="N107" s="36"/>
      <c r="O107" s="36"/>
      <c r="P107" s="36"/>
      <c r="Q107" s="36"/>
      <c r="R107" s="36"/>
      <c r="S107" s="36"/>
      <c r="T107" s="36"/>
      <c r="U107" s="36"/>
      <c r="V107" s="36"/>
      <c r="W107" s="36"/>
      <c r="X107" s="36"/>
      <c r="Y107" s="36"/>
      <c r="Z107" s="36"/>
      <c r="AA107" s="36"/>
      <c r="AB107" s="36"/>
      <c r="AC107" s="32">
        <f t="shared" si="10"/>
        <v>0</v>
      </c>
      <c r="AD107" s="37"/>
      <c r="AE107" s="37"/>
      <c r="AF107" s="37"/>
      <c r="AG107" s="37"/>
      <c r="AH107" s="37"/>
      <c r="AI107" s="37"/>
      <c r="AJ107" s="37"/>
      <c r="AK107" s="37"/>
      <c r="AL107" s="37"/>
      <c r="AM107" s="37"/>
      <c r="AN107" s="37"/>
      <c r="AO107" s="37"/>
      <c r="AP107" s="37"/>
      <c r="AQ107" s="37"/>
      <c r="AR107" s="37"/>
      <c r="AS107" s="37"/>
      <c r="AT107" s="38"/>
      <c r="AU107" s="1630"/>
      <c r="AV107" s="1342">
        <f t="shared" si="11"/>
        <v>0</v>
      </c>
      <c r="AW107" s="1342">
        <f t="shared" si="12"/>
        <v>0</v>
      </c>
      <c r="AX107" s="1342">
        <f t="shared" si="13"/>
        <v>0</v>
      </c>
      <c r="AY107" s="39">
        <f t="shared" si="14"/>
        <v>0</v>
      </c>
      <c r="AZ107" s="32">
        <f t="shared" si="15"/>
        <v>0</v>
      </c>
      <c r="BA107" s="32">
        <f t="shared" si="16"/>
        <v>0</v>
      </c>
      <c r="BB107" s="32">
        <f t="shared" si="17"/>
        <v>0</v>
      </c>
      <c r="BC107" s="32">
        <f t="shared" si="18"/>
        <v>0</v>
      </c>
      <c r="BD107" s="32">
        <f t="shared" si="19"/>
        <v>0</v>
      </c>
      <c r="BE107" s="32">
        <f t="shared" si="20"/>
        <v>0</v>
      </c>
      <c r="BF107" s="32">
        <f t="shared" si="21"/>
        <v>0</v>
      </c>
      <c r="BG107" s="32">
        <f t="shared" si="22"/>
        <v>0</v>
      </c>
      <c r="BH107" s="32">
        <f t="shared" si="23"/>
        <v>0</v>
      </c>
      <c r="BI107" s="32">
        <f t="shared" si="24"/>
        <v>0</v>
      </c>
      <c r="BJ107" s="32">
        <f t="shared" si="25"/>
        <v>0</v>
      </c>
      <c r="BK107" s="32">
        <f t="shared" si="26"/>
        <v>0</v>
      </c>
      <c r="BL107" s="32">
        <f t="shared" si="27"/>
        <v>0</v>
      </c>
      <c r="BM107" s="32">
        <f t="shared" si="28"/>
        <v>0</v>
      </c>
      <c r="BN107" s="32">
        <f t="shared" si="29"/>
        <v>0</v>
      </c>
      <c r="BO107" s="32">
        <f t="shared" si="30"/>
        <v>0</v>
      </c>
      <c r="BP107" s="32">
        <f t="shared" si="31"/>
        <v>0</v>
      </c>
      <c r="BQ107" s="32">
        <f t="shared" si="32"/>
        <v>0</v>
      </c>
      <c r="BR107" s="32">
        <f t="shared" si="33"/>
        <v>0</v>
      </c>
      <c r="BS107" s="32">
        <f t="shared" si="34"/>
        <v>0</v>
      </c>
      <c r="BT107" s="40">
        <f t="shared" si="35"/>
        <v>0</v>
      </c>
    </row>
    <row r="108" spans="1:72">
      <c r="A108" s="6"/>
      <c r="B108" s="31"/>
      <c r="C108" s="31"/>
      <c r="D108" s="1629"/>
      <c r="E108" s="32">
        <f t="shared" si="7"/>
        <v>0</v>
      </c>
      <c r="F108" s="33"/>
      <c r="G108" s="34">
        <f t="shared" si="8"/>
        <v>0</v>
      </c>
      <c r="H108" s="35">
        <f t="shared" si="9"/>
        <v>0</v>
      </c>
      <c r="I108" s="36"/>
      <c r="J108" s="36"/>
      <c r="K108" s="36"/>
      <c r="L108" s="36"/>
      <c r="M108" s="36"/>
      <c r="N108" s="36"/>
      <c r="O108" s="36"/>
      <c r="P108" s="36"/>
      <c r="Q108" s="36"/>
      <c r="R108" s="36"/>
      <c r="S108" s="36"/>
      <c r="T108" s="36"/>
      <c r="U108" s="36"/>
      <c r="V108" s="36"/>
      <c r="W108" s="36"/>
      <c r="X108" s="36"/>
      <c r="Y108" s="36"/>
      <c r="Z108" s="36"/>
      <c r="AA108" s="36"/>
      <c r="AB108" s="36"/>
      <c r="AC108" s="32">
        <f t="shared" si="10"/>
        <v>0</v>
      </c>
      <c r="AD108" s="37"/>
      <c r="AE108" s="37"/>
      <c r="AF108" s="37"/>
      <c r="AG108" s="37"/>
      <c r="AH108" s="37"/>
      <c r="AI108" s="37"/>
      <c r="AJ108" s="37"/>
      <c r="AK108" s="37"/>
      <c r="AL108" s="37"/>
      <c r="AM108" s="37"/>
      <c r="AN108" s="37"/>
      <c r="AO108" s="37"/>
      <c r="AP108" s="37"/>
      <c r="AQ108" s="37"/>
      <c r="AR108" s="37"/>
      <c r="AS108" s="37"/>
      <c r="AT108" s="38"/>
      <c r="AU108" s="1630"/>
      <c r="AV108" s="1342">
        <f t="shared" si="11"/>
        <v>0</v>
      </c>
      <c r="AW108" s="1342">
        <f t="shared" si="12"/>
        <v>0</v>
      </c>
      <c r="AX108" s="1342">
        <f t="shared" si="13"/>
        <v>0</v>
      </c>
      <c r="AY108" s="39">
        <f t="shared" si="14"/>
        <v>0</v>
      </c>
      <c r="AZ108" s="32">
        <f t="shared" si="15"/>
        <v>0</v>
      </c>
      <c r="BA108" s="32">
        <f t="shared" si="16"/>
        <v>0</v>
      </c>
      <c r="BB108" s="32">
        <f t="shared" si="17"/>
        <v>0</v>
      </c>
      <c r="BC108" s="32">
        <f t="shared" si="18"/>
        <v>0</v>
      </c>
      <c r="BD108" s="32">
        <f t="shared" si="19"/>
        <v>0</v>
      </c>
      <c r="BE108" s="32">
        <f t="shared" si="20"/>
        <v>0</v>
      </c>
      <c r="BF108" s="32">
        <f t="shared" si="21"/>
        <v>0</v>
      </c>
      <c r="BG108" s="32">
        <f t="shared" si="22"/>
        <v>0</v>
      </c>
      <c r="BH108" s="32">
        <f t="shared" si="23"/>
        <v>0</v>
      </c>
      <c r="BI108" s="32">
        <f t="shared" si="24"/>
        <v>0</v>
      </c>
      <c r="BJ108" s="32">
        <f t="shared" si="25"/>
        <v>0</v>
      </c>
      <c r="BK108" s="32">
        <f t="shared" si="26"/>
        <v>0</v>
      </c>
      <c r="BL108" s="32">
        <f t="shared" si="27"/>
        <v>0</v>
      </c>
      <c r="BM108" s="32">
        <f t="shared" si="28"/>
        <v>0</v>
      </c>
      <c r="BN108" s="32">
        <f t="shared" si="29"/>
        <v>0</v>
      </c>
      <c r="BO108" s="32">
        <f t="shared" si="30"/>
        <v>0</v>
      </c>
      <c r="BP108" s="32">
        <f t="shared" si="31"/>
        <v>0</v>
      </c>
      <c r="BQ108" s="32">
        <f t="shared" si="32"/>
        <v>0</v>
      </c>
      <c r="BR108" s="32">
        <f t="shared" si="33"/>
        <v>0</v>
      </c>
      <c r="BS108" s="32">
        <f t="shared" si="34"/>
        <v>0</v>
      </c>
      <c r="BT108" s="40">
        <f t="shared" si="35"/>
        <v>0</v>
      </c>
    </row>
    <row r="109" spans="1:72">
      <c r="A109" s="6"/>
      <c r="B109" s="31"/>
      <c r="C109" s="31"/>
      <c r="D109" s="1629"/>
      <c r="E109" s="32">
        <f t="shared" si="7"/>
        <v>0</v>
      </c>
      <c r="F109" s="33"/>
      <c r="G109" s="34">
        <f t="shared" si="8"/>
        <v>0</v>
      </c>
      <c r="H109" s="35">
        <f t="shared" si="9"/>
        <v>0</v>
      </c>
      <c r="I109" s="36"/>
      <c r="J109" s="36"/>
      <c r="K109" s="36"/>
      <c r="L109" s="36"/>
      <c r="M109" s="36"/>
      <c r="N109" s="36"/>
      <c r="O109" s="36"/>
      <c r="P109" s="36"/>
      <c r="Q109" s="36"/>
      <c r="R109" s="36"/>
      <c r="S109" s="36"/>
      <c r="T109" s="36"/>
      <c r="U109" s="36"/>
      <c r="V109" s="36"/>
      <c r="W109" s="36"/>
      <c r="X109" s="36"/>
      <c r="Y109" s="36"/>
      <c r="Z109" s="36"/>
      <c r="AA109" s="36"/>
      <c r="AB109" s="36"/>
      <c r="AC109" s="32">
        <f t="shared" si="10"/>
        <v>0</v>
      </c>
      <c r="AD109" s="37"/>
      <c r="AE109" s="37"/>
      <c r="AF109" s="37"/>
      <c r="AG109" s="37"/>
      <c r="AH109" s="37"/>
      <c r="AI109" s="37"/>
      <c r="AJ109" s="37"/>
      <c r="AK109" s="37"/>
      <c r="AL109" s="37"/>
      <c r="AM109" s="37"/>
      <c r="AN109" s="37"/>
      <c r="AO109" s="37"/>
      <c r="AP109" s="37"/>
      <c r="AQ109" s="37"/>
      <c r="AR109" s="37"/>
      <c r="AS109" s="37"/>
      <c r="AT109" s="38"/>
      <c r="AU109" s="1630"/>
      <c r="AV109" s="1342">
        <f t="shared" si="11"/>
        <v>0</v>
      </c>
      <c r="AW109" s="1342">
        <f t="shared" si="12"/>
        <v>0</v>
      </c>
      <c r="AX109" s="1342">
        <f t="shared" si="13"/>
        <v>0</v>
      </c>
      <c r="AY109" s="39">
        <f t="shared" si="14"/>
        <v>0</v>
      </c>
      <c r="AZ109" s="32">
        <f t="shared" si="15"/>
        <v>0</v>
      </c>
      <c r="BA109" s="32">
        <f t="shared" si="16"/>
        <v>0</v>
      </c>
      <c r="BB109" s="32">
        <f t="shared" si="17"/>
        <v>0</v>
      </c>
      <c r="BC109" s="32">
        <f t="shared" si="18"/>
        <v>0</v>
      </c>
      <c r="BD109" s="32">
        <f t="shared" si="19"/>
        <v>0</v>
      </c>
      <c r="BE109" s="32">
        <f t="shared" si="20"/>
        <v>0</v>
      </c>
      <c r="BF109" s="32">
        <f t="shared" si="21"/>
        <v>0</v>
      </c>
      <c r="BG109" s="32">
        <f t="shared" si="22"/>
        <v>0</v>
      </c>
      <c r="BH109" s="32">
        <f t="shared" si="23"/>
        <v>0</v>
      </c>
      <c r="BI109" s="32">
        <f t="shared" si="24"/>
        <v>0</v>
      </c>
      <c r="BJ109" s="32">
        <f t="shared" si="25"/>
        <v>0</v>
      </c>
      <c r="BK109" s="32">
        <f t="shared" si="26"/>
        <v>0</v>
      </c>
      <c r="BL109" s="32">
        <f t="shared" si="27"/>
        <v>0</v>
      </c>
      <c r="BM109" s="32">
        <f t="shared" si="28"/>
        <v>0</v>
      </c>
      <c r="BN109" s="32">
        <f t="shared" si="29"/>
        <v>0</v>
      </c>
      <c r="BO109" s="32">
        <f t="shared" si="30"/>
        <v>0</v>
      </c>
      <c r="BP109" s="32">
        <f t="shared" si="31"/>
        <v>0</v>
      </c>
      <c r="BQ109" s="32">
        <f t="shared" si="32"/>
        <v>0</v>
      </c>
      <c r="BR109" s="32">
        <f t="shared" si="33"/>
        <v>0</v>
      </c>
      <c r="BS109" s="32">
        <f t="shared" si="34"/>
        <v>0</v>
      </c>
      <c r="BT109" s="40">
        <f t="shared" si="35"/>
        <v>0</v>
      </c>
    </row>
    <row r="110" spans="1:72">
      <c r="A110" s="6"/>
      <c r="B110" s="6"/>
      <c r="C110" s="6"/>
      <c r="D110" s="1629"/>
      <c r="E110" s="32">
        <f t="shared" si="7"/>
        <v>0</v>
      </c>
      <c r="F110" s="41"/>
      <c r="G110" s="34">
        <f t="shared" ref="G110:G141" si="36">H110+AC110+AT110</f>
        <v>0</v>
      </c>
      <c r="H110" s="35">
        <f t="shared" ref="H110:H141" si="37">SUMIF(I$12:AB$12,"总值",I110:AB110)</f>
        <v>0</v>
      </c>
      <c r="I110" s="7"/>
      <c r="J110" s="7"/>
      <c r="K110" s="36"/>
      <c r="L110" s="36"/>
      <c r="M110" s="36"/>
      <c r="N110" s="36"/>
      <c r="O110" s="36"/>
      <c r="P110" s="36"/>
      <c r="Q110" s="36"/>
      <c r="R110" s="36"/>
      <c r="S110" s="36"/>
      <c r="T110" s="36"/>
      <c r="U110" s="36"/>
      <c r="V110" s="36"/>
      <c r="W110" s="36"/>
      <c r="X110" s="36"/>
      <c r="Y110" s="36"/>
      <c r="Z110" s="36"/>
      <c r="AA110" s="36"/>
      <c r="AB110" s="36"/>
      <c r="AC110" s="32">
        <f t="shared" ref="AC110:AC141" si="38">SUMIF(AD$12:AS$12,"总值",AD110:AS110)</f>
        <v>0</v>
      </c>
      <c r="AD110" s="37"/>
      <c r="AE110" s="37"/>
      <c r="AF110" s="37"/>
      <c r="AG110" s="37"/>
      <c r="AH110" s="37"/>
      <c r="AI110" s="37"/>
      <c r="AJ110" s="37"/>
      <c r="AK110" s="37"/>
      <c r="AL110" s="37"/>
      <c r="AM110" s="37"/>
      <c r="AN110" s="37"/>
      <c r="AO110" s="37"/>
      <c r="AP110" s="37"/>
      <c r="AQ110" s="37"/>
      <c r="AR110" s="37"/>
      <c r="AS110" s="37"/>
      <c r="AT110" s="37"/>
      <c r="AU110" s="1570"/>
      <c r="AV110" s="1342">
        <f t="shared" si="11"/>
        <v>0</v>
      </c>
      <c r="AW110" s="1342">
        <f t="shared" si="12"/>
        <v>0</v>
      </c>
      <c r="AX110" s="1342">
        <f t="shared" si="13"/>
        <v>0</v>
      </c>
      <c r="AY110" s="39">
        <f t="shared" ref="AY110:AY141" si="39">ROUND($AY$6*AZ110/$AZ$5,2)</f>
        <v>0</v>
      </c>
      <c r="AZ110" s="32">
        <f t="shared" ref="AZ110:AZ141" si="40">BA110+BL110</f>
        <v>0</v>
      </c>
      <c r="BA110" s="32">
        <f t="shared" ref="BA110:BA141" si="41">SUM(BB110:BK110)</f>
        <v>0</v>
      </c>
      <c r="BB110" s="32">
        <f t="shared" ref="BB110:BB141" si="42">IF($D110="是",I110-J110,0)</f>
        <v>0</v>
      </c>
      <c r="BC110" s="32">
        <f t="shared" ref="BC110:BC141" si="43">IF($D110="是",K110-L110,0)</f>
        <v>0</v>
      </c>
      <c r="BD110" s="32">
        <f t="shared" ref="BD110:BD141" si="44">IF($D110="是",M110-N110,0)</f>
        <v>0</v>
      </c>
      <c r="BE110" s="32">
        <f t="shared" ref="BE110:BE141" si="45">IF($D110="是",O110-P110,0)</f>
        <v>0</v>
      </c>
      <c r="BF110" s="32">
        <f t="shared" ref="BF110:BF141" si="46">IF($D110="是",Q110-R110,0)</f>
        <v>0</v>
      </c>
      <c r="BG110" s="32">
        <f t="shared" ref="BG110:BG141" si="47">IF($D110="是",S110-T110,0)</f>
        <v>0</v>
      </c>
      <c r="BH110" s="32">
        <f t="shared" ref="BH110:BH141" si="48">IF($D110="是",U110-V110,0)</f>
        <v>0</v>
      </c>
      <c r="BI110" s="32">
        <f t="shared" ref="BI110:BI141" si="49">IF($D110="是",W110-X110,0)</f>
        <v>0</v>
      </c>
      <c r="BJ110" s="32">
        <f t="shared" ref="BJ110:BJ141" si="50">IF($D110="是",Y110-Z110,0)</f>
        <v>0</v>
      </c>
      <c r="BK110" s="32">
        <f t="shared" ref="BK110:BK141" si="51">IF($D110="是",AA110-AB110,0)</f>
        <v>0</v>
      </c>
      <c r="BL110" s="32">
        <f t="shared" ref="BL110:BL141" si="52">SUM(BM110:BT110)</f>
        <v>0</v>
      </c>
      <c r="BM110" s="32">
        <f t="shared" ref="BM110:BM141" si="53">IF($D110="是",AD110-AE110,0)</f>
        <v>0</v>
      </c>
      <c r="BN110" s="32">
        <f t="shared" ref="BN110:BN141" si="54">IF($D110="是",AF110-AG110,0)</f>
        <v>0</v>
      </c>
      <c r="BO110" s="32">
        <f t="shared" ref="BO110:BO141" si="55">IF($D110="是",AH110-AI110,0)</f>
        <v>0</v>
      </c>
      <c r="BP110" s="32">
        <f t="shared" ref="BP110:BP141" si="56">IF($D110="是",AJ110-AK110,0)</f>
        <v>0</v>
      </c>
      <c r="BQ110" s="32">
        <f t="shared" ref="BQ110:BQ141" si="57">IF($D110="是",AL110-AM110,0)</f>
        <v>0</v>
      </c>
      <c r="BR110" s="32">
        <f t="shared" ref="BR110:BR141" si="58">IF($D110="是",AN110-AO110,0)</f>
        <v>0</v>
      </c>
      <c r="BS110" s="32">
        <f t="shared" ref="BS110:BS141" si="59">IF($D110="是",AP110-AQ110,0)</f>
        <v>0</v>
      </c>
      <c r="BT110" s="40">
        <f t="shared" ref="BT110:BT141" si="60">IF($D110="是",AR110-AS110,0)</f>
        <v>0</v>
      </c>
    </row>
    <row r="111" spans="1:72">
      <c r="A111" s="6"/>
      <c r="B111" s="6"/>
      <c r="C111" s="6"/>
      <c r="D111" s="1629"/>
      <c r="E111" s="32">
        <f t="shared" si="7"/>
        <v>0</v>
      </c>
      <c r="F111" s="41"/>
      <c r="G111" s="34">
        <f t="shared" si="36"/>
        <v>0</v>
      </c>
      <c r="H111" s="35">
        <f t="shared" si="37"/>
        <v>0</v>
      </c>
      <c r="I111" s="36"/>
      <c r="J111" s="36"/>
      <c r="K111" s="36"/>
      <c r="L111" s="36"/>
      <c r="M111" s="36"/>
      <c r="N111" s="36"/>
      <c r="O111" s="36"/>
      <c r="P111" s="36"/>
      <c r="Q111" s="36"/>
      <c r="R111" s="36"/>
      <c r="S111" s="36"/>
      <c r="T111" s="36"/>
      <c r="U111" s="36"/>
      <c r="V111" s="36"/>
      <c r="W111" s="36"/>
      <c r="X111" s="36"/>
      <c r="Y111" s="36"/>
      <c r="Z111" s="36"/>
      <c r="AA111" s="36"/>
      <c r="AB111" s="36"/>
      <c r="AC111" s="32">
        <f t="shared" si="38"/>
        <v>0</v>
      </c>
      <c r="AD111" s="37"/>
      <c r="AE111" s="37"/>
      <c r="AF111" s="37"/>
      <c r="AG111" s="37"/>
      <c r="AH111" s="37"/>
      <c r="AI111" s="37"/>
      <c r="AJ111" s="37"/>
      <c r="AK111" s="37"/>
      <c r="AL111" s="37"/>
      <c r="AM111" s="37"/>
      <c r="AN111" s="37"/>
      <c r="AO111" s="37"/>
      <c r="AP111" s="37"/>
      <c r="AQ111" s="37"/>
      <c r="AR111" s="37"/>
      <c r="AS111" s="37"/>
      <c r="AT111" s="37"/>
      <c r="AU111" s="1570"/>
      <c r="AV111" s="1342">
        <f t="shared" si="11"/>
        <v>0</v>
      </c>
      <c r="AW111" s="1342">
        <f t="shared" si="12"/>
        <v>0</v>
      </c>
      <c r="AX111" s="1342">
        <f t="shared" si="13"/>
        <v>0</v>
      </c>
      <c r="AY111" s="39">
        <f t="shared" si="39"/>
        <v>0</v>
      </c>
      <c r="AZ111" s="32">
        <f t="shared" si="40"/>
        <v>0</v>
      </c>
      <c r="BA111" s="32">
        <f t="shared" si="41"/>
        <v>0</v>
      </c>
      <c r="BB111" s="32">
        <f t="shared" si="42"/>
        <v>0</v>
      </c>
      <c r="BC111" s="32">
        <f t="shared" si="43"/>
        <v>0</v>
      </c>
      <c r="BD111" s="32">
        <f t="shared" si="44"/>
        <v>0</v>
      </c>
      <c r="BE111" s="32">
        <f t="shared" si="45"/>
        <v>0</v>
      </c>
      <c r="BF111" s="32">
        <f t="shared" si="46"/>
        <v>0</v>
      </c>
      <c r="BG111" s="32">
        <f t="shared" si="47"/>
        <v>0</v>
      </c>
      <c r="BH111" s="32">
        <f t="shared" si="48"/>
        <v>0</v>
      </c>
      <c r="BI111" s="32">
        <f t="shared" si="49"/>
        <v>0</v>
      </c>
      <c r="BJ111" s="32">
        <f t="shared" si="50"/>
        <v>0</v>
      </c>
      <c r="BK111" s="32">
        <f t="shared" si="51"/>
        <v>0</v>
      </c>
      <c r="BL111" s="32">
        <f t="shared" si="52"/>
        <v>0</v>
      </c>
      <c r="BM111" s="32">
        <f t="shared" si="53"/>
        <v>0</v>
      </c>
      <c r="BN111" s="32">
        <f t="shared" si="54"/>
        <v>0</v>
      </c>
      <c r="BO111" s="32">
        <f t="shared" si="55"/>
        <v>0</v>
      </c>
      <c r="BP111" s="32">
        <f t="shared" si="56"/>
        <v>0</v>
      </c>
      <c r="BQ111" s="32">
        <f t="shared" si="57"/>
        <v>0</v>
      </c>
      <c r="BR111" s="32">
        <f t="shared" si="58"/>
        <v>0</v>
      </c>
      <c r="BS111" s="32">
        <f t="shared" si="59"/>
        <v>0</v>
      </c>
      <c r="BT111" s="40">
        <f t="shared" si="60"/>
        <v>0</v>
      </c>
    </row>
    <row r="112" spans="1:72">
      <c r="A112" s="6"/>
      <c r="B112" s="6"/>
      <c r="C112" s="6"/>
      <c r="D112" s="1629"/>
      <c r="E112" s="32">
        <f t="shared" si="7"/>
        <v>0</v>
      </c>
      <c r="F112" s="41"/>
      <c r="G112" s="34">
        <f t="shared" si="36"/>
        <v>0</v>
      </c>
      <c r="H112" s="35">
        <f t="shared" si="37"/>
        <v>0</v>
      </c>
      <c r="I112" s="36"/>
      <c r="J112" s="36"/>
      <c r="K112" s="36"/>
      <c r="L112" s="36"/>
      <c r="M112" s="36"/>
      <c r="N112" s="36"/>
      <c r="O112" s="36"/>
      <c r="P112" s="36"/>
      <c r="Q112" s="36"/>
      <c r="R112" s="36"/>
      <c r="S112" s="36"/>
      <c r="T112" s="36"/>
      <c r="U112" s="36"/>
      <c r="V112" s="36"/>
      <c r="W112" s="36"/>
      <c r="X112" s="36"/>
      <c r="Y112" s="36"/>
      <c r="Z112" s="36"/>
      <c r="AA112" s="36"/>
      <c r="AB112" s="36"/>
      <c r="AC112" s="32">
        <f t="shared" si="38"/>
        <v>0</v>
      </c>
      <c r="AD112" s="37"/>
      <c r="AE112" s="37"/>
      <c r="AF112" s="37"/>
      <c r="AG112" s="37"/>
      <c r="AH112" s="37"/>
      <c r="AI112" s="37"/>
      <c r="AJ112" s="37"/>
      <c r="AK112" s="37"/>
      <c r="AL112" s="37"/>
      <c r="AM112" s="37"/>
      <c r="AN112" s="37"/>
      <c r="AO112" s="37"/>
      <c r="AP112" s="37"/>
      <c r="AQ112" s="37"/>
      <c r="AR112" s="37"/>
      <c r="AS112" s="37"/>
      <c r="AT112" s="37"/>
      <c r="AU112" s="1570"/>
      <c r="AV112" s="1342">
        <f t="shared" si="11"/>
        <v>0</v>
      </c>
      <c r="AW112" s="1342">
        <f t="shared" si="12"/>
        <v>0</v>
      </c>
      <c r="AX112" s="1342">
        <f t="shared" si="13"/>
        <v>0</v>
      </c>
      <c r="AY112" s="39">
        <f t="shared" si="39"/>
        <v>0</v>
      </c>
      <c r="AZ112" s="32">
        <f t="shared" si="40"/>
        <v>0</v>
      </c>
      <c r="BA112" s="32">
        <f t="shared" si="41"/>
        <v>0</v>
      </c>
      <c r="BB112" s="32">
        <f t="shared" si="42"/>
        <v>0</v>
      </c>
      <c r="BC112" s="32">
        <f t="shared" si="43"/>
        <v>0</v>
      </c>
      <c r="BD112" s="32">
        <f t="shared" si="44"/>
        <v>0</v>
      </c>
      <c r="BE112" s="32">
        <f t="shared" si="45"/>
        <v>0</v>
      </c>
      <c r="BF112" s="32">
        <f t="shared" si="46"/>
        <v>0</v>
      </c>
      <c r="BG112" s="32">
        <f t="shared" si="47"/>
        <v>0</v>
      </c>
      <c r="BH112" s="32">
        <f t="shared" si="48"/>
        <v>0</v>
      </c>
      <c r="BI112" s="32">
        <f t="shared" si="49"/>
        <v>0</v>
      </c>
      <c r="BJ112" s="32">
        <f t="shared" si="50"/>
        <v>0</v>
      </c>
      <c r="BK112" s="32">
        <f t="shared" si="51"/>
        <v>0</v>
      </c>
      <c r="BL112" s="32">
        <f t="shared" si="52"/>
        <v>0</v>
      </c>
      <c r="BM112" s="32">
        <f t="shared" si="53"/>
        <v>0</v>
      </c>
      <c r="BN112" s="32">
        <f t="shared" si="54"/>
        <v>0</v>
      </c>
      <c r="BO112" s="32">
        <f t="shared" si="55"/>
        <v>0</v>
      </c>
      <c r="BP112" s="32">
        <f t="shared" si="56"/>
        <v>0</v>
      </c>
      <c r="BQ112" s="32">
        <f t="shared" si="57"/>
        <v>0</v>
      </c>
      <c r="BR112" s="32">
        <f t="shared" si="58"/>
        <v>0</v>
      </c>
      <c r="BS112" s="32">
        <f t="shared" si="59"/>
        <v>0</v>
      </c>
      <c r="BT112" s="40">
        <f t="shared" si="60"/>
        <v>0</v>
      </c>
    </row>
    <row r="113" spans="1:72">
      <c r="A113" s="6"/>
      <c r="B113" s="31"/>
      <c r="C113" s="31"/>
      <c r="D113" s="1629"/>
      <c r="E113" s="32">
        <f t="shared" ref="E113:E144" si="61">IF($C$3="是",ROUND($A$3*G113/$B$3,2),ROUND($A$3*(G113-AT113)/$B$3,2))</f>
        <v>0</v>
      </c>
      <c r="F113" s="33"/>
      <c r="G113" s="34">
        <f t="shared" si="36"/>
        <v>0</v>
      </c>
      <c r="H113" s="35">
        <f t="shared" si="37"/>
        <v>0</v>
      </c>
      <c r="I113" s="36"/>
      <c r="J113" s="36"/>
      <c r="K113" s="36"/>
      <c r="L113" s="36"/>
      <c r="M113" s="36"/>
      <c r="N113" s="36"/>
      <c r="O113" s="36"/>
      <c r="P113" s="36"/>
      <c r="Q113" s="36"/>
      <c r="R113" s="36"/>
      <c r="S113" s="36"/>
      <c r="T113" s="36"/>
      <c r="U113" s="36"/>
      <c r="V113" s="36"/>
      <c r="W113" s="36"/>
      <c r="X113" s="36"/>
      <c r="Y113" s="36"/>
      <c r="Z113" s="36"/>
      <c r="AA113" s="36"/>
      <c r="AB113" s="36"/>
      <c r="AC113" s="32">
        <f t="shared" si="38"/>
        <v>0</v>
      </c>
      <c r="AD113" s="37"/>
      <c r="AE113" s="37"/>
      <c r="AF113" s="37"/>
      <c r="AG113" s="37"/>
      <c r="AH113" s="37"/>
      <c r="AI113" s="37"/>
      <c r="AJ113" s="37"/>
      <c r="AK113" s="37"/>
      <c r="AL113" s="37"/>
      <c r="AM113" s="37"/>
      <c r="AN113" s="37"/>
      <c r="AO113" s="37"/>
      <c r="AP113" s="37"/>
      <c r="AQ113" s="37"/>
      <c r="AR113" s="37"/>
      <c r="AS113" s="37"/>
      <c r="AT113" s="38"/>
      <c r="AU113" s="1630"/>
      <c r="AV113" s="1342">
        <f t="shared" ref="AV113:AV144" si="62">A113</f>
        <v>0</v>
      </c>
      <c r="AW113" s="1342">
        <f t="shared" ref="AW113:AW144" si="63">B113</f>
        <v>0</v>
      </c>
      <c r="AX113" s="1342">
        <f t="shared" ref="AX113:AX144" si="64">C113</f>
        <v>0</v>
      </c>
      <c r="AY113" s="39">
        <f t="shared" si="39"/>
        <v>0</v>
      </c>
      <c r="AZ113" s="32">
        <f t="shared" si="40"/>
        <v>0</v>
      </c>
      <c r="BA113" s="32">
        <f t="shared" si="41"/>
        <v>0</v>
      </c>
      <c r="BB113" s="32">
        <f t="shared" si="42"/>
        <v>0</v>
      </c>
      <c r="BC113" s="32">
        <f t="shared" si="43"/>
        <v>0</v>
      </c>
      <c r="BD113" s="32">
        <f t="shared" si="44"/>
        <v>0</v>
      </c>
      <c r="BE113" s="32">
        <f t="shared" si="45"/>
        <v>0</v>
      </c>
      <c r="BF113" s="32">
        <f t="shared" si="46"/>
        <v>0</v>
      </c>
      <c r="BG113" s="32">
        <f t="shared" si="47"/>
        <v>0</v>
      </c>
      <c r="BH113" s="32">
        <f t="shared" si="48"/>
        <v>0</v>
      </c>
      <c r="BI113" s="32">
        <f t="shared" si="49"/>
        <v>0</v>
      </c>
      <c r="BJ113" s="32">
        <f t="shared" si="50"/>
        <v>0</v>
      </c>
      <c r="BK113" s="32">
        <f t="shared" si="51"/>
        <v>0</v>
      </c>
      <c r="BL113" s="32">
        <f t="shared" si="52"/>
        <v>0</v>
      </c>
      <c r="BM113" s="32">
        <f t="shared" si="53"/>
        <v>0</v>
      </c>
      <c r="BN113" s="32">
        <f t="shared" si="54"/>
        <v>0</v>
      </c>
      <c r="BO113" s="32">
        <f t="shared" si="55"/>
        <v>0</v>
      </c>
      <c r="BP113" s="32">
        <f t="shared" si="56"/>
        <v>0</v>
      </c>
      <c r="BQ113" s="32">
        <f t="shared" si="57"/>
        <v>0</v>
      </c>
      <c r="BR113" s="32">
        <f t="shared" si="58"/>
        <v>0</v>
      </c>
      <c r="BS113" s="32">
        <f t="shared" si="59"/>
        <v>0</v>
      </c>
      <c r="BT113" s="40">
        <f t="shared" si="60"/>
        <v>0</v>
      </c>
    </row>
    <row r="114" spans="1:72">
      <c r="A114" s="6"/>
      <c r="B114" s="31"/>
      <c r="C114" s="31"/>
      <c r="D114" s="1629"/>
      <c r="E114" s="32">
        <f t="shared" si="61"/>
        <v>0</v>
      </c>
      <c r="F114" s="33"/>
      <c r="G114" s="34">
        <f t="shared" si="36"/>
        <v>0</v>
      </c>
      <c r="H114" s="35">
        <f t="shared" si="37"/>
        <v>0</v>
      </c>
      <c r="I114" s="36"/>
      <c r="J114" s="36"/>
      <c r="K114" s="36"/>
      <c r="L114" s="36"/>
      <c r="M114" s="36"/>
      <c r="N114" s="36"/>
      <c r="O114" s="36"/>
      <c r="P114" s="36"/>
      <c r="Q114" s="36"/>
      <c r="R114" s="36"/>
      <c r="S114" s="36"/>
      <c r="T114" s="36"/>
      <c r="U114" s="36"/>
      <c r="V114" s="36"/>
      <c r="W114" s="36"/>
      <c r="X114" s="36"/>
      <c r="Y114" s="36"/>
      <c r="Z114" s="36"/>
      <c r="AA114" s="36"/>
      <c r="AB114" s="36"/>
      <c r="AC114" s="32">
        <f t="shared" si="38"/>
        <v>0</v>
      </c>
      <c r="AD114" s="37"/>
      <c r="AE114" s="37"/>
      <c r="AF114" s="37"/>
      <c r="AG114" s="37"/>
      <c r="AH114" s="37"/>
      <c r="AI114" s="37"/>
      <c r="AJ114" s="37"/>
      <c r="AK114" s="37"/>
      <c r="AL114" s="37"/>
      <c r="AM114" s="37"/>
      <c r="AN114" s="37"/>
      <c r="AO114" s="37"/>
      <c r="AP114" s="37"/>
      <c r="AQ114" s="37"/>
      <c r="AR114" s="37"/>
      <c r="AS114" s="37"/>
      <c r="AT114" s="38"/>
      <c r="AU114" s="1630"/>
      <c r="AV114" s="1342">
        <f t="shared" si="62"/>
        <v>0</v>
      </c>
      <c r="AW114" s="1342">
        <f t="shared" si="63"/>
        <v>0</v>
      </c>
      <c r="AX114" s="1342">
        <f t="shared" si="64"/>
        <v>0</v>
      </c>
      <c r="AY114" s="39">
        <f t="shared" si="39"/>
        <v>0</v>
      </c>
      <c r="AZ114" s="32">
        <f t="shared" si="40"/>
        <v>0</v>
      </c>
      <c r="BA114" s="32">
        <f t="shared" si="41"/>
        <v>0</v>
      </c>
      <c r="BB114" s="32">
        <f t="shared" si="42"/>
        <v>0</v>
      </c>
      <c r="BC114" s="32">
        <f t="shared" si="43"/>
        <v>0</v>
      </c>
      <c r="BD114" s="32">
        <f t="shared" si="44"/>
        <v>0</v>
      </c>
      <c r="BE114" s="32">
        <f t="shared" si="45"/>
        <v>0</v>
      </c>
      <c r="BF114" s="32">
        <f t="shared" si="46"/>
        <v>0</v>
      </c>
      <c r="BG114" s="32">
        <f t="shared" si="47"/>
        <v>0</v>
      </c>
      <c r="BH114" s="32">
        <f t="shared" si="48"/>
        <v>0</v>
      </c>
      <c r="BI114" s="32">
        <f t="shared" si="49"/>
        <v>0</v>
      </c>
      <c r="BJ114" s="32">
        <f t="shared" si="50"/>
        <v>0</v>
      </c>
      <c r="BK114" s="32">
        <f t="shared" si="51"/>
        <v>0</v>
      </c>
      <c r="BL114" s="32">
        <f t="shared" si="52"/>
        <v>0</v>
      </c>
      <c r="BM114" s="32">
        <f t="shared" si="53"/>
        <v>0</v>
      </c>
      <c r="BN114" s="32">
        <f t="shared" si="54"/>
        <v>0</v>
      </c>
      <c r="BO114" s="32">
        <f t="shared" si="55"/>
        <v>0</v>
      </c>
      <c r="BP114" s="32">
        <f t="shared" si="56"/>
        <v>0</v>
      </c>
      <c r="BQ114" s="32">
        <f t="shared" si="57"/>
        <v>0</v>
      </c>
      <c r="BR114" s="32">
        <f t="shared" si="58"/>
        <v>0</v>
      </c>
      <c r="BS114" s="32">
        <f t="shared" si="59"/>
        <v>0</v>
      </c>
      <c r="BT114" s="40">
        <f t="shared" si="60"/>
        <v>0</v>
      </c>
    </row>
    <row r="115" spans="1:72">
      <c r="A115" s="6"/>
      <c r="B115" s="31"/>
      <c r="C115" s="31"/>
      <c r="D115" s="1629"/>
      <c r="E115" s="32">
        <f t="shared" si="61"/>
        <v>0</v>
      </c>
      <c r="F115" s="33"/>
      <c r="G115" s="34">
        <f t="shared" si="36"/>
        <v>0</v>
      </c>
      <c r="H115" s="35">
        <f t="shared" si="37"/>
        <v>0</v>
      </c>
      <c r="I115" s="36"/>
      <c r="J115" s="36"/>
      <c r="K115" s="36"/>
      <c r="L115" s="36"/>
      <c r="M115" s="36"/>
      <c r="N115" s="36"/>
      <c r="O115" s="36"/>
      <c r="P115" s="36"/>
      <c r="Q115" s="36"/>
      <c r="R115" s="36"/>
      <c r="S115" s="36"/>
      <c r="T115" s="36"/>
      <c r="U115" s="36"/>
      <c r="V115" s="36"/>
      <c r="W115" s="36"/>
      <c r="X115" s="36"/>
      <c r="Y115" s="36"/>
      <c r="Z115" s="36"/>
      <c r="AA115" s="36"/>
      <c r="AB115" s="36"/>
      <c r="AC115" s="32">
        <f t="shared" si="38"/>
        <v>0</v>
      </c>
      <c r="AD115" s="37"/>
      <c r="AE115" s="37"/>
      <c r="AF115" s="37"/>
      <c r="AG115" s="37"/>
      <c r="AH115" s="37"/>
      <c r="AI115" s="37"/>
      <c r="AJ115" s="37"/>
      <c r="AK115" s="37"/>
      <c r="AL115" s="37"/>
      <c r="AM115" s="37"/>
      <c r="AN115" s="37"/>
      <c r="AO115" s="37"/>
      <c r="AP115" s="37"/>
      <c r="AQ115" s="37"/>
      <c r="AR115" s="37"/>
      <c r="AS115" s="37"/>
      <c r="AT115" s="38"/>
      <c r="AU115" s="1630"/>
      <c r="AV115" s="1342">
        <f t="shared" si="62"/>
        <v>0</v>
      </c>
      <c r="AW115" s="1342">
        <f t="shared" si="63"/>
        <v>0</v>
      </c>
      <c r="AX115" s="1342">
        <f t="shared" si="64"/>
        <v>0</v>
      </c>
      <c r="AY115" s="39">
        <f t="shared" si="39"/>
        <v>0</v>
      </c>
      <c r="AZ115" s="32">
        <f t="shared" si="40"/>
        <v>0</v>
      </c>
      <c r="BA115" s="32">
        <f t="shared" si="41"/>
        <v>0</v>
      </c>
      <c r="BB115" s="32">
        <f t="shared" si="42"/>
        <v>0</v>
      </c>
      <c r="BC115" s="32">
        <f t="shared" si="43"/>
        <v>0</v>
      </c>
      <c r="BD115" s="32">
        <f t="shared" si="44"/>
        <v>0</v>
      </c>
      <c r="BE115" s="32">
        <f t="shared" si="45"/>
        <v>0</v>
      </c>
      <c r="BF115" s="32">
        <f t="shared" si="46"/>
        <v>0</v>
      </c>
      <c r="BG115" s="32">
        <f t="shared" si="47"/>
        <v>0</v>
      </c>
      <c r="BH115" s="32">
        <f t="shared" si="48"/>
        <v>0</v>
      </c>
      <c r="BI115" s="32">
        <f t="shared" si="49"/>
        <v>0</v>
      </c>
      <c r="BJ115" s="32">
        <f t="shared" si="50"/>
        <v>0</v>
      </c>
      <c r="BK115" s="32">
        <f t="shared" si="51"/>
        <v>0</v>
      </c>
      <c r="BL115" s="32">
        <f t="shared" si="52"/>
        <v>0</v>
      </c>
      <c r="BM115" s="32">
        <f t="shared" si="53"/>
        <v>0</v>
      </c>
      <c r="BN115" s="32">
        <f t="shared" si="54"/>
        <v>0</v>
      </c>
      <c r="BO115" s="32">
        <f t="shared" si="55"/>
        <v>0</v>
      </c>
      <c r="BP115" s="32">
        <f t="shared" si="56"/>
        <v>0</v>
      </c>
      <c r="BQ115" s="32">
        <f t="shared" si="57"/>
        <v>0</v>
      </c>
      <c r="BR115" s="32">
        <f t="shared" si="58"/>
        <v>0</v>
      </c>
      <c r="BS115" s="32">
        <f t="shared" si="59"/>
        <v>0</v>
      </c>
      <c r="BT115" s="40">
        <f t="shared" si="60"/>
        <v>0</v>
      </c>
    </row>
    <row r="116" spans="1:72">
      <c r="A116" s="6"/>
      <c r="B116" s="31"/>
      <c r="C116" s="31"/>
      <c r="D116" s="1629"/>
      <c r="E116" s="32">
        <f t="shared" si="61"/>
        <v>0</v>
      </c>
      <c r="F116" s="33"/>
      <c r="G116" s="34">
        <f t="shared" si="36"/>
        <v>0</v>
      </c>
      <c r="H116" s="35">
        <f t="shared" si="37"/>
        <v>0</v>
      </c>
      <c r="I116" s="36"/>
      <c r="J116" s="36"/>
      <c r="K116" s="36"/>
      <c r="L116" s="36"/>
      <c r="M116" s="36"/>
      <c r="N116" s="36"/>
      <c r="O116" s="36"/>
      <c r="P116" s="36"/>
      <c r="Q116" s="36"/>
      <c r="R116" s="36"/>
      <c r="S116" s="36"/>
      <c r="T116" s="36"/>
      <c r="U116" s="36"/>
      <c r="V116" s="36"/>
      <c r="W116" s="36"/>
      <c r="X116" s="36"/>
      <c r="Y116" s="36"/>
      <c r="Z116" s="36"/>
      <c r="AA116" s="36"/>
      <c r="AB116" s="36"/>
      <c r="AC116" s="32">
        <f t="shared" si="38"/>
        <v>0</v>
      </c>
      <c r="AD116" s="37"/>
      <c r="AE116" s="37"/>
      <c r="AF116" s="37"/>
      <c r="AG116" s="37"/>
      <c r="AH116" s="37"/>
      <c r="AI116" s="37"/>
      <c r="AJ116" s="37"/>
      <c r="AK116" s="37"/>
      <c r="AL116" s="37"/>
      <c r="AM116" s="37"/>
      <c r="AN116" s="37"/>
      <c r="AO116" s="37"/>
      <c r="AP116" s="37"/>
      <c r="AQ116" s="37"/>
      <c r="AR116" s="37"/>
      <c r="AS116" s="37"/>
      <c r="AT116" s="38"/>
      <c r="AU116" s="1630"/>
      <c r="AV116" s="1342">
        <f t="shared" si="62"/>
        <v>0</v>
      </c>
      <c r="AW116" s="1342">
        <f t="shared" si="63"/>
        <v>0</v>
      </c>
      <c r="AX116" s="1342">
        <f t="shared" si="64"/>
        <v>0</v>
      </c>
      <c r="AY116" s="39">
        <f t="shared" si="39"/>
        <v>0</v>
      </c>
      <c r="AZ116" s="32">
        <f t="shared" si="40"/>
        <v>0</v>
      </c>
      <c r="BA116" s="32">
        <f t="shared" si="41"/>
        <v>0</v>
      </c>
      <c r="BB116" s="32">
        <f t="shared" si="42"/>
        <v>0</v>
      </c>
      <c r="BC116" s="32">
        <f t="shared" si="43"/>
        <v>0</v>
      </c>
      <c r="BD116" s="32">
        <f t="shared" si="44"/>
        <v>0</v>
      </c>
      <c r="BE116" s="32">
        <f t="shared" si="45"/>
        <v>0</v>
      </c>
      <c r="BF116" s="32">
        <f t="shared" si="46"/>
        <v>0</v>
      </c>
      <c r="BG116" s="32">
        <f t="shared" si="47"/>
        <v>0</v>
      </c>
      <c r="BH116" s="32">
        <f t="shared" si="48"/>
        <v>0</v>
      </c>
      <c r="BI116" s="32">
        <f t="shared" si="49"/>
        <v>0</v>
      </c>
      <c r="BJ116" s="32">
        <f t="shared" si="50"/>
        <v>0</v>
      </c>
      <c r="BK116" s="32">
        <f t="shared" si="51"/>
        <v>0</v>
      </c>
      <c r="BL116" s="32">
        <f t="shared" si="52"/>
        <v>0</v>
      </c>
      <c r="BM116" s="32">
        <f t="shared" si="53"/>
        <v>0</v>
      </c>
      <c r="BN116" s="32">
        <f t="shared" si="54"/>
        <v>0</v>
      </c>
      <c r="BO116" s="32">
        <f t="shared" si="55"/>
        <v>0</v>
      </c>
      <c r="BP116" s="32">
        <f t="shared" si="56"/>
        <v>0</v>
      </c>
      <c r="BQ116" s="32">
        <f t="shared" si="57"/>
        <v>0</v>
      </c>
      <c r="BR116" s="32">
        <f t="shared" si="58"/>
        <v>0</v>
      </c>
      <c r="BS116" s="32">
        <f t="shared" si="59"/>
        <v>0</v>
      </c>
      <c r="BT116" s="40">
        <f t="shared" si="60"/>
        <v>0</v>
      </c>
    </row>
    <row r="117" spans="1:72">
      <c r="A117" s="6"/>
      <c r="B117" s="31"/>
      <c r="C117" s="31"/>
      <c r="D117" s="1629"/>
      <c r="E117" s="32">
        <f t="shared" si="61"/>
        <v>0</v>
      </c>
      <c r="F117" s="33"/>
      <c r="G117" s="34">
        <f t="shared" si="36"/>
        <v>0</v>
      </c>
      <c r="H117" s="35">
        <f t="shared" si="37"/>
        <v>0</v>
      </c>
      <c r="I117" s="36"/>
      <c r="J117" s="36"/>
      <c r="K117" s="36"/>
      <c r="L117" s="36"/>
      <c r="M117" s="36"/>
      <c r="N117" s="36"/>
      <c r="O117" s="36"/>
      <c r="P117" s="36"/>
      <c r="Q117" s="36"/>
      <c r="R117" s="36"/>
      <c r="S117" s="36"/>
      <c r="T117" s="36"/>
      <c r="U117" s="36"/>
      <c r="V117" s="36"/>
      <c r="W117" s="36"/>
      <c r="X117" s="36"/>
      <c r="Y117" s="36"/>
      <c r="Z117" s="36"/>
      <c r="AA117" s="36"/>
      <c r="AB117" s="36"/>
      <c r="AC117" s="32">
        <f t="shared" si="38"/>
        <v>0</v>
      </c>
      <c r="AD117" s="37"/>
      <c r="AE117" s="37"/>
      <c r="AF117" s="37"/>
      <c r="AG117" s="37"/>
      <c r="AH117" s="37"/>
      <c r="AI117" s="37"/>
      <c r="AJ117" s="37"/>
      <c r="AK117" s="37"/>
      <c r="AL117" s="37"/>
      <c r="AM117" s="37"/>
      <c r="AN117" s="37"/>
      <c r="AO117" s="37"/>
      <c r="AP117" s="37"/>
      <c r="AQ117" s="37"/>
      <c r="AR117" s="37"/>
      <c r="AS117" s="37"/>
      <c r="AT117" s="38"/>
      <c r="AU117" s="1630"/>
      <c r="AV117" s="1342">
        <f t="shared" si="62"/>
        <v>0</v>
      </c>
      <c r="AW117" s="1342">
        <f t="shared" si="63"/>
        <v>0</v>
      </c>
      <c r="AX117" s="1342">
        <f t="shared" si="64"/>
        <v>0</v>
      </c>
      <c r="AY117" s="39">
        <f t="shared" si="39"/>
        <v>0</v>
      </c>
      <c r="AZ117" s="32">
        <f t="shared" si="40"/>
        <v>0</v>
      </c>
      <c r="BA117" s="32">
        <f t="shared" si="41"/>
        <v>0</v>
      </c>
      <c r="BB117" s="32">
        <f t="shared" si="42"/>
        <v>0</v>
      </c>
      <c r="BC117" s="32">
        <f t="shared" si="43"/>
        <v>0</v>
      </c>
      <c r="BD117" s="32">
        <f t="shared" si="44"/>
        <v>0</v>
      </c>
      <c r="BE117" s="32">
        <f t="shared" si="45"/>
        <v>0</v>
      </c>
      <c r="BF117" s="32">
        <f t="shared" si="46"/>
        <v>0</v>
      </c>
      <c r="BG117" s="32">
        <f t="shared" si="47"/>
        <v>0</v>
      </c>
      <c r="BH117" s="32">
        <f t="shared" si="48"/>
        <v>0</v>
      </c>
      <c r="BI117" s="32">
        <f t="shared" si="49"/>
        <v>0</v>
      </c>
      <c r="BJ117" s="32">
        <f t="shared" si="50"/>
        <v>0</v>
      </c>
      <c r="BK117" s="32">
        <f t="shared" si="51"/>
        <v>0</v>
      </c>
      <c r="BL117" s="32">
        <f t="shared" si="52"/>
        <v>0</v>
      </c>
      <c r="BM117" s="32">
        <f t="shared" si="53"/>
        <v>0</v>
      </c>
      <c r="BN117" s="32">
        <f t="shared" si="54"/>
        <v>0</v>
      </c>
      <c r="BO117" s="32">
        <f t="shared" si="55"/>
        <v>0</v>
      </c>
      <c r="BP117" s="32">
        <f t="shared" si="56"/>
        <v>0</v>
      </c>
      <c r="BQ117" s="32">
        <f t="shared" si="57"/>
        <v>0</v>
      </c>
      <c r="BR117" s="32">
        <f t="shared" si="58"/>
        <v>0</v>
      </c>
      <c r="BS117" s="32">
        <f t="shared" si="59"/>
        <v>0</v>
      </c>
      <c r="BT117" s="40">
        <f t="shared" si="60"/>
        <v>0</v>
      </c>
    </row>
    <row r="118" spans="1:72">
      <c r="A118" s="6"/>
      <c r="B118" s="31"/>
      <c r="C118" s="31"/>
      <c r="D118" s="1629"/>
      <c r="E118" s="32">
        <f t="shared" si="61"/>
        <v>0</v>
      </c>
      <c r="F118" s="33"/>
      <c r="G118" s="34">
        <f t="shared" si="36"/>
        <v>0</v>
      </c>
      <c r="H118" s="35">
        <f t="shared" si="37"/>
        <v>0</v>
      </c>
      <c r="I118" s="36"/>
      <c r="J118" s="36"/>
      <c r="K118" s="36"/>
      <c r="L118" s="36"/>
      <c r="M118" s="36"/>
      <c r="N118" s="36"/>
      <c r="O118" s="36"/>
      <c r="P118" s="36"/>
      <c r="Q118" s="36"/>
      <c r="R118" s="36"/>
      <c r="S118" s="36"/>
      <c r="T118" s="36"/>
      <c r="U118" s="36"/>
      <c r="V118" s="36"/>
      <c r="W118" s="36"/>
      <c r="X118" s="36"/>
      <c r="Y118" s="36"/>
      <c r="Z118" s="36"/>
      <c r="AA118" s="36"/>
      <c r="AB118" s="36"/>
      <c r="AC118" s="32">
        <f t="shared" si="38"/>
        <v>0</v>
      </c>
      <c r="AD118" s="37"/>
      <c r="AE118" s="37"/>
      <c r="AF118" s="37"/>
      <c r="AG118" s="37"/>
      <c r="AH118" s="37"/>
      <c r="AI118" s="37"/>
      <c r="AJ118" s="37"/>
      <c r="AK118" s="37"/>
      <c r="AL118" s="37"/>
      <c r="AM118" s="37"/>
      <c r="AN118" s="37"/>
      <c r="AO118" s="37"/>
      <c r="AP118" s="37"/>
      <c r="AQ118" s="37"/>
      <c r="AR118" s="37"/>
      <c r="AS118" s="37"/>
      <c r="AT118" s="38"/>
      <c r="AU118" s="1630"/>
      <c r="AV118" s="1342">
        <f t="shared" si="62"/>
        <v>0</v>
      </c>
      <c r="AW118" s="1342">
        <f t="shared" si="63"/>
        <v>0</v>
      </c>
      <c r="AX118" s="1342">
        <f t="shared" si="64"/>
        <v>0</v>
      </c>
      <c r="AY118" s="39">
        <f t="shared" si="39"/>
        <v>0</v>
      </c>
      <c r="AZ118" s="32">
        <f t="shared" si="40"/>
        <v>0</v>
      </c>
      <c r="BA118" s="32">
        <f t="shared" si="41"/>
        <v>0</v>
      </c>
      <c r="BB118" s="32">
        <f t="shared" si="42"/>
        <v>0</v>
      </c>
      <c r="BC118" s="32">
        <f t="shared" si="43"/>
        <v>0</v>
      </c>
      <c r="BD118" s="32">
        <f t="shared" si="44"/>
        <v>0</v>
      </c>
      <c r="BE118" s="32">
        <f t="shared" si="45"/>
        <v>0</v>
      </c>
      <c r="BF118" s="32">
        <f t="shared" si="46"/>
        <v>0</v>
      </c>
      <c r="BG118" s="32">
        <f t="shared" si="47"/>
        <v>0</v>
      </c>
      <c r="BH118" s="32">
        <f t="shared" si="48"/>
        <v>0</v>
      </c>
      <c r="BI118" s="32">
        <f t="shared" si="49"/>
        <v>0</v>
      </c>
      <c r="BJ118" s="32">
        <f t="shared" si="50"/>
        <v>0</v>
      </c>
      <c r="BK118" s="32">
        <f t="shared" si="51"/>
        <v>0</v>
      </c>
      <c r="BL118" s="32">
        <f t="shared" si="52"/>
        <v>0</v>
      </c>
      <c r="BM118" s="32">
        <f t="shared" si="53"/>
        <v>0</v>
      </c>
      <c r="BN118" s="32">
        <f t="shared" si="54"/>
        <v>0</v>
      </c>
      <c r="BO118" s="32">
        <f t="shared" si="55"/>
        <v>0</v>
      </c>
      <c r="BP118" s="32">
        <f t="shared" si="56"/>
        <v>0</v>
      </c>
      <c r="BQ118" s="32">
        <f t="shared" si="57"/>
        <v>0</v>
      </c>
      <c r="BR118" s="32">
        <f t="shared" si="58"/>
        <v>0</v>
      </c>
      <c r="BS118" s="32">
        <f t="shared" si="59"/>
        <v>0</v>
      </c>
      <c r="BT118" s="40">
        <f t="shared" si="60"/>
        <v>0</v>
      </c>
    </row>
    <row r="119" spans="1:72">
      <c r="A119" s="6"/>
      <c r="B119" s="31"/>
      <c r="C119" s="31"/>
      <c r="D119" s="1629"/>
      <c r="E119" s="32">
        <f t="shared" si="61"/>
        <v>0</v>
      </c>
      <c r="F119" s="33"/>
      <c r="G119" s="34">
        <f t="shared" si="36"/>
        <v>0</v>
      </c>
      <c r="H119" s="35">
        <f t="shared" si="37"/>
        <v>0</v>
      </c>
      <c r="I119" s="36"/>
      <c r="J119" s="36"/>
      <c r="K119" s="36"/>
      <c r="L119" s="36"/>
      <c r="M119" s="36"/>
      <c r="N119" s="36"/>
      <c r="O119" s="36"/>
      <c r="P119" s="36"/>
      <c r="Q119" s="36"/>
      <c r="R119" s="36"/>
      <c r="S119" s="36"/>
      <c r="T119" s="36"/>
      <c r="U119" s="36"/>
      <c r="V119" s="36"/>
      <c r="W119" s="36"/>
      <c r="X119" s="36"/>
      <c r="Y119" s="36"/>
      <c r="Z119" s="36"/>
      <c r="AA119" s="36"/>
      <c r="AB119" s="36"/>
      <c r="AC119" s="32">
        <f t="shared" si="38"/>
        <v>0</v>
      </c>
      <c r="AD119" s="37"/>
      <c r="AE119" s="37"/>
      <c r="AF119" s="37"/>
      <c r="AG119" s="37"/>
      <c r="AH119" s="37"/>
      <c r="AI119" s="37"/>
      <c r="AJ119" s="37"/>
      <c r="AK119" s="37"/>
      <c r="AL119" s="37"/>
      <c r="AM119" s="37"/>
      <c r="AN119" s="37"/>
      <c r="AO119" s="37"/>
      <c r="AP119" s="37"/>
      <c r="AQ119" s="37"/>
      <c r="AR119" s="37"/>
      <c r="AS119" s="37"/>
      <c r="AT119" s="38"/>
      <c r="AU119" s="1630"/>
      <c r="AV119" s="1342">
        <f t="shared" si="62"/>
        <v>0</v>
      </c>
      <c r="AW119" s="1342">
        <f t="shared" si="63"/>
        <v>0</v>
      </c>
      <c r="AX119" s="1342">
        <f t="shared" si="64"/>
        <v>0</v>
      </c>
      <c r="AY119" s="39">
        <f t="shared" si="39"/>
        <v>0</v>
      </c>
      <c r="AZ119" s="32">
        <f t="shared" si="40"/>
        <v>0</v>
      </c>
      <c r="BA119" s="32">
        <f t="shared" si="41"/>
        <v>0</v>
      </c>
      <c r="BB119" s="32">
        <f t="shared" si="42"/>
        <v>0</v>
      </c>
      <c r="BC119" s="32">
        <f t="shared" si="43"/>
        <v>0</v>
      </c>
      <c r="BD119" s="32">
        <f t="shared" si="44"/>
        <v>0</v>
      </c>
      <c r="BE119" s="32">
        <f t="shared" si="45"/>
        <v>0</v>
      </c>
      <c r="BF119" s="32">
        <f t="shared" si="46"/>
        <v>0</v>
      </c>
      <c r="BG119" s="32">
        <f t="shared" si="47"/>
        <v>0</v>
      </c>
      <c r="BH119" s="32">
        <f t="shared" si="48"/>
        <v>0</v>
      </c>
      <c r="BI119" s="32">
        <f t="shared" si="49"/>
        <v>0</v>
      </c>
      <c r="BJ119" s="32">
        <f t="shared" si="50"/>
        <v>0</v>
      </c>
      <c r="BK119" s="32">
        <f t="shared" si="51"/>
        <v>0</v>
      </c>
      <c r="BL119" s="32">
        <f t="shared" si="52"/>
        <v>0</v>
      </c>
      <c r="BM119" s="32">
        <f t="shared" si="53"/>
        <v>0</v>
      </c>
      <c r="BN119" s="32">
        <f t="shared" si="54"/>
        <v>0</v>
      </c>
      <c r="BO119" s="32">
        <f t="shared" si="55"/>
        <v>0</v>
      </c>
      <c r="BP119" s="32">
        <f t="shared" si="56"/>
        <v>0</v>
      </c>
      <c r="BQ119" s="32">
        <f t="shared" si="57"/>
        <v>0</v>
      </c>
      <c r="BR119" s="32">
        <f t="shared" si="58"/>
        <v>0</v>
      </c>
      <c r="BS119" s="32">
        <f t="shared" si="59"/>
        <v>0</v>
      </c>
      <c r="BT119" s="40">
        <f t="shared" si="60"/>
        <v>0</v>
      </c>
    </row>
    <row r="120" spans="1:72">
      <c r="A120" s="6"/>
      <c r="B120" s="31"/>
      <c r="C120" s="31"/>
      <c r="D120" s="1629"/>
      <c r="E120" s="32">
        <f t="shared" si="61"/>
        <v>0</v>
      </c>
      <c r="F120" s="33"/>
      <c r="G120" s="34">
        <f t="shared" si="36"/>
        <v>0</v>
      </c>
      <c r="H120" s="35">
        <f t="shared" si="37"/>
        <v>0</v>
      </c>
      <c r="I120" s="36"/>
      <c r="J120" s="36"/>
      <c r="K120" s="36"/>
      <c r="L120" s="36"/>
      <c r="M120" s="36"/>
      <c r="N120" s="36"/>
      <c r="O120" s="36"/>
      <c r="P120" s="36"/>
      <c r="Q120" s="36"/>
      <c r="R120" s="36"/>
      <c r="S120" s="36"/>
      <c r="T120" s="36"/>
      <c r="U120" s="36"/>
      <c r="V120" s="36"/>
      <c r="W120" s="36"/>
      <c r="X120" s="36"/>
      <c r="Y120" s="36"/>
      <c r="Z120" s="36"/>
      <c r="AA120" s="36"/>
      <c r="AB120" s="36"/>
      <c r="AC120" s="32">
        <f t="shared" si="38"/>
        <v>0</v>
      </c>
      <c r="AD120" s="37"/>
      <c r="AE120" s="37"/>
      <c r="AF120" s="37"/>
      <c r="AG120" s="37"/>
      <c r="AH120" s="37"/>
      <c r="AI120" s="37"/>
      <c r="AJ120" s="37"/>
      <c r="AK120" s="37"/>
      <c r="AL120" s="37"/>
      <c r="AM120" s="37"/>
      <c r="AN120" s="37"/>
      <c r="AO120" s="37"/>
      <c r="AP120" s="37"/>
      <c r="AQ120" s="37"/>
      <c r="AR120" s="37"/>
      <c r="AS120" s="37"/>
      <c r="AT120" s="38"/>
      <c r="AU120" s="1630"/>
      <c r="AV120" s="1342">
        <f t="shared" si="62"/>
        <v>0</v>
      </c>
      <c r="AW120" s="1342">
        <f t="shared" si="63"/>
        <v>0</v>
      </c>
      <c r="AX120" s="1342">
        <f t="shared" si="64"/>
        <v>0</v>
      </c>
      <c r="AY120" s="39">
        <f t="shared" si="39"/>
        <v>0</v>
      </c>
      <c r="AZ120" s="32">
        <f t="shared" si="40"/>
        <v>0</v>
      </c>
      <c r="BA120" s="32">
        <f t="shared" si="41"/>
        <v>0</v>
      </c>
      <c r="BB120" s="32">
        <f t="shared" si="42"/>
        <v>0</v>
      </c>
      <c r="BC120" s="32">
        <f t="shared" si="43"/>
        <v>0</v>
      </c>
      <c r="BD120" s="32">
        <f t="shared" si="44"/>
        <v>0</v>
      </c>
      <c r="BE120" s="32">
        <f t="shared" si="45"/>
        <v>0</v>
      </c>
      <c r="BF120" s="32">
        <f t="shared" si="46"/>
        <v>0</v>
      </c>
      <c r="BG120" s="32">
        <f t="shared" si="47"/>
        <v>0</v>
      </c>
      <c r="BH120" s="32">
        <f t="shared" si="48"/>
        <v>0</v>
      </c>
      <c r="BI120" s="32">
        <f t="shared" si="49"/>
        <v>0</v>
      </c>
      <c r="BJ120" s="32">
        <f t="shared" si="50"/>
        <v>0</v>
      </c>
      <c r="BK120" s="32">
        <f t="shared" si="51"/>
        <v>0</v>
      </c>
      <c r="BL120" s="32">
        <f t="shared" si="52"/>
        <v>0</v>
      </c>
      <c r="BM120" s="32">
        <f t="shared" si="53"/>
        <v>0</v>
      </c>
      <c r="BN120" s="32">
        <f t="shared" si="54"/>
        <v>0</v>
      </c>
      <c r="BO120" s="32">
        <f t="shared" si="55"/>
        <v>0</v>
      </c>
      <c r="BP120" s="32">
        <f t="shared" si="56"/>
        <v>0</v>
      </c>
      <c r="BQ120" s="32">
        <f t="shared" si="57"/>
        <v>0</v>
      </c>
      <c r="BR120" s="32">
        <f t="shared" si="58"/>
        <v>0</v>
      </c>
      <c r="BS120" s="32">
        <f t="shared" si="59"/>
        <v>0</v>
      </c>
      <c r="BT120" s="40">
        <f t="shared" si="60"/>
        <v>0</v>
      </c>
    </row>
    <row r="121" spans="1:72">
      <c r="A121" s="6"/>
      <c r="B121" s="31"/>
      <c r="C121" s="31"/>
      <c r="D121" s="1629"/>
      <c r="E121" s="32">
        <f t="shared" si="61"/>
        <v>0</v>
      </c>
      <c r="F121" s="33"/>
      <c r="G121" s="34">
        <f t="shared" si="36"/>
        <v>0</v>
      </c>
      <c r="H121" s="35">
        <f t="shared" si="37"/>
        <v>0</v>
      </c>
      <c r="I121" s="36"/>
      <c r="J121" s="36"/>
      <c r="K121" s="36"/>
      <c r="L121" s="36"/>
      <c r="M121" s="36"/>
      <c r="N121" s="36"/>
      <c r="O121" s="36"/>
      <c r="P121" s="36"/>
      <c r="Q121" s="36"/>
      <c r="R121" s="36"/>
      <c r="S121" s="36"/>
      <c r="T121" s="36"/>
      <c r="U121" s="36"/>
      <c r="V121" s="36"/>
      <c r="W121" s="36"/>
      <c r="X121" s="36"/>
      <c r="Y121" s="36"/>
      <c r="Z121" s="36"/>
      <c r="AA121" s="36"/>
      <c r="AB121" s="36"/>
      <c r="AC121" s="32">
        <f t="shared" si="38"/>
        <v>0</v>
      </c>
      <c r="AD121" s="37"/>
      <c r="AE121" s="37"/>
      <c r="AF121" s="37"/>
      <c r="AG121" s="37"/>
      <c r="AH121" s="37"/>
      <c r="AI121" s="37"/>
      <c r="AJ121" s="37"/>
      <c r="AK121" s="37"/>
      <c r="AL121" s="37"/>
      <c r="AM121" s="37"/>
      <c r="AN121" s="37"/>
      <c r="AO121" s="37"/>
      <c r="AP121" s="37"/>
      <c r="AQ121" s="37"/>
      <c r="AR121" s="37"/>
      <c r="AS121" s="37"/>
      <c r="AT121" s="38"/>
      <c r="AU121" s="1630"/>
      <c r="AV121" s="1342">
        <f t="shared" si="62"/>
        <v>0</v>
      </c>
      <c r="AW121" s="1342">
        <f t="shared" si="63"/>
        <v>0</v>
      </c>
      <c r="AX121" s="1342">
        <f t="shared" si="64"/>
        <v>0</v>
      </c>
      <c r="AY121" s="39">
        <f t="shared" si="39"/>
        <v>0</v>
      </c>
      <c r="AZ121" s="32">
        <f t="shared" si="40"/>
        <v>0</v>
      </c>
      <c r="BA121" s="32">
        <f t="shared" si="41"/>
        <v>0</v>
      </c>
      <c r="BB121" s="32">
        <f t="shared" si="42"/>
        <v>0</v>
      </c>
      <c r="BC121" s="32">
        <f t="shared" si="43"/>
        <v>0</v>
      </c>
      <c r="BD121" s="32">
        <f t="shared" si="44"/>
        <v>0</v>
      </c>
      <c r="BE121" s="32">
        <f t="shared" si="45"/>
        <v>0</v>
      </c>
      <c r="BF121" s="32">
        <f t="shared" si="46"/>
        <v>0</v>
      </c>
      <c r="BG121" s="32">
        <f t="shared" si="47"/>
        <v>0</v>
      </c>
      <c r="BH121" s="32">
        <f t="shared" si="48"/>
        <v>0</v>
      </c>
      <c r="BI121" s="32">
        <f t="shared" si="49"/>
        <v>0</v>
      </c>
      <c r="BJ121" s="32">
        <f t="shared" si="50"/>
        <v>0</v>
      </c>
      <c r="BK121" s="32">
        <f t="shared" si="51"/>
        <v>0</v>
      </c>
      <c r="BL121" s="32">
        <f t="shared" si="52"/>
        <v>0</v>
      </c>
      <c r="BM121" s="32">
        <f t="shared" si="53"/>
        <v>0</v>
      </c>
      <c r="BN121" s="32">
        <f t="shared" si="54"/>
        <v>0</v>
      </c>
      <c r="BO121" s="32">
        <f t="shared" si="55"/>
        <v>0</v>
      </c>
      <c r="BP121" s="32">
        <f t="shared" si="56"/>
        <v>0</v>
      </c>
      <c r="BQ121" s="32">
        <f t="shared" si="57"/>
        <v>0</v>
      </c>
      <c r="BR121" s="32">
        <f t="shared" si="58"/>
        <v>0</v>
      </c>
      <c r="BS121" s="32">
        <f t="shared" si="59"/>
        <v>0</v>
      </c>
      <c r="BT121" s="40">
        <f t="shared" si="60"/>
        <v>0</v>
      </c>
    </row>
    <row r="122" spans="1:72">
      <c r="A122" s="6"/>
      <c r="B122" s="31"/>
      <c r="C122" s="31"/>
      <c r="D122" s="1629"/>
      <c r="E122" s="32">
        <f t="shared" si="61"/>
        <v>0</v>
      </c>
      <c r="F122" s="33"/>
      <c r="G122" s="34">
        <f t="shared" si="36"/>
        <v>0</v>
      </c>
      <c r="H122" s="35">
        <f t="shared" si="37"/>
        <v>0</v>
      </c>
      <c r="I122" s="36"/>
      <c r="J122" s="36"/>
      <c r="K122" s="36"/>
      <c r="L122" s="36"/>
      <c r="M122" s="36"/>
      <c r="N122" s="36"/>
      <c r="O122" s="36"/>
      <c r="P122" s="36"/>
      <c r="Q122" s="36"/>
      <c r="R122" s="36"/>
      <c r="S122" s="36"/>
      <c r="T122" s="36"/>
      <c r="U122" s="36"/>
      <c r="V122" s="36"/>
      <c r="W122" s="36"/>
      <c r="X122" s="36"/>
      <c r="Y122" s="36"/>
      <c r="Z122" s="36"/>
      <c r="AA122" s="36"/>
      <c r="AB122" s="36"/>
      <c r="AC122" s="32">
        <f t="shared" si="38"/>
        <v>0</v>
      </c>
      <c r="AD122" s="37"/>
      <c r="AE122" s="37"/>
      <c r="AF122" s="37"/>
      <c r="AG122" s="37"/>
      <c r="AH122" s="37"/>
      <c r="AI122" s="37"/>
      <c r="AJ122" s="37"/>
      <c r="AK122" s="37"/>
      <c r="AL122" s="37"/>
      <c r="AM122" s="37"/>
      <c r="AN122" s="37"/>
      <c r="AO122" s="37"/>
      <c r="AP122" s="37"/>
      <c r="AQ122" s="37"/>
      <c r="AR122" s="37"/>
      <c r="AS122" s="37"/>
      <c r="AT122" s="38"/>
      <c r="AU122" s="1630"/>
      <c r="AV122" s="1342">
        <f t="shared" si="62"/>
        <v>0</v>
      </c>
      <c r="AW122" s="1342">
        <f t="shared" si="63"/>
        <v>0</v>
      </c>
      <c r="AX122" s="1342">
        <f t="shared" si="64"/>
        <v>0</v>
      </c>
      <c r="AY122" s="39">
        <f t="shared" si="39"/>
        <v>0</v>
      </c>
      <c r="AZ122" s="32">
        <f t="shared" si="40"/>
        <v>0</v>
      </c>
      <c r="BA122" s="32">
        <f t="shared" si="41"/>
        <v>0</v>
      </c>
      <c r="BB122" s="32">
        <f t="shared" si="42"/>
        <v>0</v>
      </c>
      <c r="BC122" s="32">
        <f t="shared" si="43"/>
        <v>0</v>
      </c>
      <c r="BD122" s="32">
        <f t="shared" si="44"/>
        <v>0</v>
      </c>
      <c r="BE122" s="32">
        <f t="shared" si="45"/>
        <v>0</v>
      </c>
      <c r="BF122" s="32">
        <f t="shared" si="46"/>
        <v>0</v>
      </c>
      <c r="BG122" s="32">
        <f t="shared" si="47"/>
        <v>0</v>
      </c>
      <c r="BH122" s="32">
        <f t="shared" si="48"/>
        <v>0</v>
      </c>
      <c r="BI122" s="32">
        <f t="shared" si="49"/>
        <v>0</v>
      </c>
      <c r="BJ122" s="32">
        <f t="shared" si="50"/>
        <v>0</v>
      </c>
      <c r="BK122" s="32">
        <f t="shared" si="51"/>
        <v>0</v>
      </c>
      <c r="BL122" s="32">
        <f t="shared" si="52"/>
        <v>0</v>
      </c>
      <c r="BM122" s="32">
        <f t="shared" si="53"/>
        <v>0</v>
      </c>
      <c r="BN122" s="32">
        <f t="shared" si="54"/>
        <v>0</v>
      </c>
      <c r="BO122" s="32">
        <f t="shared" si="55"/>
        <v>0</v>
      </c>
      <c r="BP122" s="32">
        <f t="shared" si="56"/>
        <v>0</v>
      </c>
      <c r="BQ122" s="32">
        <f t="shared" si="57"/>
        <v>0</v>
      </c>
      <c r="BR122" s="32">
        <f t="shared" si="58"/>
        <v>0</v>
      </c>
      <c r="BS122" s="32">
        <f t="shared" si="59"/>
        <v>0</v>
      </c>
      <c r="BT122" s="40">
        <f t="shared" si="60"/>
        <v>0</v>
      </c>
    </row>
    <row r="123" spans="1:72">
      <c r="A123" s="6"/>
      <c r="B123" s="31"/>
      <c r="C123" s="31"/>
      <c r="D123" s="1629"/>
      <c r="E123" s="32">
        <f t="shared" si="61"/>
        <v>0</v>
      </c>
      <c r="F123" s="33"/>
      <c r="G123" s="34">
        <f t="shared" si="36"/>
        <v>0</v>
      </c>
      <c r="H123" s="35">
        <f t="shared" si="37"/>
        <v>0</v>
      </c>
      <c r="I123" s="36"/>
      <c r="J123" s="36"/>
      <c r="K123" s="36"/>
      <c r="L123" s="36"/>
      <c r="M123" s="36"/>
      <c r="N123" s="36"/>
      <c r="O123" s="36"/>
      <c r="P123" s="36"/>
      <c r="Q123" s="36"/>
      <c r="R123" s="36"/>
      <c r="S123" s="36"/>
      <c r="T123" s="36"/>
      <c r="U123" s="36"/>
      <c r="V123" s="36"/>
      <c r="W123" s="36"/>
      <c r="X123" s="36"/>
      <c r="Y123" s="36"/>
      <c r="Z123" s="36"/>
      <c r="AA123" s="36"/>
      <c r="AB123" s="36"/>
      <c r="AC123" s="32">
        <f t="shared" si="38"/>
        <v>0</v>
      </c>
      <c r="AD123" s="37"/>
      <c r="AE123" s="37"/>
      <c r="AF123" s="37"/>
      <c r="AG123" s="37"/>
      <c r="AH123" s="37"/>
      <c r="AI123" s="37"/>
      <c r="AJ123" s="37"/>
      <c r="AK123" s="37"/>
      <c r="AL123" s="37"/>
      <c r="AM123" s="37"/>
      <c r="AN123" s="37"/>
      <c r="AO123" s="37"/>
      <c r="AP123" s="37"/>
      <c r="AQ123" s="37"/>
      <c r="AR123" s="37"/>
      <c r="AS123" s="37"/>
      <c r="AT123" s="38"/>
      <c r="AU123" s="1630"/>
      <c r="AV123" s="1342">
        <f t="shared" si="62"/>
        <v>0</v>
      </c>
      <c r="AW123" s="1342">
        <f t="shared" si="63"/>
        <v>0</v>
      </c>
      <c r="AX123" s="1342">
        <f t="shared" si="64"/>
        <v>0</v>
      </c>
      <c r="AY123" s="39">
        <f t="shared" si="39"/>
        <v>0</v>
      </c>
      <c r="AZ123" s="32">
        <f t="shared" si="40"/>
        <v>0</v>
      </c>
      <c r="BA123" s="32">
        <f t="shared" si="41"/>
        <v>0</v>
      </c>
      <c r="BB123" s="32">
        <f t="shared" si="42"/>
        <v>0</v>
      </c>
      <c r="BC123" s="32">
        <f t="shared" si="43"/>
        <v>0</v>
      </c>
      <c r="BD123" s="32">
        <f t="shared" si="44"/>
        <v>0</v>
      </c>
      <c r="BE123" s="32">
        <f t="shared" si="45"/>
        <v>0</v>
      </c>
      <c r="BF123" s="32">
        <f t="shared" si="46"/>
        <v>0</v>
      </c>
      <c r="BG123" s="32">
        <f t="shared" si="47"/>
        <v>0</v>
      </c>
      <c r="BH123" s="32">
        <f t="shared" si="48"/>
        <v>0</v>
      </c>
      <c r="BI123" s="32">
        <f t="shared" si="49"/>
        <v>0</v>
      </c>
      <c r="BJ123" s="32">
        <f t="shared" si="50"/>
        <v>0</v>
      </c>
      <c r="BK123" s="32">
        <f t="shared" si="51"/>
        <v>0</v>
      </c>
      <c r="BL123" s="32">
        <f t="shared" si="52"/>
        <v>0</v>
      </c>
      <c r="BM123" s="32">
        <f t="shared" si="53"/>
        <v>0</v>
      </c>
      <c r="BN123" s="32">
        <f t="shared" si="54"/>
        <v>0</v>
      </c>
      <c r="BO123" s="32">
        <f t="shared" si="55"/>
        <v>0</v>
      </c>
      <c r="BP123" s="32">
        <f t="shared" si="56"/>
        <v>0</v>
      </c>
      <c r="BQ123" s="32">
        <f t="shared" si="57"/>
        <v>0</v>
      </c>
      <c r="BR123" s="32">
        <f t="shared" si="58"/>
        <v>0</v>
      </c>
      <c r="BS123" s="32">
        <f t="shared" si="59"/>
        <v>0</v>
      </c>
      <c r="BT123" s="40">
        <f t="shared" si="60"/>
        <v>0</v>
      </c>
    </row>
    <row r="124" spans="1:72">
      <c r="A124" s="6"/>
      <c r="B124" s="31"/>
      <c r="C124" s="31"/>
      <c r="D124" s="1629"/>
      <c r="E124" s="32">
        <f t="shared" si="61"/>
        <v>0</v>
      </c>
      <c r="F124" s="33"/>
      <c r="G124" s="34">
        <f t="shared" si="36"/>
        <v>0</v>
      </c>
      <c r="H124" s="35">
        <f t="shared" si="37"/>
        <v>0</v>
      </c>
      <c r="I124" s="36"/>
      <c r="J124" s="36"/>
      <c r="K124" s="36"/>
      <c r="L124" s="36"/>
      <c r="M124" s="36"/>
      <c r="N124" s="36"/>
      <c r="O124" s="36"/>
      <c r="P124" s="36"/>
      <c r="Q124" s="36"/>
      <c r="R124" s="36"/>
      <c r="S124" s="36"/>
      <c r="T124" s="36"/>
      <c r="U124" s="36"/>
      <c r="V124" s="36"/>
      <c r="W124" s="36"/>
      <c r="X124" s="36"/>
      <c r="Y124" s="36"/>
      <c r="Z124" s="36"/>
      <c r="AA124" s="36"/>
      <c r="AB124" s="36"/>
      <c r="AC124" s="32">
        <f t="shared" si="38"/>
        <v>0</v>
      </c>
      <c r="AD124" s="37"/>
      <c r="AE124" s="37"/>
      <c r="AF124" s="37"/>
      <c r="AG124" s="37"/>
      <c r="AH124" s="37"/>
      <c r="AI124" s="37"/>
      <c r="AJ124" s="37"/>
      <c r="AK124" s="37"/>
      <c r="AL124" s="37"/>
      <c r="AM124" s="37"/>
      <c r="AN124" s="37"/>
      <c r="AO124" s="37"/>
      <c r="AP124" s="37"/>
      <c r="AQ124" s="37"/>
      <c r="AR124" s="37"/>
      <c r="AS124" s="37"/>
      <c r="AT124" s="38"/>
      <c r="AU124" s="1630"/>
      <c r="AV124" s="1342">
        <f t="shared" si="62"/>
        <v>0</v>
      </c>
      <c r="AW124" s="1342">
        <f t="shared" si="63"/>
        <v>0</v>
      </c>
      <c r="AX124" s="1342">
        <f t="shared" si="64"/>
        <v>0</v>
      </c>
      <c r="AY124" s="39">
        <f t="shared" si="39"/>
        <v>0</v>
      </c>
      <c r="AZ124" s="32">
        <f t="shared" si="40"/>
        <v>0</v>
      </c>
      <c r="BA124" s="32">
        <f t="shared" si="41"/>
        <v>0</v>
      </c>
      <c r="BB124" s="32">
        <f t="shared" si="42"/>
        <v>0</v>
      </c>
      <c r="BC124" s="32">
        <f t="shared" si="43"/>
        <v>0</v>
      </c>
      <c r="BD124" s="32">
        <f t="shared" si="44"/>
        <v>0</v>
      </c>
      <c r="BE124" s="32">
        <f t="shared" si="45"/>
        <v>0</v>
      </c>
      <c r="BF124" s="32">
        <f t="shared" si="46"/>
        <v>0</v>
      </c>
      <c r="BG124" s="32">
        <f t="shared" si="47"/>
        <v>0</v>
      </c>
      <c r="BH124" s="32">
        <f t="shared" si="48"/>
        <v>0</v>
      </c>
      <c r="BI124" s="32">
        <f t="shared" si="49"/>
        <v>0</v>
      </c>
      <c r="BJ124" s="32">
        <f t="shared" si="50"/>
        <v>0</v>
      </c>
      <c r="BK124" s="32">
        <f t="shared" si="51"/>
        <v>0</v>
      </c>
      <c r="BL124" s="32">
        <f t="shared" si="52"/>
        <v>0</v>
      </c>
      <c r="BM124" s="32">
        <f t="shared" si="53"/>
        <v>0</v>
      </c>
      <c r="BN124" s="32">
        <f t="shared" si="54"/>
        <v>0</v>
      </c>
      <c r="BO124" s="32">
        <f t="shared" si="55"/>
        <v>0</v>
      </c>
      <c r="BP124" s="32">
        <f t="shared" si="56"/>
        <v>0</v>
      </c>
      <c r="BQ124" s="32">
        <f t="shared" si="57"/>
        <v>0</v>
      </c>
      <c r="BR124" s="32">
        <f t="shared" si="58"/>
        <v>0</v>
      </c>
      <c r="BS124" s="32">
        <f t="shared" si="59"/>
        <v>0</v>
      </c>
      <c r="BT124" s="40">
        <f t="shared" si="60"/>
        <v>0</v>
      </c>
    </row>
    <row r="125" spans="1:72">
      <c r="A125" s="6"/>
      <c r="B125" s="31"/>
      <c r="C125" s="31"/>
      <c r="D125" s="1629"/>
      <c r="E125" s="32">
        <f t="shared" si="61"/>
        <v>0</v>
      </c>
      <c r="F125" s="33"/>
      <c r="G125" s="34">
        <f t="shared" si="36"/>
        <v>0</v>
      </c>
      <c r="H125" s="35">
        <f t="shared" si="37"/>
        <v>0</v>
      </c>
      <c r="I125" s="36"/>
      <c r="J125" s="36"/>
      <c r="K125" s="36"/>
      <c r="L125" s="36"/>
      <c r="M125" s="36"/>
      <c r="N125" s="36"/>
      <c r="O125" s="36"/>
      <c r="P125" s="36"/>
      <c r="Q125" s="36"/>
      <c r="R125" s="36"/>
      <c r="S125" s="36"/>
      <c r="T125" s="36"/>
      <c r="U125" s="36"/>
      <c r="V125" s="36"/>
      <c r="W125" s="36"/>
      <c r="X125" s="36"/>
      <c r="Y125" s="36"/>
      <c r="Z125" s="36"/>
      <c r="AA125" s="36"/>
      <c r="AB125" s="36"/>
      <c r="AC125" s="32">
        <f t="shared" si="38"/>
        <v>0</v>
      </c>
      <c r="AD125" s="37"/>
      <c r="AE125" s="37"/>
      <c r="AF125" s="37"/>
      <c r="AG125" s="37"/>
      <c r="AH125" s="37"/>
      <c r="AI125" s="37"/>
      <c r="AJ125" s="37"/>
      <c r="AK125" s="37"/>
      <c r="AL125" s="37"/>
      <c r="AM125" s="37"/>
      <c r="AN125" s="37"/>
      <c r="AO125" s="37"/>
      <c r="AP125" s="37"/>
      <c r="AQ125" s="37"/>
      <c r="AR125" s="37"/>
      <c r="AS125" s="37"/>
      <c r="AT125" s="38"/>
      <c r="AU125" s="1630"/>
      <c r="AV125" s="1342">
        <f t="shared" si="62"/>
        <v>0</v>
      </c>
      <c r="AW125" s="1342">
        <f t="shared" si="63"/>
        <v>0</v>
      </c>
      <c r="AX125" s="1342">
        <f t="shared" si="64"/>
        <v>0</v>
      </c>
      <c r="AY125" s="39">
        <f t="shared" si="39"/>
        <v>0</v>
      </c>
      <c r="AZ125" s="32">
        <f t="shared" si="40"/>
        <v>0</v>
      </c>
      <c r="BA125" s="32">
        <f t="shared" si="41"/>
        <v>0</v>
      </c>
      <c r="BB125" s="32">
        <f t="shared" si="42"/>
        <v>0</v>
      </c>
      <c r="BC125" s="32">
        <f t="shared" si="43"/>
        <v>0</v>
      </c>
      <c r="BD125" s="32">
        <f t="shared" si="44"/>
        <v>0</v>
      </c>
      <c r="BE125" s="32">
        <f t="shared" si="45"/>
        <v>0</v>
      </c>
      <c r="BF125" s="32">
        <f t="shared" si="46"/>
        <v>0</v>
      </c>
      <c r="BG125" s="32">
        <f t="shared" si="47"/>
        <v>0</v>
      </c>
      <c r="BH125" s="32">
        <f t="shared" si="48"/>
        <v>0</v>
      </c>
      <c r="BI125" s="32">
        <f t="shared" si="49"/>
        <v>0</v>
      </c>
      <c r="BJ125" s="32">
        <f t="shared" si="50"/>
        <v>0</v>
      </c>
      <c r="BK125" s="32">
        <f t="shared" si="51"/>
        <v>0</v>
      </c>
      <c r="BL125" s="32">
        <f t="shared" si="52"/>
        <v>0</v>
      </c>
      <c r="BM125" s="32">
        <f t="shared" si="53"/>
        <v>0</v>
      </c>
      <c r="BN125" s="32">
        <f t="shared" si="54"/>
        <v>0</v>
      </c>
      <c r="BO125" s="32">
        <f t="shared" si="55"/>
        <v>0</v>
      </c>
      <c r="BP125" s="32">
        <f t="shared" si="56"/>
        <v>0</v>
      </c>
      <c r="BQ125" s="32">
        <f t="shared" si="57"/>
        <v>0</v>
      </c>
      <c r="BR125" s="32">
        <f t="shared" si="58"/>
        <v>0</v>
      </c>
      <c r="BS125" s="32">
        <f t="shared" si="59"/>
        <v>0</v>
      </c>
      <c r="BT125" s="40">
        <f t="shared" si="60"/>
        <v>0</v>
      </c>
    </row>
    <row r="126" spans="1:72">
      <c r="A126" s="6"/>
      <c r="B126" s="31"/>
      <c r="C126" s="31"/>
      <c r="D126" s="1629"/>
      <c r="E126" s="32">
        <f t="shared" si="61"/>
        <v>0</v>
      </c>
      <c r="F126" s="33"/>
      <c r="G126" s="34">
        <f t="shared" si="36"/>
        <v>0</v>
      </c>
      <c r="H126" s="35">
        <f t="shared" si="37"/>
        <v>0</v>
      </c>
      <c r="I126" s="36"/>
      <c r="J126" s="36"/>
      <c r="K126" s="36"/>
      <c r="L126" s="36"/>
      <c r="M126" s="36"/>
      <c r="N126" s="36"/>
      <c r="O126" s="36"/>
      <c r="P126" s="36"/>
      <c r="Q126" s="36"/>
      <c r="R126" s="36"/>
      <c r="S126" s="36"/>
      <c r="T126" s="36"/>
      <c r="U126" s="36"/>
      <c r="V126" s="36"/>
      <c r="W126" s="36"/>
      <c r="X126" s="36"/>
      <c r="Y126" s="36"/>
      <c r="Z126" s="36"/>
      <c r="AA126" s="36"/>
      <c r="AB126" s="36"/>
      <c r="AC126" s="32">
        <f t="shared" si="38"/>
        <v>0</v>
      </c>
      <c r="AD126" s="37"/>
      <c r="AE126" s="37"/>
      <c r="AF126" s="37"/>
      <c r="AG126" s="37"/>
      <c r="AH126" s="37"/>
      <c r="AI126" s="37"/>
      <c r="AJ126" s="37"/>
      <c r="AK126" s="37"/>
      <c r="AL126" s="37"/>
      <c r="AM126" s="37"/>
      <c r="AN126" s="37"/>
      <c r="AO126" s="37"/>
      <c r="AP126" s="37"/>
      <c r="AQ126" s="37"/>
      <c r="AR126" s="37"/>
      <c r="AS126" s="37"/>
      <c r="AT126" s="38"/>
      <c r="AU126" s="1630"/>
      <c r="AV126" s="1342">
        <f t="shared" si="62"/>
        <v>0</v>
      </c>
      <c r="AW126" s="1342">
        <f t="shared" si="63"/>
        <v>0</v>
      </c>
      <c r="AX126" s="1342">
        <f t="shared" si="64"/>
        <v>0</v>
      </c>
      <c r="AY126" s="39">
        <f t="shared" si="39"/>
        <v>0</v>
      </c>
      <c r="AZ126" s="32">
        <f t="shared" si="40"/>
        <v>0</v>
      </c>
      <c r="BA126" s="32">
        <f t="shared" si="41"/>
        <v>0</v>
      </c>
      <c r="BB126" s="32">
        <f t="shared" si="42"/>
        <v>0</v>
      </c>
      <c r="BC126" s="32">
        <f t="shared" si="43"/>
        <v>0</v>
      </c>
      <c r="BD126" s="32">
        <f t="shared" si="44"/>
        <v>0</v>
      </c>
      <c r="BE126" s="32">
        <f t="shared" si="45"/>
        <v>0</v>
      </c>
      <c r="BF126" s="32">
        <f t="shared" si="46"/>
        <v>0</v>
      </c>
      <c r="BG126" s="32">
        <f t="shared" si="47"/>
        <v>0</v>
      </c>
      <c r="BH126" s="32">
        <f t="shared" si="48"/>
        <v>0</v>
      </c>
      <c r="BI126" s="32">
        <f t="shared" si="49"/>
        <v>0</v>
      </c>
      <c r="BJ126" s="32">
        <f t="shared" si="50"/>
        <v>0</v>
      </c>
      <c r="BK126" s="32">
        <f t="shared" si="51"/>
        <v>0</v>
      </c>
      <c r="BL126" s="32">
        <f t="shared" si="52"/>
        <v>0</v>
      </c>
      <c r="BM126" s="32">
        <f t="shared" si="53"/>
        <v>0</v>
      </c>
      <c r="BN126" s="32">
        <f t="shared" si="54"/>
        <v>0</v>
      </c>
      <c r="BO126" s="32">
        <f t="shared" si="55"/>
        <v>0</v>
      </c>
      <c r="BP126" s="32">
        <f t="shared" si="56"/>
        <v>0</v>
      </c>
      <c r="BQ126" s="32">
        <f t="shared" si="57"/>
        <v>0</v>
      </c>
      <c r="BR126" s="32">
        <f t="shared" si="58"/>
        <v>0</v>
      </c>
      <c r="BS126" s="32">
        <f t="shared" si="59"/>
        <v>0</v>
      </c>
      <c r="BT126" s="40">
        <f t="shared" si="60"/>
        <v>0</v>
      </c>
    </row>
    <row r="127" spans="1:72">
      <c r="A127" s="6"/>
      <c r="B127" s="31"/>
      <c r="C127" s="31"/>
      <c r="D127" s="1629"/>
      <c r="E127" s="32">
        <f t="shared" si="61"/>
        <v>0</v>
      </c>
      <c r="F127" s="33"/>
      <c r="G127" s="34">
        <f t="shared" si="36"/>
        <v>0</v>
      </c>
      <c r="H127" s="35">
        <f t="shared" si="37"/>
        <v>0</v>
      </c>
      <c r="I127" s="36"/>
      <c r="J127" s="36"/>
      <c r="K127" s="36"/>
      <c r="L127" s="36"/>
      <c r="M127" s="36"/>
      <c r="N127" s="36"/>
      <c r="O127" s="36"/>
      <c r="P127" s="36"/>
      <c r="Q127" s="36"/>
      <c r="R127" s="36"/>
      <c r="S127" s="36"/>
      <c r="T127" s="36"/>
      <c r="U127" s="36"/>
      <c r="V127" s="36"/>
      <c r="W127" s="36"/>
      <c r="X127" s="36"/>
      <c r="Y127" s="36"/>
      <c r="Z127" s="36"/>
      <c r="AA127" s="36"/>
      <c r="AB127" s="36"/>
      <c r="AC127" s="32">
        <f t="shared" si="38"/>
        <v>0</v>
      </c>
      <c r="AD127" s="37"/>
      <c r="AE127" s="37"/>
      <c r="AF127" s="37"/>
      <c r="AG127" s="37"/>
      <c r="AH127" s="37"/>
      <c r="AI127" s="37"/>
      <c r="AJ127" s="37"/>
      <c r="AK127" s="37"/>
      <c r="AL127" s="37"/>
      <c r="AM127" s="37"/>
      <c r="AN127" s="37"/>
      <c r="AO127" s="37"/>
      <c r="AP127" s="37"/>
      <c r="AQ127" s="37"/>
      <c r="AR127" s="37"/>
      <c r="AS127" s="37"/>
      <c r="AT127" s="38"/>
      <c r="AU127" s="1630"/>
      <c r="AV127" s="1342">
        <f t="shared" si="62"/>
        <v>0</v>
      </c>
      <c r="AW127" s="1342">
        <f t="shared" si="63"/>
        <v>0</v>
      </c>
      <c r="AX127" s="1342">
        <f t="shared" si="64"/>
        <v>0</v>
      </c>
      <c r="AY127" s="39">
        <f t="shared" si="39"/>
        <v>0</v>
      </c>
      <c r="AZ127" s="32">
        <f t="shared" si="40"/>
        <v>0</v>
      </c>
      <c r="BA127" s="32">
        <f t="shared" si="41"/>
        <v>0</v>
      </c>
      <c r="BB127" s="32">
        <f t="shared" si="42"/>
        <v>0</v>
      </c>
      <c r="BC127" s="32">
        <f t="shared" si="43"/>
        <v>0</v>
      </c>
      <c r="BD127" s="32">
        <f t="shared" si="44"/>
        <v>0</v>
      </c>
      <c r="BE127" s="32">
        <f t="shared" si="45"/>
        <v>0</v>
      </c>
      <c r="BF127" s="32">
        <f t="shared" si="46"/>
        <v>0</v>
      </c>
      <c r="BG127" s="32">
        <f t="shared" si="47"/>
        <v>0</v>
      </c>
      <c r="BH127" s="32">
        <f t="shared" si="48"/>
        <v>0</v>
      </c>
      <c r="BI127" s="32">
        <f t="shared" si="49"/>
        <v>0</v>
      </c>
      <c r="BJ127" s="32">
        <f t="shared" si="50"/>
        <v>0</v>
      </c>
      <c r="BK127" s="32">
        <f t="shared" si="51"/>
        <v>0</v>
      </c>
      <c r="BL127" s="32">
        <f t="shared" si="52"/>
        <v>0</v>
      </c>
      <c r="BM127" s="32">
        <f t="shared" si="53"/>
        <v>0</v>
      </c>
      <c r="BN127" s="32">
        <f t="shared" si="54"/>
        <v>0</v>
      </c>
      <c r="BO127" s="32">
        <f t="shared" si="55"/>
        <v>0</v>
      </c>
      <c r="BP127" s="32">
        <f t="shared" si="56"/>
        <v>0</v>
      </c>
      <c r="BQ127" s="32">
        <f t="shared" si="57"/>
        <v>0</v>
      </c>
      <c r="BR127" s="32">
        <f t="shared" si="58"/>
        <v>0</v>
      </c>
      <c r="BS127" s="32">
        <f t="shared" si="59"/>
        <v>0</v>
      </c>
      <c r="BT127" s="40">
        <f t="shared" si="60"/>
        <v>0</v>
      </c>
    </row>
    <row r="128" spans="1:72">
      <c r="A128" s="6"/>
      <c r="B128" s="31"/>
      <c r="C128" s="31"/>
      <c r="D128" s="1629"/>
      <c r="E128" s="32">
        <f t="shared" si="61"/>
        <v>0</v>
      </c>
      <c r="F128" s="33"/>
      <c r="G128" s="34">
        <f t="shared" si="36"/>
        <v>0</v>
      </c>
      <c r="H128" s="35">
        <f t="shared" si="37"/>
        <v>0</v>
      </c>
      <c r="I128" s="36"/>
      <c r="J128" s="36"/>
      <c r="K128" s="36"/>
      <c r="L128" s="36"/>
      <c r="M128" s="36"/>
      <c r="N128" s="36"/>
      <c r="O128" s="36"/>
      <c r="P128" s="36"/>
      <c r="Q128" s="36"/>
      <c r="R128" s="36"/>
      <c r="S128" s="36"/>
      <c r="T128" s="36"/>
      <c r="U128" s="36"/>
      <c r="V128" s="36"/>
      <c r="W128" s="36"/>
      <c r="X128" s="36"/>
      <c r="Y128" s="36"/>
      <c r="Z128" s="36"/>
      <c r="AA128" s="36"/>
      <c r="AB128" s="36"/>
      <c r="AC128" s="32">
        <f t="shared" si="38"/>
        <v>0</v>
      </c>
      <c r="AD128" s="37"/>
      <c r="AE128" s="37"/>
      <c r="AF128" s="37"/>
      <c r="AG128" s="37"/>
      <c r="AH128" s="37"/>
      <c r="AI128" s="37"/>
      <c r="AJ128" s="37"/>
      <c r="AK128" s="37"/>
      <c r="AL128" s="37"/>
      <c r="AM128" s="37"/>
      <c r="AN128" s="37"/>
      <c r="AO128" s="37"/>
      <c r="AP128" s="37"/>
      <c r="AQ128" s="37"/>
      <c r="AR128" s="37"/>
      <c r="AS128" s="37"/>
      <c r="AT128" s="38"/>
      <c r="AU128" s="1630"/>
      <c r="AV128" s="1342">
        <f t="shared" si="62"/>
        <v>0</v>
      </c>
      <c r="AW128" s="1342">
        <f t="shared" si="63"/>
        <v>0</v>
      </c>
      <c r="AX128" s="1342">
        <f t="shared" si="64"/>
        <v>0</v>
      </c>
      <c r="AY128" s="39">
        <f t="shared" si="39"/>
        <v>0</v>
      </c>
      <c r="AZ128" s="32">
        <f t="shared" si="40"/>
        <v>0</v>
      </c>
      <c r="BA128" s="32">
        <f t="shared" si="41"/>
        <v>0</v>
      </c>
      <c r="BB128" s="32">
        <f t="shared" si="42"/>
        <v>0</v>
      </c>
      <c r="BC128" s="32">
        <f t="shared" si="43"/>
        <v>0</v>
      </c>
      <c r="BD128" s="32">
        <f t="shared" si="44"/>
        <v>0</v>
      </c>
      <c r="BE128" s="32">
        <f t="shared" si="45"/>
        <v>0</v>
      </c>
      <c r="BF128" s="32">
        <f t="shared" si="46"/>
        <v>0</v>
      </c>
      <c r="BG128" s="32">
        <f t="shared" si="47"/>
        <v>0</v>
      </c>
      <c r="BH128" s="32">
        <f t="shared" si="48"/>
        <v>0</v>
      </c>
      <c r="BI128" s="32">
        <f t="shared" si="49"/>
        <v>0</v>
      </c>
      <c r="BJ128" s="32">
        <f t="shared" si="50"/>
        <v>0</v>
      </c>
      <c r="BK128" s="32">
        <f t="shared" si="51"/>
        <v>0</v>
      </c>
      <c r="BL128" s="32">
        <f t="shared" si="52"/>
        <v>0</v>
      </c>
      <c r="BM128" s="32">
        <f t="shared" si="53"/>
        <v>0</v>
      </c>
      <c r="BN128" s="32">
        <f t="shared" si="54"/>
        <v>0</v>
      </c>
      <c r="BO128" s="32">
        <f t="shared" si="55"/>
        <v>0</v>
      </c>
      <c r="BP128" s="32">
        <f t="shared" si="56"/>
        <v>0</v>
      </c>
      <c r="BQ128" s="32">
        <f t="shared" si="57"/>
        <v>0</v>
      </c>
      <c r="BR128" s="32">
        <f t="shared" si="58"/>
        <v>0</v>
      </c>
      <c r="BS128" s="32">
        <f t="shared" si="59"/>
        <v>0</v>
      </c>
      <c r="BT128" s="40">
        <f t="shared" si="60"/>
        <v>0</v>
      </c>
    </row>
    <row r="129" spans="1:72">
      <c r="A129" s="6"/>
      <c r="B129" s="31"/>
      <c r="C129" s="31"/>
      <c r="D129" s="1629"/>
      <c r="E129" s="32">
        <f t="shared" si="61"/>
        <v>0</v>
      </c>
      <c r="F129" s="33"/>
      <c r="G129" s="34">
        <f t="shared" si="36"/>
        <v>0</v>
      </c>
      <c r="H129" s="35">
        <f t="shared" si="37"/>
        <v>0</v>
      </c>
      <c r="I129" s="36"/>
      <c r="J129" s="36"/>
      <c r="K129" s="36"/>
      <c r="L129" s="36"/>
      <c r="M129" s="36"/>
      <c r="N129" s="36"/>
      <c r="O129" s="36"/>
      <c r="P129" s="36"/>
      <c r="Q129" s="36"/>
      <c r="R129" s="36"/>
      <c r="S129" s="36"/>
      <c r="T129" s="36"/>
      <c r="U129" s="36"/>
      <c r="V129" s="36"/>
      <c r="W129" s="36"/>
      <c r="X129" s="36"/>
      <c r="Y129" s="36"/>
      <c r="Z129" s="36"/>
      <c r="AA129" s="36"/>
      <c r="AB129" s="36"/>
      <c r="AC129" s="32">
        <f t="shared" si="38"/>
        <v>0</v>
      </c>
      <c r="AD129" s="37"/>
      <c r="AE129" s="37"/>
      <c r="AF129" s="37"/>
      <c r="AG129" s="37"/>
      <c r="AH129" s="37"/>
      <c r="AI129" s="37"/>
      <c r="AJ129" s="37"/>
      <c r="AK129" s="37"/>
      <c r="AL129" s="37"/>
      <c r="AM129" s="37"/>
      <c r="AN129" s="37"/>
      <c r="AO129" s="37"/>
      <c r="AP129" s="37"/>
      <c r="AQ129" s="37"/>
      <c r="AR129" s="37"/>
      <c r="AS129" s="37"/>
      <c r="AT129" s="38"/>
      <c r="AU129" s="1630"/>
      <c r="AV129" s="1342">
        <f t="shared" si="62"/>
        <v>0</v>
      </c>
      <c r="AW129" s="1342">
        <f t="shared" si="63"/>
        <v>0</v>
      </c>
      <c r="AX129" s="1342">
        <f t="shared" si="64"/>
        <v>0</v>
      </c>
      <c r="AY129" s="39">
        <f t="shared" si="39"/>
        <v>0</v>
      </c>
      <c r="AZ129" s="32">
        <f t="shared" si="40"/>
        <v>0</v>
      </c>
      <c r="BA129" s="32">
        <f t="shared" si="41"/>
        <v>0</v>
      </c>
      <c r="BB129" s="32">
        <f t="shared" si="42"/>
        <v>0</v>
      </c>
      <c r="BC129" s="32">
        <f t="shared" si="43"/>
        <v>0</v>
      </c>
      <c r="BD129" s="32">
        <f t="shared" si="44"/>
        <v>0</v>
      </c>
      <c r="BE129" s="32">
        <f t="shared" si="45"/>
        <v>0</v>
      </c>
      <c r="BF129" s="32">
        <f t="shared" si="46"/>
        <v>0</v>
      </c>
      <c r="BG129" s="32">
        <f t="shared" si="47"/>
        <v>0</v>
      </c>
      <c r="BH129" s="32">
        <f t="shared" si="48"/>
        <v>0</v>
      </c>
      <c r="BI129" s="32">
        <f t="shared" si="49"/>
        <v>0</v>
      </c>
      <c r="BJ129" s="32">
        <f t="shared" si="50"/>
        <v>0</v>
      </c>
      <c r="BK129" s="32">
        <f t="shared" si="51"/>
        <v>0</v>
      </c>
      <c r="BL129" s="32">
        <f t="shared" si="52"/>
        <v>0</v>
      </c>
      <c r="BM129" s="32">
        <f t="shared" si="53"/>
        <v>0</v>
      </c>
      <c r="BN129" s="32">
        <f t="shared" si="54"/>
        <v>0</v>
      </c>
      <c r="BO129" s="32">
        <f t="shared" si="55"/>
        <v>0</v>
      </c>
      <c r="BP129" s="32">
        <f t="shared" si="56"/>
        <v>0</v>
      </c>
      <c r="BQ129" s="32">
        <f t="shared" si="57"/>
        <v>0</v>
      </c>
      <c r="BR129" s="32">
        <f t="shared" si="58"/>
        <v>0</v>
      </c>
      <c r="BS129" s="32">
        <f t="shared" si="59"/>
        <v>0</v>
      </c>
      <c r="BT129" s="40">
        <f t="shared" si="60"/>
        <v>0</v>
      </c>
    </row>
    <row r="130" spans="1:72">
      <c r="A130" s="6"/>
      <c r="B130" s="31"/>
      <c r="C130" s="31"/>
      <c r="D130" s="1629"/>
      <c r="E130" s="32">
        <f t="shared" si="61"/>
        <v>0</v>
      </c>
      <c r="F130" s="33"/>
      <c r="G130" s="34">
        <f t="shared" si="36"/>
        <v>0</v>
      </c>
      <c r="H130" s="35">
        <f t="shared" si="37"/>
        <v>0</v>
      </c>
      <c r="I130" s="36"/>
      <c r="J130" s="36"/>
      <c r="K130" s="36"/>
      <c r="L130" s="36"/>
      <c r="M130" s="36"/>
      <c r="N130" s="36"/>
      <c r="O130" s="36"/>
      <c r="P130" s="36"/>
      <c r="Q130" s="36"/>
      <c r="R130" s="36"/>
      <c r="S130" s="36"/>
      <c r="T130" s="36"/>
      <c r="U130" s="36"/>
      <c r="V130" s="36"/>
      <c r="W130" s="36"/>
      <c r="X130" s="36"/>
      <c r="Y130" s="36"/>
      <c r="Z130" s="36"/>
      <c r="AA130" s="36"/>
      <c r="AB130" s="36"/>
      <c r="AC130" s="32">
        <f t="shared" si="38"/>
        <v>0</v>
      </c>
      <c r="AD130" s="37"/>
      <c r="AE130" s="37"/>
      <c r="AF130" s="37"/>
      <c r="AG130" s="37"/>
      <c r="AH130" s="37"/>
      <c r="AI130" s="37"/>
      <c r="AJ130" s="37"/>
      <c r="AK130" s="37"/>
      <c r="AL130" s="37"/>
      <c r="AM130" s="37"/>
      <c r="AN130" s="37"/>
      <c r="AO130" s="37"/>
      <c r="AP130" s="37"/>
      <c r="AQ130" s="37"/>
      <c r="AR130" s="37"/>
      <c r="AS130" s="37"/>
      <c r="AT130" s="38"/>
      <c r="AU130" s="1630"/>
      <c r="AV130" s="1342">
        <f t="shared" si="62"/>
        <v>0</v>
      </c>
      <c r="AW130" s="1342">
        <f t="shared" si="63"/>
        <v>0</v>
      </c>
      <c r="AX130" s="1342">
        <f t="shared" si="64"/>
        <v>0</v>
      </c>
      <c r="AY130" s="39">
        <f t="shared" si="39"/>
        <v>0</v>
      </c>
      <c r="AZ130" s="32">
        <f t="shared" si="40"/>
        <v>0</v>
      </c>
      <c r="BA130" s="32">
        <f t="shared" si="41"/>
        <v>0</v>
      </c>
      <c r="BB130" s="32">
        <f t="shared" si="42"/>
        <v>0</v>
      </c>
      <c r="BC130" s="32">
        <f t="shared" si="43"/>
        <v>0</v>
      </c>
      <c r="BD130" s="32">
        <f t="shared" si="44"/>
        <v>0</v>
      </c>
      <c r="BE130" s="32">
        <f t="shared" si="45"/>
        <v>0</v>
      </c>
      <c r="BF130" s="32">
        <f t="shared" si="46"/>
        <v>0</v>
      </c>
      <c r="BG130" s="32">
        <f t="shared" si="47"/>
        <v>0</v>
      </c>
      <c r="BH130" s="32">
        <f t="shared" si="48"/>
        <v>0</v>
      </c>
      <c r="BI130" s="32">
        <f t="shared" si="49"/>
        <v>0</v>
      </c>
      <c r="BJ130" s="32">
        <f t="shared" si="50"/>
        <v>0</v>
      </c>
      <c r="BK130" s="32">
        <f t="shared" si="51"/>
        <v>0</v>
      </c>
      <c r="BL130" s="32">
        <f t="shared" si="52"/>
        <v>0</v>
      </c>
      <c r="BM130" s="32">
        <f t="shared" si="53"/>
        <v>0</v>
      </c>
      <c r="BN130" s="32">
        <f t="shared" si="54"/>
        <v>0</v>
      </c>
      <c r="BO130" s="32">
        <f t="shared" si="55"/>
        <v>0</v>
      </c>
      <c r="BP130" s="32">
        <f t="shared" si="56"/>
        <v>0</v>
      </c>
      <c r="BQ130" s="32">
        <f t="shared" si="57"/>
        <v>0</v>
      </c>
      <c r="BR130" s="32">
        <f t="shared" si="58"/>
        <v>0</v>
      </c>
      <c r="BS130" s="32">
        <f t="shared" si="59"/>
        <v>0</v>
      </c>
      <c r="BT130" s="40">
        <f t="shared" si="60"/>
        <v>0</v>
      </c>
    </row>
    <row r="131" spans="1:72">
      <c r="A131" s="6"/>
      <c r="B131" s="31"/>
      <c r="C131" s="31"/>
      <c r="D131" s="1629"/>
      <c r="E131" s="32">
        <f t="shared" si="61"/>
        <v>0</v>
      </c>
      <c r="F131" s="33"/>
      <c r="G131" s="34">
        <f t="shared" si="36"/>
        <v>0</v>
      </c>
      <c r="H131" s="35">
        <f t="shared" si="37"/>
        <v>0</v>
      </c>
      <c r="I131" s="36"/>
      <c r="J131" s="36"/>
      <c r="K131" s="36"/>
      <c r="L131" s="36"/>
      <c r="M131" s="36"/>
      <c r="N131" s="36"/>
      <c r="O131" s="36"/>
      <c r="P131" s="36"/>
      <c r="Q131" s="36"/>
      <c r="R131" s="36"/>
      <c r="S131" s="36"/>
      <c r="T131" s="36"/>
      <c r="U131" s="36"/>
      <c r="V131" s="36"/>
      <c r="W131" s="36"/>
      <c r="X131" s="36"/>
      <c r="Y131" s="36"/>
      <c r="Z131" s="36"/>
      <c r="AA131" s="36"/>
      <c r="AB131" s="36"/>
      <c r="AC131" s="32">
        <f t="shared" si="38"/>
        <v>0</v>
      </c>
      <c r="AD131" s="37"/>
      <c r="AE131" s="37"/>
      <c r="AF131" s="37"/>
      <c r="AG131" s="37"/>
      <c r="AH131" s="37"/>
      <c r="AI131" s="37"/>
      <c r="AJ131" s="37"/>
      <c r="AK131" s="37"/>
      <c r="AL131" s="37"/>
      <c r="AM131" s="37"/>
      <c r="AN131" s="37"/>
      <c r="AO131" s="37"/>
      <c r="AP131" s="37"/>
      <c r="AQ131" s="37"/>
      <c r="AR131" s="37"/>
      <c r="AS131" s="37"/>
      <c r="AT131" s="38"/>
      <c r="AU131" s="1630"/>
      <c r="AV131" s="1342">
        <f t="shared" si="62"/>
        <v>0</v>
      </c>
      <c r="AW131" s="1342">
        <f t="shared" si="63"/>
        <v>0</v>
      </c>
      <c r="AX131" s="1342">
        <f t="shared" si="64"/>
        <v>0</v>
      </c>
      <c r="AY131" s="39">
        <f t="shared" si="39"/>
        <v>0</v>
      </c>
      <c r="AZ131" s="32">
        <f t="shared" si="40"/>
        <v>0</v>
      </c>
      <c r="BA131" s="32">
        <f t="shared" si="41"/>
        <v>0</v>
      </c>
      <c r="BB131" s="32">
        <f t="shared" si="42"/>
        <v>0</v>
      </c>
      <c r="BC131" s="32">
        <f t="shared" si="43"/>
        <v>0</v>
      </c>
      <c r="BD131" s="32">
        <f t="shared" si="44"/>
        <v>0</v>
      </c>
      <c r="BE131" s="32">
        <f t="shared" si="45"/>
        <v>0</v>
      </c>
      <c r="BF131" s="32">
        <f t="shared" si="46"/>
        <v>0</v>
      </c>
      <c r="BG131" s="32">
        <f t="shared" si="47"/>
        <v>0</v>
      </c>
      <c r="BH131" s="32">
        <f t="shared" si="48"/>
        <v>0</v>
      </c>
      <c r="BI131" s="32">
        <f t="shared" si="49"/>
        <v>0</v>
      </c>
      <c r="BJ131" s="32">
        <f t="shared" si="50"/>
        <v>0</v>
      </c>
      <c r="BK131" s="32">
        <f t="shared" si="51"/>
        <v>0</v>
      </c>
      <c r="BL131" s="32">
        <f t="shared" si="52"/>
        <v>0</v>
      </c>
      <c r="BM131" s="32">
        <f t="shared" si="53"/>
        <v>0</v>
      </c>
      <c r="BN131" s="32">
        <f t="shared" si="54"/>
        <v>0</v>
      </c>
      <c r="BO131" s="32">
        <f t="shared" si="55"/>
        <v>0</v>
      </c>
      <c r="BP131" s="32">
        <f t="shared" si="56"/>
        <v>0</v>
      </c>
      <c r="BQ131" s="32">
        <f t="shared" si="57"/>
        <v>0</v>
      </c>
      <c r="BR131" s="32">
        <f t="shared" si="58"/>
        <v>0</v>
      </c>
      <c r="BS131" s="32">
        <f t="shared" si="59"/>
        <v>0</v>
      </c>
      <c r="BT131" s="40">
        <f t="shared" si="60"/>
        <v>0</v>
      </c>
    </row>
    <row r="132" spans="1:72">
      <c r="A132" s="6"/>
      <c r="B132" s="31"/>
      <c r="C132" s="31"/>
      <c r="D132" s="1629"/>
      <c r="E132" s="32">
        <f t="shared" si="61"/>
        <v>0</v>
      </c>
      <c r="F132" s="33"/>
      <c r="G132" s="34">
        <f t="shared" si="36"/>
        <v>0</v>
      </c>
      <c r="H132" s="35">
        <f t="shared" si="37"/>
        <v>0</v>
      </c>
      <c r="I132" s="36"/>
      <c r="J132" s="36"/>
      <c r="K132" s="36"/>
      <c r="L132" s="36"/>
      <c r="M132" s="36"/>
      <c r="N132" s="36"/>
      <c r="O132" s="36"/>
      <c r="P132" s="36"/>
      <c r="Q132" s="36"/>
      <c r="R132" s="36"/>
      <c r="S132" s="36"/>
      <c r="T132" s="36"/>
      <c r="U132" s="36"/>
      <c r="V132" s="36"/>
      <c r="W132" s="36"/>
      <c r="X132" s="36"/>
      <c r="Y132" s="36"/>
      <c r="Z132" s="36"/>
      <c r="AA132" s="36"/>
      <c r="AB132" s="36"/>
      <c r="AC132" s="32">
        <f t="shared" si="38"/>
        <v>0</v>
      </c>
      <c r="AD132" s="37"/>
      <c r="AE132" s="37"/>
      <c r="AF132" s="37"/>
      <c r="AG132" s="37"/>
      <c r="AH132" s="37"/>
      <c r="AI132" s="37"/>
      <c r="AJ132" s="37"/>
      <c r="AK132" s="37"/>
      <c r="AL132" s="37"/>
      <c r="AM132" s="37"/>
      <c r="AN132" s="37"/>
      <c r="AO132" s="37"/>
      <c r="AP132" s="37"/>
      <c r="AQ132" s="37"/>
      <c r="AR132" s="37"/>
      <c r="AS132" s="37"/>
      <c r="AT132" s="38"/>
      <c r="AU132" s="1630"/>
      <c r="AV132" s="1342">
        <f t="shared" si="62"/>
        <v>0</v>
      </c>
      <c r="AW132" s="1342">
        <f t="shared" si="63"/>
        <v>0</v>
      </c>
      <c r="AX132" s="1342">
        <f t="shared" si="64"/>
        <v>0</v>
      </c>
      <c r="AY132" s="39">
        <f t="shared" si="39"/>
        <v>0</v>
      </c>
      <c r="AZ132" s="32">
        <f t="shared" si="40"/>
        <v>0</v>
      </c>
      <c r="BA132" s="32">
        <f t="shared" si="41"/>
        <v>0</v>
      </c>
      <c r="BB132" s="32">
        <f t="shared" si="42"/>
        <v>0</v>
      </c>
      <c r="BC132" s="32">
        <f t="shared" si="43"/>
        <v>0</v>
      </c>
      <c r="BD132" s="32">
        <f t="shared" si="44"/>
        <v>0</v>
      </c>
      <c r="BE132" s="32">
        <f t="shared" si="45"/>
        <v>0</v>
      </c>
      <c r="BF132" s="32">
        <f t="shared" si="46"/>
        <v>0</v>
      </c>
      <c r="BG132" s="32">
        <f t="shared" si="47"/>
        <v>0</v>
      </c>
      <c r="BH132" s="32">
        <f t="shared" si="48"/>
        <v>0</v>
      </c>
      <c r="BI132" s="32">
        <f t="shared" si="49"/>
        <v>0</v>
      </c>
      <c r="BJ132" s="32">
        <f t="shared" si="50"/>
        <v>0</v>
      </c>
      <c r="BK132" s="32">
        <f t="shared" si="51"/>
        <v>0</v>
      </c>
      <c r="BL132" s="32">
        <f t="shared" si="52"/>
        <v>0</v>
      </c>
      <c r="BM132" s="32">
        <f t="shared" si="53"/>
        <v>0</v>
      </c>
      <c r="BN132" s="32">
        <f t="shared" si="54"/>
        <v>0</v>
      </c>
      <c r="BO132" s="32">
        <f t="shared" si="55"/>
        <v>0</v>
      </c>
      <c r="BP132" s="32">
        <f t="shared" si="56"/>
        <v>0</v>
      </c>
      <c r="BQ132" s="32">
        <f t="shared" si="57"/>
        <v>0</v>
      </c>
      <c r="BR132" s="32">
        <f t="shared" si="58"/>
        <v>0</v>
      </c>
      <c r="BS132" s="32">
        <f t="shared" si="59"/>
        <v>0</v>
      </c>
      <c r="BT132" s="40">
        <f t="shared" si="60"/>
        <v>0</v>
      </c>
    </row>
    <row r="133" spans="1:72">
      <c r="A133" s="6"/>
      <c r="B133" s="31"/>
      <c r="C133" s="31"/>
      <c r="D133" s="1629"/>
      <c r="E133" s="32">
        <f t="shared" si="61"/>
        <v>0</v>
      </c>
      <c r="F133" s="33"/>
      <c r="G133" s="34">
        <f t="shared" si="36"/>
        <v>0</v>
      </c>
      <c r="H133" s="35">
        <f t="shared" si="37"/>
        <v>0</v>
      </c>
      <c r="I133" s="36"/>
      <c r="J133" s="36"/>
      <c r="K133" s="36"/>
      <c r="L133" s="36"/>
      <c r="M133" s="36"/>
      <c r="N133" s="36"/>
      <c r="O133" s="36"/>
      <c r="P133" s="36"/>
      <c r="Q133" s="36"/>
      <c r="R133" s="36"/>
      <c r="S133" s="36"/>
      <c r="T133" s="36"/>
      <c r="U133" s="36"/>
      <c r="V133" s="36"/>
      <c r="W133" s="36"/>
      <c r="X133" s="36"/>
      <c r="Y133" s="36"/>
      <c r="Z133" s="36"/>
      <c r="AA133" s="36"/>
      <c r="AB133" s="36"/>
      <c r="AC133" s="32">
        <f t="shared" si="38"/>
        <v>0</v>
      </c>
      <c r="AD133" s="37"/>
      <c r="AE133" s="37"/>
      <c r="AF133" s="37"/>
      <c r="AG133" s="37"/>
      <c r="AH133" s="37"/>
      <c r="AI133" s="37"/>
      <c r="AJ133" s="37"/>
      <c r="AK133" s="37"/>
      <c r="AL133" s="37"/>
      <c r="AM133" s="37"/>
      <c r="AN133" s="37"/>
      <c r="AO133" s="37"/>
      <c r="AP133" s="37"/>
      <c r="AQ133" s="37"/>
      <c r="AR133" s="37"/>
      <c r="AS133" s="37"/>
      <c r="AT133" s="38"/>
      <c r="AU133" s="1630"/>
      <c r="AV133" s="1342">
        <f t="shared" si="62"/>
        <v>0</v>
      </c>
      <c r="AW133" s="1342">
        <f t="shared" si="63"/>
        <v>0</v>
      </c>
      <c r="AX133" s="1342">
        <f t="shared" si="64"/>
        <v>0</v>
      </c>
      <c r="AY133" s="39">
        <f t="shared" si="39"/>
        <v>0</v>
      </c>
      <c r="AZ133" s="32">
        <f t="shared" si="40"/>
        <v>0</v>
      </c>
      <c r="BA133" s="32">
        <f t="shared" si="41"/>
        <v>0</v>
      </c>
      <c r="BB133" s="32">
        <f t="shared" si="42"/>
        <v>0</v>
      </c>
      <c r="BC133" s="32">
        <f t="shared" si="43"/>
        <v>0</v>
      </c>
      <c r="BD133" s="32">
        <f t="shared" si="44"/>
        <v>0</v>
      </c>
      <c r="BE133" s="32">
        <f t="shared" si="45"/>
        <v>0</v>
      </c>
      <c r="BF133" s="32">
        <f t="shared" si="46"/>
        <v>0</v>
      </c>
      <c r="BG133" s="32">
        <f t="shared" si="47"/>
        <v>0</v>
      </c>
      <c r="BH133" s="32">
        <f t="shared" si="48"/>
        <v>0</v>
      </c>
      <c r="BI133" s="32">
        <f t="shared" si="49"/>
        <v>0</v>
      </c>
      <c r="BJ133" s="32">
        <f t="shared" si="50"/>
        <v>0</v>
      </c>
      <c r="BK133" s="32">
        <f t="shared" si="51"/>
        <v>0</v>
      </c>
      <c r="BL133" s="32">
        <f t="shared" si="52"/>
        <v>0</v>
      </c>
      <c r="BM133" s="32">
        <f t="shared" si="53"/>
        <v>0</v>
      </c>
      <c r="BN133" s="32">
        <f t="shared" si="54"/>
        <v>0</v>
      </c>
      <c r="BO133" s="32">
        <f t="shared" si="55"/>
        <v>0</v>
      </c>
      <c r="BP133" s="32">
        <f t="shared" si="56"/>
        <v>0</v>
      </c>
      <c r="BQ133" s="32">
        <f t="shared" si="57"/>
        <v>0</v>
      </c>
      <c r="BR133" s="32">
        <f t="shared" si="58"/>
        <v>0</v>
      </c>
      <c r="BS133" s="32">
        <f t="shared" si="59"/>
        <v>0</v>
      </c>
      <c r="BT133" s="40">
        <f t="shared" si="60"/>
        <v>0</v>
      </c>
    </row>
    <row r="134" spans="1:72">
      <c r="A134" s="6"/>
      <c r="B134" s="31"/>
      <c r="C134" s="31"/>
      <c r="D134" s="1629"/>
      <c r="E134" s="32">
        <f t="shared" si="61"/>
        <v>0</v>
      </c>
      <c r="F134" s="33"/>
      <c r="G134" s="34">
        <f t="shared" si="36"/>
        <v>0</v>
      </c>
      <c r="H134" s="35">
        <f t="shared" si="37"/>
        <v>0</v>
      </c>
      <c r="I134" s="36"/>
      <c r="J134" s="36"/>
      <c r="K134" s="36"/>
      <c r="L134" s="36"/>
      <c r="M134" s="36"/>
      <c r="N134" s="36"/>
      <c r="O134" s="36"/>
      <c r="P134" s="36"/>
      <c r="Q134" s="36"/>
      <c r="R134" s="36"/>
      <c r="S134" s="36"/>
      <c r="T134" s="36"/>
      <c r="U134" s="36"/>
      <c r="V134" s="36"/>
      <c r="W134" s="36"/>
      <c r="X134" s="36"/>
      <c r="Y134" s="36"/>
      <c r="Z134" s="36"/>
      <c r="AA134" s="36"/>
      <c r="AB134" s="36"/>
      <c r="AC134" s="32">
        <f t="shared" si="38"/>
        <v>0</v>
      </c>
      <c r="AD134" s="37"/>
      <c r="AE134" s="37"/>
      <c r="AF134" s="37"/>
      <c r="AG134" s="37"/>
      <c r="AH134" s="37"/>
      <c r="AI134" s="37"/>
      <c r="AJ134" s="37"/>
      <c r="AK134" s="37"/>
      <c r="AL134" s="37"/>
      <c r="AM134" s="37"/>
      <c r="AN134" s="37"/>
      <c r="AO134" s="37"/>
      <c r="AP134" s="37"/>
      <c r="AQ134" s="37"/>
      <c r="AR134" s="37"/>
      <c r="AS134" s="37"/>
      <c r="AT134" s="38"/>
      <c r="AU134" s="1630"/>
      <c r="AV134" s="1342">
        <f t="shared" si="62"/>
        <v>0</v>
      </c>
      <c r="AW134" s="1342">
        <f t="shared" si="63"/>
        <v>0</v>
      </c>
      <c r="AX134" s="1342">
        <f t="shared" si="64"/>
        <v>0</v>
      </c>
      <c r="AY134" s="39">
        <f t="shared" si="39"/>
        <v>0</v>
      </c>
      <c r="AZ134" s="32">
        <f t="shared" si="40"/>
        <v>0</v>
      </c>
      <c r="BA134" s="32">
        <f t="shared" si="41"/>
        <v>0</v>
      </c>
      <c r="BB134" s="32">
        <f t="shared" si="42"/>
        <v>0</v>
      </c>
      <c r="BC134" s="32">
        <f t="shared" si="43"/>
        <v>0</v>
      </c>
      <c r="BD134" s="32">
        <f t="shared" si="44"/>
        <v>0</v>
      </c>
      <c r="BE134" s="32">
        <f t="shared" si="45"/>
        <v>0</v>
      </c>
      <c r="BF134" s="32">
        <f t="shared" si="46"/>
        <v>0</v>
      </c>
      <c r="BG134" s="32">
        <f t="shared" si="47"/>
        <v>0</v>
      </c>
      <c r="BH134" s="32">
        <f t="shared" si="48"/>
        <v>0</v>
      </c>
      <c r="BI134" s="32">
        <f t="shared" si="49"/>
        <v>0</v>
      </c>
      <c r="BJ134" s="32">
        <f t="shared" si="50"/>
        <v>0</v>
      </c>
      <c r="BK134" s="32">
        <f t="shared" si="51"/>
        <v>0</v>
      </c>
      <c r="BL134" s="32">
        <f t="shared" si="52"/>
        <v>0</v>
      </c>
      <c r="BM134" s="32">
        <f t="shared" si="53"/>
        <v>0</v>
      </c>
      <c r="BN134" s="32">
        <f t="shared" si="54"/>
        <v>0</v>
      </c>
      <c r="BO134" s="32">
        <f t="shared" si="55"/>
        <v>0</v>
      </c>
      <c r="BP134" s="32">
        <f t="shared" si="56"/>
        <v>0</v>
      </c>
      <c r="BQ134" s="32">
        <f t="shared" si="57"/>
        <v>0</v>
      </c>
      <c r="BR134" s="32">
        <f t="shared" si="58"/>
        <v>0</v>
      </c>
      <c r="BS134" s="32">
        <f t="shared" si="59"/>
        <v>0</v>
      </c>
      <c r="BT134" s="40">
        <f t="shared" si="60"/>
        <v>0</v>
      </c>
    </row>
    <row r="135" spans="1:72">
      <c r="A135" s="6"/>
      <c r="B135" s="31"/>
      <c r="C135" s="31"/>
      <c r="D135" s="1629"/>
      <c r="E135" s="32">
        <f t="shared" si="61"/>
        <v>0</v>
      </c>
      <c r="F135" s="33"/>
      <c r="G135" s="34">
        <f t="shared" si="36"/>
        <v>0</v>
      </c>
      <c r="H135" s="35">
        <f t="shared" si="37"/>
        <v>0</v>
      </c>
      <c r="I135" s="36"/>
      <c r="J135" s="36"/>
      <c r="K135" s="36"/>
      <c r="L135" s="36"/>
      <c r="M135" s="36"/>
      <c r="N135" s="36"/>
      <c r="O135" s="36"/>
      <c r="P135" s="36"/>
      <c r="Q135" s="36"/>
      <c r="R135" s="36"/>
      <c r="S135" s="36"/>
      <c r="T135" s="36"/>
      <c r="U135" s="36"/>
      <c r="V135" s="36"/>
      <c r="W135" s="36"/>
      <c r="X135" s="36"/>
      <c r="Y135" s="36"/>
      <c r="Z135" s="36"/>
      <c r="AA135" s="36"/>
      <c r="AB135" s="36"/>
      <c r="AC135" s="32">
        <f t="shared" si="38"/>
        <v>0</v>
      </c>
      <c r="AD135" s="37"/>
      <c r="AE135" s="37"/>
      <c r="AF135" s="37"/>
      <c r="AG135" s="37"/>
      <c r="AH135" s="37"/>
      <c r="AI135" s="37"/>
      <c r="AJ135" s="37"/>
      <c r="AK135" s="37"/>
      <c r="AL135" s="37"/>
      <c r="AM135" s="37"/>
      <c r="AN135" s="37"/>
      <c r="AO135" s="37"/>
      <c r="AP135" s="37"/>
      <c r="AQ135" s="37"/>
      <c r="AR135" s="37"/>
      <c r="AS135" s="37"/>
      <c r="AT135" s="38"/>
      <c r="AU135" s="1630"/>
      <c r="AV135" s="1342">
        <f t="shared" si="62"/>
        <v>0</v>
      </c>
      <c r="AW135" s="1342">
        <f t="shared" si="63"/>
        <v>0</v>
      </c>
      <c r="AX135" s="1342">
        <f t="shared" si="64"/>
        <v>0</v>
      </c>
      <c r="AY135" s="39">
        <f t="shared" si="39"/>
        <v>0</v>
      </c>
      <c r="AZ135" s="32">
        <f t="shared" si="40"/>
        <v>0</v>
      </c>
      <c r="BA135" s="32">
        <f t="shared" si="41"/>
        <v>0</v>
      </c>
      <c r="BB135" s="32">
        <f t="shared" si="42"/>
        <v>0</v>
      </c>
      <c r="BC135" s="32">
        <f t="shared" si="43"/>
        <v>0</v>
      </c>
      <c r="BD135" s="32">
        <f t="shared" si="44"/>
        <v>0</v>
      </c>
      <c r="BE135" s="32">
        <f t="shared" si="45"/>
        <v>0</v>
      </c>
      <c r="BF135" s="32">
        <f t="shared" si="46"/>
        <v>0</v>
      </c>
      <c r="BG135" s="32">
        <f t="shared" si="47"/>
        <v>0</v>
      </c>
      <c r="BH135" s="32">
        <f t="shared" si="48"/>
        <v>0</v>
      </c>
      <c r="BI135" s="32">
        <f t="shared" si="49"/>
        <v>0</v>
      </c>
      <c r="BJ135" s="32">
        <f t="shared" si="50"/>
        <v>0</v>
      </c>
      <c r="BK135" s="32">
        <f t="shared" si="51"/>
        <v>0</v>
      </c>
      <c r="BL135" s="32">
        <f t="shared" si="52"/>
        <v>0</v>
      </c>
      <c r="BM135" s="32">
        <f t="shared" si="53"/>
        <v>0</v>
      </c>
      <c r="BN135" s="32">
        <f t="shared" si="54"/>
        <v>0</v>
      </c>
      <c r="BO135" s="32">
        <f t="shared" si="55"/>
        <v>0</v>
      </c>
      <c r="BP135" s="32">
        <f t="shared" si="56"/>
        <v>0</v>
      </c>
      <c r="BQ135" s="32">
        <f t="shared" si="57"/>
        <v>0</v>
      </c>
      <c r="BR135" s="32">
        <f t="shared" si="58"/>
        <v>0</v>
      </c>
      <c r="BS135" s="32">
        <f t="shared" si="59"/>
        <v>0</v>
      </c>
      <c r="BT135" s="40">
        <f t="shared" si="60"/>
        <v>0</v>
      </c>
    </row>
    <row r="136" spans="1:72">
      <c r="A136" s="6"/>
      <c r="B136" s="31"/>
      <c r="C136" s="31"/>
      <c r="D136" s="1629"/>
      <c r="E136" s="32">
        <f t="shared" si="61"/>
        <v>0</v>
      </c>
      <c r="F136" s="33"/>
      <c r="G136" s="34">
        <f t="shared" si="36"/>
        <v>0</v>
      </c>
      <c r="H136" s="35">
        <f t="shared" si="37"/>
        <v>0</v>
      </c>
      <c r="I136" s="36"/>
      <c r="J136" s="36"/>
      <c r="K136" s="36"/>
      <c r="L136" s="36"/>
      <c r="M136" s="36"/>
      <c r="N136" s="36"/>
      <c r="O136" s="36"/>
      <c r="P136" s="36"/>
      <c r="Q136" s="36"/>
      <c r="R136" s="36"/>
      <c r="S136" s="36"/>
      <c r="T136" s="36"/>
      <c r="U136" s="36"/>
      <c r="V136" s="36"/>
      <c r="W136" s="36"/>
      <c r="X136" s="36"/>
      <c r="Y136" s="36"/>
      <c r="Z136" s="36"/>
      <c r="AA136" s="36"/>
      <c r="AB136" s="36"/>
      <c r="AC136" s="32">
        <f t="shared" si="38"/>
        <v>0</v>
      </c>
      <c r="AD136" s="37"/>
      <c r="AE136" s="37"/>
      <c r="AF136" s="37"/>
      <c r="AG136" s="37"/>
      <c r="AH136" s="37"/>
      <c r="AI136" s="37"/>
      <c r="AJ136" s="37"/>
      <c r="AK136" s="37"/>
      <c r="AL136" s="37"/>
      <c r="AM136" s="37"/>
      <c r="AN136" s="37"/>
      <c r="AO136" s="37"/>
      <c r="AP136" s="37"/>
      <c r="AQ136" s="37"/>
      <c r="AR136" s="37"/>
      <c r="AS136" s="37"/>
      <c r="AT136" s="38"/>
      <c r="AU136" s="1630"/>
      <c r="AV136" s="1342">
        <f t="shared" si="62"/>
        <v>0</v>
      </c>
      <c r="AW136" s="1342">
        <f t="shared" si="63"/>
        <v>0</v>
      </c>
      <c r="AX136" s="1342">
        <f t="shared" si="64"/>
        <v>0</v>
      </c>
      <c r="AY136" s="39">
        <f t="shared" si="39"/>
        <v>0</v>
      </c>
      <c r="AZ136" s="32">
        <f t="shared" si="40"/>
        <v>0</v>
      </c>
      <c r="BA136" s="32">
        <f t="shared" si="41"/>
        <v>0</v>
      </c>
      <c r="BB136" s="32">
        <f t="shared" si="42"/>
        <v>0</v>
      </c>
      <c r="BC136" s="32">
        <f t="shared" si="43"/>
        <v>0</v>
      </c>
      <c r="BD136" s="32">
        <f t="shared" si="44"/>
        <v>0</v>
      </c>
      <c r="BE136" s="32">
        <f t="shared" si="45"/>
        <v>0</v>
      </c>
      <c r="BF136" s="32">
        <f t="shared" si="46"/>
        <v>0</v>
      </c>
      <c r="BG136" s="32">
        <f t="shared" si="47"/>
        <v>0</v>
      </c>
      <c r="BH136" s="32">
        <f t="shared" si="48"/>
        <v>0</v>
      </c>
      <c r="BI136" s="32">
        <f t="shared" si="49"/>
        <v>0</v>
      </c>
      <c r="BJ136" s="32">
        <f t="shared" si="50"/>
        <v>0</v>
      </c>
      <c r="BK136" s="32">
        <f t="shared" si="51"/>
        <v>0</v>
      </c>
      <c r="BL136" s="32">
        <f t="shared" si="52"/>
        <v>0</v>
      </c>
      <c r="BM136" s="32">
        <f t="shared" si="53"/>
        <v>0</v>
      </c>
      <c r="BN136" s="32">
        <f t="shared" si="54"/>
        <v>0</v>
      </c>
      <c r="BO136" s="32">
        <f t="shared" si="55"/>
        <v>0</v>
      </c>
      <c r="BP136" s="32">
        <f t="shared" si="56"/>
        <v>0</v>
      </c>
      <c r="BQ136" s="32">
        <f t="shared" si="57"/>
        <v>0</v>
      </c>
      <c r="BR136" s="32">
        <f t="shared" si="58"/>
        <v>0</v>
      </c>
      <c r="BS136" s="32">
        <f t="shared" si="59"/>
        <v>0</v>
      </c>
      <c r="BT136" s="40">
        <f t="shared" si="60"/>
        <v>0</v>
      </c>
    </row>
    <row r="137" spans="1:72">
      <c r="A137" s="6"/>
      <c r="B137" s="31"/>
      <c r="C137" s="31"/>
      <c r="D137" s="1629"/>
      <c r="E137" s="32">
        <f t="shared" si="61"/>
        <v>0</v>
      </c>
      <c r="F137" s="33"/>
      <c r="G137" s="34">
        <f t="shared" si="36"/>
        <v>0</v>
      </c>
      <c r="H137" s="35">
        <f t="shared" si="37"/>
        <v>0</v>
      </c>
      <c r="I137" s="36"/>
      <c r="J137" s="36"/>
      <c r="K137" s="36"/>
      <c r="L137" s="36"/>
      <c r="M137" s="36"/>
      <c r="N137" s="36"/>
      <c r="O137" s="36"/>
      <c r="P137" s="36"/>
      <c r="Q137" s="36"/>
      <c r="R137" s="36"/>
      <c r="S137" s="36"/>
      <c r="T137" s="36"/>
      <c r="U137" s="36"/>
      <c r="V137" s="36"/>
      <c r="W137" s="36"/>
      <c r="X137" s="36"/>
      <c r="Y137" s="36"/>
      <c r="Z137" s="36"/>
      <c r="AA137" s="36"/>
      <c r="AB137" s="36"/>
      <c r="AC137" s="32">
        <f t="shared" si="38"/>
        <v>0</v>
      </c>
      <c r="AD137" s="37"/>
      <c r="AE137" s="37"/>
      <c r="AF137" s="37"/>
      <c r="AG137" s="37"/>
      <c r="AH137" s="37"/>
      <c r="AI137" s="37"/>
      <c r="AJ137" s="37"/>
      <c r="AK137" s="37"/>
      <c r="AL137" s="37"/>
      <c r="AM137" s="37"/>
      <c r="AN137" s="37"/>
      <c r="AO137" s="37"/>
      <c r="AP137" s="37"/>
      <c r="AQ137" s="37"/>
      <c r="AR137" s="37"/>
      <c r="AS137" s="37"/>
      <c r="AT137" s="38"/>
      <c r="AU137" s="1630"/>
      <c r="AV137" s="1342">
        <f t="shared" si="62"/>
        <v>0</v>
      </c>
      <c r="AW137" s="1342">
        <f t="shared" si="63"/>
        <v>0</v>
      </c>
      <c r="AX137" s="1342">
        <f t="shared" si="64"/>
        <v>0</v>
      </c>
      <c r="AY137" s="39">
        <f t="shared" si="39"/>
        <v>0</v>
      </c>
      <c r="AZ137" s="32">
        <f t="shared" si="40"/>
        <v>0</v>
      </c>
      <c r="BA137" s="32">
        <f t="shared" si="41"/>
        <v>0</v>
      </c>
      <c r="BB137" s="32">
        <f t="shared" si="42"/>
        <v>0</v>
      </c>
      <c r="BC137" s="32">
        <f t="shared" si="43"/>
        <v>0</v>
      </c>
      <c r="BD137" s="32">
        <f t="shared" si="44"/>
        <v>0</v>
      </c>
      <c r="BE137" s="32">
        <f t="shared" si="45"/>
        <v>0</v>
      </c>
      <c r="BF137" s="32">
        <f t="shared" si="46"/>
        <v>0</v>
      </c>
      <c r="BG137" s="32">
        <f t="shared" si="47"/>
        <v>0</v>
      </c>
      <c r="BH137" s="32">
        <f t="shared" si="48"/>
        <v>0</v>
      </c>
      <c r="BI137" s="32">
        <f t="shared" si="49"/>
        <v>0</v>
      </c>
      <c r="BJ137" s="32">
        <f t="shared" si="50"/>
        <v>0</v>
      </c>
      <c r="BK137" s="32">
        <f t="shared" si="51"/>
        <v>0</v>
      </c>
      <c r="BL137" s="32">
        <f t="shared" si="52"/>
        <v>0</v>
      </c>
      <c r="BM137" s="32">
        <f t="shared" si="53"/>
        <v>0</v>
      </c>
      <c r="BN137" s="32">
        <f t="shared" si="54"/>
        <v>0</v>
      </c>
      <c r="BO137" s="32">
        <f t="shared" si="55"/>
        <v>0</v>
      </c>
      <c r="BP137" s="32">
        <f t="shared" si="56"/>
        <v>0</v>
      </c>
      <c r="BQ137" s="32">
        <f t="shared" si="57"/>
        <v>0</v>
      </c>
      <c r="BR137" s="32">
        <f t="shared" si="58"/>
        <v>0</v>
      </c>
      <c r="BS137" s="32">
        <f t="shared" si="59"/>
        <v>0</v>
      </c>
      <c r="BT137" s="40">
        <f t="shared" si="60"/>
        <v>0</v>
      </c>
    </row>
    <row r="138" spans="1:72">
      <c r="A138" s="6"/>
      <c r="B138" s="31"/>
      <c r="C138" s="31"/>
      <c r="D138" s="1629"/>
      <c r="E138" s="32">
        <f t="shared" si="61"/>
        <v>0</v>
      </c>
      <c r="F138" s="33"/>
      <c r="G138" s="34">
        <f t="shared" si="36"/>
        <v>0</v>
      </c>
      <c r="H138" s="35">
        <f t="shared" si="37"/>
        <v>0</v>
      </c>
      <c r="I138" s="36"/>
      <c r="J138" s="36"/>
      <c r="K138" s="36"/>
      <c r="L138" s="36"/>
      <c r="M138" s="36"/>
      <c r="N138" s="36"/>
      <c r="O138" s="36"/>
      <c r="P138" s="36"/>
      <c r="Q138" s="36"/>
      <c r="R138" s="36"/>
      <c r="S138" s="36"/>
      <c r="T138" s="36"/>
      <c r="U138" s="36"/>
      <c r="V138" s="36"/>
      <c r="W138" s="36"/>
      <c r="X138" s="36"/>
      <c r="Y138" s="36"/>
      <c r="Z138" s="36"/>
      <c r="AA138" s="36"/>
      <c r="AB138" s="36"/>
      <c r="AC138" s="32">
        <f t="shared" si="38"/>
        <v>0</v>
      </c>
      <c r="AD138" s="37"/>
      <c r="AE138" s="37"/>
      <c r="AF138" s="37"/>
      <c r="AG138" s="37"/>
      <c r="AH138" s="37"/>
      <c r="AI138" s="37"/>
      <c r="AJ138" s="37"/>
      <c r="AK138" s="37"/>
      <c r="AL138" s="37"/>
      <c r="AM138" s="37"/>
      <c r="AN138" s="37"/>
      <c r="AO138" s="37"/>
      <c r="AP138" s="37"/>
      <c r="AQ138" s="37"/>
      <c r="AR138" s="37"/>
      <c r="AS138" s="37"/>
      <c r="AT138" s="38"/>
      <c r="AU138" s="1630"/>
      <c r="AV138" s="1342">
        <f t="shared" si="62"/>
        <v>0</v>
      </c>
      <c r="AW138" s="1342">
        <f t="shared" si="63"/>
        <v>0</v>
      </c>
      <c r="AX138" s="1342">
        <f t="shared" si="64"/>
        <v>0</v>
      </c>
      <c r="AY138" s="39">
        <f t="shared" si="39"/>
        <v>0</v>
      </c>
      <c r="AZ138" s="32">
        <f t="shared" si="40"/>
        <v>0</v>
      </c>
      <c r="BA138" s="32">
        <f t="shared" si="41"/>
        <v>0</v>
      </c>
      <c r="BB138" s="32">
        <f t="shared" si="42"/>
        <v>0</v>
      </c>
      <c r="BC138" s="32">
        <f t="shared" si="43"/>
        <v>0</v>
      </c>
      <c r="BD138" s="32">
        <f t="shared" si="44"/>
        <v>0</v>
      </c>
      <c r="BE138" s="32">
        <f t="shared" si="45"/>
        <v>0</v>
      </c>
      <c r="BF138" s="32">
        <f t="shared" si="46"/>
        <v>0</v>
      </c>
      <c r="BG138" s="32">
        <f t="shared" si="47"/>
        <v>0</v>
      </c>
      <c r="BH138" s="32">
        <f t="shared" si="48"/>
        <v>0</v>
      </c>
      <c r="BI138" s="32">
        <f t="shared" si="49"/>
        <v>0</v>
      </c>
      <c r="BJ138" s="32">
        <f t="shared" si="50"/>
        <v>0</v>
      </c>
      <c r="BK138" s="32">
        <f t="shared" si="51"/>
        <v>0</v>
      </c>
      <c r="BL138" s="32">
        <f t="shared" si="52"/>
        <v>0</v>
      </c>
      <c r="BM138" s="32">
        <f t="shared" si="53"/>
        <v>0</v>
      </c>
      <c r="BN138" s="32">
        <f t="shared" si="54"/>
        <v>0</v>
      </c>
      <c r="BO138" s="32">
        <f t="shared" si="55"/>
        <v>0</v>
      </c>
      <c r="BP138" s="32">
        <f t="shared" si="56"/>
        <v>0</v>
      </c>
      <c r="BQ138" s="32">
        <f t="shared" si="57"/>
        <v>0</v>
      </c>
      <c r="BR138" s="32">
        <f t="shared" si="58"/>
        <v>0</v>
      </c>
      <c r="BS138" s="32">
        <f t="shared" si="59"/>
        <v>0</v>
      </c>
      <c r="BT138" s="40">
        <f t="shared" si="60"/>
        <v>0</v>
      </c>
    </row>
    <row r="139" spans="1:72">
      <c r="A139" s="6"/>
      <c r="B139" s="31"/>
      <c r="C139" s="31"/>
      <c r="D139" s="1629"/>
      <c r="E139" s="32">
        <f t="shared" si="61"/>
        <v>0</v>
      </c>
      <c r="F139" s="33"/>
      <c r="G139" s="34">
        <f t="shared" si="36"/>
        <v>0</v>
      </c>
      <c r="H139" s="35">
        <f t="shared" si="37"/>
        <v>0</v>
      </c>
      <c r="I139" s="36"/>
      <c r="J139" s="36"/>
      <c r="K139" s="36"/>
      <c r="L139" s="36"/>
      <c r="M139" s="36"/>
      <c r="N139" s="36"/>
      <c r="O139" s="36"/>
      <c r="P139" s="36"/>
      <c r="Q139" s="36"/>
      <c r="R139" s="36"/>
      <c r="S139" s="36"/>
      <c r="T139" s="36"/>
      <c r="U139" s="36"/>
      <c r="V139" s="36"/>
      <c r="W139" s="36"/>
      <c r="X139" s="36"/>
      <c r="Y139" s="36"/>
      <c r="Z139" s="36"/>
      <c r="AA139" s="36"/>
      <c r="AB139" s="36"/>
      <c r="AC139" s="32">
        <f t="shared" si="38"/>
        <v>0</v>
      </c>
      <c r="AD139" s="37"/>
      <c r="AE139" s="37"/>
      <c r="AF139" s="37"/>
      <c r="AG139" s="37"/>
      <c r="AH139" s="37"/>
      <c r="AI139" s="37"/>
      <c r="AJ139" s="37"/>
      <c r="AK139" s="37"/>
      <c r="AL139" s="37"/>
      <c r="AM139" s="37"/>
      <c r="AN139" s="37"/>
      <c r="AO139" s="37"/>
      <c r="AP139" s="37"/>
      <c r="AQ139" s="37"/>
      <c r="AR139" s="37"/>
      <c r="AS139" s="37"/>
      <c r="AT139" s="38"/>
      <c r="AU139" s="1630"/>
      <c r="AV139" s="1342">
        <f t="shared" si="62"/>
        <v>0</v>
      </c>
      <c r="AW139" s="1342">
        <f t="shared" si="63"/>
        <v>0</v>
      </c>
      <c r="AX139" s="1342">
        <f t="shared" si="64"/>
        <v>0</v>
      </c>
      <c r="AY139" s="39">
        <f t="shared" si="39"/>
        <v>0</v>
      </c>
      <c r="AZ139" s="32">
        <f t="shared" si="40"/>
        <v>0</v>
      </c>
      <c r="BA139" s="32">
        <f t="shared" si="41"/>
        <v>0</v>
      </c>
      <c r="BB139" s="32">
        <f t="shared" si="42"/>
        <v>0</v>
      </c>
      <c r="BC139" s="32">
        <f t="shared" si="43"/>
        <v>0</v>
      </c>
      <c r="BD139" s="32">
        <f t="shared" si="44"/>
        <v>0</v>
      </c>
      <c r="BE139" s="32">
        <f t="shared" si="45"/>
        <v>0</v>
      </c>
      <c r="BF139" s="32">
        <f t="shared" si="46"/>
        <v>0</v>
      </c>
      <c r="BG139" s="32">
        <f t="shared" si="47"/>
        <v>0</v>
      </c>
      <c r="BH139" s="32">
        <f t="shared" si="48"/>
        <v>0</v>
      </c>
      <c r="BI139" s="32">
        <f t="shared" si="49"/>
        <v>0</v>
      </c>
      <c r="BJ139" s="32">
        <f t="shared" si="50"/>
        <v>0</v>
      </c>
      <c r="BK139" s="32">
        <f t="shared" si="51"/>
        <v>0</v>
      </c>
      <c r="BL139" s="32">
        <f t="shared" si="52"/>
        <v>0</v>
      </c>
      <c r="BM139" s="32">
        <f t="shared" si="53"/>
        <v>0</v>
      </c>
      <c r="BN139" s="32">
        <f t="shared" si="54"/>
        <v>0</v>
      </c>
      <c r="BO139" s="32">
        <f t="shared" si="55"/>
        <v>0</v>
      </c>
      <c r="BP139" s="32">
        <f t="shared" si="56"/>
        <v>0</v>
      </c>
      <c r="BQ139" s="32">
        <f t="shared" si="57"/>
        <v>0</v>
      </c>
      <c r="BR139" s="32">
        <f t="shared" si="58"/>
        <v>0</v>
      </c>
      <c r="BS139" s="32">
        <f t="shared" si="59"/>
        <v>0</v>
      </c>
      <c r="BT139" s="40">
        <f t="shared" si="60"/>
        <v>0</v>
      </c>
    </row>
    <row r="140" spans="1:72">
      <c r="A140" s="6"/>
      <c r="B140" s="31"/>
      <c r="C140" s="31"/>
      <c r="D140" s="1629"/>
      <c r="E140" s="32">
        <f t="shared" si="61"/>
        <v>0</v>
      </c>
      <c r="F140" s="33"/>
      <c r="G140" s="34">
        <f t="shared" si="36"/>
        <v>0</v>
      </c>
      <c r="H140" s="35">
        <f t="shared" si="37"/>
        <v>0</v>
      </c>
      <c r="I140" s="36"/>
      <c r="J140" s="36"/>
      <c r="K140" s="36"/>
      <c r="L140" s="36"/>
      <c r="M140" s="36"/>
      <c r="N140" s="36"/>
      <c r="O140" s="36"/>
      <c r="P140" s="36"/>
      <c r="Q140" s="36"/>
      <c r="R140" s="36"/>
      <c r="S140" s="36"/>
      <c r="T140" s="36"/>
      <c r="U140" s="36"/>
      <c r="V140" s="36"/>
      <c r="W140" s="36"/>
      <c r="X140" s="36"/>
      <c r="Y140" s="36"/>
      <c r="Z140" s="36"/>
      <c r="AA140" s="36"/>
      <c r="AB140" s="36"/>
      <c r="AC140" s="32">
        <f t="shared" si="38"/>
        <v>0</v>
      </c>
      <c r="AD140" s="37"/>
      <c r="AE140" s="37"/>
      <c r="AF140" s="37"/>
      <c r="AG140" s="37"/>
      <c r="AH140" s="37"/>
      <c r="AI140" s="37"/>
      <c r="AJ140" s="37"/>
      <c r="AK140" s="37"/>
      <c r="AL140" s="37"/>
      <c r="AM140" s="37"/>
      <c r="AN140" s="37"/>
      <c r="AO140" s="37"/>
      <c r="AP140" s="37"/>
      <c r="AQ140" s="37"/>
      <c r="AR140" s="37"/>
      <c r="AS140" s="37"/>
      <c r="AT140" s="38"/>
      <c r="AU140" s="1630"/>
      <c r="AV140" s="1342">
        <f t="shared" si="62"/>
        <v>0</v>
      </c>
      <c r="AW140" s="1342">
        <f t="shared" si="63"/>
        <v>0</v>
      </c>
      <c r="AX140" s="1342">
        <f t="shared" si="64"/>
        <v>0</v>
      </c>
      <c r="AY140" s="39">
        <f t="shared" si="39"/>
        <v>0</v>
      </c>
      <c r="AZ140" s="32">
        <f t="shared" si="40"/>
        <v>0</v>
      </c>
      <c r="BA140" s="32">
        <f t="shared" si="41"/>
        <v>0</v>
      </c>
      <c r="BB140" s="32">
        <f t="shared" si="42"/>
        <v>0</v>
      </c>
      <c r="BC140" s="32">
        <f t="shared" si="43"/>
        <v>0</v>
      </c>
      <c r="BD140" s="32">
        <f t="shared" si="44"/>
        <v>0</v>
      </c>
      <c r="BE140" s="32">
        <f t="shared" si="45"/>
        <v>0</v>
      </c>
      <c r="BF140" s="32">
        <f t="shared" si="46"/>
        <v>0</v>
      </c>
      <c r="BG140" s="32">
        <f t="shared" si="47"/>
        <v>0</v>
      </c>
      <c r="BH140" s="32">
        <f t="shared" si="48"/>
        <v>0</v>
      </c>
      <c r="BI140" s="32">
        <f t="shared" si="49"/>
        <v>0</v>
      </c>
      <c r="BJ140" s="32">
        <f t="shared" si="50"/>
        <v>0</v>
      </c>
      <c r="BK140" s="32">
        <f t="shared" si="51"/>
        <v>0</v>
      </c>
      <c r="BL140" s="32">
        <f t="shared" si="52"/>
        <v>0</v>
      </c>
      <c r="BM140" s="32">
        <f t="shared" si="53"/>
        <v>0</v>
      </c>
      <c r="BN140" s="32">
        <f t="shared" si="54"/>
        <v>0</v>
      </c>
      <c r="BO140" s="32">
        <f t="shared" si="55"/>
        <v>0</v>
      </c>
      <c r="BP140" s="32">
        <f t="shared" si="56"/>
        <v>0</v>
      </c>
      <c r="BQ140" s="32">
        <f t="shared" si="57"/>
        <v>0</v>
      </c>
      <c r="BR140" s="32">
        <f t="shared" si="58"/>
        <v>0</v>
      </c>
      <c r="BS140" s="32">
        <f t="shared" si="59"/>
        <v>0</v>
      </c>
      <c r="BT140" s="40">
        <f t="shared" si="60"/>
        <v>0</v>
      </c>
    </row>
    <row r="141" spans="1:72">
      <c r="A141" s="6"/>
      <c r="B141" s="31"/>
      <c r="C141" s="31"/>
      <c r="D141" s="1629"/>
      <c r="E141" s="32">
        <f t="shared" si="61"/>
        <v>0</v>
      </c>
      <c r="F141" s="33"/>
      <c r="G141" s="34">
        <f t="shared" si="36"/>
        <v>0</v>
      </c>
      <c r="H141" s="35">
        <f t="shared" si="37"/>
        <v>0</v>
      </c>
      <c r="I141" s="36"/>
      <c r="J141" s="36"/>
      <c r="K141" s="36"/>
      <c r="L141" s="36"/>
      <c r="M141" s="36"/>
      <c r="N141" s="36"/>
      <c r="O141" s="36"/>
      <c r="P141" s="36"/>
      <c r="Q141" s="36"/>
      <c r="R141" s="36"/>
      <c r="S141" s="36"/>
      <c r="T141" s="36"/>
      <c r="U141" s="36"/>
      <c r="V141" s="36"/>
      <c r="W141" s="36"/>
      <c r="X141" s="36"/>
      <c r="Y141" s="36"/>
      <c r="Z141" s="36"/>
      <c r="AA141" s="36"/>
      <c r="AB141" s="36"/>
      <c r="AC141" s="32">
        <f t="shared" si="38"/>
        <v>0</v>
      </c>
      <c r="AD141" s="37"/>
      <c r="AE141" s="37"/>
      <c r="AF141" s="37"/>
      <c r="AG141" s="37"/>
      <c r="AH141" s="37"/>
      <c r="AI141" s="37"/>
      <c r="AJ141" s="37"/>
      <c r="AK141" s="37"/>
      <c r="AL141" s="37"/>
      <c r="AM141" s="37"/>
      <c r="AN141" s="37"/>
      <c r="AO141" s="37"/>
      <c r="AP141" s="37"/>
      <c r="AQ141" s="37"/>
      <c r="AR141" s="37"/>
      <c r="AS141" s="37"/>
      <c r="AT141" s="38"/>
      <c r="AU141" s="1630"/>
      <c r="AV141" s="1342">
        <f t="shared" si="62"/>
        <v>0</v>
      </c>
      <c r="AW141" s="1342">
        <f t="shared" si="63"/>
        <v>0</v>
      </c>
      <c r="AX141" s="1342">
        <f t="shared" si="64"/>
        <v>0</v>
      </c>
      <c r="AY141" s="39">
        <f t="shared" si="39"/>
        <v>0</v>
      </c>
      <c r="AZ141" s="32">
        <f t="shared" si="40"/>
        <v>0</v>
      </c>
      <c r="BA141" s="32">
        <f t="shared" si="41"/>
        <v>0</v>
      </c>
      <c r="BB141" s="32">
        <f t="shared" si="42"/>
        <v>0</v>
      </c>
      <c r="BC141" s="32">
        <f t="shared" si="43"/>
        <v>0</v>
      </c>
      <c r="BD141" s="32">
        <f t="shared" si="44"/>
        <v>0</v>
      </c>
      <c r="BE141" s="32">
        <f t="shared" si="45"/>
        <v>0</v>
      </c>
      <c r="BF141" s="32">
        <f t="shared" si="46"/>
        <v>0</v>
      </c>
      <c r="BG141" s="32">
        <f t="shared" si="47"/>
        <v>0</v>
      </c>
      <c r="BH141" s="32">
        <f t="shared" si="48"/>
        <v>0</v>
      </c>
      <c r="BI141" s="32">
        <f t="shared" si="49"/>
        <v>0</v>
      </c>
      <c r="BJ141" s="32">
        <f t="shared" si="50"/>
        <v>0</v>
      </c>
      <c r="BK141" s="32">
        <f t="shared" si="51"/>
        <v>0</v>
      </c>
      <c r="BL141" s="32">
        <f t="shared" si="52"/>
        <v>0</v>
      </c>
      <c r="BM141" s="32">
        <f t="shared" si="53"/>
        <v>0</v>
      </c>
      <c r="BN141" s="32">
        <f t="shared" si="54"/>
        <v>0</v>
      </c>
      <c r="BO141" s="32">
        <f t="shared" si="55"/>
        <v>0</v>
      </c>
      <c r="BP141" s="32">
        <f t="shared" si="56"/>
        <v>0</v>
      </c>
      <c r="BQ141" s="32">
        <f t="shared" si="57"/>
        <v>0</v>
      </c>
      <c r="BR141" s="32">
        <f t="shared" si="58"/>
        <v>0</v>
      </c>
      <c r="BS141" s="32">
        <f t="shared" si="59"/>
        <v>0</v>
      </c>
      <c r="BT141" s="40">
        <f t="shared" si="60"/>
        <v>0</v>
      </c>
    </row>
    <row r="142" spans="1:72">
      <c r="A142" s="6"/>
      <c r="B142" s="31"/>
      <c r="C142" s="31"/>
      <c r="D142" s="1629"/>
      <c r="E142" s="32">
        <f t="shared" si="61"/>
        <v>0</v>
      </c>
      <c r="F142" s="33"/>
      <c r="G142" s="34">
        <f t="shared" ref="G142:G173" si="65">H142+AC142+AT142</f>
        <v>0</v>
      </c>
      <c r="H142" s="35">
        <f t="shared" ref="H142:H173" si="66">SUMIF(I$12:AB$12,"总值",I142:AB142)</f>
        <v>0</v>
      </c>
      <c r="I142" s="36"/>
      <c r="J142" s="36"/>
      <c r="K142" s="36"/>
      <c r="L142" s="36"/>
      <c r="M142" s="36"/>
      <c r="N142" s="36"/>
      <c r="O142" s="36"/>
      <c r="P142" s="36"/>
      <c r="Q142" s="36"/>
      <c r="R142" s="36"/>
      <c r="S142" s="36"/>
      <c r="T142" s="36"/>
      <c r="U142" s="36"/>
      <c r="V142" s="36"/>
      <c r="W142" s="36"/>
      <c r="X142" s="36"/>
      <c r="Y142" s="36"/>
      <c r="Z142" s="36"/>
      <c r="AA142" s="36"/>
      <c r="AB142" s="36"/>
      <c r="AC142" s="32">
        <f t="shared" ref="AC142:AC173" si="67">SUMIF(AD$12:AS$12,"总值",AD142:AS142)</f>
        <v>0</v>
      </c>
      <c r="AD142" s="37"/>
      <c r="AE142" s="37"/>
      <c r="AF142" s="37"/>
      <c r="AG142" s="37"/>
      <c r="AH142" s="37"/>
      <c r="AI142" s="37"/>
      <c r="AJ142" s="37"/>
      <c r="AK142" s="37"/>
      <c r="AL142" s="37"/>
      <c r="AM142" s="37"/>
      <c r="AN142" s="37"/>
      <c r="AO142" s="37"/>
      <c r="AP142" s="37"/>
      <c r="AQ142" s="37"/>
      <c r="AR142" s="37"/>
      <c r="AS142" s="37"/>
      <c r="AT142" s="38"/>
      <c r="AU142" s="1630"/>
      <c r="AV142" s="1342">
        <f t="shared" si="62"/>
        <v>0</v>
      </c>
      <c r="AW142" s="1342">
        <f t="shared" si="63"/>
        <v>0</v>
      </c>
      <c r="AX142" s="1342">
        <f t="shared" si="64"/>
        <v>0</v>
      </c>
      <c r="AY142" s="39">
        <f t="shared" ref="AY142:AY173" si="68">ROUND($AY$6*AZ142/$AZ$5,2)</f>
        <v>0</v>
      </c>
      <c r="AZ142" s="32">
        <f t="shared" ref="AZ142:AZ173" si="69">BA142+BL142</f>
        <v>0</v>
      </c>
      <c r="BA142" s="32">
        <f t="shared" ref="BA142:BA173" si="70">SUM(BB142:BK142)</f>
        <v>0</v>
      </c>
      <c r="BB142" s="32">
        <f t="shared" ref="BB142:BB173" si="71">IF($D142="是",I142-J142,0)</f>
        <v>0</v>
      </c>
      <c r="BC142" s="32">
        <f t="shared" ref="BC142:BC173" si="72">IF($D142="是",K142-L142,0)</f>
        <v>0</v>
      </c>
      <c r="BD142" s="32">
        <f t="shared" ref="BD142:BD173" si="73">IF($D142="是",M142-N142,0)</f>
        <v>0</v>
      </c>
      <c r="BE142" s="32">
        <f t="shared" ref="BE142:BE173" si="74">IF($D142="是",O142-P142,0)</f>
        <v>0</v>
      </c>
      <c r="BF142" s="32">
        <f t="shared" ref="BF142:BF173" si="75">IF($D142="是",Q142-R142,0)</f>
        <v>0</v>
      </c>
      <c r="BG142" s="32">
        <f t="shared" ref="BG142:BG173" si="76">IF($D142="是",S142-T142,0)</f>
        <v>0</v>
      </c>
      <c r="BH142" s="32">
        <f t="shared" ref="BH142:BH173" si="77">IF($D142="是",U142-V142,0)</f>
        <v>0</v>
      </c>
      <c r="BI142" s="32">
        <f t="shared" ref="BI142:BI173" si="78">IF($D142="是",W142-X142,0)</f>
        <v>0</v>
      </c>
      <c r="BJ142" s="32">
        <f t="shared" ref="BJ142:BJ173" si="79">IF($D142="是",Y142-Z142,0)</f>
        <v>0</v>
      </c>
      <c r="BK142" s="32">
        <f t="shared" ref="BK142:BK173" si="80">IF($D142="是",AA142-AB142,0)</f>
        <v>0</v>
      </c>
      <c r="BL142" s="32">
        <f t="shared" ref="BL142:BL173" si="81">SUM(BM142:BT142)</f>
        <v>0</v>
      </c>
      <c r="BM142" s="32">
        <f t="shared" ref="BM142:BM173" si="82">IF($D142="是",AD142-AE142,0)</f>
        <v>0</v>
      </c>
      <c r="BN142" s="32">
        <f t="shared" ref="BN142:BN173" si="83">IF($D142="是",AF142-AG142,0)</f>
        <v>0</v>
      </c>
      <c r="BO142" s="32">
        <f t="shared" ref="BO142:BO173" si="84">IF($D142="是",AH142-AI142,0)</f>
        <v>0</v>
      </c>
      <c r="BP142" s="32">
        <f t="shared" ref="BP142:BP173" si="85">IF($D142="是",AJ142-AK142,0)</f>
        <v>0</v>
      </c>
      <c r="BQ142" s="32">
        <f t="shared" ref="BQ142:BQ173" si="86">IF($D142="是",AL142-AM142,0)</f>
        <v>0</v>
      </c>
      <c r="BR142" s="32">
        <f t="shared" ref="BR142:BR173" si="87">IF($D142="是",AN142-AO142,0)</f>
        <v>0</v>
      </c>
      <c r="BS142" s="32">
        <f t="shared" ref="BS142:BS173" si="88">IF($D142="是",AP142-AQ142,0)</f>
        <v>0</v>
      </c>
      <c r="BT142" s="40">
        <f t="shared" ref="BT142:BT173" si="89">IF($D142="是",AR142-AS142,0)</f>
        <v>0</v>
      </c>
    </row>
    <row r="143" spans="1:72">
      <c r="A143" s="6"/>
      <c r="B143" s="31"/>
      <c r="C143" s="31"/>
      <c r="D143" s="1629"/>
      <c r="E143" s="32">
        <f t="shared" si="61"/>
        <v>0</v>
      </c>
      <c r="F143" s="33"/>
      <c r="G143" s="34">
        <f t="shared" si="65"/>
        <v>0</v>
      </c>
      <c r="H143" s="35">
        <f t="shared" si="66"/>
        <v>0</v>
      </c>
      <c r="I143" s="36"/>
      <c r="J143" s="36"/>
      <c r="K143" s="36"/>
      <c r="L143" s="36"/>
      <c r="M143" s="36"/>
      <c r="N143" s="36"/>
      <c r="O143" s="36"/>
      <c r="P143" s="36"/>
      <c r="Q143" s="36"/>
      <c r="R143" s="36"/>
      <c r="S143" s="36"/>
      <c r="T143" s="36"/>
      <c r="U143" s="36"/>
      <c r="V143" s="36"/>
      <c r="W143" s="36"/>
      <c r="X143" s="36"/>
      <c r="Y143" s="36"/>
      <c r="Z143" s="36"/>
      <c r="AA143" s="36"/>
      <c r="AB143" s="36"/>
      <c r="AC143" s="32">
        <f t="shared" si="67"/>
        <v>0</v>
      </c>
      <c r="AD143" s="37"/>
      <c r="AE143" s="37"/>
      <c r="AF143" s="37"/>
      <c r="AG143" s="37"/>
      <c r="AH143" s="37"/>
      <c r="AI143" s="37"/>
      <c r="AJ143" s="37"/>
      <c r="AK143" s="37"/>
      <c r="AL143" s="37"/>
      <c r="AM143" s="37"/>
      <c r="AN143" s="37"/>
      <c r="AO143" s="37"/>
      <c r="AP143" s="37"/>
      <c r="AQ143" s="37"/>
      <c r="AR143" s="37"/>
      <c r="AS143" s="37"/>
      <c r="AT143" s="38"/>
      <c r="AU143" s="1630"/>
      <c r="AV143" s="1342">
        <f t="shared" si="62"/>
        <v>0</v>
      </c>
      <c r="AW143" s="1342">
        <f t="shared" si="63"/>
        <v>0</v>
      </c>
      <c r="AX143" s="1342">
        <f t="shared" si="64"/>
        <v>0</v>
      </c>
      <c r="AY143" s="39">
        <f t="shared" si="68"/>
        <v>0</v>
      </c>
      <c r="AZ143" s="32">
        <f t="shared" si="69"/>
        <v>0</v>
      </c>
      <c r="BA143" s="32">
        <f t="shared" si="70"/>
        <v>0</v>
      </c>
      <c r="BB143" s="32">
        <f t="shared" si="71"/>
        <v>0</v>
      </c>
      <c r="BC143" s="32">
        <f t="shared" si="72"/>
        <v>0</v>
      </c>
      <c r="BD143" s="32">
        <f t="shared" si="73"/>
        <v>0</v>
      </c>
      <c r="BE143" s="32">
        <f t="shared" si="74"/>
        <v>0</v>
      </c>
      <c r="BF143" s="32">
        <f t="shared" si="75"/>
        <v>0</v>
      </c>
      <c r="BG143" s="32">
        <f t="shared" si="76"/>
        <v>0</v>
      </c>
      <c r="BH143" s="32">
        <f t="shared" si="77"/>
        <v>0</v>
      </c>
      <c r="BI143" s="32">
        <f t="shared" si="78"/>
        <v>0</v>
      </c>
      <c r="BJ143" s="32">
        <f t="shared" si="79"/>
        <v>0</v>
      </c>
      <c r="BK143" s="32">
        <f t="shared" si="80"/>
        <v>0</v>
      </c>
      <c r="BL143" s="32">
        <f t="shared" si="81"/>
        <v>0</v>
      </c>
      <c r="BM143" s="32">
        <f t="shared" si="82"/>
        <v>0</v>
      </c>
      <c r="BN143" s="32">
        <f t="shared" si="83"/>
        <v>0</v>
      </c>
      <c r="BO143" s="32">
        <f t="shared" si="84"/>
        <v>0</v>
      </c>
      <c r="BP143" s="32">
        <f t="shared" si="85"/>
        <v>0</v>
      </c>
      <c r="BQ143" s="32">
        <f t="shared" si="86"/>
        <v>0</v>
      </c>
      <c r="BR143" s="32">
        <f t="shared" si="87"/>
        <v>0</v>
      </c>
      <c r="BS143" s="32">
        <f t="shared" si="88"/>
        <v>0</v>
      </c>
      <c r="BT143" s="40">
        <f t="shared" si="89"/>
        <v>0</v>
      </c>
    </row>
    <row r="144" spans="1:72">
      <c r="A144" s="6"/>
      <c r="B144" s="31"/>
      <c r="C144" s="31"/>
      <c r="D144" s="1629"/>
      <c r="E144" s="32">
        <f t="shared" si="61"/>
        <v>0</v>
      </c>
      <c r="F144" s="33"/>
      <c r="G144" s="34">
        <f t="shared" si="65"/>
        <v>0</v>
      </c>
      <c r="H144" s="35">
        <f t="shared" si="66"/>
        <v>0</v>
      </c>
      <c r="I144" s="36"/>
      <c r="J144" s="36"/>
      <c r="K144" s="36"/>
      <c r="L144" s="36"/>
      <c r="M144" s="36"/>
      <c r="N144" s="36"/>
      <c r="O144" s="36"/>
      <c r="P144" s="36"/>
      <c r="Q144" s="36"/>
      <c r="R144" s="36"/>
      <c r="S144" s="36"/>
      <c r="T144" s="36"/>
      <c r="U144" s="36"/>
      <c r="V144" s="36"/>
      <c r="W144" s="36"/>
      <c r="X144" s="36"/>
      <c r="Y144" s="36"/>
      <c r="Z144" s="36"/>
      <c r="AA144" s="36"/>
      <c r="AB144" s="36"/>
      <c r="AC144" s="32">
        <f t="shared" si="67"/>
        <v>0</v>
      </c>
      <c r="AD144" s="37"/>
      <c r="AE144" s="37"/>
      <c r="AF144" s="37"/>
      <c r="AG144" s="37"/>
      <c r="AH144" s="37"/>
      <c r="AI144" s="37"/>
      <c r="AJ144" s="37"/>
      <c r="AK144" s="37"/>
      <c r="AL144" s="37"/>
      <c r="AM144" s="37"/>
      <c r="AN144" s="37"/>
      <c r="AO144" s="37"/>
      <c r="AP144" s="37"/>
      <c r="AQ144" s="37"/>
      <c r="AR144" s="37"/>
      <c r="AS144" s="37"/>
      <c r="AT144" s="38"/>
      <c r="AU144" s="1630"/>
      <c r="AV144" s="1342">
        <f t="shared" si="62"/>
        <v>0</v>
      </c>
      <c r="AW144" s="1342">
        <f t="shared" si="63"/>
        <v>0</v>
      </c>
      <c r="AX144" s="1342">
        <f t="shared" si="64"/>
        <v>0</v>
      </c>
      <c r="AY144" s="39">
        <f t="shared" si="68"/>
        <v>0</v>
      </c>
      <c r="AZ144" s="32">
        <f t="shared" si="69"/>
        <v>0</v>
      </c>
      <c r="BA144" s="32">
        <f t="shared" si="70"/>
        <v>0</v>
      </c>
      <c r="BB144" s="32">
        <f t="shared" si="71"/>
        <v>0</v>
      </c>
      <c r="BC144" s="32">
        <f t="shared" si="72"/>
        <v>0</v>
      </c>
      <c r="BD144" s="32">
        <f t="shared" si="73"/>
        <v>0</v>
      </c>
      <c r="BE144" s="32">
        <f t="shared" si="74"/>
        <v>0</v>
      </c>
      <c r="BF144" s="32">
        <f t="shared" si="75"/>
        <v>0</v>
      </c>
      <c r="BG144" s="32">
        <f t="shared" si="76"/>
        <v>0</v>
      </c>
      <c r="BH144" s="32">
        <f t="shared" si="77"/>
        <v>0</v>
      </c>
      <c r="BI144" s="32">
        <f t="shared" si="78"/>
        <v>0</v>
      </c>
      <c r="BJ144" s="32">
        <f t="shared" si="79"/>
        <v>0</v>
      </c>
      <c r="BK144" s="32">
        <f t="shared" si="80"/>
        <v>0</v>
      </c>
      <c r="BL144" s="32">
        <f t="shared" si="81"/>
        <v>0</v>
      </c>
      <c r="BM144" s="32">
        <f t="shared" si="82"/>
        <v>0</v>
      </c>
      <c r="BN144" s="32">
        <f t="shared" si="83"/>
        <v>0</v>
      </c>
      <c r="BO144" s="32">
        <f t="shared" si="84"/>
        <v>0</v>
      </c>
      <c r="BP144" s="32">
        <f t="shared" si="85"/>
        <v>0</v>
      </c>
      <c r="BQ144" s="32">
        <f t="shared" si="86"/>
        <v>0</v>
      </c>
      <c r="BR144" s="32">
        <f t="shared" si="87"/>
        <v>0</v>
      </c>
      <c r="BS144" s="32">
        <f t="shared" si="88"/>
        <v>0</v>
      </c>
      <c r="BT144" s="40">
        <f t="shared" si="89"/>
        <v>0</v>
      </c>
    </row>
    <row r="145" spans="1:72">
      <c r="A145" s="6"/>
      <c r="B145" s="31"/>
      <c r="C145" s="31"/>
      <c r="D145" s="1629"/>
      <c r="E145" s="32">
        <f t="shared" ref="E145:E176" si="90">IF($C$3="是",ROUND($A$3*G145/$B$3,2),ROUND($A$3*(G145-AT145)/$B$3,2))</f>
        <v>0</v>
      </c>
      <c r="F145" s="33"/>
      <c r="G145" s="34">
        <f t="shared" si="65"/>
        <v>0</v>
      </c>
      <c r="H145" s="35">
        <f t="shared" si="66"/>
        <v>0</v>
      </c>
      <c r="I145" s="36"/>
      <c r="J145" s="36"/>
      <c r="K145" s="36"/>
      <c r="L145" s="36"/>
      <c r="M145" s="36"/>
      <c r="N145" s="36"/>
      <c r="O145" s="36"/>
      <c r="P145" s="36"/>
      <c r="Q145" s="36"/>
      <c r="R145" s="36"/>
      <c r="S145" s="36"/>
      <c r="T145" s="36"/>
      <c r="U145" s="36"/>
      <c r="V145" s="36"/>
      <c r="W145" s="36"/>
      <c r="X145" s="36"/>
      <c r="Y145" s="36"/>
      <c r="Z145" s="36"/>
      <c r="AA145" s="36"/>
      <c r="AB145" s="36"/>
      <c r="AC145" s="32">
        <f t="shared" si="67"/>
        <v>0</v>
      </c>
      <c r="AD145" s="37"/>
      <c r="AE145" s="37"/>
      <c r="AF145" s="37"/>
      <c r="AG145" s="37"/>
      <c r="AH145" s="37"/>
      <c r="AI145" s="37"/>
      <c r="AJ145" s="37"/>
      <c r="AK145" s="37"/>
      <c r="AL145" s="37"/>
      <c r="AM145" s="37"/>
      <c r="AN145" s="37"/>
      <c r="AO145" s="37"/>
      <c r="AP145" s="37"/>
      <c r="AQ145" s="37"/>
      <c r="AR145" s="37"/>
      <c r="AS145" s="37"/>
      <c r="AT145" s="38"/>
      <c r="AU145" s="1630"/>
      <c r="AV145" s="1342">
        <f t="shared" ref="AV145:AV176" si="91">A145</f>
        <v>0</v>
      </c>
      <c r="AW145" s="1342">
        <f t="shared" ref="AW145:AW176" si="92">B145</f>
        <v>0</v>
      </c>
      <c r="AX145" s="1342">
        <f t="shared" ref="AX145:AX176" si="93">C145</f>
        <v>0</v>
      </c>
      <c r="AY145" s="39">
        <f t="shared" si="68"/>
        <v>0</v>
      </c>
      <c r="AZ145" s="32">
        <f t="shared" si="69"/>
        <v>0</v>
      </c>
      <c r="BA145" s="32">
        <f t="shared" si="70"/>
        <v>0</v>
      </c>
      <c r="BB145" s="32">
        <f t="shared" si="71"/>
        <v>0</v>
      </c>
      <c r="BC145" s="32">
        <f t="shared" si="72"/>
        <v>0</v>
      </c>
      <c r="BD145" s="32">
        <f t="shared" si="73"/>
        <v>0</v>
      </c>
      <c r="BE145" s="32">
        <f t="shared" si="74"/>
        <v>0</v>
      </c>
      <c r="BF145" s="32">
        <f t="shared" si="75"/>
        <v>0</v>
      </c>
      <c r="BG145" s="32">
        <f t="shared" si="76"/>
        <v>0</v>
      </c>
      <c r="BH145" s="32">
        <f t="shared" si="77"/>
        <v>0</v>
      </c>
      <c r="BI145" s="32">
        <f t="shared" si="78"/>
        <v>0</v>
      </c>
      <c r="BJ145" s="32">
        <f t="shared" si="79"/>
        <v>0</v>
      </c>
      <c r="BK145" s="32">
        <f t="shared" si="80"/>
        <v>0</v>
      </c>
      <c r="BL145" s="32">
        <f t="shared" si="81"/>
        <v>0</v>
      </c>
      <c r="BM145" s="32">
        <f t="shared" si="82"/>
        <v>0</v>
      </c>
      <c r="BN145" s="32">
        <f t="shared" si="83"/>
        <v>0</v>
      </c>
      <c r="BO145" s="32">
        <f t="shared" si="84"/>
        <v>0</v>
      </c>
      <c r="BP145" s="32">
        <f t="shared" si="85"/>
        <v>0</v>
      </c>
      <c r="BQ145" s="32">
        <f t="shared" si="86"/>
        <v>0</v>
      </c>
      <c r="BR145" s="32">
        <f t="shared" si="87"/>
        <v>0</v>
      </c>
      <c r="BS145" s="32">
        <f t="shared" si="88"/>
        <v>0</v>
      </c>
      <c r="BT145" s="40">
        <f t="shared" si="89"/>
        <v>0</v>
      </c>
    </row>
    <row r="146" spans="1:72">
      <c r="A146" s="6"/>
      <c r="B146" s="31"/>
      <c r="C146" s="31"/>
      <c r="D146" s="1629"/>
      <c r="E146" s="32">
        <f t="shared" si="90"/>
        <v>0</v>
      </c>
      <c r="F146" s="33"/>
      <c r="G146" s="34">
        <f t="shared" si="65"/>
        <v>0</v>
      </c>
      <c r="H146" s="35">
        <f t="shared" si="66"/>
        <v>0</v>
      </c>
      <c r="I146" s="36"/>
      <c r="J146" s="36"/>
      <c r="K146" s="36"/>
      <c r="L146" s="36"/>
      <c r="M146" s="36"/>
      <c r="N146" s="36"/>
      <c r="O146" s="36"/>
      <c r="P146" s="36"/>
      <c r="Q146" s="36"/>
      <c r="R146" s="36"/>
      <c r="S146" s="36"/>
      <c r="T146" s="36"/>
      <c r="U146" s="36"/>
      <c r="V146" s="36"/>
      <c r="W146" s="36"/>
      <c r="X146" s="36"/>
      <c r="Y146" s="36"/>
      <c r="Z146" s="36"/>
      <c r="AA146" s="36"/>
      <c r="AB146" s="36"/>
      <c r="AC146" s="32">
        <f t="shared" si="67"/>
        <v>0</v>
      </c>
      <c r="AD146" s="37"/>
      <c r="AE146" s="37"/>
      <c r="AF146" s="37"/>
      <c r="AG146" s="37"/>
      <c r="AH146" s="37"/>
      <c r="AI146" s="37"/>
      <c r="AJ146" s="37"/>
      <c r="AK146" s="37"/>
      <c r="AL146" s="37"/>
      <c r="AM146" s="37"/>
      <c r="AN146" s="37"/>
      <c r="AO146" s="37"/>
      <c r="AP146" s="37"/>
      <c r="AQ146" s="37"/>
      <c r="AR146" s="37"/>
      <c r="AS146" s="37"/>
      <c r="AT146" s="38"/>
      <c r="AU146" s="1630"/>
      <c r="AV146" s="1342">
        <f t="shared" si="91"/>
        <v>0</v>
      </c>
      <c r="AW146" s="1342">
        <f t="shared" si="92"/>
        <v>0</v>
      </c>
      <c r="AX146" s="1342">
        <f t="shared" si="93"/>
        <v>0</v>
      </c>
      <c r="AY146" s="39">
        <f t="shared" si="68"/>
        <v>0</v>
      </c>
      <c r="AZ146" s="32">
        <f t="shared" si="69"/>
        <v>0</v>
      </c>
      <c r="BA146" s="32">
        <f t="shared" si="70"/>
        <v>0</v>
      </c>
      <c r="BB146" s="32">
        <f t="shared" si="71"/>
        <v>0</v>
      </c>
      <c r="BC146" s="32">
        <f t="shared" si="72"/>
        <v>0</v>
      </c>
      <c r="BD146" s="32">
        <f t="shared" si="73"/>
        <v>0</v>
      </c>
      <c r="BE146" s="32">
        <f t="shared" si="74"/>
        <v>0</v>
      </c>
      <c r="BF146" s="32">
        <f t="shared" si="75"/>
        <v>0</v>
      </c>
      <c r="BG146" s="32">
        <f t="shared" si="76"/>
        <v>0</v>
      </c>
      <c r="BH146" s="32">
        <f t="shared" si="77"/>
        <v>0</v>
      </c>
      <c r="BI146" s="32">
        <f t="shared" si="78"/>
        <v>0</v>
      </c>
      <c r="BJ146" s="32">
        <f t="shared" si="79"/>
        <v>0</v>
      </c>
      <c r="BK146" s="32">
        <f t="shared" si="80"/>
        <v>0</v>
      </c>
      <c r="BL146" s="32">
        <f t="shared" si="81"/>
        <v>0</v>
      </c>
      <c r="BM146" s="32">
        <f t="shared" si="82"/>
        <v>0</v>
      </c>
      <c r="BN146" s="32">
        <f t="shared" si="83"/>
        <v>0</v>
      </c>
      <c r="BO146" s="32">
        <f t="shared" si="84"/>
        <v>0</v>
      </c>
      <c r="BP146" s="32">
        <f t="shared" si="85"/>
        <v>0</v>
      </c>
      <c r="BQ146" s="32">
        <f t="shared" si="86"/>
        <v>0</v>
      </c>
      <c r="BR146" s="32">
        <f t="shared" si="87"/>
        <v>0</v>
      </c>
      <c r="BS146" s="32">
        <f t="shared" si="88"/>
        <v>0</v>
      </c>
      <c r="BT146" s="40">
        <f t="shared" si="89"/>
        <v>0</v>
      </c>
    </row>
    <row r="147" spans="1:72">
      <c r="A147" s="6"/>
      <c r="B147" s="31"/>
      <c r="C147" s="31"/>
      <c r="D147" s="1629"/>
      <c r="E147" s="32">
        <f t="shared" si="90"/>
        <v>0</v>
      </c>
      <c r="F147" s="33"/>
      <c r="G147" s="34">
        <f t="shared" si="65"/>
        <v>0</v>
      </c>
      <c r="H147" s="35">
        <f t="shared" si="66"/>
        <v>0</v>
      </c>
      <c r="I147" s="36"/>
      <c r="J147" s="36"/>
      <c r="K147" s="36"/>
      <c r="L147" s="36"/>
      <c r="M147" s="36"/>
      <c r="N147" s="36"/>
      <c r="O147" s="36"/>
      <c r="P147" s="36"/>
      <c r="Q147" s="36"/>
      <c r="R147" s="36"/>
      <c r="S147" s="36"/>
      <c r="T147" s="36"/>
      <c r="U147" s="36"/>
      <c r="V147" s="36"/>
      <c r="W147" s="36"/>
      <c r="X147" s="36"/>
      <c r="Y147" s="36"/>
      <c r="Z147" s="36"/>
      <c r="AA147" s="36"/>
      <c r="AB147" s="36"/>
      <c r="AC147" s="32">
        <f t="shared" si="67"/>
        <v>0</v>
      </c>
      <c r="AD147" s="37"/>
      <c r="AE147" s="37"/>
      <c r="AF147" s="37"/>
      <c r="AG147" s="37"/>
      <c r="AH147" s="37"/>
      <c r="AI147" s="37"/>
      <c r="AJ147" s="37"/>
      <c r="AK147" s="37"/>
      <c r="AL147" s="37"/>
      <c r="AM147" s="37"/>
      <c r="AN147" s="37"/>
      <c r="AO147" s="37"/>
      <c r="AP147" s="37"/>
      <c r="AQ147" s="37"/>
      <c r="AR147" s="37"/>
      <c r="AS147" s="37"/>
      <c r="AT147" s="38"/>
      <c r="AU147" s="1630"/>
      <c r="AV147" s="1342">
        <f t="shared" si="91"/>
        <v>0</v>
      </c>
      <c r="AW147" s="1342">
        <f t="shared" si="92"/>
        <v>0</v>
      </c>
      <c r="AX147" s="1342">
        <f t="shared" si="93"/>
        <v>0</v>
      </c>
      <c r="AY147" s="39">
        <f t="shared" si="68"/>
        <v>0</v>
      </c>
      <c r="AZ147" s="32">
        <f t="shared" si="69"/>
        <v>0</v>
      </c>
      <c r="BA147" s="32">
        <f t="shared" si="70"/>
        <v>0</v>
      </c>
      <c r="BB147" s="32">
        <f t="shared" si="71"/>
        <v>0</v>
      </c>
      <c r="BC147" s="32">
        <f t="shared" si="72"/>
        <v>0</v>
      </c>
      <c r="BD147" s="32">
        <f t="shared" si="73"/>
        <v>0</v>
      </c>
      <c r="BE147" s="32">
        <f t="shared" si="74"/>
        <v>0</v>
      </c>
      <c r="BF147" s="32">
        <f t="shared" si="75"/>
        <v>0</v>
      </c>
      <c r="BG147" s="32">
        <f t="shared" si="76"/>
        <v>0</v>
      </c>
      <c r="BH147" s="32">
        <f t="shared" si="77"/>
        <v>0</v>
      </c>
      <c r="BI147" s="32">
        <f t="shared" si="78"/>
        <v>0</v>
      </c>
      <c r="BJ147" s="32">
        <f t="shared" si="79"/>
        <v>0</v>
      </c>
      <c r="BK147" s="32">
        <f t="shared" si="80"/>
        <v>0</v>
      </c>
      <c r="BL147" s="32">
        <f t="shared" si="81"/>
        <v>0</v>
      </c>
      <c r="BM147" s="32">
        <f t="shared" si="82"/>
        <v>0</v>
      </c>
      <c r="BN147" s="32">
        <f t="shared" si="83"/>
        <v>0</v>
      </c>
      <c r="BO147" s="32">
        <f t="shared" si="84"/>
        <v>0</v>
      </c>
      <c r="BP147" s="32">
        <f t="shared" si="85"/>
        <v>0</v>
      </c>
      <c r="BQ147" s="32">
        <f t="shared" si="86"/>
        <v>0</v>
      </c>
      <c r="BR147" s="32">
        <f t="shared" si="87"/>
        <v>0</v>
      </c>
      <c r="BS147" s="32">
        <f t="shared" si="88"/>
        <v>0</v>
      </c>
      <c r="BT147" s="40">
        <f t="shared" si="89"/>
        <v>0</v>
      </c>
    </row>
    <row r="148" spans="1:72">
      <c r="A148" s="6"/>
      <c r="B148" s="31"/>
      <c r="C148" s="31"/>
      <c r="D148" s="1629"/>
      <c r="E148" s="32">
        <f t="shared" si="90"/>
        <v>0</v>
      </c>
      <c r="F148" s="33"/>
      <c r="G148" s="34">
        <f t="shared" si="65"/>
        <v>0</v>
      </c>
      <c r="H148" s="35">
        <f t="shared" si="66"/>
        <v>0</v>
      </c>
      <c r="I148" s="36"/>
      <c r="J148" s="36"/>
      <c r="K148" s="36"/>
      <c r="L148" s="36"/>
      <c r="M148" s="36"/>
      <c r="N148" s="36"/>
      <c r="O148" s="36"/>
      <c r="P148" s="36"/>
      <c r="Q148" s="36"/>
      <c r="R148" s="36"/>
      <c r="S148" s="36"/>
      <c r="T148" s="36"/>
      <c r="U148" s="36"/>
      <c r="V148" s="36"/>
      <c r="W148" s="36"/>
      <c r="X148" s="36"/>
      <c r="Y148" s="36"/>
      <c r="Z148" s="36"/>
      <c r="AA148" s="36"/>
      <c r="AB148" s="36"/>
      <c r="AC148" s="32">
        <f t="shared" si="67"/>
        <v>0</v>
      </c>
      <c r="AD148" s="37"/>
      <c r="AE148" s="37"/>
      <c r="AF148" s="37"/>
      <c r="AG148" s="37"/>
      <c r="AH148" s="37"/>
      <c r="AI148" s="37"/>
      <c r="AJ148" s="37"/>
      <c r="AK148" s="37"/>
      <c r="AL148" s="37"/>
      <c r="AM148" s="37"/>
      <c r="AN148" s="37"/>
      <c r="AO148" s="37"/>
      <c r="AP148" s="37"/>
      <c r="AQ148" s="37"/>
      <c r="AR148" s="37"/>
      <c r="AS148" s="37"/>
      <c r="AT148" s="38"/>
      <c r="AU148" s="1630"/>
      <c r="AV148" s="1342">
        <f t="shared" si="91"/>
        <v>0</v>
      </c>
      <c r="AW148" s="1342">
        <f t="shared" si="92"/>
        <v>0</v>
      </c>
      <c r="AX148" s="1342">
        <f t="shared" si="93"/>
        <v>0</v>
      </c>
      <c r="AY148" s="39">
        <f t="shared" si="68"/>
        <v>0</v>
      </c>
      <c r="AZ148" s="32">
        <f t="shared" si="69"/>
        <v>0</v>
      </c>
      <c r="BA148" s="32">
        <f t="shared" si="70"/>
        <v>0</v>
      </c>
      <c r="BB148" s="32">
        <f t="shared" si="71"/>
        <v>0</v>
      </c>
      <c r="BC148" s="32">
        <f t="shared" si="72"/>
        <v>0</v>
      </c>
      <c r="BD148" s="32">
        <f t="shared" si="73"/>
        <v>0</v>
      </c>
      <c r="BE148" s="32">
        <f t="shared" si="74"/>
        <v>0</v>
      </c>
      <c r="BF148" s="32">
        <f t="shared" si="75"/>
        <v>0</v>
      </c>
      <c r="BG148" s="32">
        <f t="shared" si="76"/>
        <v>0</v>
      </c>
      <c r="BH148" s="32">
        <f t="shared" si="77"/>
        <v>0</v>
      </c>
      <c r="BI148" s="32">
        <f t="shared" si="78"/>
        <v>0</v>
      </c>
      <c r="BJ148" s="32">
        <f t="shared" si="79"/>
        <v>0</v>
      </c>
      <c r="BK148" s="32">
        <f t="shared" si="80"/>
        <v>0</v>
      </c>
      <c r="BL148" s="32">
        <f t="shared" si="81"/>
        <v>0</v>
      </c>
      <c r="BM148" s="32">
        <f t="shared" si="82"/>
        <v>0</v>
      </c>
      <c r="BN148" s="32">
        <f t="shared" si="83"/>
        <v>0</v>
      </c>
      <c r="BO148" s="32">
        <f t="shared" si="84"/>
        <v>0</v>
      </c>
      <c r="BP148" s="32">
        <f t="shared" si="85"/>
        <v>0</v>
      </c>
      <c r="BQ148" s="32">
        <f t="shared" si="86"/>
        <v>0</v>
      </c>
      <c r="BR148" s="32">
        <f t="shared" si="87"/>
        <v>0</v>
      </c>
      <c r="BS148" s="32">
        <f t="shared" si="88"/>
        <v>0</v>
      </c>
      <c r="BT148" s="40">
        <f t="shared" si="89"/>
        <v>0</v>
      </c>
    </row>
    <row r="149" spans="1:72">
      <c r="A149" s="6"/>
      <c r="B149" s="31"/>
      <c r="C149" s="31"/>
      <c r="D149" s="1629"/>
      <c r="E149" s="32">
        <f t="shared" si="90"/>
        <v>0</v>
      </c>
      <c r="F149" s="33"/>
      <c r="G149" s="34">
        <f t="shared" si="65"/>
        <v>0</v>
      </c>
      <c r="H149" s="35">
        <f t="shared" si="66"/>
        <v>0</v>
      </c>
      <c r="I149" s="36"/>
      <c r="J149" s="36"/>
      <c r="K149" s="36"/>
      <c r="L149" s="36"/>
      <c r="M149" s="36"/>
      <c r="N149" s="36"/>
      <c r="O149" s="36"/>
      <c r="P149" s="36"/>
      <c r="Q149" s="36"/>
      <c r="R149" s="36"/>
      <c r="S149" s="36"/>
      <c r="T149" s="36"/>
      <c r="U149" s="36"/>
      <c r="V149" s="36"/>
      <c r="W149" s="36"/>
      <c r="X149" s="36"/>
      <c r="Y149" s="36"/>
      <c r="Z149" s="36"/>
      <c r="AA149" s="36"/>
      <c r="AB149" s="36"/>
      <c r="AC149" s="32">
        <f t="shared" si="67"/>
        <v>0</v>
      </c>
      <c r="AD149" s="37"/>
      <c r="AE149" s="37"/>
      <c r="AF149" s="37"/>
      <c r="AG149" s="37"/>
      <c r="AH149" s="37"/>
      <c r="AI149" s="37"/>
      <c r="AJ149" s="37"/>
      <c r="AK149" s="37"/>
      <c r="AL149" s="37"/>
      <c r="AM149" s="37"/>
      <c r="AN149" s="37"/>
      <c r="AO149" s="37"/>
      <c r="AP149" s="37"/>
      <c r="AQ149" s="37"/>
      <c r="AR149" s="37"/>
      <c r="AS149" s="37"/>
      <c r="AT149" s="38"/>
      <c r="AU149" s="1630"/>
      <c r="AV149" s="1342">
        <f t="shared" si="91"/>
        <v>0</v>
      </c>
      <c r="AW149" s="1342">
        <f t="shared" si="92"/>
        <v>0</v>
      </c>
      <c r="AX149" s="1342">
        <f t="shared" si="93"/>
        <v>0</v>
      </c>
      <c r="AY149" s="39">
        <f t="shared" si="68"/>
        <v>0</v>
      </c>
      <c r="AZ149" s="32">
        <f t="shared" si="69"/>
        <v>0</v>
      </c>
      <c r="BA149" s="32">
        <f t="shared" si="70"/>
        <v>0</v>
      </c>
      <c r="BB149" s="32">
        <f t="shared" si="71"/>
        <v>0</v>
      </c>
      <c r="BC149" s="32">
        <f t="shared" si="72"/>
        <v>0</v>
      </c>
      <c r="BD149" s="32">
        <f t="shared" si="73"/>
        <v>0</v>
      </c>
      <c r="BE149" s="32">
        <f t="shared" si="74"/>
        <v>0</v>
      </c>
      <c r="BF149" s="32">
        <f t="shared" si="75"/>
        <v>0</v>
      </c>
      <c r="BG149" s="32">
        <f t="shared" si="76"/>
        <v>0</v>
      </c>
      <c r="BH149" s="32">
        <f t="shared" si="77"/>
        <v>0</v>
      </c>
      <c r="BI149" s="32">
        <f t="shared" si="78"/>
        <v>0</v>
      </c>
      <c r="BJ149" s="32">
        <f t="shared" si="79"/>
        <v>0</v>
      </c>
      <c r="BK149" s="32">
        <f t="shared" si="80"/>
        <v>0</v>
      </c>
      <c r="BL149" s="32">
        <f t="shared" si="81"/>
        <v>0</v>
      </c>
      <c r="BM149" s="32">
        <f t="shared" si="82"/>
        <v>0</v>
      </c>
      <c r="BN149" s="32">
        <f t="shared" si="83"/>
        <v>0</v>
      </c>
      <c r="BO149" s="32">
        <f t="shared" si="84"/>
        <v>0</v>
      </c>
      <c r="BP149" s="32">
        <f t="shared" si="85"/>
        <v>0</v>
      </c>
      <c r="BQ149" s="32">
        <f t="shared" si="86"/>
        <v>0</v>
      </c>
      <c r="BR149" s="32">
        <f t="shared" si="87"/>
        <v>0</v>
      </c>
      <c r="BS149" s="32">
        <f t="shared" si="88"/>
        <v>0</v>
      </c>
      <c r="BT149" s="40">
        <f t="shared" si="89"/>
        <v>0</v>
      </c>
    </row>
    <row r="150" spans="1:72">
      <c r="A150" s="6"/>
      <c r="B150" s="31"/>
      <c r="C150" s="31"/>
      <c r="D150" s="1629"/>
      <c r="E150" s="32">
        <f t="shared" si="90"/>
        <v>0</v>
      </c>
      <c r="F150" s="33"/>
      <c r="G150" s="34">
        <f t="shared" si="65"/>
        <v>0</v>
      </c>
      <c r="H150" s="35">
        <f t="shared" si="66"/>
        <v>0</v>
      </c>
      <c r="I150" s="36"/>
      <c r="J150" s="36"/>
      <c r="K150" s="36"/>
      <c r="L150" s="36"/>
      <c r="M150" s="36"/>
      <c r="N150" s="36"/>
      <c r="O150" s="36"/>
      <c r="P150" s="36"/>
      <c r="Q150" s="36"/>
      <c r="R150" s="36"/>
      <c r="S150" s="36"/>
      <c r="T150" s="36"/>
      <c r="U150" s="36"/>
      <c r="V150" s="36"/>
      <c r="W150" s="36"/>
      <c r="X150" s="36"/>
      <c r="Y150" s="36"/>
      <c r="Z150" s="36"/>
      <c r="AA150" s="36"/>
      <c r="AB150" s="36"/>
      <c r="AC150" s="32">
        <f t="shared" si="67"/>
        <v>0</v>
      </c>
      <c r="AD150" s="37"/>
      <c r="AE150" s="37"/>
      <c r="AF150" s="37"/>
      <c r="AG150" s="37"/>
      <c r="AH150" s="37"/>
      <c r="AI150" s="37"/>
      <c r="AJ150" s="37"/>
      <c r="AK150" s="37"/>
      <c r="AL150" s="37"/>
      <c r="AM150" s="37"/>
      <c r="AN150" s="37"/>
      <c r="AO150" s="37"/>
      <c r="AP150" s="37"/>
      <c r="AQ150" s="37"/>
      <c r="AR150" s="37"/>
      <c r="AS150" s="37"/>
      <c r="AT150" s="38"/>
      <c r="AU150" s="1630"/>
      <c r="AV150" s="1342">
        <f t="shared" si="91"/>
        <v>0</v>
      </c>
      <c r="AW150" s="1342">
        <f t="shared" si="92"/>
        <v>0</v>
      </c>
      <c r="AX150" s="1342">
        <f t="shared" si="93"/>
        <v>0</v>
      </c>
      <c r="AY150" s="39">
        <f t="shared" si="68"/>
        <v>0</v>
      </c>
      <c r="AZ150" s="32">
        <f t="shared" si="69"/>
        <v>0</v>
      </c>
      <c r="BA150" s="32">
        <f t="shared" si="70"/>
        <v>0</v>
      </c>
      <c r="BB150" s="32">
        <f t="shared" si="71"/>
        <v>0</v>
      </c>
      <c r="BC150" s="32">
        <f t="shared" si="72"/>
        <v>0</v>
      </c>
      <c r="BD150" s="32">
        <f t="shared" si="73"/>
        <v>0</v>
      </c>
      <c r="BE150" s="32">
        <f t="shared" si="74"/>
        <v>0</v>
      </c>
      <c r="BF150" s="32">
        <f t="shared" si="75"/>
        <v>0</v>
      </c>
      <c r="BG150" s="32">
        <f t="shared" si="76"/>
        <v>0</v>
      </c>
      <c r="BH150" s="32">
        <f t="shared" si="77"/>
        <v>0</v>
      </c>
      <c r="BI150" s="32">
        <f t="shared" si="78"/>
        <v>0</v>
      </c>
      <c r="BJ150" s="32">
        <f t="shared" si="79"/>
        <v>0</v>
      </c>
      <c r="BK150" s="32">
        <f t="shared" si="80"/>
        <v>0</v>
      </c>
      <c r="BL150" s="32">
        <f t="shared" si="81"/>
        <v>0</v>
      </c>
      <c r="BM150" s="32">
        <f t="shared" si="82"/>
        <v>0</v>
      </c>
      <c r="BN150" s="32">
        <f t="shared" si="83"/>
        <v>0</v>
      </c>
      <c r="BO150" s="32">
        <f t="shared" si="84"/>
        <v>0</v>
      </c>
      <c r="BP150" s="32">
        <f t="shared" si="85"/>
        <v>0</v>
      </c>
      <c r="BQ150" s="32">
        <f t="shared" si="86"/>
        <v>0</v>
      </c>
      <c r="BR150" s="32">
        <f t="shared" si="87"/>
        <v>0</v>
      </c>
      <c r="BS150" s="32">
        <f t="shared" si="88"/>
        <v>0</v>
      </c>
      <c r="BT150" s="40">
        <f t="shared" si="89"/>
        <v>0</v>
      </c>
    </row>
    <row r="151" spans="1:72">
      <c r="A151" s="6"/>
      <c r="B151" s="31"/>
      <c r="C151" s="31"/>
      <c r="D151" s="1629"/>
      <c r="E151" s="32">
        <f t="shared" si="90"/>
        <v>0</v>
      </c>
      <c r="F151" s="33"/>
      <c r="G151" s="34">
        <f t="shared" si="65"/>
        <v>0</v>
      </c>
      <c r="H151" s="35">
        <f t="shared" si="66"/>
        <v>0</v>
      </c>
      <c r="I151" s="36"/>
      <c r="J151" s="36"/>
      <c r="K151" s="36"/>
      <c r="L151" s="36"/>
      <c r="M151" s="36"/>
      <c r="N151" s="36"/>
      <c r="O151" s="36"/>
      <c r="P151" s="36"/>
      <c r="Q151" s="36"/>
      <c r="R151" s="36"/>
      <c r="S151" s="36"/>
      <c r="T151" s="36"/>
      <c r="U151" s="36"/>
      <c r="V151" s="36"/>
      <c r="W151" s="36"/>
      <c r="X151" s="36"/>
      <c r="Y151" s="36"/>
      <c r="Z151" s="36"/>
      <c r="AA151" s="36"/>
      <c r="AB151" s="36"/>
      <c r="AC151" s="32">
        <f t="shared" si="67"/>
        <v>0</v>
      </c>
      <c r="AD151" s="37"/>
      <c r="AE151" s="37"/>
      <c r="AF151" s="37"/>
      <c r="AG151" s="37"/>
      <c r="AH151" s="37"/>
      <c r="AI151" s="37"/>
      <c r="AJ151" s="37"/>
      <c r="AK151" s="37"/>
      <c r="AL151" s="37"/>
      <c r="AM151" s="37"/>
      <c r="AN151" s="37"/>
      <c r="AO151" s="37"/>
      <c r="AP151" s="37"/>
      <c r="AQ151" s="37"/>
      <c r="AR151" s="37"/>
      <c r="AS151" s="37"/>
      <c r="AT151" s="38"/>
      <c r="AU151" s="1630"/>
      <c r="AV151" s="1342">
        <f t="shared" si="91"/>
        <v>0</v>
      </c>
      <c r="AW151" s="1342">
        <f t="shared" si="92"/>
        <v>0</v>
      </c>
      <c r="AX151" s="1342">
        <f t="shared" si="93"/>
        <v>0</v>
      </c>
      <c r="AY151" s="39">
        <f t="shared" si="68"/>
        <v>0</v>
      </c>
      <c r="AZ151" s="32">
        <f t="shared" si="69"/>
        <v>0</v>
      </c>
      <c r="BA151" s="32">
        <f t="shared" si="70"/>
        <v>0</v>
      </c>
      <c r="BB151" s="32">
        <f t="shared" si="71"/>
        <v>0</v>
      </c>
      <c r="BC151" s="32">
        <f t="shared" si="72"/>
        <v>0</v>
      </c>
      <c r="BD151" s="32">
        <f t="shared" si="73"/>
        <v>0</v>
      </c>
      <c r="BE151" s="32">
        <f t="shared" si="74"/>
        <v>0</v>
      </c>
      <c r="BF151" s="32">
        <f t="shared" si="75"/>
        <v>0</v>
      </c>
      <c r="BG151" s="32">
        <f t="shared" si="76"/>
        <v>0</v>
      </c>
      <c r="BH151" s="32">
        <f t="shared" si="77"/>
        <v>0</v>
      </c>
      <c r="BI151" s="32">
        <f t="shared" si="78"/>
        <v>0</v>
      </c>
      <c r="BJ151" s="32">
        <f t="shared" si="79"/>
        <v>0</v>
      </c>
      <c r="BK151" s="32">
        <f t="shared" si="80"/>
        <v>0</v>
      </c>
      <c r="BL151" s="32">
        <f t="shared" si="81"/>
        <v>0</v>
      </c>
      <c r="BM151" s="32">
        <f t="shared" si="82"/>
        <v>0</v>
      </c>
      <c r="BN151" s="32">
        <f t="shared" si="83"/>
        <v>0</v>
      </c>
      <c r="BO151" s="32">
        <f t="shared" si="84"/>
        <v>0</v>
      </c>
      <c r="BP151" s="32">
        <f t="shared" si="85"/>
        <v>0</v>
      </c>
      <c r="BQ151" s="32">
        <f t="shared" si="86"/>
        <v>0</v>
      </c>
      <c r="BR151" s="32">
        <f t="shared" si="87"/>
        <v>0</v>
      </c>
      <c r="BS151" s="32">
        <f t="shared" si="88"/>
        <v>0</v>
      </c>
      <c r="BT151" s="40">
        <f t="shared" si="89"/>
        <v>0</v>
      </c>
    </row>
    <row r="152" spans="1:72">
      <c r="A152" s="6"/>
      <c r="B152" s="31"/>
      <c r="C152" s="31"/>
      <c r="D152" s="1629"/>
      <c r="E152" s="32">
        <f t="shared" si="90"/>
        <v>0</v>
      </c>
      <c r="F152" s="33"/>
      <c r="G152" s="34">
        <f t="shared" si="65"/>
        <v>0</v>
      </c>
      <c r="H152" s="35">
        <f t="shared" si="66"/>
        <v>0</v>
      </c>
      <c r="I152" s="36"/>
      <c r="J152" s="36"/>
      <c r="K152" s="36"/>
      <c r="L152" s="36"/>
      <c r="M152" s="36"/>
      <c r="N152" s="36"/>
      <c r="O152" s="36"/>
      <c r="P152" s="36"/>
      <c r="Q152" s="36"/>
      <c r="R152" s="36"/>
      <c r="S152" s="36"/>
      <c r="T152" s="36"/>
      <c r="U152" s="36"/>
      <c r="V152" s="36"/>
      <c r="W152" s="36"/>
      <c r="X152" s="36"/>
      <c r="Y152" s="36"/>
      <c r="Z152" s="36"/>
      <c r="AA152" s="36"/>
      <c r="AB152" s="36"/>
      <c r="AC152" s="32">
        <f t="shared" si="67"/>
        <v>0</v>
      </c>
      <c r="AD152" s="37"/>
      <c r="AE152" s="37"/>
      <c r="AF152" s="37"/>
      <c r="AG152" s="37"/>
      <c r="AH152" s="37"/>
      <c r="AI152" s="37"/>
      <c r="AJ152" s="37"/>
      <c r="AK152" s="37"/>
      <c r="AL152" s="37"/>
      <c r="AM152" s="37"/>
      <c r="AN152" s="37"/>
      <c r="AO152" s="37"/>
      <c r="AP152" s="37"/>
      <c r="AQ152" s="37"/>
      <c r="AR152" s="37"/>
      <c r="AS152" s="37"/>
      <c r="AT152" s="38"/>
      <c r="AU152" s="1630"/>
      <c r="AV152" s="1342">
        <f t="shared" si="91"/>
        <v>0</v>
      </c>
      <c r="AW152" s="1342">
        <f t="shared" si="92"/>
        <v>0</v>
      </c>
      <c r="AX152" s="1342">
        <f t="shared" si="93"/>
        <v>0</v>
      </c>
      <c r="AY152" s="39">
        <f t="shared" si="68"/>
        <v>0</v>
      </c>
      <c r="AZ152" s="32">
        <f t="shared" si="69"/>
        <v>0</v>
      </c>
      <c r="BA152" s="32">
        <f t="shared" si="70"/>
        <v>0</v>
      </c>
      <c r="BB152" s="32">
        <f t="shared" si="71"/>
        <v>0</v>
      </c>
      <c r="BC152" s="32">
        <f t="shared" si="72"/>
        <v>0</v>
      </c>
      <c r="BD152" s="32">
        <f t="shared" si="73"/>
        <v>0</v>
      </c>
      <c r="BE152" s="32">
        <f t="shared" si="74"/>
        <v>0</v>
      </c>
      <c r="BF152" s="32">
        <f t="shared" si="75"/>
        <v>0</v>
      </c>
      <c r="BG152" s="32">
        <f t="shared" si="76"/>
        <v>0</v>
      </c>
      <c r="BH152" s="32">
        <f t="shared" si="77"/>
        <v>0</v>
      </c>
      <c r="BI152" s="32">
        <f t="shared" si="78"/>
        <v>0</v>
      </c>
      <c r="BJ152" s="32">
        <f t="shared" si="79"/>
        <v>0</v>
      </c>
      <c r="BK152" s="32">
        <f t="shared" si="80"/>
        <v>0</v>
      </c>
      <c r="BL152" s="32">
        <f t="shared" si="81"/>
        <v>0</v>
      </c>
      <c r="BM152" s="32">
        <f t="shared" si="82"/>
        <v>0</v>
      </c>
      <c r="BN152" s="32">
        <f t="shared" si="83"/>
        <v>0</v>
      </c>
      <c r="BO152" s="32">
        <f t="shared" si="84"/>
        <v>0</v>
      </c>
      <c r="BP152" s="32">
        <f t="shared" si="85"/>
        <v>0</v>
      </c>
      <c r="BQ152" s="32">
        <f t="shared" si="86"/>
        <v>0</v>
      </c>
      <c r="BR152" s="32">
        <f t="shared" si="87"/>
        <v>0</v>
      </c>
      <c r="BS152" s="32">
        <f t="shared" si="88"/>
        <v>0</v>
      </c>
      <c r="BT152" s="40">
        <f t="shared" si="89"/>
        <v>0</v>
      </c>
    </row>
    <row r="153" spans="1:72">
      <c r="A153" s="6"/>
      <c r="B153" s="31"/>
      <c r="C153" s="31"/>
      <c r="D153" s="1629"/>
      <c r="E153" s="32">
        <f t="shared" si="90"/>
        <v>0</v>
      </c>
      <c r="F153" s="33"/>
      <c r="G153" s="34">
        <f t="shared" si="65"/>
        <v>0</v>
      </c>
      <c r="H153" s="35">
        <f t="shared" si="66"/>
        <v>0</v>
      </c>
      <c r="I153" s="36"/>
      <c r="J153" s="36"/>
      <c r="K153" s="36"/>
      <c r="L153" s="36"/>
      <c r="M153" s="36"/>
      <c r="N153" s="36"/>
      <c r="O153" s="36"/>
      <c r="P153" s="36"/>
      <c r="Q153" s="36"/>
      <c r="R153" s="36"/>
      <c r="S153" s="36"/>
      <c r="T153" s="36"/>
      <c r="U153" s="36"/>
      <c r="V153" s="36"/>
      <c r="W153" s="36"/>
      <c r="X153" s="36"/>
      <c r="Y153" s="36"/>
      <c r="Z153" s="36"/>
      <c r="AA153" s="36"/>
      <c r="AB153" s="36"/>
      <c r="AC153" s="32">
        <f t="shared" si="67"/>
        <v>0</v>
      </c>
      <c r="AD153" s="37"/>
      <c r="AE153" s="37"/>
      <c r="AF153" s="37"/>
      <c r="AG153" s="37"/>
      <c r="AH153" s="37"/>
      <c r="AI153" s="37"/>
      <c r="AJ153" s="37"/>
      <c r="AK153" s="37"/>
      <c r="AL153" s="37"/>
      <c r="AM153" s="37"/>
      <c r="AN153" s="37"/>
      <c r="AO153" s="37"/>
      <c r="AP153" s="37"/>
      <c r="AQ153" s="37"/>
      <c r="AR153" s="37"/>
      <c r="AS153" s="37"/>
      <c r="AT153" s="38"/>
      <c r="AU153" s="1630"/>
      <c r="AV153" s="1342">
        <f t="shared" si="91"/>
        <v>0</v>
      </c>
      <c r="AW153" s="1342">
        <f t="shared" si="92"/>
        <v>0</v>
      </c>
      <c r="AX153" s="1342">
        <f t="shared" si="93"/>
        <v>0</v>
      </c>
      <c r="AY153" s="39">
        <f t="shared" si="68"/>
        <v>0</v>
      </c>
      <c r="AZ153" s="32">
        <f t="shared" si="69"/>
        <v>0</v>
      </c>
      <c r="BA153" s="32">
        <f t="shared" si="70"/>
        <v>0</v>
      </c>
      <c r="BB153" s="32">
        <f t="shared" si="71"/>
        <v>0</v>
      </c>
      <c r="BC153" s="32">
        <f t="shared" si="72"/>
        <v>0</v>
      </c>
      <c r="BD153" s="32">
        <f t="shared" si="73"/>
        <v>0</v>
      </c>
      <c r="BE153" s="32">
        <f t="shared" si="74"/>
        <v>0</v>
      </c>
      <c r="BF153" s="32">
        <f t="shared" si="75"/>
        <v>0</v>
      </c>
      <c r="BG153" s="32">
        <f t="shared" si="76"/>
        <v>0</v>
      </c>
      <c r="BH153" s="32">
        <f t="shared" si="77"/>
        <v>0</v>
      </c>
      <c r="BI153" s="32">
        <f t="shared" si="78"/>
        <v>0</v>
      </c>
      <c r="BJ153" s="32">
        <f t="shared" si="79"/>
        <v>0</v>
      </c>
      <c r="BK153" s="32">
        <f t="shared" si="80"/>
        <v>0</v>
      </c>
      <c r="BL153" s="32">
        <f t="shared" si="81"/>
        <v>0</v>
      </c>
      <c r="BM153" s="32">
        <f t="shared" si="82"/>
        <v>0</v>
      </c>
      <c r="BN153" s="32">
        <f t="shared" si="83"/>
        <v>0</v>
      </c>
      <c r="BO153" s="32">
        <f t="shared" si="84"/>
        <v>0</v>
      </c>
      <c r="BP153" s="32">
        <f t="shared" si="85"/>
        <v>0</v>
      </c>
      <c r="BQ153" s="32">
        <f t="shared" si="86"/>
        <v>0</v>
      </c>
      <c r="BR153" s="32">
        <f t="shared" si="87"/>
        <v>0</v>
      </c>
      <c r="BS153" s="32">
        <f t="shared" si="88"/>
        <v>0</v>
      </c>
      <c r="BT153" s="40">
        <f t="shared" si="89"/>
        <v>0</v>
      </c>
    </row>
    <row r="154" spans="1:72">
      <c r="A154" s="6"/>
      <c r="B154" s="31"/>
      <c r="C154" s="31"/>
      <c r="D154" s="1629"/>
      <c r="E154" s="32">
        <f t="shared" si="90"/>
        <v>0</v>
      </c>
      <c r="F154" s="33"/>
      <c r="G154" s="34">
        <f t="shared" si="65"/>
        <v>0</v>
      </c>
      <c r="H154" s="35">
        <f t="shared" si="66"/>
        <v>0</v>
      </c>
      <c r="I154" s="36"/>
      <c r="J154" s="36"/>
      <c r="K154" s="36"/>
      <c r="L154" s="36"/>
      <c r="M154" s="36"/>
      <c r="N154" s="36"/>
      <c r="O154" s="36"/>
      <c r="P154" s="36"/>
      <c r="Q154" s="36"/>
      <c r="R154" s="36"/>
      <c r="S154" s="36"/>
      <c r="T154" s="36"/>
      <c r="U154" s="36"/>
      <c r="V154" s="36"/>
      <c r="W154" s="36"/>
      <c r="X154" s="36"/>
      <c r="Y154" s="36"/>
      <c r="Z154" s="36"/>
      <c r="AA154" s="36"/>
      <c r="AB154" s="36"/>
      <c r="AC154" s="32">
        <f t="shared" si="67"/>
        <v>0</v>
      </c>
      <c r="AD154" s="37"/>
      <c r="AE154" s="37"/>
      <c r="AF154" s="37"/>
      <c r="AG154" s="37"/>
      <c r="AH154" s="37"/>
      <c r="AI154" s="37"/>
      <c r="AJ154" s="37"/>
      <c r="AK154" s="37"/>
      <c r="AL154" s="37"/>
      <c r="AM154" s="37"/>
      <c r="AN154" s="37"/>
      <c r="AO154" s="37"/>
      <c r="AP154" s="37"/>
      <c r="AQ154" s="37"/>
      <c r="AR154" s="37"/>
      <c r="AS154" s="37"/>
      <c r="AT154" s="38"/>
      <c r="AU154" s="1630"/>
      <c r="AV154" s="1342">
        <f t="shared" si="91"/>
        <v>0</v>
      </c>
      <c r="AW154" s="1342">
        <f t="shared" si="92"/>
        <v>0</v>
      </c>
      <c r="AX154" s="1342">
        <f t="shared" si="93"/>
        <v>0</v>
      </c>
      <c r="AY154" s="39">
        <f t="shared" si="68"/>
        <v>0</v>
      </c>
      <c r="AZ154" s="32">
        <f t="shared" si="69"/>
        <v>0</v>
      </c>
      <c r="BA154" s="32">
        <f t="shared" si="70"/>
        <v>0</v>
      </c>
      <c r="BB154" s="32">
        <f t="shared" si="71"/>
        <v>0</v>
      </c>
      <c r="BC154" s="32">
        <f t="shared" si="72"/>
        <v>0</v>
      </c>
      <c r="BD154" s="32">
        <f t="shared" si="73"/>
        <v>0</v>
      </c>
      <c r="BE154" s="32">
        <f t="shared" si="74"/>
        <v>0</v>
      </c>
      <c r="BF154" s="32">
        <f t="shared" si="75"/>
        <v>0</v>
      </c>
      <c r="BG154" s="32">
        <f t="shared" si="76"/>
        <v>0</v>
      </c>
      <c r="BH154" s="32">
        <f t="shared" si="77"/>
        <v>0</v>
      </c>
      <c r="BI154" s="32">
        <f t="shared" si="78"/>
        <v>0</v>
      </c>
      <c r="BJ154" s="32">
        <f t="shared" si="79"/>
        <v>0</v>
      </c>
      <c r="BK154" s="32">
        <f t="shared" si="80"/>
        <v>0</v>
      </c>
      <c r="BL154" s="32">
        <f t="shared" si="81"/>
        <v>0</v>
      </c>
      <c r="BM154" s="32">
        <f t="shared" si="82"/>
        <v>0</v>
      </c>
      <c r="BN154" s="32">
        <f t="shared" si="83"/>
        <v>0</v>
      </c>
      <c r="BO154" s="32">
        <f t="shared" si="84"/>
        <v>0</v>
      </c>
      <c r="BP154" s="32">
        <f t="shared" si="85"/>
        <v>0</v>
      </c>
      <c r="BQ154" s="32">
        <f t="shared" si="86"/>
        <v>0</v>
      </c>
      <c r="BR154" s="32">
        <f t="shared" si="87"/>
        <v>0</v>
      </c>
      <c r="BS154" s="32">
        <f t="shared" si="88"/>
        <v>0</v>
      </c>
      <c r="BT154" s="40">
        <f t="shared" si="89"/>
        <v>0</v>
      </c>
    </row>
    <row r="155" spans="1:72">
      <c r="A155" s="6"/>
      <c r="B155" s="31"/>
      <c r="C155" s="31"/>
      <c r="D155" s="1629"/>
      <c r="E155" s="32">
        <f t="shared" si="90"/>
        <v>0</v>
      </c>
      <c r="F155" s="33"/>
      <c r="G155" s="34">
        <f t="shared" si="65"/>
        <v>0</v>
      </c>
      <c r="H155" s="35">
        <f t="shared" si="66"/>
        <v>0</v>
      </c>
      <c r="I155" s="36"/>
      <c r="J155" s="36"/>
      <c r="K155" s="36"/>
      <c r="L155" s="36"/>
      <c r="M155" s="36"/>
      <c r="N155" s="36"/>
      <c r="O155" s="36"/>
      <c r="P155" s="36"/>
      <c r="Q155" s="36"/>
      <c r="R155" s="36"/>
      <c r="S155" s="36"/>
      <c r="T155" s="36"/>
      <c r="U155" s="36"/>
      <c r="V155" s="36"/>
      <c r="W155" s="36"/>
      <c r="X155" s="36"/>
      <c r="Y155" s="36"/>
      <c r="Z155" s="36"/>
      <c r="AA155" s="36"/>
      <c r="AB155" s="36"/>
      <c r="AC155" s="32">
        <f t="shared" si="67"/>
        <v>0</v>
      </c>
      <c r="AD155" s="37"/>
      <c r="AE155" s="37"/>
      <c r="AF155" s="37"/>
      <c r="AG155" s="37"/>
      <c r="AH155" s="37"/>
      <c r="AI155" s="37"/>
      <c r="AJ155" s="37"/>
      <c r="AK155" s="37"/>
      <c r="AL155" s="37"/>
      <c r="AM155" s="37"/>
      <c r="AN155" s="37"/>
      <c r="AO155" s="37"/>
      <c r="AP155" s="37"/>
      <c r="AQ155" s="37"/>
      <c r="AR155" s="37"/>
      <c r="AS155" s="37"/>
      <c r="AT155" s="38"/>
      <c r="AU155" s="1630"/>
      <c r="AV155" s="1342">
        <f t="shared" si="91"/>
        <v>0</v>
      </c>
      <c r="AW155" s="1342">
        <f t="shared" si="92"/>
        <v>0</v>
      </c>
      <c r="AX155" s="1342">
        <f t="shared" si="93"/>
        <v>0</v>
      </c>
      <c r="AY155" s="39">
        <f t="shared" si="68"/>
        <v>0</v>
      </c>
      <c r="AZ155" s="32">
        <f t="shared" si="69"/>
        <v>0</v>
      </c>
      <c r="BA155" s="32">
        <f t="shared" si="70"/>
        <v>0</v>
      </c>
      <c r="BB155" s="32">
        <f t="shared" si="71"/>
        <v>0</v>
      </c>
      <c r="BC155" s="32">
        <f t="shared" si="72"/>
        <v>0</v>
      </c>
      <c r="BD155" s="32">
        <f t="shared" si="73"/>
        <v>0</v>
      </c>
      <c r="BE155" s="32">
        <f t="shared" si="74"/>
        <v>0</v>
      </c>
      <c r="BF155" s="32">
        <f t="shared" si="75"/>
        <v>0</v>
      </c>
      <c r="BG155" s="32">
        <f t="shared" si="76"/>
        <v>0</v>
      </c>
      <c r="BH155" s="32">
        <f t="shared" si="77"/>
        <v>0</v>
      </c>
      <c r="BI155" s="32">
        <f t="shared" si="78"/>
        <v>0</v>
      </c>
      <c r="BJ155" s="32">
        <f t="shared" si="79"/>
        <v>0</v>
      </c>
      <c r="BK155" s="32">
        <f t="shared" si="80"/>
        <v>0</v>
      </c>
      <c r="BL155" s="32">
        <f t="shared" si="81"/>
        <v>0</v>
      </c>
      <c r="BM155" s="32">
        <f t="shared" si="82"/>
        <v>0</v>
      </c>
      <c r="BN155" s="32">
        <f t="shared" si="83"/>
        <v>0</v>
      </c>
      <c r="BO155" s="32">
        <f t="shared" si="84"/>
        <v>0</v>
      </c>
      <c r="BP155" s="32">
        <f t="shared" si="85"/>
        <v>0</v>
      </c>
      <c r="BQ155" s="32">
        <f t="shared" si="86"/>
        <v>0</v>
      </c>
      <c r="BR155" s="32">
        <f t="shared" si="87"/>
        <v>0</v>
      </c>
      <c r="BS155" s="32">
        <f t="shared" si="88"/>
        <v>0</v>
      </c>
      <c r="BT155" s="40">
        <f t="shared" si="89"/>
        <v>0</v>
      </c>
    </row>
    <row r="156" spans="1:72">
      <c r="A156" s="6"/>
      <c r="B156" s="31"/>
      <c r="C156" s="31"/>
      <c r="D156" s="1629"/>
      <c r="E156" s="32">
        <f t="shared" si="90"/>
        <v>0</v>
      </c>
      <c r="F156" s="33"/>
      <c r="G156" s="34">
        <f t="shared" si="65"/>
        <v>0</v>
      </c>
      <c r="H156" s="35">
        <f t="shared" si="66"/>
        <v>0</v>
      </c>
      <c r="I156" s="36"/>
      <c r="J156" s="36"/>
      <c r="K156" s="36"/>
      <c r="L156" s="36"/>
      <c r="M156" s="36"/>
      <c r="N156" s="36"/>
      <c r="O156" s="36"/>
      <c r="P156" s="36"/>
      <c r="Q156" s="36"/>
      <c r="R156" s="36"/>
      <c r="S156" s="36"/>
      <c r="T156" s="36"/>
      <c r="U156" s="36"/>
      <c r="V156" s="36"/>
      <c r="W156" s="36"/>
      <c r="X156" s="36"/>
      <c r="Y156" s="36"/>
      <c r="Z156" s="36"/>
      <c r="AA156" s="36"/>
      <c r="AB156" s="36"/>
      <c r="AC156" s="32">
        <f t="shared" si="67"/>
        <v>0</v>
      </c>
      <c r="AD156" s="37"/>
      <c r="AE156" s="37"/>
      <c r="AF156" s="37"/>
      <c r="AG156" s="37"/>
      <c r="AH156" s="37"/>
      <c r="AI156" s="37"/>
      <c r="AJ156" s="37"/>
      <c r="AK156" s="37"/>
      <c r="AL156" s="37"/>
      <c r="AM156" s="37"/>
      <c r="AN156" s="37"/>
      <c r="AO156" s="37"/>
      <c r="AP156" s="37"/>
      <c r="AQ156" s="37"/>
      <c r="AR156" s="37"/>
      <c r="AS156" s="37"/>
      <c r="AT156" s="38"/>
      <c r="AU156" s="1630"/>
      <c r="AV156" s="1342">
        <f t="shared" si="91"/>
        <v>0</v>
      </c>
      <c r="AW156" s="1342">
        <f t="shared" si="92"/>
        <v>0</v>
      </c>
      <c r="AX156" s="1342">
        <f t="shared" si="93"/>
        <v>0</v>
      </c>
      <c r="AY156" s="39">
        <f t="shared" si="68"/>
        <v>0</v>
      </c>
      <c r="AZ156" s="32">
        <f t="shared" si="69"/>
        <v>0</v>
      </c>
      <c r="BA156" s="32">
        <f t="shared" si="70"/>
        <v>0</v>
      </c>
      <c r="BB156" s="32">
        <f t="shared" si="71"/>
        <v>0</v>
      </c>
      <c r="BC156" s="32">
        <f t="shared" si="72"/>
        <v>0</v>
      </c>
      <c r="BD156" s="32">
        <f t="shared" si="73"/>
        <v>0</v>
      </c>
      <c r="BE156" s="32">
        <f t="shared" si="74"/>
        <v>0</v>
      </c>
      <c r="BF156" s="32">
        <f t="shared" si="75"/>
        <v>0</v>
      </c>
      <c r="BG156" s="32">
        <f t="shared" si="76"/>
        <v>0</v>
      </c>
      <c r="BH156" s="32">
        <f t="shared" si="77"/>
        <v>0</v>
      </c>
      <c r="BI156" s="32">
        <f t="shared" si="78"/>
        <v>0</v>
      </c>
      <c r="BJ156" s="32">
        <f t="shared" si="79"/>
        <v>0</v>
      </c>
      <c r="BK156" s="32">
        <f t="shared" si="80"/>
        <v>0</v>
      </c>
      <c r="BL156" s="32">
        <f t="shared" si="81"/>
        <v>0</v>
      </c>
      <c r="BM156" s="32">
        <f t="shared" si="82"/>
        <v>0</v>
      </c>
      <c r="BN156" s="32">
        <f t="shared" si="83"/>
        <v>0</v>
      </c>
      <c r="BO156" s="32">
        <f t="shared" si="84"/>
        <v>0</v>
      </c>
      <c r="BP156" s="32">
        <f t="shared" si="85"/>
        <v>0</v>
      </c>
      <c r="BQ156" s="32">
        <f t="shared" si="86"/>
        <v>0</v>
      </c>
      <c r="BR156" s="32">
        <f t="shared" si="87"/>
        <v>0</v>
      </c>
      <c r="BS156" s="32">
        <f t="shared" si="88"/>
        <v>0</v>
      </c>
      <c r="BT156" s="40">
        <f t="shared" si="89"/>
        <v>0</v>
      </c>
    </row>
    <row r="157" spans="1:72">
      <c r="A157" s="6"/>
      <c r="B157" s="31"/>
      <c r="C157" s="31"/>
      <c r="D157" s="1629"/>
      <c r="E157" s="32">
        <f t="shared" si="90"/>
        <v>0</v>
      </c>
      <c r="F157" s="33"/>
      <c r="G157" s="34">
        <f t="shared" si="65"/>
        <v>0</v>
      </c>
      <c r="H157" s="35">
        <f t="shared" si="66"/>
        <v>0</v>
      </c>
      <c r="I157" s="36"/>
      <c r="J157" s="36"/>
      <c r="K157" s="36"/>
      <c r="L157" s="36"/>
      <c r="M157" s="36"/>
      <c r="N157" s="36"/>
      <c r="O157" s="36"/>
      <c r="P157" s="36"/>
      <c r="Q157" s="36"/>
      <c r="R157" s="36"/>
      <c r="S157" s="36"/>
      <c r="T157" s="36"/>
      <c r="U157" s="36"/>
      <c r="V157" s="36"/>
      <c r="W157" s="36"/>
      <c r="X157" s="36"/>
      <c r="Y157" s="36"/>
      <c r="Z157" s="36"/>
      <c r="AA157" s="36"/>
      <c r="AB157" s="36"/>
      <c r="AC157" s="32">
        <f t="shared" si="67"/>
        <v>0</v>
      </c>
      <c r="AD157" s="37"/>
      <c r="AE157" s="37"/>
      <c r="AF157" s="37"/>
      <c r="AG157" s="37"/>
      <c r="AH157" s="37"/>
      <c r="AI157" s="37"/>
      <c r="AJ157" s="37"/>
      <c r="AK157" s="37"/>
      <c r="AL157" s="37"/>
      <c r="AM157" s="37"/>
      <c r="AN157" s="37"/>
      <c r="AO157" s="37"/>
      <c r="AP157" s="37"/>
      <c r="AQ157" s="37"/>
      <c r="AR157" s="37"/>
      <c r="AS157" s="37"/>
      <c r="AT157" s="38"/>
      <c r="AU157" s="1630"/>
      <c r="AV157" s="1342">
        <f t="shared" si="91"/>
        <v>0</v>
      </c>
      <c r="AW157" s="1342">
        <f t="shared" si="92"/>
        <v>0</v>
      </c>
      <c r="AX157" s="1342">
        <f t="shared" si="93"/>
        <v>0</v>
      </c>
      <c r="AY157" s="39">
        <f t="shared" si="68"/>
        <v>0</v>
      </c>
      <c r="AZ157" s="32">
        <f t="shared" si="69"/>
        <v>0</v>
      </c>
      <c r="BA157" s="32">
        <f t="shared" si="70"/>
        <v>0</v>
      </c>
      <c r="BB157" s="32">
        <f t="shared" si="71"/>
        <v>0</v>
      </c>
      <c r="BC157" s="32">
        <f t="shared" si="72"/>
        <v>0</v>
      </c>
      <c r="BD157" s="32">
        <f t="shared" si="73"/>
        <v>0</v>
      </c>
      <c r="BE157" s="32">
        <f t="shared" si="74"/>
        <v>0</v>
      </c>
      <c r="BF157" s="32">
        <f t="shared" si="75"/>
        <v>0</v>
      </c>
      <c r="BG157" s="32">
        <f t="shared" si="76"/>
        <v>0</v>
      </c>
      <c r="BH157" s="32">
        <f t="shared" si="77"/>
        <v>0</v>
      </c>
      <c r="BI157" s="32">
        <f t="shared" si="78"/>
        <v>0</v>
      </c>
      <c r="BJ157" s="32">
        <f t="shared" si="79"/>
        <v>0</v>
      </c>
      <c r="BK157" s="32">
        <f t="shared" si="80"/>
        <v>0</v>
      </c>
      <c r="BL157" s="32">
        <f t="shared" si="81"/>
        <v>0</v>
      </c>
      <c r="BM157" s="32">
        <f t="shared" si="82"/>
        <v>0</v>
      </c>
      <c r="BN157" s="32">
        <f t="shared" si="83"/>
        <v>0</v>
      </c>
      <c r="BO157" s="32">
        <f t="shared" si="84"/>
        <v>0</v>
      </c>
      <c r="BP157" s="32">
        <f t="shared" si="85"/>
        <v>0</v>
      </c>
      <c r="BQ157" s="32">
        <f t="shared" si="86"/>
        <v>0</v>
      </c>
      <c r="BR157" s="32">
        <f t="shared" si="87"/>
        <v>0</v>
      </c>
      <c r="BS157" s="32">
        <f t="shared" si="88"/>
        <v>0</v>
      </c>
      <c r="BT157" s="40">
        <f t="shared" si="89"/>
        <v>0</v>
      </c>
    </row>
    <row r="158" spans="1:72">
      <c r="A158" s="6"/>
      <c r="B158" s="31"/>
      <c r="C158" s="31"/>
      <c r="D158" s="1629"/>
      <c r="E158" s="32">
        <f t="shared" si="90"/>
        <v>0</v>
      </c>
      <c r="F158" s="33"/>
      <c r="G158" s="34">
        <f t="shared" si="65"/>
        <v>0</v>
      </c>
      <c r="H158" s="35">
        <f t="shared" si="66"/>
        <v>0</v>
      </c>
      <c r="I158" s="36"/>
      <c r="J158" s="36"/>
      <c r="K158" s="36"/>
      <c r="L158" s="36"/>
      <c r="M158" s="36"/>
      <c r="N158" s="36"/>
      <c r="O158" s="36"/>
      <c r="P158" s="36"/>
      <c r="Q158" s="36"/>
      <c r="R158" s="36"/>
      <c r="S158" s="36"/>
      <c r="T158" s="36"/>
      <c r="U158" s="36"/>
      <c r="V158" s="36"/>
      <c r="W158" s="36"/>
      <c r="X158" s="36"/>
      <c r="Y158" s="36"/>
      <c r="Z158" s="36"/>
      <c r="AA158" s="36"/>
      <c r="AB158" s="36"/>
      <c r="AC158" s="32">
        <f t="shared" si="67"/>
        <v>0</v>
      </c>
      <c r="AD158" s="37"/>
      <c r="AE158" s="37"/>
      <c r="AF158" s="37"/>
      <c r="AG158" s="37"/>
      <c r="AH158" s="37"/>
      <c r="AI158" s="37"/>
      <c r="AJ158" s="37"/>
      <c r="AK158" s="37"/>
      <c r="AL158" s="37"/>
      <c r="AM158" s="37"/>
      <c r="AN158" s="37"/>
      <c r="AO158" s="37"/>
      <c r="AP158" s="37"/>
      <c r="AQ158" s="37"/>
      <c r="AR158" s="37"/>
      <c r="AS158" s="37"/>
      <c r="AT158" s="38"/>
      <c r="AU158" s="1630"/>
      <c r="AV158" s="1342">
        <f t="shared" si="91"/>
        <v>0</v>
      </c>
      <c r="AW158" s="1342">
        <f t="shared" si="92"/>
        <v>0</v>
      </c>
      <c r="AX158" s="1342">
        <f t="shared" si="93"/>
        <v>0</v>
      </c>
      <c r="AY158" s="39">
        <f t="shared" si="68"/>
        <v>0</v>
      </c>
      <c r="AZ158" s="32">
        <f t="shared" si="69"/>
        <v>0</v>
      </c>
      <c r="BA158" s="32">
        <f t="shared" si="70"/>
        <v>0</v>
      </c>
      <c r="BB158" s="32">
        <f t="shared" si="71"/>
        <v>0</v>
      </c>
      <c r="BC158" s="32">
        <f t="shared" si="72"/>
        <v>0</v>
      </c>
      <c r="BD158" s="32">
        <f t="shared" si="73"/>
        <v>0</v>
      </c>
      <c r="BE158" s="32">
        <f t="shared" si="74"/>
        <v>0</v>
      </c>
      <c r="BF158" s="32">
        <f t="shared" si="75"/>
        <v>0</v>
      </c>
      <c r="BG158" s="32">
        <f t="shared" si="76"/>
        <v>0</v>
      </c>
      <c r="BH158" s="32">
        <f t="shared" si="77"/>
        <v>0</v>
      </c>
      <c r="BI158" s="32">
        <f t="shared" si="78"/>
        <v>0</v>
      </c>
      <c r="BJ158" s="32">
        <f t="shared" si="79"/>
        <v>0</v>
      </c>
      <c r="BK158" s="32">
        <f t="shared" si="80"/>
        <v>0</v>
      </c>
      <c r="BL158" s="32">
        <f t="shared" si="81"/>
        <v>0</v>
      </c>
      <c r="BM158" s="32">
        <f t="shared" si="82"/>
        <v>0</v>
      </c>
      <c r="BN158" s="32">
        <f t="shared" si="83"/>
        <v>0</v>
      </c>
      <c r="BO158" s="32">
        <f t="shared" si="84"/>
        <v>0</v>
      </c>
      <c r="BP158" s="32">
        <f t="shared" si="85"/>
        <v>0</v>
      </c>
      <c r="BQ158" s="32">
        <f t="shared" si="86"/>
        <v>0</v>
      </c>
      <c r="BR158" s="32">
        <f t="shared" si="87"/>
        <v>0</v>
      </c>
      <c r="BS158" s="32">
        <f t="shared" si="88"/>
        <v>0</v>
      </c>
      <c r="BT158" s="40">
        <f t="shared" si="89"/>
        <v>0</v>
      </c>
    </row>
    <row r="159" spans="1:72">
      <c r="A159" s="6"/>
      <c r="B159" s="31"/>
      <c r="C159" s="31"/>
      <c r="D159" s="1629"/>
      <c r="E159" s="32">
        <f t="shared" si="90"/>
        <v>0</v>
      </c>
      <c r="F159" s="33"/>
      <c r="G159" s="34">
        <f t="shared" si="65"/>
        <v>0</v>
      </c>
      <c r="H159" s="35">
        <f t="shared" si="66"/>
        <v>0</v>
      </c>
      <c r="I159" s="36"/>
      <c r="J159" s="36"/>
      <c r="K159" s="36"/>
      <c r="L159" s="36"/>
      <c r="M159" s="36"/>
      <c r="N159" s="36"/>
      <c r="O159" s="36"/>
      <c r="P159" s="36"/>
      <c r="Q159" s="36"/>
      <c r="R159" s="36"/>
      <c r="S159" s="36"/>
      <c r="T159" s="36"/>
      <c r="U159" s="36"/>
      <c r="V159" s="36"/>
      <c r="W159" s="36"/>
      <c r="X159" s="36"/>
      <c r="Y159" s="36"/>
      <c r="Z159" s="36"/>
      <c r="AA159" s="36"/>
      <c r="AB159" s="36"/>
      <c r="AC159" s="32">
        <f t="shared" si="67"/>
        <v>0</v>
      </c>
      <c r="AD159" s="37"/>
      <c r="AE159" s="37"/>
      <c r="AF159" s="37"/>
      <c r="AG159" s="37"/>
      <c r="AH159" s="37"/>
      <c r="AI159" s="37"/>
      <c r="AJ159" s="37"/>
      <c r="AK159" s="37"/>
      <c r="AL159" s="37"/>
      <c r="AM159" s="37"/>
      <c r="AN159" s="37"/>
      <c r="AO159" s="37"/>
      <c r="AP159" s="37"/>
      <c r="AQ159" s="37"/>
      <c r="AR159" s="37"/>
      <c r="AS159" s="37"/>
      <c r="AT159" s="38"/>
      <c r="AU159" s="1630"/>
      <c r="AV159" s="1342">
        <f t="shared" si="91"/>
        <v>0</v>
      </c>
      <c r="AW159" s="1342">
        <f t="shared" si="92"/>
        <v>0</v>
      </c>
      <c r="AX159" s="1342">
        <f t="shared" si="93"/>
        <v>0</v>
      </c>
      <c r="AY159" s="39">
        <f t="shared" si="68"/>
        <v>0</v>
      </c>
      <c r="AZ159" s="32">
        <f t="shared" si="69"/>
        <v>0</v>
      </c>
      <c r="BA159" s="32">
        <f t="shared" si="70"/>
        <v>0</v>
      </c>
      <c r="BB159" s="32">
        <f t="shared" si="71"/>
        <v>0</v>
      </c>
      <c r="BC159" s="32">
        <f t="shared" si="72"/>
        <v>0</v>
      </c>
      <c r="BD159" s="32">
        <f t="shared" si="73"/>
        <v>0</v>
      </c>
      <c r="BE159" s="32">
        <f t="shared" si="74"/>
        <v>0</v>
      </c>
      <c r="BF159" s="32">
        <f t="shared" si="75"/>
        <v>0</v>
      </c>
      <c r="BG159" s="32">
        <f t="shared" si="76"/>
        <v>0</v>
      </c>
      <c r="BH159" s="32">
        <f t="shared" si="77"/>
        <v>0</v>
      </c>
      <c r="BI159" s="32">
        <f t="shared" si="78"/>
        <v>0</v>
      </c>
      <c r="BJ159" s="32">
        <f t="shared" si="79"/>
        <v>0</v>
      </c>
      <c r="BK159" s="32">
        <f t="shared" si="80"/>
        <v>0</v>
      </c>
      <c r="BL159" s="32">
        <f t="shared" si="81"/>
        <v>0</v>
      </c>
      <c r="BM159" s="32">
        <f t="shared" si="82"/>
        <v>0</v>
      </c>
      <c r="BN159" s="32">
        <f t="shared" si="83"/>
        <v>0</v>
      </c>
      <c r="BO159" s="32">
        <f t="shared" si="84"/>
        <v>0</v>
      </c>
      <c r="BP159" s="32">
        <f t="shared" si="85"/>
        <v>0</v>
      </c>
      <c r="BQ159" s="32">
        <f t="shared" si="86"/>
        <v>0</v>
      </c>
      <c r="BR159" s="32">
        <f t="shared" si="87"/>
        <v>0</v>
      </c>
      <c r="BS159" s="32">
        <f t="shared" si="88"/>
        <v>0</v>
      </c>
      <c r="BT159" s="40">
        <f t="shared" si="89"/>
        <v>0</v>
      </c>
    </row>
    <row r="160" spans="1:72">
      <c r="A160" s="6"/>
      <c r="B160" s="31"/>
      <c r="C160" s="31"/>
      <c r="D160" s="1629"/>
      <c r="E160" s="32">
        <f t="shared" si="90"/>
        <v>0</v>
      </c>
      <c r="F160" s="33"/>
      <c r="G160" s="34">
        <f t="shared" si="65"/>
        <v>0</v>
      </c>
      <c r="H160" s="35">
        <f t="shared" si="66"/>
        <v>0</v>
      </c>
      <c r="I160" s="36"/>
      <c r="J160" s="36"/>
      <c r="K160" s="36"/>
      <c r="L160" s="36"/>
      <c r="M160" s="36"/>
      <c r="N160" s="36"/>
      <c r="O160" s="36"/>
      <c r="P160" s="36"/>
      <c r="Q160" s="36"/>
      <c r="R160" s="36"/>
      <c r="S160" s="36"/>
      <c r="T160" s="36"/>
      <c r="U160" s="36"/>
      <c r="V160" s="36"/>
      <c r="W160" s="36"/>
      <c r="X160" s="36"/>
      <c r="Y160" s="36"/>
      <c r="Z160" s="36"/>
      <c r="AA160" s="36"/>
      <c r="AB160" s="36"/>
      <c r="AC160" s="32">
        <f t="shared" si="67"/>
        <v>0</v>
      </c>
      <c r="AD160" s="37"/>
      <c r="AE160" s="37"/>
      <c r="AF160" s="37"/>
      <c r="AG160" s="37"/>
      <c r="AH160" s="37"/>
      <c r="AI160" s="37"/>
      <c r="AJ160" s="37"/>
      <c r="AK160" s="37"/>
      <c r="AL160" s="37"/>
      <c r="AM160" s="37"/>
      <c r="AN160" s="37"/>
      <c r="AO160" s="37"/>
      <c r="AP160" s="37"/>
      <c r="AQ160" s="37"/>
      <c r="AR160" s="37"/>
      <c r="AS160" s="37"/>
      <c r="AT160" s="38"/>
      <c r="AU160" s="1630"/>
      <c r="AV160" s="1342">
        <f t="shared" si="91"/>
        <v>0</v>
      </c>
      <c r="AW160" s="1342">
        <f t="shared" si="92"/>
        <v>0</v>
      </c>
      <c r="AX160" s="1342">
        <f t="shared" si="93"/>
        <v>0</v>
      </c>
      <c r="AY160" s="39">
        <f t="shared" si="68"/>
        <v>0</v>
      </c>
      <c r="AZ160" s="32">
        <f t="shared" si="69"/>
        <v>0</v>
      </c>
      <c r="BA160" s="32">
        <f t="shared" si="70"/>
        <v>0</v>
      </c>
      <c r="BB160" s="32">
        <f t="shared" si="71"/>
        <v>0</v>
      </c>
      <c r="BC160" s="32">
        <f t="shared" si="72"/>
        <v>0</v>
      </c>
      <c r="BD160" s="32">
        <f t="shared" si="73"/>
        <v>0</v>
      </c>
      <c r="BE160" s="32">
        <f t="shared" si="74"/>
        <v>0</v>
      </c>
      <c r="BF160" s="32">
        <f t="shared" si="75"/>
        <v>0</v>
      </c>
      <c r="BG160" s="32">
        <f t="shared" si="76"/>
        <v>0</v>
      </c>
      <c r="BH160" s="32">
        <f t="shared" si="77"/>
        <v>0</v>
      </c>
      <c r="BI160" s="32">
        <f t="shared" si="78"/>
        <v>0</v>
      </c>
      <c r="BJ160" s="32">
        <f t="shared" si="79"/>
        <v>0</v>
      </c>
      <c r="BK160" s="32">
        <f t="shared" si="80"/>
        <v>0</v>
      </c>
      <c r="BL160" s="32">
        <f t="shared" si="81"/>
        <v>0</v>
      </c>
      <c r="BM160" s="32">
        <f t="shared" si="82"/>
        <v>0</v>
      </c>
      <c r="BN160" s="32">
        <f t="shared" si="83"/>
        <v>0</v>
      </c>
      <c r="BO160" s="32">
        <f t="shared" si="84"/>
        <v>0</v>
      </c>
      <c r="BP160" s="32">
        <f t="shared" si="85"/>
        <v>0</v>
      </c>
      <c r="BQ160" s="32">
        <f t="shared" si="86"/>
        <v>0</v>
      </c>
      <c r="BR160" s="32">
        <f t="shared" si="87"/>
        <v>0</v>
      </c>
      <c r="BS160" s="32">
        <f t="shared" si="88"/>
        <v>0</v>
      </c>
      <c r="BT160" s="40">
        <f t="shared" si="89"/>
        <v>0</v>
      </c>
    </row>
    <row r="161" spans="1:72">
      <c r="A161" s="6"/>
      <c r="B161" s="31"/>
      <c r="C161" s="31"/>
      <c r="D161" s="1629"/>
      <c r="E161" s="32">
        <f t="shared" si="90"/>
        <v>0</v>
      </c>
      <c r="F161" s="33"/>
      <c r="G161" s="34">
        <f t="shared" si="65"/>
        <v>0</v>
      </c>
      <c r="H161" s="35">
        <f t="shared" si="66"/>
        <v>0</v>
      </c>
      <c r="I161" s="36"/>
      <c r="J161" s="36"/>
      <c r="K161" s="36"/>
      <c r="L161" s="36"/>
      <c r="M161" s="36"/>
      <c r="N161" s="36"/>
      <c r="O161" s="36"/>
      <c r="P161" s="36"/>
      <c r="Q161" s="36"/>
      <c r="R161" s="36"/>
      <c r="S161" s="36"/>
      <c r="T161" s="36"/>
      <c r="U161" s="36"/>
      <c r="V161" s="36"/>
      <c r="W161" s="36"/>
      <c r="X161" s="36"/>
      <c r="Y161" s="36"/>
      <c r="Z161" s="36"/>
      <c r="AA161" s="36"/>
      <c r="AB161" s="36"/>
      <c r="AC161" s="32">
        <f t="shared" si="67"/>
        <v>0</v>
      </c>
      <c r="AD161" s="37"/>
      <c r="AE161" s="37"/>
      <c r="AF161" s="37"/>
      <c r="AG161" s="37"/>
      <c r="AH161" s="37"/>
      <c r="AI161" s="37"/>
      <c r="AJ161" s="37"/>
      <c r="AK161" s="37"/>
      <c r="AL161" s="37"/>
      <c r="AM161" s="37"/>
      <c r="AN161" s="37"/>
      <c r="AO161" s="37"/>
      <c r="AP161" s="37"/>
      <c r="AQ161" s="37"/>
      <c r="AR161" s="37"/>
      <c r="AS161" s="37"/>
      <c r="AT161" s="38"/>
      <c r="AU161" s="1630"/>
      <c r="AV161" s="1342">
        <f t="shared" si="91"/>
        <v>0</v>
      </c>
      <c r="AW161" s="1342">
        <f t="shared" si="92"/>
        <v>0</v>
      </c>
      <c r="AX161" s="1342">
        <f t="shared" si="93"/>
        <v>0</v>
      </c>
      <c r="AY161" s="39">
        <f t="shared" si="68"/>
        <v>0</v>
      </c>
      <c r="AZ161" s="32">
        <f t="shared" si="69"/>
        <v>0</v>
      </c>
      <c r="BA161" s="32">
        <f t="shared" si="70"/>
        <v>0</v>
      </c>
      <c r="BB161" s="32">
        <f t="shared" si="71"/>
        <v>0</v>
      </c>
      <c r="BC161" s="32">
        <f t="shared" si="72"/>
        <v>0</v>
      </c>
      <c r="BD161" s="32">
        <f t="shared" si="73"/>
        <v>0</v>
      </c>
      <c r="BE161" s="32">
        <f t="shared" si="74"/>
        <v>0</v>
      </c>
      <c r="BF161" s="32">
        <f t="shared" si="75"/>
        <v>0</v>
      </c>
      <c r="BG161" s="32">
        <f t="shared" si="76"/>
        <v>0</v>
      </c>
      <c r="BH161" s="32">
        <f t="shared" si="77"/>
        <v>0</v>
      </c>
      <c r="BI161" s="32">
        <f t="shared" si="78"/>
        <v>0</v>
      </c>
      <c r="BJ161" s="32">
        <f t="shared" si="79"/>
        <v>0</v>
      </c>
      <c r="BK161" s="32">
        <f t="shared" si="80"/>
        <v>0</v>
      </c>
      <c r="BL161" s="32">
        <f t="shared" si="81"/>
        <v>0</v>
      </c>
      <c r="BM161" s="32">
        <f t="shared" si="82"/>
        <v>0</v>
      </c>
      <c r="BN161" s="32">
        <f t="shared" si="83"/>
        <v>0</v>
      </c>
      <c r="BO161" s="32">
        <f t="shared" si="84"/>
        <v>0</v>
      </c>
      <c r="BP161" s="32">
        <f t="shared" si="85"/>
        <v>0</v>
      </c>
      <c r="BQ161" s="32">
        <f t="shared" si="86"/>
        <v>0</v>
      </c>
      <c r="BR161" s="32">
        <f t="shared" si="87"/>
        <v>0</v>
      </c>
      <c r="BS161" s="32">
        <f t="shared" si="88"/>
        <v>0</v>
      </c>
      <c r="BT161" s="40">
        <f t="shared" si="89"/>
        <v>0</v>
      </c>
    </row>
    <row r="162" spans="1:72">
      <c r="A162" s="6"/>
      <c r="B162" s="31"/>
      <c r="C162" s="31"/>
      <c r="D162" s="1629"/>
      <c r="E162" s="32">
        <f t="shared" si="90"/>
        <v>0</v>
      </c>
      <c r="F162" s="33"/>
      <c r="G162" s="34">
        <f t="shared" si="65"/>
        <v>0</v>
      </c>
      <c r="H162" s="35">
        <f t="shared" si="66"/>
        <v>0</v>
      </c>
      <c r="I162" s="36"/>
      <c r="J162" s="36"/>
      <c r="K162" s="36"/>
      <c r="L162" s="36"/>
      <c r="M162" s="36"/>
      <c r="N162" s="36"/>
      <c r="O162" s="36"/>
      <c r="P162" s="36"/>
      <c r="Q162" s="36"/>
      <c r="R162" s="36"/>
      <c r="S162" s="36"/>
      <c r="T162" s="36"/>
      <c r="U162" s="36"/>
      <c r="V162" s="36"/>
      <c r="W162" s="36"/>
      <c r="X162" s="36"/>
      <c r="Y162" s="36"/>
      <c r="Z162" s="36"/>
      <c r="AA162" s="36"/>
      <c r="AB162" s="36"/>
      <c r="AC162" s="32">
        <f t="shared" si="67"/>
        <v>0</v>
      </c>
      <c r="AD162" s="37"/>
      <c r="AE162" s="37"/>
      <c r="AF162" s="37"/>
      <c r="AG162" s="37"/>
      <c r="AH162" s="37"/>
      <c r="AI162" s="37"/>
      <c r="AJ162" s="37"/>
      <c r="AK162" s="37"/>
      <c r="AL162" s="37"/>
      <c r="AM162" s="37"/>
      <c r="AN162" s="37"/>
      <c r="AO162" s="37"/>
      <c r="AP162" s="37"/>
      <c r="AQ162" s="37"/>
      <c r="AR162" s="37"/>
      <c r="AS162" s="37"/>
      <c r="AT162" s="38"/>
      <c r="AU162" s="1630"/>
      <c r="AV162" s="1342">
        <f t="shared" si="91"/>
        <v>0</v>
      </c>
      <c r="AW162" s="1342">
        <f t="shared" si="92"/>
        <v>0</v>
      </c>
      <c r="AX162" s="1342">
        <f t="shared" si="93"/>
        <v>0</v>
      </c>
      <c r="AY162" s="39">
        <f t="shared" si="68"/>
        <v>0</v>
      </c>
      <c r="AZ162" s="32">
        <f t="shared" si="69"/>
        <v>0</v>
      </c>
      <c r="BA162" s="32">
        <f t="shared" si="70"/>
        <v>0</v>
      </c>
      <c r="BB162" s="32">
        <f t="shared" si="71"/>
        <v>0</v>
      </c>
      <c r="BC162" s="32">
        <f t="shared" si="72"/>
        <v>0</v>
      </c>
      <c r="BD162" s="32">
        <f t="shared" si="73"/>
        <v>0</v>
      </c>
      <c r="BE162" s="32">
        <f t="shared" si="74"/>
        <v>0</v>
      </c>
      <c r="BF162" s="32">
        <f t="shared" si="75"/>
        <v>0</v>
      </c>
      <c r="BG162" s="32">
        <f t="shared" si="76"/>
        <v>0</v>
      </c>
      <c r="BH162" s="32">
        <f t="shared" si="77"/>
        <v>0</v>
      </c>
      <c r="BI162" s="32">
        <f t="shared" si="78"/>
        <v>0</v>
      </c>
      <c r="BJ162" s="32">
        <f t="shared" si="79"/>
        <v>0</v>
      </c>
      <c r="BK162" s="32">
        <f t="shared" si="80"/>
        <v>0</v>
      </c>
      <c r="BL162" s="32">
        <f t="shared" si="81"/>
        <v>0</v>
      </c>
      <c r="BM162" s="32">
        <f t="shared" si="82"/>
        <v>0</v>
      </c>
      <c r="BN162" s="32">
        <f t="shared" si="83"/>
        <v>0</v>
      </c>
      <c r="BO162" s="32">
        <f t="shared" si="84"/>
        <v>0</v>
      </c>
      <c r="BP162" s="32">
        <f t="shared" si="85"/>
        <v>0</v>
      </c>
      <c r="BQ162" s="32">
        <f t="shared" si="86"/>
        <v>0</v>
      </c>
      <c r="BR162" s="32">
        <f t="shared" si="87"/>
        <v>0</v>
      </c>
      <c r="BS162" s="32">
        <f t="shared" si="88"/>
        <v>0</v>
      </c>
      <c r="BT162" s="40">
        <f t="shared" si="89"/>
        <v>0</v>
      </c>
    </row>
    <row r="163" spans="1:72">
      <c r="A163" s="6"/>
      <c r="B163" s="31"/>
      <c r="C163" s="31"/>
      <c r="D163" s="1629"/>
      <c r="E163" s="32">
        <f t="shared" si="90"/>
        <v>0</v>
      </c>
      <c r="F163" s="33"/>
      <c r="G163" s="34">
        <f t="shared" si="65"/>
        <v>0</v>
      </c>
      <c r="H163" s="35">
        <f t="shared" si="66"/>
        <v>0</v>
      </c>
      <c r="I163" s="36"/>
      <c r="J163" s="36"/>
      <c r="K163" s="36"/>
      <c r="L163" s="36"/>
      <c r="M163" s="36"/>
      <c r="N163" s="36"/>
      <c r="O163" s="36"/>
      <c r="P163" s="36"/>
      <c r="Q163" s="36"/>
      <c r="R163" s="36"/>
      <c r="S163" s="36"/>
      <c r="T163" s="36"/>
      <c r="U163" s="36"/>
      <c r="V163" s="36"/>
      <c r="W163" s="36"/>
      <c r="X163" s="36"/>
      <c r="Y163" s="36"/>
      <c r="Z163" s="36"/>
      <c r="AA163" s="36"/>
      <c r="AB163" s="36"/>
      <c r="AC163" s="32">
        <f t="shared" si="67"/>
        <v>0</v>
      </c>
      <c r="AD163" s="37"/>
      <c r="AE163" s="37"/>
      <c r="AF163" s="37"/>
      <c r="AG163" s="37"/>
      <c r="AH163" s="37"/>
      <c r="AI163" s="37"/>
      <c r="AJ163" s="37"/>
      <c r="AK163" s="37"/>
      <c r="AL163" s="37"/>
      <c r="AM163" s="37"/>
      <c r="AN163" s="37"/>
      <c r="AO163" s="37"/>
      <c r="AP163" s="37"/>
      <c r="AQ163" s="37"/>
      <c r="AR163" s="37"/>
      <c r="AS163" s="37"/>
      <c r="AT163" s="38"/>
      <c r="AU163" s="1630"/>
      <c r="AV163" s="1342">
        <f t="shared" si="91"/>
        <v>0</v>
      </c>
      <c r="AW163" s="1342">
        <f t="shared" si="92"/>
        <v>0</v>
      </c>
      <c r="AX163" s="1342">
        <f t="shared" si="93"/>
        <v>0</v>
      </c>
      <c r="AY163" s="39">
        <f t="shared" si="68"/>
        <v>0</v>
      </c>
      <c r="AZ163" s="32">
        <f t="shared" si="69"/>
        <v>0</v>
      </c>
      <c r="BA163" s="32">
        <f t="shared" si="70"/>
        <v>0</v>
      </c>
      <c r="BB163" s="32">
        <f t="shared" si="71"/>
        <v>0</v>
      </c>
      <c r="BC163" s="32">
        <f t="shared" si="72"/>
        <v>0</v>
      </c>
      <c r="BD163" s="32">
        <f t="shared" si="73"/>
        <v>0</v>
      </c>
      <c r="BE163" s="32">
        <f t="shared" si="74"/>
        <v>0</v>
      </c>
      <c r="BF163" s="32">
        <f t="shared" si="75"/>
        <v>0</v>
      </c>
      <c r="BG163" s="32">
        <f t="shared" si="76"/>
        <v>0</v>
      </c>
      <c r="BH163" s="32">
        <f t="shared" si="77"/>
        <v>0</v>
      </c>
      <c r="BI163" s="32">
        <f t="shared" si="78"/>
        <v>0</v>
      </c>
      <c r="BJ163" s="32">
        <f t="shared" si="79"/>
        <v>0</v>
      </c>
      <c r="BK163" s="32">
        <f t="shared" si="80"/>
        <v>0</v>
      </c>
      <c r="BL163" s="32">
        <f t="shared" si="81"/>
        <v>0</v>
      </c>
      <c r="BM163" s="32">
        <f t="shared" si="82"/>
        <v>0</v>
      </c>
      <c r="BN163" s="32">
        <f t="shared" si="83"/>
        <v>0</v>
      </c>
      <c r="BO163" s="32">
        <f t="shared" si="84"/>
        <v>0</v>
      </c>
      <c r="BP163" s="32">
        <f t="shared" si="85"/>
        <v>0</v>
      </c>
      <c r="BQ163" s="32">
        <f t="shared" si="86"/>
        <v>0</v>
      </c>
      <c r="BR163" s="32">
        <f t="shared" si="87"/>
        <v>0</v>
      </c>
      <c r="BS163" s="32">
        <f t="shared" si="88"/>
        <v>0</v>
      </c>
      <c r="BT163" s="40">
        <f t="shared" si="89"/>
        <v>0</v>
      </c>
    </row>
    <row r="164" spans="1:72">
      <c r="A164" s="6"/>
      <c r="B164" s="31"/>
      <c r="C164" s="31"/>
      <c r="D164" s="1629"/>
      <c r="E164" s="32">
        <f t="shared" si="90"/>
        <v>0</v>
      </c>
      <c r="F164" s="33"/>
      <c r="G164" s="34">
        <f t="shared" si="65"/>
        <v>0</v>
      </c>
      <c r="H164" s="35">
        <f t="shared" si="66"/>
        <v>0</v>
      </c>
      <c r="I164" s="36"/>
      <c r="J164" s="36"/>
      <c r="K164" s="36"/>
      <c r="L164" s="36"/>
      <c r="M164" s="36"/>
      <c r="N164" s="36"/>
      <c r="O164" s="36"/>
      <c r="P164" s="36"/>
      <c r="Q164" s="36"/>
      <c r="R164" s="36"/>
      <c r="S164" s="36"/>
      <c r="T164" s="36"/>
      <c r="U164" s="36"/>
      <c r="V164" s="36"/>
      <c r="W164" s="36"/>
      <c r="X164" s="36"/>
      <c r="Y164" s="36"/>
      <c r="Z164" s="36"/>
      <c r="AA164" s="36"/>
      <c r="AB164" s="36"/>
      <c r="AC164" s="32">
        <f t="shared" si="67"/>
        <v>0</v>
      </c>
      <c r="AD164" s="37"/>
      <c r="AE164" s="37"/>
      <c r="AF164" s="37"/>
      <c r="AG164" s="37"/>
      <c r="AH164" s="37"/>
      <c r="AI164" s="37"/>
      <c r="AJ164" s="37"/>
      <c r="AK164" s="37"/>
      <c r="AL164" s="37"/>
      <c r="AM164" s="37"/>
      <c r="AN164" s="37"/>
      <c r="AO164" s="37"/>
      <c r="AP164" s="37"/>
      <c r="AQ164" s="37"/>
      <c r="AR164" s="37"/>
      <c r="AS164" s="37"/>
      <c r="AT164" s="38"/>
      <c r="AU164" s="1630"/>
      <c r="AV164" s="1342">
        <f t="shared" si="91"/>
        <v>0</v>
      </c>
      <c r="AW164" s="1342">
        <f t="shared" si="92"/>
        <v>0</v>
      </c>
      <c r="AX164" s="1342">
        <f t="shared" si="93"/>
        <v>0</v>
      </c>
      <c r="AY164" s="39">
        <f t="shared" si="68"/>
        <v>0</v>
      </c>
      <c r="AZ164" s="32">
        <f t="shared" si="69"/>
        <v>0</v>
      </c>
      <c r="BA164" s="32">
        <f t="shared" si="70"/>
        <v>0</v>
      </c>
      <c r="BB164" s="32">
        <f t="shared" si="71"/>
        <v>0</v>
      </c>
      <c r="BC164" s="32">
        <f t="shared" si="72"/>
        <v>0</v>
      </c>
      <c r="BD164" s="32">
        <f t="shared" si="73"/>
        <v>0</v>
      </c>
      <c r="BE164" s="32">
        <f t="shared" si="74"/>
        <v>0</v>
      </c>
      <c r="BF164" s="32">
        <f t="shared" si="75"/>
        <v>0</v>
      </c>
      <c r="BG164" s="32">
        <f t="shared" si="76"/>
        <v>0</v>
      </c>
      <c r="BH164" s="32">
        <f t="shared" si="77"/>
        <v>0</v>
      </c>
      <c r="BI164" s="32">
        <f t="shared" si="78"/>
        <v>0</v>
      </c>
      <c r="BJ164" s="32">
        <f t="shared" si="79"/>
        <v>0</v>
      </c>
      <c r="BK164" s="32">
        <f t="shared" si="80"/>
        <v>0</v>
      </c>
      <c r="BL164" s="32">
        <f t="shared" si="81"/>
        <v>0</v>
      </c>
      <c r="BM164" s="32">
        <f t="shared" si="82"/>
        <v>0</v>
      </c>
      <c r="BN164" s="32">
        <f t="shared" si="83"/>
        <v>0</v>
      </c>
      <c r="BO164" s="32">
        <f t="shared" si="84"/>
        <v>0</v>
      </c>
      <c r="BP164" s="32">
        <f t="shared" si="85"/>
        <v>0</v>
      </c>
      <c r="BQ164" s="32">
        <f t="shared" si="86"/>
        <v>0</v>
      </c>
      <c r="BR164" s="32">
        <f t="shared" si="87"/>
        <v>0</v>
      </c>
      <c r="BS164" s="32">
        <f t="shared" si="88"/>
        <v>0</v>
      </c>
      <c r="BT164" s="40">
        <f t="shared" si="89"/>
        <v>0</v>
      </c>
    </row>
    <row r="165" spans="1:72">
      <c r="A165" s="6"/>
      <c r="B165" s="31"/>
      <c r="C165" s="31"/>
      <c r="D165" s="1629"/>
      <c r="E165" s="32">
        <f t="shared" si="90"/>
        <v>0</v>
      </c>
      <c r="F165" s="33"/>
      <c r="G165" s="34">
        <f t="shared" si="65"/>
        <v>0</v>
      </c>
      <c r="H165" s="35">
        <f t="shared" si="66"/>
        <v>0</v>
      </c>
      <c r="I165" s="36"/>
      <c r="J165" s="36"/>
      <c r="K165" s="36"/>
      <c r="L165" s="36"/>
      <c r="M165" s="36"/>
      <c r="N165" s="36"/>
      <c r="O165" s="36"/>
      <c r="P165" s="36"/>
      <c r="Q165" s="36"/>
      <c r="R165" s="36"/>
      <c r="S165" s="36"/>
      <c r="T165" s="36"/>
      <c r="U165" s="36"/>
      <c r="V165" s="36"/>
      <c r="W165" s="36"/>
      <c r="X165" s="36"/>
      <c r="Y165" s="36"/>
      <c r="Z165" s="36"/>
      <c r="AA165" s="36"/>
      <c r="AB165" s="36"/>
      <c r="AC165" s="32">
        <f t="shared" si="67"/>
        <v>0</v>
      </c>
      <c r="AD165" s="37"/>
      <c r="AE165" s="37"/>
      <c r="AF165" s="37"/>
      <c r="AG165" s="37"/>
      <c r="AH165" s="37"/>
      <c r="AI165" s="37"/>
      <c r="AJ165" s="37"/>
      <c r="AK165" s="37"/>
      <c r="AL165" s="37"/>
      <c r="AM165" s="37"/>
      <c r="AN165" s="37"/>
      <c r="AO165" s="37"/>
      <c r="AP165" s="37"/>
      <c r="AQ165" s="37"/>
      <c r="AR165" s="37"/>
      <c r="AS165" s="37"/>
      <c r="AT165" s="38"/>
      <c r="AU165" s="1630"/>
      <c r="AV165" s="1342">
        <f t="shared" si="91"/>
        <v>0</v>
      </c>
      <c r="AW165" s="1342">
        <f t="shared" si="92"/>
        <v>0</v>
      </c>
      <c r="AX165" s="1342">
        <f t="shared" si="93"/>
        <v>0</v>
      </c>
      <c r="AY165" s="39">
        <f t="shared" si="68"/>
        <v>0</v>
      </c>
      <c r="AZ165" s="32">
        <f t="shared" si="69"/>
        <v>0</v>
      </c>
      <c r="BA165" s="32">
        <f t="shared" si="70"/>
        <v>0</v>
      </c>
      <c r="BB165" s="32">
        <f t="shared" si="71"/>
        <v>0</v>
      </c>
      <c r="BC165" s="32">
        <f t="shared" si="72"/>
        <v>0</v>
      </c>
      <c r="BD165" s="32">
        <f t="shared" si="73"/>
        <v>0</v>
      </c>
      <c r="BE165" s="32">
        <f t="shared" si="74"/>
        <v>0</v>
      </c>
      <c r="BF165" s="32">
        <f t="shared" si="75"/>
        <v>0</v>
      </c>
      <c r="BG165" s="32">
        <f t="shared" si="76"/>
        <v>0</v>
      </c>
      <c r="BH165" s="32">
        <f t="shared" si="77"/>
        <v>0</v>
      </c>
      <c r="BI165" s="32">
        <f t="shared" si="78"/>
        <v>0</v>
      </c>
      <c r="BJ165" s="32">
        <f t="shared" si="79"/>
        <v>0</v>
      </c>
      <c r="BK165" s="32">
        <f t="shared" si="80"/>
        <v>0</v>
      </c>
      <c r="BL165" s="32">
        <f t="shared" si="81"/>
        <v>0</v>
      </c>
      <c r="BM165" s="32">
        <f t="shared" si="82"/>
        <v>0</v>
      </c>
      <c r="BN165" s="32">
        <f t="shared" si="83"/>
        <v>0</v>
      </c>
      <c r="BO165" s="32">
        <f t="shared" si="84"/>
        <v>0</v>
      </c>
      <c r="BP165" s="32">
        <f t="shared" si="85"/>
        <v>0</v>
      </c>
      <c r="BQ165" s="32">
        <f t="shared" si="86"/>
        <v>0</v>
      </c>
      <c r="BR165" s="32">
        <f t="shared" si="87"/>
        <v>0</v>
      </c>
      <c r="BS165" s="32">
        <f t="shared" si="88"/>
        <v>0</v>
      </c>
      <c r="BT165" s="40">
        <f t="shared" si="89"/>
        <v>0</v>
      </c>
    </row>
    <row r="166" spans="1:72">
      <c r="A166" s="6"/>
      <c r="B166" s="31"/>
      <c r="C166" s="31"/>
      <c r="D166" s="1629"/>
      <c r="E166" s="32">
        <f t="shared" si="90"/>
        <v>0</v>
      </c>
      <c r="F166" s="33"/>
      <c r="G166" s="34">
        <f t="shared" si="65"/>
        <v>0</v>
      </c>
      <c r="H166" s="35">
        <f t="shared" si="66"/>
        <v>0</v>
      </c>
      <c r="I166" s="36"/>
      <c r="J166" s="36"/>
      <c r="K166" s="36"/>
      <c r="L166" s="36"/>
      <c r="M166" s="36"/>
      <c r="N166" s="36"/>
      <c r="O166" s="36"/>
      <c r="P166" s="36"/>
      <c r="Q166" s="36"/>
      <c r="R166" s="36"/>
      <c r="S166" s="36"/>
      <c r="T166" s="36"/>
      <c r="U166" s="36"/>
      <c r="V166" s="36"/>
      <c r="W166" s="36"/>
      <c r="X166" s="36"/>
      <c r="Y166" s="36"/>
      <c r="Z166" s="36"/>
      <c r="AA166" s="36"/>
      <c r="AB166" s="36"/>
      <c r="AC166" s="32">
        <f t="shared" si="67"/>
        <v>0</v>
      </c>
      <c r="AD166" s="37"/>
      <c r="AE166" s="37"/>
      <c r="AF166" s="37"/>
      <c r="AG166" s="37"/>
      <c r="AH166" s="37"/>
      <c r="AI166" s="37"/>
      <c r="AJ166" s="37"/>
      <c r="AK166" s="37"/>
      <c r="AL166" s="37"/>
      <c r="AM166" s="37"/>
      <c r="AN166" s="37"/>
      <c r="AO166" s="37"/>
      <c r="AP166" s="37"/>
      <c r="AQ166" s="37"/>
      <c r="AR166" s="37"/>
      <c r="AS166" s="37"/>
      <c r="AT166" s="38"/>
      <c r="AU166" s="1630"/>
      <c r="AV166" s="1342">
        <f t="shared" si="91"/>
        <v>0</v>
      </c>
      <c r="AW166" s="1342">
        <f t="shared" si="92"/>
        <v>0</v>
      </c>
      <c r="AX166" s="1342">
        <f t="shared" si="93"/>
        <v>0</v>
      </c>
      <c r="AY166" s="39">
        <f t="shared" si="68"/>
        <v>0</v>
      </c>
      <c r="AZ166" s="32">
        <f t="shared" si="69"/>
        <v>0</v>
      </c>
      <c r="BA166" s="32">
        <f t="shared" si="70"/>
        <v>0</v>
      </c>
      <c r="BB166" s="32">
        <f t="shared" si="71"/>
        <v>0</v>
      </c>
      <c r="BC166" s="32">
        <f t="shared" si="72"/>
        <v>0</v>
      </c>
      <c r="BD166" s="32">
        <f t="shared" si="73"/>
        <v>0</v>
      </c>
      <c r="BE166" s="32">
        <f t="shared" si="74"/>
        <v>0</v>
      </c>
      <c r="BF166" s="32">
        <f t="shared" si="75"/>
        <v>0</v>
      </c>
      <c r="BG166" s="32">
        <f t="shared" si="76"/>
        <v>0</v>
      </c>
      <c r="BH166" s="32">
        <f t="shared" si="77"/>
        <v>0</v>
      </c>
      <c r="BI166" s="32">
        <f t="shared" si="78"/>
        <v>0</v>
      </c>
      <c r="BJ166" s="32">
        <f t="shared" si="79"/>
        <v>0</v>
      </c>
      <c r="BK166" s="32">
        <f t="shared" si="80"/>
        <v>0</v>
      </c>
      <c r="BL166" s="32">
        <f t="shared" si="81"/>
        <v>0</v>
      </c>
      <c r="BM166" s="32">
        <f t="shared" si="82"/>
        <v>0</v>
      </c>
      <c r="BN166" s="32">
        <f t="shared" si="83"/>
        <v>0</v>
      </c>
      <c r="BO166" s="32">
        <f t="shared" si="84"/>
        <v>0</v>
      </c>
      <c r="BP166" s="32">
        <f t="shared" si="85"/>
        <v>0</v>
      </c>
      <c r="BQ166" s="32">
        <f t="shared" si="86"/>
        <v>0</v>
      </c>
      <c r="BR166" s="32">
        <f t="shared" si="87"/>
        <v>0</v>
      </c>
      <c r="BS166" s="32">
        <f t="shared" si="88"/>
        <v>0</v>
      </c>
      <c r="BT166" s="40">
        <f t="shared" si="89"/>
        <v>0</v>
      </c>
    </row>
    <row r="167" spans="1:72">
      <c r="A167" s="6"/>
      <c r="B167" s="31"/>
      <c r="C167" s="31"/>
      <c r="D167" s="1629"/>
      <c r="E167" s="32">
        <f t="shared" si="90"/>
        <v>0</v>
      </c>
      <c r="F167" s="33"/>
      <c r="G167" s="34">
        <f t="shared" si="65"/>
        <v>0</v>
      </c>
      <c r="H167" s="35">
        <f t="shared" si="66"/>
        <v>0</v>
      </c>
      <c r="I167" s="36"/>
      <c r="J167" s="36"/>
      <c r="K167" s="36"/>
      <c r="L167" s="36"/>
      <c r="M167" s="36"/>
      <c r="N167" s="36"/>
      <c r="O167" s="36"/>
      <c r="P167" s="36"/>
      <c r="Q167" s="36"/>
      <c r="R167" s="36"/>
      <c r="S167" s="36"/>
      <c r="T167" s="36"/>
      <c r="U167" s="36"/>
      <c r="V167" s="36"/>
      <c r="W167" s="36"/>
      <c r="X167" s="36"/>
      <c r="Y167" s="36"/>
      <c r="Z167" s="36"/>
      <c r="AA167" s="36"/>
      <c r="AB167" s="36"/>
      <c r="AC167" s="32">
        <f t="shared" si="67"/>
        <v>0</v>
      </c>
      <c r="AD167" s="37"/>
      <c r="AE167" s="37"/>
      <c r="AF167" s="37"/>
      <c r="AG167" s="37"/>
      <c r="AH167" s="37"/>
      <c r="AI167" s="37"/>
      <c r="AJ167" s="37"/>
      <c r="AK167" s="37"/>
      <c r="AL167" s="37"/>
      <c r="AM167" s="37"/>
      <c r="AN167" s="37"/>
      <c r="AO167" s="37"/>
      <c r="AP167" s="37"/>
      <c r="AQ167" s="37"/>
      <c r="AR167" s="37"/>
      <c r="AS167" s="37"/>
      <c r="AT167" s="38"/>
      <c r="AU167" s="1630"/>
      <c r="AV167" s="1342">
        <f t="shared" si="91"/>
        <v>0</v>
      </c>
      <c r="AW167" s="1342">
        <f t="shared" si="92"/>
        <v>0</v>
      </c>
      <c r="AX167" s="1342">
        <f t="shared" si="93"/>
        <v>0</v>
      </c>
      <c r="AY167" s="39">
        <f t="shared" si="68"/>
        <v>0</v>
      </c>
      <c r="AZ167" s="32">
        <f t="shared" si="69"/>
        <v>0</v>
      </c>
      <c r="BA167" s="32">
        <f t="shared" si="70"/>
        <v>0</v>
      </c>
      <c r="BB167" s="32">
        <f t="shared" si="71"/>
        <v>0</v>
      </c>
      <c r="BC167" s="32">
        <f t="shared" si="72"/>
        <v>0</v>
      </c>
      <c r="BD167" s="32">
        <f t="shared" si="73"/>
        <v>0</v>
      </c>
      <c r="BE167" s="32">
        <f t="shared" si="74"/>
        <v>0</v>
      </c>
      <c r="BF167" s="32">
        <f t="shared" si="75"/>
        <v>0</v>
      </c>
      <c r="BG167" s="32">
        <f t="shared" si="76"/>
        <v>0</v>
      </c>
      <c r="BH167" s="32">
        <f t="shared" si="77"/>
        <v>0</v>
      </c>
      <c r="BI167" s="32">
        <f t="shared" si="78"/>
        <v>0</v>
      </c>
      <c r="BJ167" s="32">
        <f t="shared" si="79"/>
        <v>0</v>
      </c>
      <c r="BK167" s="32">
        <f t="shared" si="80"/>
        <v>0</v>
      </c>
      <c r="BL167" s="32">
        <f t="shared" si="81"/>
        <v>0</v>
      </c>
      <c r="BM167" s="32">
        <f t="shared" si="82"/>
        <v>0</v>
      </c>
      <c r="BN167" s="32">
        <f t="shared" si="83"/>
        <v>0</v>
      </c>
      <c r="BO167" s="32">
        <f t="shared" si="84"/>
        <v>0</v>
      </c>
      <c r="BP167" s="32">
        <f t="shared" si="85"/>
        <v>0</v>
      </c>
      <c r="BQ167" s="32">
        <f t="shared" si="86"/>
        <v>0</v>
      </c>
      <c r="BR167" s="32">
        <f t="shared" si="87"/>
        <v>0</v>
      </c>
      <c r="BS167" s="32">
        <f t="shared" si="88"/>
        <v>0</v>
      </c>
      <c r="BT167" s="40">
        <f t="shared" si="89"/>
        <v>0</v>
      </c>
    </row>
    <row r="168" spans="1:72">
      <c r="A168" s="6"/>
      <c r="B168" s="31"/>
      <c r="C168" s="31"/>
      <c r="D168" s="1629"/>
      <c r="E168" s="32">
        <f t="shared" si="90"/>
        <v>0</v>
      </c>
      <c r="F168" s="33"/>
      <c r="G168" s="34">
        <f t="shared" si="65"/>
        <v>0</v>
      </c>
      <c r="H168" s="35">
        <f t="shared" si="66"/>
        <v>0</v>
      </c>
      <c r="I168" s="36"/>
      <c r="J168" s="36"/>
      <c r="K168" s="36"/>
      <c r="L168" s="36"/>
      <c r="M168" s="36"/>
      <c r="N168" s="36"/>
      <c r="O168" s="36"/>
      <c r="P168" s="36"/>
      <c r="Q168" s="36"/>
      <c r="R168" s="36"/>
      <c r="S168" s="36"/>
      <c r="T168" s="36"/>
      <c r="U168" s="36"/>
      <c r="V168" s="36"/>
      <c r="W168" s="36"/>
      <c r="X168" s="36"/>
      <c r="Y168" s="36"/>
      <c r="Z168" s="36"/>
      <c r="AA168" s="36"/>
      <c r="AB168" s="36"/>
      <c r="AC168" s="32">
        <f t="shared" si="67"/>
        <v>0</v>
      </c>
      <c r="AD168" s="37"/>
      <c r="AE168" s="37"/>
      <c r="AF168" s="37"/>
      <c r="AG168" s="37"/>
      <c r="AH168" s="37"/>
      <c r="AI168" s="37"/>
      <c r="AJ168" s="37"/>
      <c r="AK168" s="37"/>
      <c r="AL168" s="37"/>
      <c r="AM168" s="37"/>
      <c r="AN168" s="37"/>
      <c r="AO168" s="37"/>
      <c r="AP168" s="37"/>
      <c r="AQ168" s="37"/>
      <c r="AR168" s="37"/>
      <c r="AS168" s="37"/>
      <c r="AT168" s="38"/>
      <c r="AU168" s="1630"/>
      <c r="AV168" s="1342">
        <f t="shared" si="91"/>
        <v>0</v>
      </c>
      <c r="AW168" s="1342">
        <f t="shared" si="92"/>
        <v>0</v>
      </c>
      <c r="AX168" s="1342">
        <f t="shared" si="93"/>
        <v>0</v>
      </c>
      <c r="AY168" s="39">
        <f t="shared" si="68"/>
        <v>0</v>
      </c>
      <c r="AZ168" s="32">
        <f t="shared" si="69"/>
        <v>0</v>
      </c>
      <c r="BA168" s="32">
        <f t="shared" si="70"/>
        <v>0</v>
      </c>
      <c r="BB168" s="32">
        <f t="shared" si="71"/>
        <v>0</v>
      </c>
      <c r="BC168" s="32">
        <f t="shared" si="72"/>
        <v>0</v>
      </c>
      <c r="BD168" s="32">
        <f t="shared" si="73"/>
        <v>0</v>
      </c>
      <c r="BE168" s="32">
        <f t="shared" si="74"/>
        <v>0</v>
      </c>
      <c r="BF168" s="32">
        <f t="shared" si="75"/>
        <v>0</v>
      </c>
      <c r="BG168" s="32">
        <f t="shared" si="76"/>
        <v>0</v>
      </c>
      <c r="BH168" s="32">
        <f t="shared" si="77"/>
        <v>0</v>
      </c>
      <c r="BI168" s="32">
        <f t="shared" si="78"/>
        <v>0</v>
      </c>
      <c r="BJ168" s="32">
        <f t="shared" si="79"/>
        <v>0</v>
      </c>
      <c r="BK168" s="32">
        <f t="shared" si="80"/>
        <v>0</v>
      </c>
      <c r="BL168" s="32">
        <f t="shared" si="81"/>
        <v>0</v>
      </c>
      <c r="BM168" s="32">
        <f t="shared" si="82"/>
        <v>0</v>
      </c>
      <c r="BN168" s="32">
        <f t="shared" si="83"/>
        <v>0</v>
      </c>
      <c r="BO168" s="32">
        <f t="shared" si="84"/>
        <v>0</v>
      </c>
      <c r="BP168" s="32">
        <f t="shared" si="85"/>
        <v>0</v>
      </c>
      <c r="BQ168" s="32">
        <f t="shared" si="86"/>
        <v>0</v>
      </c>
      <c r="BR168" s="32">
        <f t="shared" si="87"/>
        <v>0</v>
      </c>
      <c r="BS168" s="32">
        <f t="shared" si="88"/>
        <v>0</v>
      </c>
      <c r="BT168" s="40">
        <f t="shared" si="89"/>
        <v>0</v>
      </c>
    </row>
    <row r="169" spans="1:72">
      <c r="A169" s="6"/>
      <c r="B169" s="31"/>
      <c r="C169" s="31"/>
      <c r="D169" s="1629"/>
      <c r="E169" s="32">
        <f t="shared" si="90"/>
        <v>0</v>
      </c>
      <c r="F169" s="33"/>
      <c r="G169" s="34">
        <f t="shared" si="65"/>
        <v>0</v>
      </c>
      <c r="H169" s="35">
        <f t="shared" si="66"/>
        <v>0</v>
      </c>
      <c r="I169" s="36"/>
      <c r="J169" s="36"/>
      <c r="K169" s="36"/>
      <c r="L169" s="36"/>
      <c r="M169" s="36"/>
      <c r="N169" s="36"/>
      <c r="O169" s="36"/>
      <c r="P169" s="36"/>
      <c r="Q169" s="36"/>
      <c r="R169" s="36"/>
      <c r="S169" s="36"/>
      <c r="T169" s="36"/>
      <c r="U169" s="36"/>
      <c r="V169" s="36"/>
      <c r="W169" s="36"/>
      <c r="X169" s="36"/>
      <c r="Y169" s="36"/>
      <c r="Z169" s="36"/>
      <c r="AA169" s="36"/>
      <c r="AB169" s="36"/>
      <c r="AC169" s="32">
        <f t="shared" si="67"/>
        <v>0</v>
      </c>
      <c r="AD169" s="37"/>
      <c r="AE169" s="37"/>
      <c r="AF169" s="37"/>
      <c r="AG169" s="37"/>
      <c r="AH169" s="37"/>
      <c r="AI169" s="37"/>
      <c r="AJ169" s="37"/>
      <c r="AK169" s="37"/>
      <c r="AL169" s="37"/>
      <c r="AM169" s="37"/>
      <c r="AN169" s="37"/>
      <c r="AO169" s="37"/>
      <c r="AP169" s="37"/>
      <c r="AQ169" s="37"/>
      <c r="AR169" s="37"/>
      <c r="AS169" s="37"/>
      <c r="AT169" s="38"/>
      <c r="AU169" s="1630"/>
      <c r="AV169" s="1342">
        <f t="shared" si="91"/>
        <v>0</v>
      </c>
      <c r="AW169" s="1342">
        <f t="shared" si="92"/>
        <v>0</v>
      </c>
      <c r="AX169" s="1342">
        <f t="shared" si="93"/>
        <v>0</v>
      </c>
      <c r="AY169" s="39">
        <f t="shared" si="68"/>
        <v>0</v>
      </c>
      <c r="AZ169" s="32">
        <f t="shared" si="69"/>
        <v>0</v>
      </c>
      <c r="BA169" s="32">
        <f t="shared" si="70"/>
        <v>0</v>
      </c>
      <c r="BB169" s="32">
        <f t="shared" si="71"/>
        <v>0</v>
      </c>
      <c r="BC169" s="32">
        <f t="shared" si="72"/>
        <v>0</v>
      </c>
      <c r="BD169" s="32">
        <f t="shared" si="73"/>
        <v>0</v>
      </c>
      <c r="BE169" s="32">
        <f t="shared" si="74"/>
        <v>0</v>
      </c>
      <c r="BF169" s="32">
        <f t="shared" si="75"/>
        <v>0</v>
      </c>
      <c r="BG169" s="32">
        <f t="shared" si="76"/>
        <v>0</v>
      </c>
      <c r="BH169" s="32">
        <f t="shared" si="77"/>
        <v>0</v>
      </c>
      <c r="BI169" s="32">
        <f t="shared" si="78"/>
        <v>0</v>
      </c>
      <c r="BJ169" s="32">
        <f t="shared" si="79"/>
        <v>0</v>
      </c>
      <c r="BK169" s="32">
        <f t="shared" si="80"/>
        <v>0</v>
      </c>
      <c r="BL169" s="32">
        <f t="shared" si="81"/>
        <v>0</v>
      </c>
      <c r="BM169" s="32">
        <f t="shared" si="82"/>
        <v>0</v>
      </c>
      <c r="BN169" s="32">
        <f t="shared" si="83"/>
        <v>0</v>
      </c>
      <c r="BO169" s="32">
        <f t="shared" si="84"/>
        <v>0</v>
      </c>
      <c r="BP169" s="32">
        <f t="shared" si="85"/>
        <v>0</v>
      </c>
      <c r="BQ169" s="32">
        <f t="shared" si="86"/>
        <v>0</v>
      </c>
      <c r="BR169" s="32">
        <f t="shared" si="87"/>
        <v>0</v>
      </c>
      <c r="BS169" s="32">
        <f t="shared" si="88"/>
        <v>0</v>
      </c>
      <c r="BT169" s="40">
        <f t="shared" si="89"/>
        <v>0</v>
      </c>
    </row>
    <row r="170" spans="1:72">
      <c r="A170" s="6"/>
      <c r="B170" s="31"/>
      <c r="C170" s="31"/>
      <c r="D170" s="1629"/>
      <c r="E170" s="32">
        <f t="shared" si="90"/>
        <v>0</v>
      </c>
      <c r="F170" s="33"/>
      <c r="G170" s="34">
        <f t="shared" si="65"/>
        <v>0</v>
      </c>
      <c r="H170" s="35">
        <f t="shared" si="66"/>
        <v>0</v>
      </c>
      <c r="I170" s="36"/>
      <c r="J170" s="36"/>
      <c r="K170" s="36"/>
      <c r="L170" s="36"/>
      <c r="M170" s="36"/>
      <c r="N170" s="36"/>
      <c r="O170" s="36"/>
      <c r="P170" s="36"/>
      <c r="Q170" s="36"/>
      <c r="R170" s="36"/>
      <c r="S170" s="36"/>
      <c r="T170" s="36"/>
      <c r="U170" s="36"/>
      <c r="V170" s="36"/>
      <c r="W170" s="36"/>
      <c r="X170" s="36"/>
      <c r="Y170" s="36"/>
      <c r="Z170" s="36"/>
      <c r="AA170" s="36"/>
      <c r="AB170" s="36"/>
      <c r="AC170" s="32">
        <f t="shared" si="67"/>
        <v>0</v>
      </c>
      <c r="AD170" s="37"/>
      <c r="AE170" s="37"/>
      <c r="AF170" s="37"/>
      <c r="AG170" s="37"/>
      <c r="AH170" s="37"/>
      <c r="AI170" s="37"/>
      <c r="AJ170" s="37"/>
      <c r="AK170" s="37"/>
      <c r="AL170" s="37"/>
      <c r="AM170" s="37"/>
      <c r="AN170" s="37"/>
      <c r="AO170" s="37"/>
      <c r="AP170" s="37"/>
      <c r="AQ170" s="37"/>
      <c r="AR170" s="37"/>
      <c r="AS170" s="37"/>
      <c r="AT170" s="38"/>
      <c r="AU170" s="1630"/>
      <c r="AV170" s="1342">
        <f t="shared" si="91"/>
        <v>0</v>
      </c>
      <c r="AW170" s="1342">
        <f t="shared" si="92"/>
        <v>0</v>
      </c>
      <c r="AX170" s="1342">
        <f t="shared" si="93"/>
        <v>0</v>
      </c>
      <c r="AY170" s="39">
        <f t="shared" si="68"/>
        <v>0</v>
      </c>
      <c r="AZ170" s="32">
        <f t="shared" si="69"/>
        <v>0</v>
      </c>
      <c r="BA170" s="32">
        <f t="shared" si="70"/>
        <v>0</v>
      </c>
      <c r="BB170" s="32">
        <f t="shared" si="71"/>
        <v>0</v>
      </c>
      <c r="BC170" s="32">
        <f t="shared" si="72"/>
        <v>0</v>
      </c>
      <c r="BD170" s="32">
        <f t="shared" si="73"/>
        <v>0</v>
      </c>
      <c r="BE170" s="32">
        <f t="shared" si="74"/>
        <v>0</v>
      </c>
      <c r="BF170" s="32">
        <f t="shared" si="75"/>
        <v>0</v>
      </c>
      <c r="BG170" s="32">
        <f t="shared" si="76"/>
        <v>0</v>
      </c>
      <c r="BH170" s="32">
        <f t="shared" si="77"/>
        <v>0</v>
      </c>
      <c r="BI170" s="32">
        <f t="shared" si="78"/>
        <v>0</v>
      </c>
      <c r="BJ170" s="32">
        <f t="shared" si="79"/>
        <v>0</v>
      </c>
      <c r="BK170" s="32">
        <f t="shared" si="80"/>
        <v>0</v>
      </c>
      <c r="BL170" s="32">
        <f t="shared" si="81"/>
        <v>0</v>
      </c>
      <c r="BM170" s="32">
        <f t="shared" si="82"/>
        <v>0</v>
      </c>
      <c r="BN170" s="32">
        <f t="shared" si="83"/>
        <v>0</v>
      </c>
      <c r="BO170" s="32">
        <f t="shared" si="84"/>
        <v>0</v>
      </c>
      <c r="BP170" s="32">
        <f t="shared" si="85"/>
        <v>0</v>
      </c>
      <c r="BQ170" s="32">
        <f t="shared" si="86"/>
        <v>0</v>
      </c>
      <c r="BR170" s="32">
        <f t="shared" si="87"/>
        <v>0</v>
      </c>
      <c r="BS170" s="32">
        <f t="shared" si="88"/>
        <v>0</v>
      </c>
      <c r="BT170" s="40">
        <f t="shared" si="89"/>
        <v>0</v>
      </c>
    </row>
    <row r="171" spans="1:72">
      <c r="A171" s="6"/>
      <c r="B171" s="31"/>
      <c r="C171" s="31"/>
      <c r="D171" s="1629"/>
      <c r="E171" s="32">
        <f t="shared" si="90"/>
        <v>0</v>
      </c>
      <c r="F171" s="33"/>
      <c r="G171" s="34">
        <f t="shared" si="65"/>
        <v>0</v>
      </c>
      <c r="H171" s="35">
        <f t="shared" si="66"/>
        <v>0</v>
      </c>
      <c r="I171" s="36"/>
      <c r="J171" s="36"/>
      <c r="K171" s="36"/>
      <c r="L171" s="36"/>
      <c r="M171" s="36"/>
      <c r="N171" s="36"/>
      <c r="O171" s="36"/>
      <c r="P171" s="36"/>
      <c r="Q171" s="36"/>
      <c r="R171" s="36"/>
      <c r="S171" s="36"/>
      <c r="T171" s="36"/>
      <c r="U171" s="36"/>
      <c r="V171" s="36"/>
      <c r="W171" s="36"/>
      <c r="X171" s="36"/>
      <c r="Y171" s="36"/>
      <c r="Z171" s="36"/>
      <c r="AA171" s="36"/>
      <c r="AB171" s="36"/>
      <c r="AC171" s="32">
        <f t="shared" si="67"/>
        <v>0</v>
      </c>
      <c r="AD171" s="37"/>
      <c r="AE171" s="37"/>
      <c r="AF171" s="37"/>
      <c r="AG171" s="37"/>
      <c r="AH171" s="37"/>
      <c r="AI171" s="37"/>
      <c r="AJ171" s="37"/>
      <c r="AK171" s="37"/>
      <c r="AL171" s="37"/>
      <c r="AM171" s="37"/>
      <c r="AN171" s="37"/>
      <c r="AO171" s="37"/>
      <c r="AP171" s="37"/>
      <c r="AQ171" s="37"/>
      <c r="AR171" s="37"/>
      <c r="AS171" s="37"/>
      <c r="AT171" s="38"/>
      <c r="AU171" s="1630"/>
      <c r="AV171" s="1342">
        <f t="shared" si="91"/>
        <v>0</v>
      </c>
      <c r="AW171" s="1342">
        <f t="shared" si="92"/>
        <v>0</v>
      </c>
      <c r="AX171" s="1342">
        <f t="shared" si="93"/>
        <v>0</v>
      </c>
      <c r="AY171" s="39">
        <f t="shared" si="68"/>
        <v>0</v>
      </c>
      <c r="AZ171" s="32">
        <f t="shared" si="69"/>
        <v>0</v>
      </c>
      <c r="BA171" s="32">
        <f t="shared" si="70"/>
        <v>0</v>
      </c>
      <c r="BB171" s="32">
        <f t="shared" si="71"/>
        <v>0</v>
      </c>
      <c r="BC171" s="32">
        <f t="shared" si="72"/>
        <v>0</v>
      </c>
      <c r="BD171" s="32">
        <f t="shared" si="73"/>
        <v>0</v>
      </c>
      <c r="BE171" s="32">
        <f t="shared" si="74"/>
        <v>0</v>
      </c>
      <c r="BF171" s="32">
        <f t="shared" si="75"/>
        <v>0</v>
      </c>
      <c r="BG171" s="32">
        <f t="shared" si="76"/>
        <v>0</v>
      </c>
      <c r="BH171" s="32">
        <f t="shared" si="77"/>
        <v>0</v>
      </c>
      <c r="BI171" s="32">
        <f t="shared" si="78"/>
        <v>0</v>
      </c>
      <c r="BJ171" s="32">
        <f t="shared" si="79"/>
        <v>0</v>
      </c>
      <c r="BK171" s="32">
        <f t="shared" si="80"/>
        <v>0</v>
      </c>
      <c r="BL171" s="32">
        <f t="shared" si="81"/>
        <v>0</v>
      </c>
      <c r="BM171" s="32">
        <f t="shared" si="82"/>
        <v>0</v>
      </c>
      <c r="BN171" s="32">
        <f t="shared" si="83"/>
        <v>0</v>
      </c>
      <c r="BO171" s="32">
        <f t="shared" si="84"/>
        <v>0</v>
      </c>
      <c r="BP171" s="32">
        <f t="shared" si="85"/>
        <v>0</v>
      </c>
      <c r="BQ171" s="32">
        <f t="shared" si="86"/>
        <v>0</v>
      </c>
      <c r="BR171" s="32">
        <f t="shared" si="87"/>
        <v>0</v>
      </c>
      <c r="BS171" s="32">
        <f t="shared" si="88"/>
        <v>0</v>
      </c>
      <c r="BT171" s="40">
        <f t="shared" si="89"/>
        <v>0</v>
      </c>
    </row>
    <row r="172" spans="1:72">
      <c r="A172" s="6"/>
      <c r="B172" s="31"/>
      <c r="C172" s="31"/>
      <c r="D172" s="1629"/>
      <c r="E172" s="32">
        <f t="shared" si="90"/>
        <v>0</v>
      </c>
      <c r="F172" s="33"/>
      <c r="G172" s="34">
        <f t="shared" si="65"/>
        <v>0</v>
      </c>
      <c r="H172" s="35">
        <f t="shared" si="66"/>
        <v>0</v>
      </c>
      <c r="I172" s="36"/>
      <c r="J172" s="36"/>
      <c r="K172" s="36"/>
      <c r="L172" s="36"/>
      <c r="M172" s="36"/>
      <c r="N172" s="36"/>
      <c r="O172" s="36"/>
      <c r="P172" s="36"/>
      <c r="Q172" s="36"/>
      <c r="R172" s="36"/>
      <c r="S172" s="36"/>
      <c r="T172" s="36"/>
      <c r="U172" s="36"/>
      <c r="V172" s="36"/>
      <c r="W172" s="36"/>
      <c r="X172" s="36"/>
      <c r="Y172" s="36"/>
      <c r="Z172" s="36"/>
      <c r="AA172" s="36"/>
      <c r="AB172" s="36"/>
      <c r="AC172" s="32">
        <f t="shared" si="67"/>
        <v>0</v>
      </c>
      <c r="AD172" s="37"/>
      <c r="AE172" s="37"/>
      <c r="AF172" s="37"/>
      <c r="AG172" s="37"/>
      <c r="AH172" s="37"/>
      <c r="AI172" s="37"/>
      <c r="AJ172" s="37"/>
      <c r="AK172" s="37"/>
      <c r="AL172" s="37"/>
      <c r="AM172" s="37"/>
      <c r="AN172" s="37"/>
      <c r="AO172" s="37"/>
      <c r="AP172" s="37"/>
      <c r="AQ172" s="37"/>
      <c r="AR172" s="37"/>
      <c r="AS172" s="37"/>
      <c r="AT172" s="38"/>
      <c r="AU172" s="1630"/>
      <c r="AV172" s="1342">
        <f t="shared" si="91"/>
        <v>0</v>
      </c>
      <c r="AW172" s="1342">
        <f t="shared" si="92"/>
        <v>0</v>
      </c>
      <c r="AX172" s="1342">
        <f t="shared" si="93"/>
        <v>0</v>
      </c>
      <c r="AY172" s="39">
        <f t="shared" si="68"/>
        <v>0</v>
      </c>
      <c r="AZ172" s="32">
        <f t="shared" si="69"/>
        <v>0</v>
      </c>
      <c r="BA172" s="32">
        <f t="shared" si="70"/>
        <v>0</v>
      </c>
      <c r="BB172" s="32">
        <f t="shared" si="71"/>
        <v>0</v>
      </c>
      <c r="BC172" s="32">
        <f t="shared" si="72"/>
        <v>0</v>
      </c>
      <c r="BD172" s="32">
        <f t="shared" si="73"/>
        <v>0</v>
      </c>
      <c r="BE172" s="32">
        <f t="shared" si="74"/>
        <v>0</v>
      </c>
      <c r="BF172" s="32">
        <f t="shared" si="75"/>
        <v>0</v>
      </c>
      <c r="BG172" s="32">
        <f t="shared" si="76"/>
        <v>0</v>
      </c>
      <c r="BH172" s="32">
        <f t="shared" si="77"/>
        <v>0</v>
      </c>
      <c r="BI172" s="32">
        <f t="shared" si="78"/>
        <v>0</v>
      </c>
      <c r="BJ172" s="32">
        <f t="shared" si="79"/>
        <v>0</v>
      </c>
      <c r="BK172" s="32">
        <f t="shared" si="80"/>
        <v>0</v>
      </c>
      <c r="BL172" s="32">
        <f t="shared" si="81"/>
        <v>0</v>
      </c>
      <c r="BM172" s="32">
        <f t="shared" si="82"/>
        <v>0</v>
      </c>
      <c r="BN172" s="32">
        <f t="shared" si="83"/>
        <v>0</v>
      </c>
      <c r="BO172" s="32">
        <f t="shared" si="84"/>
        <v>0</v>
      </c>
      <c r="BP172" s="32">
        <f t="shared" si="85"/>
        <v>0</v>
      </c>
      <c r="BQ172" s="32">
        <f t="shared" si="86"/>
        <v>0</v>
      </c>
      <c r="BR172" s="32">
        <f t="shared" si="87"/>
        <v>0</v>
      </c>
      <c r="BS172" s="32">
        <f t="shared" si="88"/>
        <v>0</v>
      </c>
      <c r="BT172" s="40">
        <f t="shared" si="89"/>
        <v>0</v>
      </c>
    </row>
    <row r="173" spans="1:72">
      <c r="A173" s="6"/>
      <c r="B173" s="31"/>
      <c r="C173" s="31"/>
      <c r="D173" s="1629"/>
      <c r="E173" s="32">
        <f t="shared" si="90"/>
        <v>0</v>
      </c>
      <c r="F173" s="33"/>
      <c r="G173" s="34">
        <f t="shared" si="65"/>
        <v>0</v>
      </c>
      <c r="H173" s="35">
        <f t="shared" si="66"/>
        <v>0</v>
      </c>
      <c r="I173" s="36"/>
      <c r="J173" s="36"/>
      <c r="K173" s="36"/>
      <c r="L173" s="36"/>
      <c r="M173" s="36"/>
      <c r="N173" s="36"/>
      <c r="O173" s="36"/>
      <c r="P173" s="36"/>
      <c r="Q173" s="36"/>
      <c r="R173" s="36"/>
      <c r="S173" s="36"/>
      <c r="T173" s="36"/>
      <c r="U173" s="36"/>
      <c r="V173" s="36"/>
      <c r="W173" s="36"/>
      <c r="X173" s="36"/>
      <c r="Y173" s="36"/>
      <c r="Z173" s="36"/>
      <c r="AA173" s="36"/>
      <c r="AB173" s="36"/>
      <c r="AC173" s="32">
        <f t="shared" si="67"/>
        <v>0</v>
      </c>
      <c r="AD173" s="37"/>
      <c r="AE173" s="37"/>
      <c r="AF173" s="37"/>
      <c r="AG173" s="37"/>
      <c r="AH173" s="37"/>
      <c r="AI173" s="37"/>
      <c r="AJ173" s="37"/>
      <c r="AK173" s="37"/>
      <c r="AL173" s="37"/>
      <c r="AM173" s="37"/>
      <c r="AN173" s="37"/>
      <c r="AO173" s="37"/>
      <c r="AP173" s="37"/>
      <c r="AQ173" s="37"/>
      <c r="AR173" s="37"/>
      <c r="AS173" s="37"/>
      <c r="AT173" s="38"/>
      <c r="AU173" s="1630"/>
      <c r="AV173" s="1342">
        <f t="shared" si="91"/>
        <v>0</v>
      </c>
      <c r="AW173" s="1342">
        <f t="shared" si="92"/>
        <v>0</v>
      </c>
      <c r="AX173" s="1342">
        <f t="shared" si="93"/>
        <v>0</v>
      </c>
      <c r="AY173" s="39">
        <f t="shared" si="68"/>
        <v>0</v>
      </c>
      <c r="AZ173" s="32">
        <f t="shared" si="69"/>
        <v>0</v>
      </c>
      <c r="BA173" s="32">
        <f t="shared" si="70"/>
        <v>0</v>
      </c>
      <c r="BB173" s="32">
        <f t="shared" si="71"/>
        <v>0</v>
      </c>
      <c r="BC173" s="32">
        <f t="shared" si="72"/>
        <v>0</v>
      </c>
      <c r="BD173" s="32">
        <f t="shared" si="73"/>
        <v>0</v>
      </c>
      <c r="BE173" s="32">
        <f t="shared" si="74"/>
        <v>0</v>
      </c>
      <c r="BF173" s="32">
        <f t="shared" si="75"/>
        <v>0</v>
      </c>
      <c r="BG173" s="32">
        <f t="shared" si="76"/>
        <v>0</v>
      </c>
      <c r="BH173" s="32">
        <f t="shared" si="77"/>
        <v>0</v>
      </c>
      <c r="BI173" s="32">
        <f t="shared" si="78"/>
        <v>0</v>
      </c>
      <c r="BJ173" s="32">
        <f t="shared" si="79"/>
        <v>0</v>
      </c>
      <c r="BK173" s="32">
        <f t="shared" si="80"/>
        <v>0</v>
      </c>
      <c r="BL173" s="32">
        <f t="shared" si="81"/>
        <v>0</v>
      </c>
      <c r="BM173" s="32">
        <f t="shared" si="82"/>
        <v>0</v>
      </c>
      <c r="BN173" s="32">
        <f t="shared" si="83"/>
        <v>0</v>
      </c>
      <c r="BO173" s="32">
        <f t="shared" si="84"/>
        <v>0</v>
      </c>
      <c r="BP173" s="32">
        <f t="shared" si="85"/>
        <v>0</v>
      </c>
      <c r="BQ173" s="32">
        <f t="shared" si="86"/>
        <v>0</v>
      </c>
      <c r="BR173" s="32">
        <f t="shared" si="87"/>
        <v>0</v>
      </c>
      <c r="BS173" s="32">
        <f t="shared" si="88"/>
        <v>0</v>
      </c>
      <c r="BT173" s="40">
        <f t="shared" si="89"/>
        <v>0</v>
      </c>
    </row>
    <row r="174" spans="1:72">
      <c r="A174" s="6"/>
      <c r="B174" s="31"/>
      <c r="C174" s="31"/>
      <c r="D174" s="1629"/>
      <c r="E174" s="32">
        <f t="shared" si="90"/>
        <v>0</v>
      </c>
      <c r="F174" s="33"/>
      <c r="G174" s="34">
        <f t="shared" ref="G174:G205" si="94">H174+AC174+AT174</f>
        <v>0</v>
      </c>
      <c r="H174" s="35">
        <f t="shared" ref="H174:H205" si="95">SUMIF(I$12:AB$12,"总值",I174:AB174)</f>
        <v>0</v>
      </c>
      <c r="I174" s="36"/>
      <c r="J174" s="36"/>
      <c r="K174" s="36"/>
      <c r="L174" s="36"/>
      <c r="M174" s="36"/>
      <c r="N174" s="36"/>
      <c r="O174" s="36"/>
      <c r="P174" s="36"/>
      <c r="Q174" s="36"/>
      <c r="R174" s="36"/>
      <c r="S174" s="36"/>
      <c r="T174" s="36"/>
      <c r="U174" s="36"/>
      <c r="V174" s="36"/>
      <c r="W174" s="36"/>
      <c r="X174" s="36"/>
      <c r="Y174" s="36"/>
      <c r="Z174" s="36"/>
      <c r="AA174" s="36"/>
      <c r="AB174" s="36"/>
      <c r="AC174" s="32">
        <f t="shared" ref="AC174:AC205" si="96">SUMIF(AD$12:AS$12,"总值",AD174:AS174)</f>
        <v>0</v>
      </c>
      <c r="AD174" s="37"/>
      <c r="AE174" s="37"/>
      <c r="AF174" s="37"/>
      <c r="AG174" s="37"/>
      <c r="AH174" s="37"/>
      <c r="AI174" s="37"/>
      <c r="AJ174" s="37"/>
      <c r="AK174" s="37"/>
      <c r="AL174" s="37"/>
      <c r="AM174" s="37"/>
      <c r="AN174" s="37"/>
      <c r="AO174" s="37"/>
      <c r="AP174" s="37"/>
      <c r="AQ174" s="37"/>
      <c r="AR174" s="37"/>
      <c r="AS174" s="37"/>
      <c r="AT174" s="38"/>
      <c r="AU174" s="1630"/>
      <c r="AV174" s="1342">
        <f t="shared" si="91"/>
        <v>0</v>
      </c>
      <c r="AW174" s="1342">
        <f t="shared" si="92"/>
        <v>0</v>
      </c>
      <c r="AX174" s="1342">
        <f t="shared" si="93"/>
        <v>0</v>
      </c>
      <c r="AY174" s="39">
        <f t="shared" ref="AY174:AY205" si="97">ROUND($AY$6*AZ174/$AZ$5,2)</f>
        <v>0</v>
      </c>
      <c r="AZ174" s="32">
        <f t="shared" ref="AZ174:AZ205" si="98">BA174+BL174</f>
        <v>0</v>
      </c>
      <c r="BA174" s="32">
        <f t="shared" ref="BA174:BA205" si="99">SUM(BB174:BK174)</f>
        <v>0</v>
      </c>
      <c r="BB174" s="32">
        <f t="shared" ref="BB174:BB207" si="100">IF($D174="是",I174-J174,0)</f>
        <v>0</v>
      </c>
      <c r="BC174" s="32">
        <f t="shared" ref="BC174:BC207" si="101">IF($D174="是",K174-L174,0)</f>
        <v>0</v>
      </c>
      <c r="BD174" s="32">
        <f t="shared" ref="BD174:BD207" si="102">IF($D174="是",M174-N174,0)</f>
        <v>0</v>
      </c>
      <c r="BE174" s="32">
        <f t="shared" ref="BE174:BE207" si="103">IF($D174="是",O174-P174,0)</f>
        <v>0</v>
      </c>
      <c r="BF174" s="32">
        <f t="shared" ref="BF174:BF207" si="104">IF($D174="是",Q174-R174,0)</f>
        <v>0</v>
      </c>
      <c r="BG174" s="32">
        <f t="shared" ref="BG174:BG207" si="105">IF($D174="是",S174-T174,0)</f>
        <v>0</v>
      </c>
      <c r="BH174" s="32">
        <f t="shared" ref="BH174:BH207" si="106">IF($D174="是",U174-V174,0)</f>
        <v>0</v>
      </c>
      <c r="BI174" s="32">
        <f t="shared" ref="BI174:BI207" si="107">IF($D174="是",W174-X174,0)</f>
        <v>0</v>
      </c>
      <c r="BJ174" s="32">
        <f t="shared" ref="BJ174:BJ207" si="108">IF($D174="是",Y174-Z174,0)</f>
        <v>0</v>
      </c>
      <c r="BK174" s="32">
        <f t="shared" ref="BK174:BK207" si="109">IF($D174="是",AA174-AB174,0)</f>
        <v>0</v>
      </c>
      <c r="BL174" s="32">
        <f t="shared" ref="BL174:BL205" si="110">SUM(BM174:BT174)</f>
        <v>0</v>
      </c>
      <c r="BM174" s="32">
        <f t="shared" ref="BM174:BM207" si="111">IF($D174="是",AD174-AE174,0)</f>
        <v>0</v>
      </c>
      <c r="BN174" s="32">
        <f t="shared" ref="BN174:BN207" si="112">IF($D174="是",AF174-AG174,0)</f>
        <v>0</v>
      </c>
      <c r="BO174" s="32">
        <f t="shared" ref="BO174:BO207" si="113">IF($D174="是",AH174-AI174,0)</f>
        <v>0</v>
      </c>
      <c r="BP174" s="32">
        <f t="shared" ref="BP174:BP207" si="114">IF($D174="是",AJ174-AK174,0)</f>
        <v>0</v>
      </c>
      <c r="BQ174" s="32">
        <f t="shared" ref="BQ174:BQ207" si="115">IF($D174="是",AL174-AM174,0)</f>
        <v>0</v>
      </c>
      <c r="BR174" s="32">
        <f t="shared" ref="BR174:BR207" si="116">IF($D174="是",AN174-AO174,0)</f>
        <v>0</v>
      </c>
      <c r="BS174" s="32">
        <f t="shared" ref="BS174:BS207" si="117">IF($D174="是",AP174-AQ174,0)</f>
        <v>0</v>
      </c>
      <c r="BT174" s="40">
        <f t="shared" ref="BT174:BT207" si="118">IF($D174="是",AR174-AS174,0)</f>
        <v>0</v>
      </c>
    </row>
    <row r="175" spans="1:72">
      <c r="A175" s="6"/>
      <c r="B175" s="31"/>
      <c r="C175" s="31"/>
      <c r="D175" s="1629"/>
      <c r="E175" s="32">
        <f t="shared" si="90"/>
        <v>0</v>
      </c>
      <c r="F175" s="33"/>
      <c r="G175" s="34">
        <f t="shared" si="94"/>
        <v>0</v>
      </c>
      <c r="H175" s="35">
        <f t="shared" si="95"/>
        <v>0</v>
      </c>
      <c r="I175" s="36"/>
      <c r="J175" s="36"/>
      <c r="K175" s="36"/>
      <c r="L175" s="36"/>
      <c r="M175" s="36"/>
      <c r="N175" s="36"/>
      <c r="O175" s="36"/>
      <c r="P175" s="36"/>
      <c r="Q175" s="36"/>
      <c r="R175" s="36"/>
      <c r="S175" s="36"/>
      <c r="T175" s="36"/>
      <c r="U175" s="36"/>
      <c r="V175" s="36"/>
      <c r="W175" s="36"/>
      <c r="X175" s="36"/>
      <c r="Y175" s="36"/>
      <c r="Z175" s="36"/>
      <c r="AA175" s="36"/>
      <c r="AB175" s="36"/>
      <c r="AC175" s="32">
        <f t="shared" si="96"/>
        <v>0</v>
      </c>
      <c r="AD175" s="37"/>
      <c r="AE175" s="37"/>
      <c r="AF175" s="37"/>
      <c r="AG175" s="37"/>
      <c r="AH175" s="37"/>
      <c r="AI175" s="37"/>
      <c r="AJ175" s="37"/>
      <c r="AK175" s="37"/>
      <c r="AL175" s="37"/>
      <c r="AM175" s="37"/>
      <c r="AN175" s="37"/>
      <c r="AO175" s="37"/>
      <c r="AP175" s="37"/>
      <c r="AQ175" s="37"/>
      <c r="AR175" s="37"/>
      <c r="AS175" s="37"/>
      <c r="AT175" s="38"/>
      <c r="AU175" s="1630"/>
      <c r="AV175" s="1342">
        <f t="shared" si="91"/>
        <v>0</v>
      </c>
      <c r="AW175" s="1342">
        <f t="shared" si="92"/>
        <v>0</v>
      </c>
      <c r="AX175" s="1342">
        <f t="shared" si="93"/>
        <v>0</v>
      </c>
      <c r="AY175" s="39">
        <f t="shared" si="97"/>
        <v>0</v>
      </c>
      <c r="AZ175" s="32">
        <f t="shared" si="98"/>
        <v>0</v>
      </c>
      <c r="BA175" s="32">
        <f t="shared" si="99"/>
        <v>0</v>
      </c>
      <c r="BB175" s="32">
        <f t="shared" si="100"/>
        <v>0</v>
      </c>
      <c r="BC175" s="32">
        <f t="shared" si="101"/>
        <v>0</v>
      </c>
      <c r="BD175" s="32">
        <f t="shared" si="102"/>
        <v>0</v>
      </c>
      <c r="BE175" s="32">
        <f t="shared" si="103"/>
        <v>0</v>
      </c>
      <c r="BF175" s="32">
        <f t="shared" si="104"/>
        <v>0</v>
      </c>
      <c r="BG175" s="32">
        <f t="shared" si="105"/>
        <v>0</v>
      </c>
      <c r="BH175" s="32">
        <f t="shared" si="106"/>
        <v>0</v>
      </c>
      <c r="BI175" s="32">
        <f t="shared" si="107"/>
        <v>0</v>
      </c>
      <c r="BJ175" s="32">
        <f t="shared" si="108"/>
        <v>0</v>
      </c>
      <c r="BK175" s="32">
        <f t="shared" si="109"/>
        <v>0</v>
      </c>
      <c r="BL175" s="32">
        <f t="shared" si="110"/>
        <v>0</v>
      </c>
      <c r="BM175" s="32">
        <f t="shared" si="111"/>
        <v>0</v>
      </c>
      <c r="BN175" s="32">
        <f t="shared" si="112"/>
        <v>0</v>
      </c>
      <c r="BO175" s="32">
        <f t="shared" si="113"/>
        <v>0</v>
      </c>
      <c r="BP175" s="32">
        <f t="shared" si="114"/>
        <v>0</v>
      </c>
      <c r="BQ175" s="32">
        <f t="shared" si="115"/>
        <v>0</v>
      </c>
      <c r="BR175" s="32">
        <f t="shared" si="116"/>
        <v>0</v>
      </c>
      <c r="BS175" s="32">
        <f t="shared" si="117"/>
        <v>0</v>
      </c>
      <c r="BT175" s="40">
        <f t="shared" si="118"/>
        <v>0</v>
      </c>
    </row>
    <row r="176" spans="1:72">
      <c r="A176" s="6"/>
      <c r="B176" s="31"/>
      <c r="C176" s="31"/>
      <c r="D176" s="1629"/>
      <c r="E176" s="32">
        <f t="shared" si="90"/>
        <v>0</v>
      </c>
      <c r="F176" s="33"/>
      <c r="G176" s="34">
        <f t="shared" si="94"/>
        <v>0</v>
      </c>
      <c r="H176" s="35">
        <f t="shared" si="95"/>
        <v>0</v>
      </c>
      <c r="I176" s="36"/>
      <c r="J176" s="36"/>
      <c r="K176" s="36"/>
      <c r="L176" s="36"/>
      <c r="M176" s="36"/>
      <c r="N176" s="36"/>
      <c r="O176" s="36"/>
      <c r="P176" s="36"/>
      <c r="Q176" s="36"/>
      <c r="R176" s="36"/>
      <c r="S176" s="36"/>
      <c r="T176" s="36"/>
      <c r="U176" s="36"/>
      <c r="V176" s="36"/>
      <c r="W176" s="36"/>
      <c r="X176" s="36"/>
      <c r="Y176" s="36"/>
      <c r="Z176" s="36"/>
      <c r="AA176" s="36"/>
      <c r="AB176" s="36"/>
      <c r="AC176" s="32">
        <f t="shared" si="96"/>
        <v>0</v>
      </c>
      <c r="AD176" s="37"/>
      <c r="AE176" s="37"/>
      <c r="AF176" s="37"/>
      <c r="AG176" s="37"/>
      <c r="AH176" s="37"/>
      <c r="AI176" s="37"/>
      <c r="AJ176" s="37"/>
      <c r="AK176" s="37"/>
      <c r="AL176" s="37"/>
      <c r="AM176" s="37"/>
      <c r="AN176" s="37"/>
      <c r="AO176" s="37"/>
      <c r="AP176" s="37"/>
      <c r="AQ176" s="37"/>
      <c r="AR176" s="37"/>
      <c r="AS176" s="37"/>
      <c r="AT176" s="38"/>
      <c r="AU176" s="1630"/>
      <c r="AV176" s="1342">
        <f t="shared" si="91"/>
        <v>0</v>
      </c>
      <c r="AW176" s="1342">
        <f t="shared" si="92"/>
        <v>0</v>
      </c>
      <c r="AX176" s="1342">
        <f t="shared" si="93"/>
        <v>0</v>
      </c>
      <c r="AY176" s="39">
        <f t="shared" si="97"/>
        <v>0</v>
      </c>
      <c r="AZ176" s="32">
        <f t="shared" si="98"/>
        <v>0</v>
      </c>
      <c r="BA176" s="32">
        <f t="shared" si="99"/>
        <v>0</v>
      </c>
      <c r="BB176" s="32">
        <f t="shared" si="100"/>
        <v>0</v>
      </c>
      <c r="BC176" s="32">
        <f t="shared" si="101"/>
        <v>0</v>
      </c>
      <c r="BD176" s="32">
        <f t="shared" si="102"/>
        <v>0</v>
      </c>
      <c r="BE176" s="32">
        <f t="shared" si="103"/>
        <v>0</v>
      </c>
      <c r="BF176" s="32">
        <f t="shared" si="104"/>
        <v>0</v>
      </c>
      <c r="BG176" s="32">
        <f t="shared" si="105"/>
        <v>0</v>
      </c>
      <c r="BH176" s="32">
        <f t="shared" si="106"/>
        <v>0</v>
      </c>
      <c r="BI176" s="32">
        <f t="shared" si="107"/>
        <v>0</v>
      </c>
      <c r="BJ176" s="32">
        <f t="shared" si="108"/>
        <v>0</v>
      </c>
      <c r="BK176" s="32">
        <f t="shared" si="109"/>
        <v>0</v>
      </c>
      <c r="BL176" s="32">
        <f t="shared" si="110"/>
        <v>0</v>
      </c>
      <c r="BM176" s="32">
        <f t="shared" si="111"/>
        <v>0</v>
      </c>
      <c r="BN176" s="32">
        <f t="shared" si="112"/>
        <v>0</v>
      </c>
      <c r="BO176" s="32">
        <f t="shared" si="113"/>
        <v>0</v>
      </c>
      <c r="BP176" s="32">
        <f t="shared" si="114"/>
        <v>0</v>
      </c>
      <c r="BQ176" s="32">
        <f t="shared" si="115"/>
        <v>0</v>
      </c>
      <c r="BR176" s="32">
        <f t="shared" si="116"/>
        <v>0</v>
      </c>
      <c r="BS176" s="32">
        <f t="shared" si="117"/>
        <v>0</v>
      </c>
      <c r="BT176" s="40">
        <f t="shared" si="118"/>
        <v>0</v>
      </c>
    </row>
    <row r="177" spans="1:72">
      <c r="A177" s="6"/>
      <c r="B177" s="31"/>
      <c r="C177" s="31"/>
      <c r="D177" s="1629"/>
      <c r="E177" s="32">
        <f t="shared" ref="E177:E207" si="119">IF($C$3="是",ROUND($A$3*G177/$B$3,2),ROUND($A$3*(G177-AT177)/$B$3,2))</f>
        <v>0</v>
      </c>
      <c r="F177" s="33"/>
      <c r="G177" s="34">
        <f t="shared" si="94"/>
        <v>0</v>
      </c>
      <c r="H177" s="35">
        <f t="shared" si="95"/>
        <v>0</v>
      </c>
      <c r="I177" s="36"/>
      <c r="J177" s="36"/>
      <c r="K177" s="36"/>
      <c r="L177" s="36"/>
      <c r="M177" s="36"/>
      <c r="N177" s="36"/>
      <c r="O177" s="36"/>
      <c r="P177" s="36"/>
      <c r="Q177" s="36"/>
      <c r="R177" s="36"/>
      <c r="S177" s="36"/>
      <c r="T177" s="36"/>
      <c r="U177" s="36"/>
      <c r="V177" s="36"/>
      <c r="W177" s="36"/>
      <c r="X177" s="36"/>
      <c r="Y177" s="36"/>
      <c r="Z177" s="36"/>
      <c r="AA177" s="36"/>
      <c r="AB177" s="36"/>
      <c r="AC177" s="32">
        <f t="shared" si="96"/>
        <v>0</v>
      </c>
      <c r="AD177" s="37"/>
      <c r="AE177" s="37"/>
      <c r="AF177" s="37"/>
      <c r="AG177" s="37"/>
      <c r="AH177" s="37"/>
      <c r="AI177" s="37"/>
      <c r="AJ177" s="37"/>
      <c r="AK177" s="37"/>
      <c r="AL177" s="37"/>
      <c r="AM177" s="37"/>
      <c r="AN177" s="37"/>
      <c r="AO177" s="37"/>
      <c r="AP177" s="37"/>
      <c r="AQ177" s="37"/>
      <c r="AR177" s="37"/>
      <c r="AS177" s="37"/>
      <c r="AT177" s="38"/>
      <c r="AU177" s="1630"/>
      <c r="AV177" s="1342">
        <f t="shared" ref="AV177:AV207" si="120">A177</f>
        <v>0</v>
      </c>
      <c r="AW177" s="1342">
        <f t="shared" ref="AW177:AW207" si="121">B177</f>
        <v>0</v>
      </c>
      <c r="AX177" s="1342">
        <f t="shared" ref="AX177:AX207" si="122">C177</f>
        <v>0</v>
      </c>
      <c r="AY177" s="39">
        <f t="shared" si="97"/>
        <v>0</v>
      </c>
      <c r="AZ177" s="32">
        <f t="shared" si="98"/>
        <v>0</v>
      </c>
      <c r="BA177" s="32">
        <f t="shared" si="99"/>
        <v>0</v>
      </c>
      <c r="BB177" s="32">
        <f t="shared" si="100"/>
        <v>0</v>
      </c>
      <c r="BC177" s="32">
        <f t="shared" si="101"/>
        <v>0</v>
      </c>
      <c r="BD177" s="32">
        <f t="shared" si="102"/>
        <v>0</v>
      </c>
      <c r="BE177" s="32">
        <f t="shared" si="103"/>
        <v>0</v>
      </c>
      <c r="BF177" s="32">
        <f t="shared" si="104"/>
        <v>0</v>
      </c>
      <c r="BG177" s="32">
        <f t="shared" si="105"/>
        <v>0</v>
      </c>
      <c r="BH177" s="32">
        <f t="shared" si="106"/>
        <v>0</v>
      </c>
      <c r="BI177" s="32">
        <f t="shared" si="107"/>
        <v>0</v>
      </c>
      <c r="BJ177" s="32">
        <f t="shared" si="108"/>
        <v>0</v>
      </c>
      <c r="BK177" s="32">
        <f t="shared" si="109"/>
        <v>0</v>
      </c>
      <c r="BL177" s="32">
        <f t="shared" si="110"/>
        <v>0</v>
      </c>
      <c r="BM177" s="32">
        <f t="shared" si="111"/>
        <v>0</v>
      </c>
      <c r="BN177" s="32">
        <f t="shared" si="112"/>
        <v>0</v>
      </c>
      <c r="BO177" s="32">
        <f t="shared" si="113"/>
        <v>0</v>
      </c>
      <c r="BP177" s="32">
        <f t="shared" si="114"/>
        <v>0</v>
      </c>
      <c r="BQ177" s="32">
        <f t="shared" si="115"/>
        <v>0</v>
      </c>
      <c r="BR177" s="32">
        <f t="shared" si="116"/>
        <v>0</v>
      </c>
      <c r="BS177" s="32">
        <f t="shared" si="117"/>
        <v>0</v>
      </c>
      <c r="BT177" s="40">
        <f t="shared" si="118"/>
        <v>0</v>
      </c>
    </row>
    <row r="178" spans="1:72">
      <c r="A178" s="6"/>
      <c r="B178" s="31"/>
      <c r="C178" s="31"/>
      <c r="D178" s="1629"/>
      <c r="E178" s="32">
        <f t="shared" si="119"/>
        <v>0</v>
      </c>
      <c r="F178" s="33"/>
      <c r="G178" s="34">
        <f t="shared" si="94"/>
        <v>0</v>
      </c>
      <c r="H178" s="35">
        <f t="shared" si="95"/>
        <v>0</v>
      </c>
      <c r="I178" s="36"/>
      <c r="J178" s="36"/>
      <c r="K178" s="36"/>
      <c r="L178" s="36"/>
      <c r="M178" s="36"/>
      <c r="N178" s="36"/>
      <c r="O178" s="36"/>
      <c r="P178" s="36"/>
      <c r="Q178" s="36"/>
      <c r="R178" s="36"/>
      <c r="S178" s="36"/>
      <c r="T178" s="36"/>
      <c r="U178" s="36"/>
      <c r="V178" s="36"/>
      <c r="W178" s="36"/>
      <c r="X178" s="36"/>
      <c r="Y178" s="36"/>
      <c r="Z178" s="36"/>
      <c r="AA178" s="36"/>
      <c r="AB178" s="36"/>
      <c r="AC178" s="32">
        <f t="shared" si="96"/>
        <v>0</v>
      </c>
      <c r="AD178" s="37"/>
      <c r="AE178" s="37"/>
      <c r="AF178" s="37"/>
      <c r="AG178" s="37"/>
      <c r="AH178" s="37"/>
      <c r="AI178" s="37"/>
      <c r="AJ178" s="37"/>
      <c r="AK178" s="37"/>
      <c r="AL178" s="37"/>
      <c r="AM178" s="37"/>
      <c r="AN178" s="37"/>
      <c r="AO178" s="37"/>
      <c r="AP178" s="37"/>
      <c r="AQ178" s="37"/>
      <c r="AR178" s="37"/>
      <c r="AS178" s="37"/>
      <c r="AT178" s="38"/>
      <c r="AU178" s="1630"/>
      <c r="AV178" s="1342">
        <f t="shared" si="120"/>
        <v>0</v>
      </c>
      <c r="AW178" s="1342">
        <f t="shared" si="121"/>
        <v>0</v>
      </c>
      <c r="AX178" s="1342">
        <f t="shared" si="122"/>
        <v>0</v>
      </c>
      <c r="AY178" s="39">
        <f t="shared" si="97"/>
        <v>0</v>
      </c>
      <c r="AZ178" s="32">
        <f t="shared" si="98"/>
        <v>0</v>
      </c>
      <c r="BA178" s="32">
        <f t="shared" si="99"/>
        <v>0</v>
      </c>
      <c r="BB178" s="32">
        <f t="shared" si="100"/>
        <v>0</v>
      </c>
      <c r="BC178" s="32">
        <f t="shared" si="101"/>
        <v>0</v>
      </c>
      <c r="BD178" s="32">
        <f t="shared" si="102"/>
        <v>0</v>
      </c>
      <c r="BE178" s="32">
        <f t="shared" si="103"/>
        <v>0</v>
      </c>
      <c r="BF178" s="32">
        <f t="shared" si="104"/>
        <v>0</v>
      </c>
      <c r="BG178" s="32">
        <f t="shared" si="105"/>
        <v>0</v>
      </c>
      <c r="BH178" s="32">
        <f t="shared" si="106"/>
        <v>0</v>
      </c>
      <c r="BI178" s="32">
        <f t="shared" si="107"/>
        <v>0</v>
      </c>
      <c r="BJ178" s="32">
        <f t="shared" si="108"/>
        <v>0</v>
      </c>
      <c r="BK178" s="32">
        <f t="shared" si="109"/>
        <v>0</v>
      </c>
      <c r="BL178" s="32">
        <f t="shared" si="110"/>
        <v>0</v>
      </c>
      <c r="BM178" s="32">
        <f t="shared" si="111"/>
        <v>0</v>
      </c>
      <c r="BN178" s="32">
        <f t="shared" si="112"/>
        <v>0</v>
      </c>
      <c r="BO178" s="32">
        <f t="shared" si="113"/>
        <v>0</v>
      </c>
      <c r="BP178" s="32">
        <f t="shared" si="114"/>
        <v>0</v>
      </c>
      <c r="BQ178" s="32">
        <f t="shared" si="115"/>
        <v>0</v>
      </c>
      <c r="BR178" s="32">
        <f t="shared" si="116"/>
        <v>0</v>
      </c>
      <c r="BS178" s="32">
        <f t="shared" si="117"/>
        <v>0</v>
      </c>
      <c r="BT178" s="40">
        <f t="shared" si="118"/>
        <v>0</v>
      </c>
    </row>
    <row r="179" spans="1:72">
      <c r="A179" s="6"/>
      <c r="B179" s="31"/>
      <c r="C179" s="31"/>
      <c r="D179" s="1629"/>
      <c r="E179" s="32">
        <f t="shared" si="119"/>
        <v>0</v>
      </c>
      <c r="F179" s="33"/>
      <c r="G179" s="34">
        <f t="shared" si="94"/>
        <v>0</v>
      </c>
      <c r="H179" s="35">
        <f t="shared" si="95"/>
        <v>0</v>
      </c>
      <c r="I179" s="36"/>
      <c r="J179" s="36"/>
      <c r="K179" s="36"/>
      <c r="L179" s="36"/>
      <c r="M179" s="36"/>
      <c r="N179" s="36"/>
      <c r="O179" s="36"/>
      <c r="P179" s="36"/>
      <c r="Q179" s="36"/>
      <c r="R179" s="36"/>
      <c r="S179" s="36"/>
      <c r="T179" s="36"/>
      <c r="U179" s="36"/>
      <c r="V179" s="36"/>
      <c r="W179" s="36"/>
      <c r="X179" s="36"/>
      <c r="Y179" s="36"/>
      <c r="Z179" s="36"/>
      <c r="AA179" s="36"/>
      <c r="AB179" s="36"/>
      <c r="AC179" s="32">
        <f t="shared" si="96"/>
        <v>0</v>
      </c>
      <c r="AD179" s="37"/>
      <c r="AE179" s="37"/>
      <c r="AF179" s="37"/>
      <c r="AG179" s="37"/>
      <c r="AH179" s="37"/>
      <c r="AI179" s="37"/>
      <c r="AJ179" s="37"/>
      <c r="AK179" s="37"/>
      <c r="AL179" s="37"/>
      <c r="AM179" s="37"/>
      <c r="AN179" s="37"/>
      <c r="AO179" s="37"/>
      <c r="AP179" s="37"/>
      <c r="AQ179" s="37"/>
      <c r="AR179" s="37"/>
      <c r="AS179" s="37"/>
      <c r="AT179" s="38"/>
      <c r="AU179" s="1630"/>
      <c r="AV179" s="1342">
        <f t="shared" si="120"/>
        <v>0</v>
      </c>
      <c r="AW179" s="1342">
        <f t="shared" si="121"/>
        <v>0</v>
      </c>
      <c r="AX179" s="1342">
        <f t="shared" si="122"/>
        <v>0</v>
      </c>
      <c r="AY179" s="39">
        <f t="shared" si="97"/>
        <v>0</v>
      </c>
      <c r="AZ179" s="32">
        <f t="shared" si="98"/>
        <v>0</v>
      </c>
      <c r="BA179" s="32">
        <f t="shared" si="99"/>
        <v>0</v>
      </c>
      <c r="BB179" s="32">
        <f t="shared" si="100"/>
        <v>0</v>
      </c>
      <c r="BC179" s="32">
        <f t="shared" si="101"/>
        <v>0</v>
      </c>
      <c r="BD179" s="32">
        <f t="shared" si="102"/>
        <v>0</v>
      </c>
      <c r="BE179" s="32">
        <f t="shared" si="103"/>
        <v>0</v>
      </c>
      <c r="BF179" s="32">
        <f t="shared" si="104"/>
        <v>0</v>
      </c>
      <c r="BG179" s="32">
        <f t="shared" si="105"/>
        <v>0</v>
      </c>
      <c r="BH179" s="32">
        <f t="shared" si="106"/>
        <v>0</v>
      </c>
      <c r="BI179" s="32">
        <f t="shared" si="107"/>
        <v>0</v>
      </c>
      <c r="BJ179" s="32">
        <f t="shared" si="108"/>
        <v>0</v>
      </c>
      <c r="BK179" s="32">
        <f t="shared" si="109"/>
        <v>0</v>
      </c>
      <c r="BL179" s="32">
        <f t="shared" si="110"/>
        <v>0</v>
      </c>
      <c r="BM179" s="32">
        <f t="shared" si="111"/>
        <v>0</v>
      </c>
      <c r="BN179" s="32">
        <f t="shared" si="112"/>
        <v>0</v>
      </c>
      <c r="BO179" s="32">
        <f t="shared" si="113"/>
        <v>0</v>
      </c>
      <c r="BP179" s="32">
        <f t="shared" si="114"/>
        <v>0</v>
      </c>
      <c r="BQ179" s="32">
        <f t="shared" si="115"/>
        <v>0</v>
      </c>
      <c r="BR179" s="32">
        <f t="shared" si="116"/>
        <v>0</v>
      </c>
      <c r="BS179" s="32">
        <f t="shared" si="117"/>
        <v>0</v>
      </c>
      <c r="BT179" s="40">
        <f t="shared" si="118"/>
        <v>0</v>
      </c>
    </row>
    <row r="180" spans="1:72">
      <c r="A180" s="6"/>
      <c r="B180" s="31"/>
      <c r="C180" s="31"/>
      <c r="D180" s="1629"/>
      <c r="E180" s="32">
        <f t="shared" si="119"/>
        <v>0</v>
      </c>
      <c r="F180" s="33"/>
      <c r="G180" s="34">
        <f t="shared" si="94"/>
        <v>0</v>
      </c>
      <c r="H180" s="35">
        <f t="shared" si="95"/>
        <v>0</v>
      </c>
      <c r="I180" s="36"/>
      <c r="J180" s="36"/>
      <c r="K180" s="36"/>
      <c r="L180" s="36"/>
      <c r="M180" s="36"/>
      <c r="N180" s="36"/>
      <c r="O180" s="36"/>
      <c r="P180" s="36"/>
      <c r="Q180" s="36"/>
      <c r="R180" s="36"/>
      <c r="S180" s="36"/>
      <c r="T180" s="36"/>
      <c r="U180" s="36"/>
      <c r="V180" s="36"/>
      <c r="W180" s="36"/>
      <c r="X180" s="36"/>
      <c r="Y180" s="36"/>
      <c r="Z180" s="36"/>
      <c r="AA180" s="36"/>
      <c r="AB180" s="36"/>
      <c r="AC180" s="32">
        <f t="shared" si="96"/>
        <v>0</v>
      </c>
      <c r="AD180" s="37"/>
      <c r="AE180" s="37"/>
      <c r="AF180" s="37"/>
      <c r="AG180" s="37"/>
      <c r="AH180" s="37"/>
      <c r="AI180" s="37"/>
      <c r="AJ180" s="37"/>
      <c r="AK180" s="37"/>
      <c r="AL180" s="37"/>
      <c r="AM180" s="37"/>
      <c r="AN180" s="37"/>
      <c r="AO180" s="37"/>
      <c r="AP180" s="37"/>
      <c r="AQ180" s="37"/>
      <c r="AR180" s="37"/>
      <c r="AS180" s="37"/>
      <c r="AT180" s="38"/>
      <c r="AU180" s="1630"/>
      <c r="AV180" s="1342">
        <f t="shared" si="120"/>
        <v>0</v>
      </c>
      <c r="AW180" s="1342">
        <f t="shared" si="121"/>
        <v>0</v>
      </c>
      <c r="AX180" s="1342">
        <f t="shared" si="122"/>
        <v>0</v>
      </c>
      <c r="AY180" s="39">
        <f t="shared" si="97"/>
        <v>0</v>
      </c>
      <c r="AZ180" s="32">
        <f t="shared" si="98"/>
        <v>0</v>
      </c>
      <c r="BA180" s="32">
        <f t="shared" si="99"/>
        <v>0</v>
      </c>
      <c r="BB180" s="32">
        <f t="shared" si="100"/>
        <v>0</v>
      </c>
      <c r="BC180" s="32">
        <f t="shared" si="101"/>
        <v>0</v>
      </c>
      <c r="BD180" s="32">
        <f t="shared" si="102"/>
        <v>0</v>
      </c>
      <c r="BE180" s="32">
        <f t="shared" si="103"/>
        <v>0</v>
      </c>
      <c r="BF180" s="32">
        <f t="shared" si="104"/>
        <v>0</v>
      </c>
      <c r="BG180" s="32">
        <f t="shared" si="105"/>
        <v>0</v>
      </c>
      <c r="BH180" s="32">
        <f t="shared" si="106"/>
        <v>0</v>
      </c>
      <c r="BI180" s="32">
        <f t="shared" si="107"/>
        <v>0</v>
      </c>
      <c r="BJ180" s="32">
        <f t="shared" si="108"/>
        <v>0</v>
      </c>
      <c r="BK180" s="32">
        <f t="shared" si="109"/>
        <v>0</v>
      </c>
      <c r="BL180" s="32">
        <f t="shared" si="110"/>
        <v>0</v>
      </c>
      <c r="BM180" s="32">
        <f t="shared" si="111"/>
        <v>0</v>
      </c>
      <c r="BN180" s="32">
        <f t="shared" si="112"/>
        <v>0</v>
      </c>
      <c r="BO180" s="32">
        <f t="shared" si="113"/>
        <v>0</v>
      </c>
      <c r="BP180" s="32">
        <f t="shared" si="114"/>
        <v>0</v>
      </c>
      <c r="BQ180" s="32">
        <f t="shared" si="115"/>
        <v>0</v>
      </c>
      <c r="BR180" s="32">
        <f t="shared" si="116"/>
        <v>0</v>
      </c>
      <c r="BS180" s="32">
        <f t="shared" si="117"/>
        <v>0</v>
      </c>
      <c r="BT180" s="40">
        <f t="shared" si="118"/>
        <v>0</v>
      </c>
    </row>
    <row r="181" spans="1:72">
      <c r="A181" s="6"/>
      <c r="B181" s="31"/>
      <c r="C181" s="31"/>
      <c r="D181" s="1629"/>
      <c r="E181" s="32">
        <f t="shared" si="119"/>
        <v>0</v>
      </c>
      <c r="F181" s="33"/>
      <c r="G181" s="34">
        <f t="shared" si="94"/>
        <v>0</v>
      </c>
      <c r="H181" s="35">
        <f t="shared" si="95"/>
        <v>0</v>
      </c>
      <c r="I181" s="36"/>
      <c r="J181" s="36"/>
      <c r="K181" s="36"/>
      <c r="L181" s="36"/>
      <c r="M181" s="36"/>
      <c r="N181" s="36"/>
      <c r="O181" s="36"/>
      <c r="P181" s="36"/>
      <c r="Q181" s="36"/>
      <c r="R181" s="36"/>
      <c r="S181" s="36"/>
      <c r="T181" s="36"/>
      <c r="U181" s="36"/>
      <c r="V181" s="36"/>
      <c r="W181" s="36"/>
      <c r="X181" s="36"/>
      <c r="Y181" s="36"/>
      <c r="Z181" s="36"/>
      <c r="AA181" s="36"/>
      <c r="AB181" s="36"/>
      <c r="AC181" s="32">
        <f t="shared" si="96"/>
        <v>0</v>
      </c>
      <c r="AD181" s="37"/>
      <c r="AE181" s="37"/>
      <c r="AF181" s="37"/>
      <c r="AG181" s="37"/>
      <c r="AH181" s="37"/>
      <c r="AI181" s="37"/>
      <c r="AJ181" s="37"/>
      <c r="AK181" s="37"/>
      <c r="AL181" s="37"/>
      <c r="AM181" s="37"/>
      <c r="AN181" s="37"/>
      <c r="AO181" s="37"/>
      <c r="AP181" s="37"/>
      <c r="AQ181" s="37"/>
      <c r="AR181" s="37"/>
      <c r="AS181" s="37"/>
      <c r="AT181" s="38"/>
      <c r="AU181" s="1630"/>
      <c r="AV181" s="1342">
        <f t="shared" si="120"/>
        <v>0</v>
      </c>
      <c r="AW181" s="1342">
        <f t="shared" si="121"/>
        <v>0</v>
      </c>
      <c r="AX181" s="1342">
        <f t="shared" si="122"/>
        <v>0</v>
      </c>
      <c r="AY181" s="39">
        <f t="shared" si="97"/>
        <v>0</v>
      </c>
      <c r="AZ181" s="32">
        <f t="shared" si="98"/>
        <v>0</v>
      </c>
      <c r="BA181" s="32">
        <f t="shared" si="99"/>
        <v>0</v>
      </c>
      <c r="BB181" s="32">
        <f t="shared" si="100"/>
        <v>0</v>
      </c>
      <c r="BC181" s="32">
        <f t="shared" si="101"/>
        <v>0</v>
      </c>
      <c r="BD181" s="32">
        <f t="shared" si="102"/>
        <v>0</v>
      </c>
      <c r="BE181" s="32">
        <f t="shared" si="103"/>
        <v>0</v>
      </c>
      <c r="BF181" s="32">
        <f t="shared" si="104"/>
        <v>0</v>
      </c>
      <c r="BG181" s="32">
        <f t="shared" si="105"/>
        <v>0</v>
      </c>
      <c r="BH181" s="32">
        <f t="shared" si="106"/>
        <v>0</v>
      </c>
      <c r="BI181" s="32">
        <f t="shared" si="107"/>
        <v>0</v>
      </c>
      <c r="BJ181" s="32">
        <f t="shared" si="108"/>
        <v>0</v>
      </c>
      <c r="BK181" s="32">
        <f t="shared" si="109"/>
        <v>0</v>
      </c>
      <c r="BL181" s="32">
        <f t="shared" si="110"/>
        <v>0</v>
      </c>
      <c r="BM181" s="32">
        <f t="shared" si="111"/>
        <v>0</v>
      </c>
      <c r="BN181" s="32">
        <f t="shared" si="112"/>
        <v>0</v>
      </c>
      <c r="BO181" s="32">
        <f t="shared" si="113"/>
        <v>0</v>
      </c>
      <c r="BP181" s="32">
        <f t="shared" si="114"/>
        <v>0</v>
      </c>
      <c r="BQ181" s="32">
        <f t="shared" si="115"/>
        <v>0</v>
      </c>
      <c r="BR181" s="32">
        <f t="shared" si="116"/>
        <v>0</v>
      </c>
      <c r="BS181" s="32">
        <f t="shared" si="117"/>
        <v>0</v>
      </c>
      <c r="BT181" s="40">
        <f t="shared" si="118"/>
        <v>0</v>
      </c>
    </row>
    <row r="182" spans="1:72">
      <c r="A182" s="6"/>
      <c r="B182" s="31"/>
      <c r="C182" s="31"/>
      <c r="D182" s="1629"/>
      <c r="E182" s="32">
        <f t="shared" si="119"/>
        <v>0</v>
      </c>
      <c r="F182" s="33"/>
      <c r="G182" s="34">
        <f t="shared" si="94"/>
        <v>0</v>
      </c>
      <c r="H182" s="35">
        <f t="shared" si="95"/>
        <v>0</v>
      </c>
      <c r="I182" s="36"/>
      <c r="J182" s="36"/>
      <c r="K182" s="36"/>
      <c r="L182" s="36"/>
      <c r="M182" s="36"/>
      <c r="N182" s="36"/>
      <c r="O182" s="36"/>
      <c r="P182" s="36"/>
      <c r="Q182" s="36"/>
      <c r="R182" s="36"/>
      <c r="S182" s="36"/>
      <c r="T182" s="36"/>
      <c r="U182" s="36"/>
      <c r="V182" s="36"/>
      <c r="W182" s="36"/>
      <c r="X182" s="36"/>
      <c r="Y182" s="36"/>
      <c r="Z182" s="36"/>
      <c r="AA182" s="36"/>
      <c r="AB182" s="36"/>
      <c r="AC182" s="32">
        <f t="shared" si="96"/>
        <v>0</v>
      </c>
      <c r="AD182" s="37"/>
      <c r="AE182" s="37"/>
      <c r="AF182" s="37"/>
      <c r="AG182" s="37"/>
      <c r="AH182" s="37"/>
      <c r="AI182" s="37"/>
      <c r="AJ182" s="37"/>
      <c r="AK182" s="37"/>
      <c r="AL182" s="37"/>
      <c r="AM182" s="37"/>
      <c r="AN182" s="37"/>
      <c r="AO182" s="37"/>
      <c r="AP182" s="37"/>
      <c r="AQ182" s="37"/>
      <c r="AR182" s="37"/>
      <c r="AS182" s="37"/>
      <c r="AT182" s="38"/>
      <c r="AU182" s="1630"/>
      <c r="AV182" s="1342">
        <f t="shared" si="120"/>
        <v>0</v>
      </c>
      <c r="AW182" s="1342">
        <f t="shared" si="121"/>
        <v>0</v>
      </c>
      <c r="AX182" s="1342">
        <f t="shared" si="122"/>
        <v>0</v>
      </c>
      <c r="AY182" s="39">
        <f t="shared" si="97"/>
        <v>0</v>
      </c>
      <c r="AZ182" s="32">
        <f t="shared" si="98"/>
        <v>0</v>
      </c>
      <c r="BA182" s="32">
        <f t="shared" si="99"/>
        <v>0</v>
      </c>
      <c r="BB182" s="32">
        <f t="shared" si="100"/>
        <v>0</v>
      </c>
      <c r="BC182" s="32">
        <f t="shared" si="101"/>
        <v>0</v>
      </c>
      <c r="BD182" s="32">
        <f t="shared" si="102"/>
        <v>0</v>
      </c>
      <c r="BE182" s="32">
        <f t="shared" si="103"/>
        <v>0</v>
      </c>
      <c r="BF182" s="32">
        <f t="shared" si="104"/>
        <v>0</v>
      </c>
      <c r="BG182" s="32">
        <f t="shared" si="105"/>
        <v>0</v>
      </c>
      <c r="BH182" s="32">
        <f t="shared" si="106"/>
        <v>0</v>
      </c>
      <c r="BI182" s="32">
        <f t="shared" si="107"/>
        <v>0</v>
      </c>
      <c r="BJ182" s="32">
        <f t="shared" si="108"/>
        <v>0</v>
      </c>
      <c r="BK182" s="32">
        <f t="shared" si="109"/>
        <v>0</v>
      </c>
      <c r="BL182" s="32">
        <f t="shared" si="110"/>
        <v>0</v>
      </c>
      <c r="BM182" s="32">
        <f t="shared" si="111"/>
        <v>0</v>
      </c>
      <c r="BN182" s="32">
        <f t="shared" si="112"/>
        <v>0</v>
      </c>
      <c r="BO182" s="32">
        <f t="shared" si="113"/>
        <v>0</v>
      </c>
      <c r="BP182" s="32">
        <f t="shared" si="114"/>
        <v>0</v>
      </c>
      <c r="BQ182" s="32">
        <f t="shared" si="115"/>
        <v>0</v>
      </c>
      <c r="BR182" s="32">
        <f t="shared" si="116"/>
        <v>0</v>
      </c>
      <c r="BS182" s="32">
        <f t="shared" si="117"/>
        <v>0</v>
      </c>
      <c r="BT182" s="40">
        <f t="shared" si="118"/>
        <v>0</v>
      </c>
    </row>
    <row r="183" spans="1:72">
      <c r="A183" s="6"/>
      <c r="B183" s="31"/>
      <c r="C183" s="31"/>
      <c r="D183" s="1629"/>
      <c r="E183" s="32">
        <f t="shared" si="119"/>
        <v>0</v>
      </c>
      <c r="F183" s="33"/>
      <c r="G183" s="34">
        <f t="shared" si="94"/>
        <v>0</v>
      </c>
      <c r="H183" s="35">
        <f t="shared" si="95"/>
        <v>0</v>
      </c>
      <c r="I183" s="36"/>
      <c r="J183" s="36"/>
      <c r="K183" s="36"/>
      <c r="L183" s="36"/>
      <c r="M183" s="36"/>
      <c r="N183" s="36"/>
      <c r="O183" s="36"/>
      <c r="P183" s="36"/>
      <c r="Q183" s="36"/>
      <c r="R183" s="36"/>
      <c r="S183" s="36"/>
      <c r="T183" s="36"/>
      <c r="U183" s="36"/>
      <c r="V183" s="36"/>
      <c r="W183" s="36"/>
      <c r="X183" s="36"/>
      <c r="Y183" s="36"/>
      <c r="Z183" s="36"/>
      <c r="AA183" s="36"/>
      <c r="AB183" s="36"/>
      <c r="AC183" s="32">
        <f t="shared" si="96"/>
        <v>0</v>
      </c>
      <c r="AD183" s="37"/>
      <c r="AE183" s="37"/>
      <c r="AF183" s="37"/>
      <c r="AG183" s="37"/>
      <c r="AH183" s="37"/>
      <c r="AI183" s="37"/>
      <c r="AJ183" s="37"/>
      <c r="AK183" s="37"/>
      <c r="AL183" s="37"/>
      <c r="AM183" s="37"/>
      <c r="AN183" s="37"/>
      <c r="AO183" s="37"/>
      <c r="AP183" s="37"/>
      <c r="AQ183" s="37"/>
      <c r="AR183" s="37"/>
      <c r="AS183" s="37"/>
      <c r="AT183" s="38"/>
      <c r="AU183" s="1630"/>
      <c r="AV183" s="1342">
        <f t="shared" si="120"/>
        <v>0</v>
      </c>
      <c r="AW183" s="1342">
        <f t="shared" si="121"/>
        <v>0</v>
      </c>
      <c r="AX183" s="1342">
        <f t="shared" si="122"/>
        <v>0</v>
      </c>
      <c r="AY183" s="39">
        <f t="shared" si="97"/>
        <v>0</v>
      </c>
      <c r="AZ183" s="32">
        <f t="shared" si="98"/>
        <v>0</v>
      </c>
      <c r="BA183" s="32">
        <f t="shared" si="99"/>
        <v>0</v>
      </c>
      <c r="BB183" s="32">
        <f t="shared" si="100"/>
        <v>0</v>
      </c>
      <c r="BC183" s="32">
        <f t="shared" si="101"/>
        <v>0</v>
      </c>
      <c r="BD183" s="32">
        <f t="shared" si="102"/>
        <v>0</v>
      </c>
      <c r="BE183" s="32">
        <f t="shared" si="103"/>
        <v>0</v>
      </c>
      <c r="BF183" s="32">
        <f t="shared" si="104"/>
        <v>0</v>
      </c>
      <c r="BG183" s="32">
        <f t="shared" si="105"/>
        <v>0</v>
      </c>
      <c r="BH183" s="32">
        <f t="shared" si="106"/>
        <v>0</v>
      </c>
      <c r="BI183" s="32">
        <f t="shared" si="107"/>
        <v>0</v>
      </c>
      <c r="BJ183" s="32">
        <f t="shared" si="108"/>
        <v>0</v>
      </c>
      <c r="BK183" s="32">
        <f t="shared" si="109"/>
        <v>0</v>
      </c>
      <c r="BL183" s="32">
        <f t="shared" si="110"/>
        <v>0</v>
      </c>
      <c r="BM183" s="32">
        <f t="shared" si="111"/>
        <v>0</v>
      </c>
      <c r="BN183" s="32">
        <f t="shared" si="112"/>
        <v>0</v>
      </c>
      <c r="BO183" s="32">
        <f t="shared" si="113"/>
        <v>0</v>
      </c>
      <c r="BP183" s="32">
        <f t="shared" si="114"/>
        <v>0</v>
      </c>
      <c r="BQ183" s="32">
        <f t="shared" si="115"/>
        <v>0</v>
      </c>
      <c r="BR183" s="32">
        <f t="shared" si="116"/>
        <v>0</v>
      </c>
      <c r="BS183" s="32">
        <f t="shared" si="117"/>
        <v>0</v>
      </c>
      <c r="BT183" s="40">
        <f t="shared" si="118"/>
        <v>0</v>
      </c>
    </row>
    <row r="184" spans="1:72">
      <c r="A184" s="6"/>
      <c r="B184" s="31"/>
      <c r="C184" s="31"/>
      <c r="D184" s="1629"/>
      <c r="E184" s="32">
        <f t="shared" si="119"/>
        <v>0</v>
      </c>
      <c r="F184" s="33"/>
      <c r="G184" s="34">
        <f t="shared" si="94"/>
        <v>0</v>
      </c>
      <c r="H184" s="35">
        <f t="shared" si="95"/>
        <v>0</v>
      </c>
      <c r="I184" s="36"/>
      <c r="J184" s="36"/>
      <c r="K184" s="36"/>
      <c r="L184" s="36"/>
      <c r="M184" s="36"/>
      <c r="N184" s="36"/>
      <c r="O184" s="36"/>
      <c r="P184" s="36"/>
      <c r="Q184" s="36"/>
      <c r="R184" s="36"/>
      <c r="S184" s="36"/>
      <c r="T184" s="36"/>
      <c r="U184" s="36"/>
      <c r="V184" s="36"/>
      <c r="W184" s="36"/>
      <c r="X184" s="36"/>
      <c r="Y184" s="36"/>
      <c r="Z184" s="36"/>
      <c r="AA184" s="36"/>
      <c r="AB184" s="36"/>
      <c r="AC184" s="32">
        <f t="shared" si="96"/>
        <v>0</v>
      </c>
      <c r="AD184" s="37"/>
      <c r="AE184" s="37"/>
      <c r="AF184" s="37"/>
      <c r="AG184" s="37"/>
      <c r="AH184" s="37"/>
      <c r="AI184" s="37"/>
      <c r="AJ184" s="37"/>
      <c r="AK184" s="37"/>
      <c r="AL184" s="37"/>
      <c r="AM184" s="37"/>
      <c r="AN184" s="37"/>
      <c r="AO184" s="37"/>
      <c r="AP184" s="37"/>
      <c r="AQ184" s="37"/>
      <c r="AR184" s="37"/>
      <c r="AS184" s="37"/>
      <c r="AT184" s="38"/>
      <c r="AU184" s="1630"/>
      <c r="AV184" s="1342">
        <f t="shared" si="120"/>
        <v>0</v>
      </c>
      <c r="AW184" s="1342">
        <f t="shared" si="121"/>
        <v>0</v>
      </c>
      <c r="AX184" s="1342">
        <f t="shared" si="122"/>
        <v>0</v>
      </c>
      <c r="AY184" s="39">
        <f t="shared" si="97"/>
        <v>0</v>
      </c>
      <c r="AZ184" s="32">
        <f t="shared" si="98"/>
        <v>0</v>
      </c>
      <c r="BA184" s="32">
        <f t="shared" si="99"/>
        <v>0</v>
      </c>
      <c r="BB184" s="32">
        <f t="shared" si="100"/>
        <v>0</v>
      </c>
      <c r="BC184" s="32">
        <f t="shared" si="101"/>
        <v>0</v>
      </c>
      <c r="BD184" s="32">
        <f t="shared" si="102"/>
        <v>0</v>
      </c>
      <c r="BE184" s="32">
        <f t="shared" si="103"/>
        <v>0</v>
      </c>
      <c r="BF184" s="32">
        <f t="shared" si="104"/>
        <v>0</v>
      </c>
      <c r="BG184" s="32">
        <f t="shared" si="105"/>
        <v>0</v>
      </c>
      <c r="BH184" s="32">
        <f t="shared" si="106"/>
        <v>0</v>
      </c>
      <c r="BI184" s="32">
        <f t="shared" si="107"/>
        <v>0</v>
      </c>
      <c r="BJ184" s="32">
        <f t="shared" si="108"/>
        <v>0</v>
      </c>
      <c r="BK184" s="32">
        <f t="shared" si="109"/>
        <v>0</v>
      </c>
      <c r="BL184" s="32">
        <f t="shared" si="110"/>
        <v>0</v>
      </c>
      <c r="BM184" s="32">
        <f t="shared" si="111"/>
        <v>0</v>
      </c>
      <c r="BN184" s="32">
        <f t="shared" si="112"/>
        <v>0</v>
      </c>
      <c r="BO184" s="32">
        <f t="shared" si="113"/>
        <v>0</v>
      </c>
      <c r="BP184" s="32">
        <f t="shared" si="114"/>
        <v>0</v>
      </c>
      <c r="BQ184" s="32">
        <f t="shared" si="115"/>
        <v>0</v>
      </c>
      <c r="BR184" s="32">
        <f t="shared" si="116"/>
        <v>0</v>
      </c>
      <c r="BS184" s="32">
        <f t="shared" si="117"/>
        <v>0</v>
      </c>
      <c r="BT184" s="40">
        <f t="shared" si="118"/>
        <v>0</v>
      </c>
    </row>
    <row r="185" spans="1:72">
      <c r="A185" s="6"/>
      <c r="B185" s="31"/>
      <c r="C185" s="31"/>
      <c r="D185" s="1629"/>
      <c r="E185" s="32">
        <f t="shared" si="119"/>
        <v>0</v>
      </c>
      <c r="F185" s="33"/>
      <c r="G185" s="34">
        <f t="shared" si="94"/>
        <v>0</v>
      </c>
      <c r="H185" s="35">
        <f t="shared" si="95"/>
        <v>0</v>
      </c>
      <c r="I185" s="36"/>
      <c r="J185" s="36"/>
      <c r="K185" s="36"/>
      <c r="L185" s="36"/>
      <c r="M185" s="36"/>
      <c r="N185" s="36"/>
      <c r="O185" s="36"/>
      <c r="P185" s="36"/>
      <c r="Q185" s="36"/>
      <c r="R185" s="36"/>
      <c r="S185" s="36"/>
      <c r="T185" s="36"/>
      <c r="U185" s="36"/>
      <c r="V185" s="36"/>
      <c r="W185" s="36"/>
      <c r="X185" s="36"/>
      <c r="Y185" s="36"/>
      <c r="Z185" s="36"/>
      <c r="AA185" s="36"/>
      <c r="AB185" s="36"/>
      <c r="AC185" s="32">
        <f t="shared" si="96"/>
        <v>0</v>
      </c>
      <c r="AD185" s="37"/>
      <c r="AE185" s="37"/>
      <c r="AF185" s="37"/>
      <c r="AG185" s="37"/>
      <c r="AH185" s="37"/>
      <c r="AI185" s="37"/>
      <c r="AJ185" s="37"/>
      <c r="AK185" s="37"/>
      <c r="AL185" s="37"/>
      <c r="AM185" s="37"/>
      <c r="AN185" s="37"/>
      <c r="AO185" s="37"/>
      <c r="AP185" s="37"/>
      <c r="AQ185" s="37"/>
      <c r="AR185" s="37"/>
      <c r="AS185" s="37"/>
      <c r="AT185" s="38"/>
      <c r="AU185" s="1630"/>
      <c r="AV185" s="1342">
        <f t="shared" si="120"/>
        <v>0</v>
      </c>
      <c r="AW185" s="1342">
        <f t="shared" si="121"/>
        <v>0</v>
      </c>
      <c r="AX185" s="1342">
        <f t="shared" si="122"/>
        <v>0</v>
      </c>
      <c r="AY185" s="39">
        <f t="shared" si="97"/>
        <v>0</v>
      </c>
      <c r="AZ185" s="32">
        <f t="shared" si="98"/>
        <v>0</v>
      </c>
      <c r="BA185" s="32">
        <f t="shared" si="99"/>
        <v>0</v>
      </c>
      <c r="BB185" s="32">
        <f t="shared" si="100"/>
        <v>0</v>
      </c>
      <c r="BC185" s="32">
        <f t="shared" si="101"/>
        <v>0</v>
      </c>
      <c r="BD185" s="32">
        <f t="shared" si="102"/>
        <v>0</v>
      </c>
      <c r="BE185" s="32">
        <f t="shared" si="103"/>
        <v>0</v>
      </c>
      <c r="BF185" s="32">
        <f t="shared" si="104"/>
        <v>0</v>
      </c>
      <c r="BG185" s="32">
        <f t="shared" si="105"/>
        <v>0</v>
      </c>
      <c r="BH185" s="32">
        <f t="shared" si="106"/>
        <v>0</v>
      </c>
      <c r="BI185" s="32">
        <f t="shared" si="107"/>
        <v>0</v>
      </c>
      <c r="BJ185" s="32">
        <f t="shared" si="108"/>
        <v>0</v>
      </c>
      <c r="BK185" s="32">
        <f t="shared" si="109"/>
        <v>0</v>
      </c>
      <c r="BL185" s="32">
        <f t="shared" si="110"/>
        <v>0</v>
      </c>
      <c r="BM185" s="32">
        <f t="shared" si="111"/>
        <v>0</v>
      </c>
      <c r="BN185" s="32">
        <f t="shared" si="112"/>
        <v>0</v>
      </c>
      <c r="BO185" s="32">
        <f t="shared" si="113"/>
        <v>0</v>
      </c>
      <c r="BP185" s="32">
        <f t="shared" si="114"/>
        <v>0</v>
      </c>
      <c r="BQ185" s="32">
        <f t="shared" si="115"/>
        <v>0</v>
      </c>
      <c r="BR185" s="32">
        <f t="shared" si="116"/>
        <v>0</v>
      </c>
      <c r="BS185" s="32">
        <f t="shared" si="117"/>
        <v>0</v>
      </c>
      <c r="BT185" s="40">
        <f t="shared" si="118"/>
        <v>0</v>
      </c>
    </row>
    <row r="186" spans="1:72">
      <c r="A186" s="6"/>
      <c r="B186" s="31"/>
      <c r="C186" s="31"/>
      <c r="D186" s="1629"/>
      <c r="E186" s="32">
        <f t="shared" si="119"/>
        <v>0</v>
      </c>
      <c r="F186" s="33"/>
      <c r="G186" s="34">
        <f t="shared" si="94"/>
        <v>0</v>
      </c>
      <c r="H186" s="35">
        <f t="shared" si="95"/>
        <v>0</v>
      </c>
      <c r="I186" s="36"/>
      <c r="J186" s="36"/>
      <c r="K186" s="36"/>
      <c r="L186" s="36"/>
      <c r="M186" s="36"/>
      <c r="N186" s="36"/>
      <c r="O186" s="36"/>
      <c r="P186" s="36"/>
      <c r="Q186" s="36"/>
      <c r="R186" s="36"/>
      <c r="S186" s="36"/>
      <c r="T186" s="36"/>
      <c r="U186" s="36"/>
      <c r="V186" s="36"/>
      <c r="W186" s="36"/>
      <c r="X186" s="36"/>
      <c r="Y186" s="36"/>
      <c r="Z186" s="36"/>
      <c r="AA186" s="36"/>
      <c r="AB186" s="36"/>
      <c r="AC186" s="32">
        <f t="shared" si="96"/>
        <v>0</v>
      </c>
      <c r="AD186" s="37"/>
      <c r="AE186" s="37"/>
      <c r="AF186" s="37"/>
      <c r="AG186" s="37"/>
      <c r="AH186" s="37"/>
      <c r="AI186" s="37"/>
      <c r="AJ186" s="37"/>
      <c r="AK186" s="37"/>
      <c r="AL186" s="37"/>
      <c r="AM186" s="37"/>
      <c r="AN186" s="37"/>
      <c r="AO186" s="37"/>
      <c r="AP186" s="37"/>
      <c r="AQ186" s="37"/>
      <c r="AR186" s="37"/>
      <c r="AS186" s="37"/>
      <c r="AT186" s="38"/>
      <c r="AU186" s="1630"/>
      <c r="AV186" s="1342">
        <f t="shared" si="120"/>
        <v>0</v>
      </c>
      <c r="AW186" s="1342">
        <f t="shared" si="121"/>
        <v>0</v>
      </c>
      <c r="AX186" s="1342">
        <f t="shared" si="122"/>
        <v>0</v>
      </c>
      <c r="AY186" s="39">
        <f t="shared" si="97"/>
        <v>0</v>
      </c>
      <c r="AZ186" s="32">
        <f t="shared" si="98"/>
        <v>0</v>
      </c>
      <c r="BA186" s="32">
        <f t="shared" si="99"/>
        <v>0</v>
      </c>
      <c r="BB186" s="32">
        <f t="shared" si="100"/>
        <v>0</v>
      </c>
      <c r="BC186" s="32">
        <f t="shared" si="101"/>
        <v>0</v>
      </c>
      <c r="BD186" s="32">
        <f t="shared" si="102"/>
        <v>0</v>
      </c>
      <c r="BE186" s="32">
        <f t="shared" si="103"/>
        <v>0</v>
      </c>
      <c r="BF186" s="32">
        <f t="shared" si="104"/>
        <v>0</v>
      </c>
      <c r="BG186" s="32">
        <f t="shared" si="105"/>
        <v>0</v>
      </c>
      <c r="BH186" s="32">
        <f t="shared" si="106"/>
        <v>0</v>
      </c>
      <c r="BI186" s="32">
        <f t="shared" si="107"/>
        <v>0</v>
      </c>
      <c r="BJ186" s="32">
        <f t="shared" si="108"/>
        <v>0</v>
      </c>
      <c r="BK186" s="32">
        <f t="shared" si="109"/>
        <v>0</v>
      </c>
      <c r="BL186" s="32">
        <f t="shared" si="110"/>
        <v>0</v>
      </c>
      <c r="BM186" s="32">
        <f t="shared" si="111"/>
        <v>0</v>
      </c>
      <c r="BN186" s="32">
        <f t="shared" si="112"/>
        <v>0</v>
      </c>
      <c r="BO186" s="32">
        <f t="shared" si="113"/>
        <v>0</v>
      </c>
      <c r="BP186" s="32">
        <f t="shared" si="114"/>
        <v>0</v>
      </c>
      <c r="BQ186" s="32">
        <f t="shared" si="115"/>
        <v>0</v>
      </c>
      <c r="BR186" s="32">
        <f t="shared" si="116"/>
        <v>0</v>
      </c>
      <c r="BS186" s="32">
        <f t="shared" si="117"/>
        <v>0</v>
      </c>
      <c r="BT186" s="40">
        <f t="shared" si="118"/>
        <v>0</v>
      </c>
    </row>
    <row r="187" spans="1:72">
      <c r="A187" s="6"/>
      <c r="B187" s="31"/>
      <c r="C187" s="31"/>
      <c r="D187" s="1629"/>
      <c r="E187" s="32">
        <f t="shared" si="119"/>
        <v>0</v>
      </c>
      <c r="F187" s="33"/>
      <c r="G187" s="34">
        <f t="shared" si="94"/>
        <v>0</v>
      </c>
      <c r="H187" s="35">
        <f t="shared" si="95"/>
        <v>0</v>
      </c>
      <c r="I187" s="36"/>
      <c r="J187" s="36"/>
      <c r="K187" s="36"/>
      <c r="L187" s="36"/>
      <c r="M187" s="36"/>
      <c r="N187" s="36"/>
      <c r="O187" s="36"/>
      <c r="P187" s="36"/>
      <c r="Q187" s="36"/>
      <c r="R187" s="36"/>
      <c r="S187" s="36"/>
      <c r="T187" s="36"/>
      <c r="U187" s="36"/>
      <c r="V187" s="36"/>
      <c r="W187" s="36"/>
      <c r="X187" s="36"/>
      <c r="Y187" s="36"/>
      <c r="Z187" s="36"/>
      <c r="AA187" s="36"/>
      <c r="AB187" s="36"/>
      <c r="AC187" s="32">
        <f t="shared" si="96"/>
        <v>0</v>
      </c>
      <c r="AD187" s="37"/>
      <c r="AE187" s="37"/>
      <c r="AF187" s="37"/>
      <c r="AG187" s="37"/>
      <c r="AH187" s="37"/>
      <c r="AI187" s="37"/>
      <c r="AJ187" s="37"/>
      <c r="AK187" s="37"/>
      <c r="AL187" s="37"/>
      <c r="AM187" s="37"/>
      <c r="AN187" s="37"/>
      <c r="AO187" s="37"/>
      <c r="AP187" s="37"/>
      <c r="AQ187" s="37"/>
      <c r="AR187" s="37"/>
      <c r="AS187" s="37"/>
      <c r="AT187" s="38"/>
      <c r="AU187" s="1630"/>
      <c r="AV187" s="1342">
        <f t="shared" si="120"/>
        <v>0</v>
      </c>
      <c r="AW187" s="1342">
        <f t="shared" si="121"/>
        <v>0</v>
      </c>
      <c r="AX187" s="1342">
        <f t="shared" si="122"/>
        <v>0</v>
      </c>
      <c r="AY187" s="39">
        <f t="shared" si="97"/>
        <v>0</v>
      </c>
      <c r="AZ187" s="32">
        <f t="shared" si="98"/>
        <v>0</v>
      </c>
      <c r="BA187" s="32">
        <f t="shared" si="99"/>
        <v>0</v>
      </c>
      <c r="BB187" s="32">
        <f t="shared" si="100"/>
        <v>0</v>
      </c>
      <c r="BC187" s="32">
        <f t="shared" si="101"/>
        <v>0</v>
      </c>
      <c r="BD187" s="32">
        <f t="shared" si="102"/>
        <v>0</v>
      </c>
      <c r="BE187" s="32">
        <f t="shared" si="103"/>
        <v>0</v>
      </c>
      <c r="BF187" s="32">
        <f t="shared" si="104"/>
        <v>0</v>
      </c>
      <c r="BG187" s="32">
        <f t="shared" si="105"/>
        <v>0</v>
      </c>
      <c r="BH187" s="32">
        <f t="shared" si="106"/>
        <v>0</v>
      </c>
      <c r="BI187" s="32">
        <f t="shared" si="107"/>
        <v>0</v>
      </c>
      <c r="BJ187" s="32">
        <f t="shared" si="108"/>
        <v>0</v>
      </c>
      <c r="BK187" s="32">
        <f t="shared" si="109"/>
        <v>0</v>
      </c>
      <c r="BL187" s="32">
        <f t="shared" si="110"/>
        <v>0</v>
      </c>
      <c r="BM187" s="32">
        <f t="shared" si="111"/>
        <v>0</v>
      </c>
      <c r="BN187" s="32">
        <f t="shared" si="112"/>
        <v>0</v>
      </c>
      <c r="BO187" s="32">
        <f t="shared" si="113"/>
        <v>0</v>
      </c>
      <c r="BP187" s="32">
        <f t="shared" si="114"/>
        <v>0</v>
      </c>
      <c r="BQ187" s="32">
        <f t="shared" si="115"/>
        <v>0</v>
      </c>
      <c r="BR187" s="32">
        <f t="shared" si="116"/>
        <v>0</v>
      </c>
      <c r="BS187" s="32">
        <f t="shared" si="117"/>
        <v>0</v>
      </c>
      <c r="BT187" s="40">
        <f t="shared" si="118"/>
        <v>0</v>
      </c>
    </row>
    <row r="188" spans="1:72">
      <c r="A188" s="6"/>
      <c r="B188" s="31"/>
      <c r="C188" s="31"/>
      <c r="D188" s="1629"/>
      <c r="E188" s="32">
        <f t="shared" si="119"/>
        <v>0</v>
      </c>
      <c r="F188" s="33"/>
      <c r="G188" s="34">
        <f t="shared" si="94"/>
        <v>0</v>
      </c>
      <c r="H188" s="35">
        <f t="shared" si="95"/>
        <v>0</v>
      </c>
      <c r="I188" s="36"/>
      <c r="J188" s="36"/>
      <c r="K188" s="36"/>
      <c r="L188" s="36"/>
      <c r="M188" s="36"/>
      <c r="N188" s="36"/>
      <c r="O188" s="36"/>
      <c r="P188" s="36"/>
      <c r="Q188" s="36"/>
      <c r="R188" s="36"/>
      <c r="S188" s="36"/>
      <c r="T188" s="36"/>
      <c r="U188" s="36"/>
      <c r="V188" s="36"/>
      <c r="W188" s="36"/>
      <c r="X188" s="36"/>
      <c r="Y188" s="36"/>
      <c r="Z188" s="36"/>
      <c r="AA188" s="36"/>
      <c r="AB188" s="36"/>
      <c r="AC188" s="32">
        <f t="shared" si="96"/>
        <v>0</v>
      </c>
      <c r="AD188" s="37"/>
      <c r="AE188" s="37"/>
      <c r="AF188" s="37"/>
      <c r="AG188" s="37"/>
      <c r="AH188" s="37"/>
      <c r="AI188" s="37"/>
      <c r="AJ188" s="37"/>
      <c r="AK188" s="37"/>
      <c r="AL188" s="37"/>
      <c r="AM188" s="37"/>
      <c r="AN188" s="37"/>
      <c r="AO188" s="37"/>
      <c r="AP188" s="37"/>
      <c r="AQ188" s="37"/>
      <c r="AR188" s="37"/>
      <c r="AS188" s="37"/>
      <c r="AT188" s="38"/>
      <c r="AU188" s="1630"/>
      <c r="AV188" s="1342">
        <f t="shared" si="120"/>
        <v>0</v>
      </c>
      <c r="AW188" s="1342">
        <f t="shared" si="121"/>
        <v>0</v>
      </c>
      <c r="AX188" s="1342">
        <f t="shared" si="122"/>
        <v>0</v>
      </c>
      <c r="AY188" s="39">
        <f t="shared" si="97"/>
        <v>0</v>
      </c>
      <c r="AZ188" s="32">
        <f t="shared" si="98"/>
        <v>0</v>
      </c>
      <c r="BA188" s="32">
        <f t="shared" si="99"/>
        <v>0</v>
      </c>
      <c r="BB188" s="32">
        <f t="shared" si="100"/>
        <v>0</v>
      </c>
      <c r="BC188" s="32">
        <f t="shared" si="101"/>
        <v>0</v>
      </c>
      <c r="BD188" s="32">
        <f t="shared" si="102"/>
        <v>0</v>
      </c>
      <c r="BE188" s="32">
        <f t="shared" si="103"/>
        <v>0</v>
      </c>
      <c r="BF188" s="32">
        <f t="shared" si="104"/>
        <v>0</v>
      </c>
      <c r="BG188" s="32">
        <f t="shared" si="105"/>
        <v>0</v>
      </c>
      <c r="BH188" s="32">
        <f t="shared" si="106"/>
        <v>0</v>
      </c>
      <c r="BI188" s="32">
        <f t="shared" si="107"/>
        <v>0</v>
      </c>
      <c r="BJ188" s="32">
        <f t="shared" si="108"/>
        <v>0</v>
      </c>
      <c r="BK188" s="32">
        <f t="shared" si="109"/>
        <v>0</v>
      </c>
      <c r="BL188" s="32">
        <f t="shared" si="110"/>
        <v>0</v>
      </c>
      <c r="BM188" s="32">
        <f t="shared" si="111"/>
        <v>0</v>
      </c>
      <c r="BN188" s="32">
        <f t="shared" si="112"/>
        <v>0</v>
      </c>
      <c r="BO188" s="32">
        <f t="shared" si="113"/>
        <v>0</v>
      </c>
      <c r="BP188" s="32">
        <f t="shared" si="114"/>
        <v>0</v>
      </c>
      <c r="BQ188" s="32">
        <f t="shared" si="115"/>
        <v>0</v>
      </c>
      <c r="BR188" s="32">
        <f t="shared" si="116"/>
        <v>0</v>
      </c>
      <c r="BS188" s="32">
        <f t="shared" si="117"/>
        <v>0</v>
      </c>
      <c r="BT188" s="40">
        <f t="shared" si="118"/>
        <v>0</v>
      </c>
    </row>
    <row r="189" spans="1:72">
      <c r="A189" s="6"/>
      <c r="B189" s="31"/>
      <c r="C189" s="31"/>
      <c r="D189" s="1629"/>
      <c r="E189" s="32">
        <f t="shared" si="119"/>
        <v>0</v>
      </c>
      <c r="F189" s="33"/>
      <c r="G189" s="34">
        <f t="shared" si="94"/>
        <v>0</v>
      </c>
      <c r="H189" s="35">
        <f t="shared" si="95"/>
        <v>0</v>
      </c>
      <c r="I189" s="36"/>
      <c r="J189" s="36"/>
      <c r="K189" s="36"/>
      <c r="L189" s="36"/>
      <c r="M189" s="36"/>
      <c r="N189" s="36"/>
      <c r="O189" s="36"/>
      <c r="P189" s="36"/>
      <c r="Q189" s="36"/>
      <c r="R189" s="36"/>
      <c r="S189" s="36"/>
      <c r="T189" s="36"/>
      <c r="U189" s="36"/>
      <c r="V189" s="36"/>
      <c r="W189" s="36"/>
      <c r="X189" s="36"/>
      <c r="Y189" s="36"/>
      <c r="Z189" s="36"/>
      <c r="AA189" s="36"/>
      <c r="AB189" s="36"/>
      <c r="AC189" s="32">
        <f t="shared" si="96"/>
        <v>0</v>
      </c>
      <c r="AD189" s="37"/>
      <c r="AE189" s="37"/>
      <c r="AF189" s="37"/>
      <c r="AG189" s="37"/>
      <c r="AH189" s="37"/>
      <c r="AI189" s="37"/>
      <c r="AJ189" s="37"/>
      <c r="AK189" s="37"/>
      <c r="AL189" s="37"/>
      <c r="AM189" s="37"/>
      <c r="AN189" s="37"/>
      <c r="AO189" s="37"/>
      <c r="AP189" s="37"/>
      <c r="AQ189" s="37"/>
      <c r="AR189" s="37"/>
      <c r="AS189" s="37"/>
      <c r="AT189" s="38"/>
      <c r="AU189" s="1630"/>
      <c r="AV189" s="1342">
        <f t="shared" si="120"/>
        <v>0</v>
      </c>
      <c r="AW189" s="1342">
        <f t="shared" si="121"/>
        <v>0</v>
      </c>
      <c r="AX189" s="1342">
        <f t="shared" si="122"/>
        <v>0</v>
      </c>
      <c r="AY189" s="39">
        <f t="shared" si="97"/>
        <v>0</v>
      </c>
      <c r="AZ189" s="32">
        <f t="shared" si="98"/>
        <v>0</v>
      </c>
      <c r="BA189" s="32">
        <f t="shared" si="99"/>
        <v>0</v>
      </c>
      <c r="BB189" s="32">
        <f t="shared" si="100"/>
        <v>0</v>
      </c>
      <c r="BC189" s="32">
        <f t="shared" si="101"/>
        <v>0</v>
      </c>
      <c r="BD189" s="32">
        <f t="shared" si="102"/>
        <v>0</v>
      </c>
      <c r="BE189" s="32">
        <f t="shared" si="103"/>
        <v>0</v>
      </c>
      <c r="BF189" s="32">
        <f t="shared" si="104"/>
        <v>0</v>
      </c>
      <c r="BG189" s="32">
        <f t="shared" si="105"/>
        <v>0</v>
      </c>
      <c r="BH189" s="32">
        <f t="shared" si="106"/>
        <v>0</v>
      </c>
      <c r="BI189" s="32">
        <f t="shared" si="107"/>
        <v>0</v>
      </c>
      <c r="BJ189" s="32">
        <f t="shared" si="108"/>
        <v>0</v>
      </c>
      <c r="BK189" s="32">
        <f t="shared" si="109"/>
        <v>0</v>
      </c>
      <c r="BL189" s="32">
        <f t="shared" si="110"/>
        <v>0</v>
      </c>
      <c r="BM189" s="32">
        <f t="shared" si="111"/>
        <v>0</v>
      </c>
      <c r="BN189" s="32">
        <f t="shared" si="112"/>
        <v>0</v>
      </c>
      <c r="BO189" s="32">
        <f t="shared" si="113"/>
        <v>0</v>
      </c>
      <c r="BP189" s="32">
        <f t="shared" si="114"/>
        <v>0</v>
      </c>
      <c r="BQ189" s="32">
        <f t="shared" si="115"/>
        <v>0</v>
      </c>
      <c r="BR189" s="32">
        <f t="shared" si="116"/>
        <v>0</v>
      </c>
      <c r="BS189" s="32">
        <f t="shared" si="117"/>
        <v>0</v>
      </c>
      <c r="BT189" s="40">
        <f t="shared" si="118"/>
        <v>0</v>
      </c>
    </row>
    <row r="190" spans="1:72">
      <c r="A190" s="6"/>
      <c r="B190" s="31"/>
      <c r="C190" s="31"/>
      <c r="D190" s="1629"/>
      <c r="E190" s="32">
        <f t="shared" si="119"/>
        <v>0</v>
      </c>
      <c r="F190" s="33"/>
      <c r="G190" s="34">
        <f t="shared" si="94"/>
        <v>0</v>
      </c>
      <c r="H190" s="35">
        <f t="shared" si="95"/>
        <v>0</v>
      </c>
      <c r="I190" s="36"/>
      <c r="J190" s="36"/>
      <c r="K190" s="36"/>
      <c r="L190" s="36"/>
      <c r="M190" s="36"/>
      <c r="N190" s="36"/>
      <c r="O190" s="36"/>
      <c r="P190" s="36"/>
      <c r="Q190" s="36"/>
      <c r="R190" s="36"/>
      <c r="S190" s="36"/>
      <c r="T190" s="36"/>
      <c r="U190" s="36"/>
      <c r="V190" s="36"/>
      <c r="W190" s="36"/>
      <c r="X190" s="36"/>
      <c r="Y190" s="36"/>
      <c r="Z190" s="36"/>
      <c r="AA190" s="36"/>
      <c r="AB190" s="36"/>
      <c r="AC190" s="32">
        <f t="shared" si="96"/>
        <v>0</v>
      </c>
      <c r="AD190" s="37"/>
      <c r="AE190" s="37"/>
      <c r="AF190" s="37"/>
      <c r="AG190" s="37"/>
      <c r="AH190" s="37"/>
      <c r="AI190" s="37"/>
      <c r="AJ190" s="37"/>
      <c r="AK190" s="37"/>
      <c r="AL190" s="37"/>
      <c r="AM190" s="37"/>
      <c r="AN190" s="37"/>
      <c r="AO190" s="37"/>
      <c r="AP190" s="37"/>
      <c r="AQ190" s="37"/>
      <c r="AR190" s="37"/>
      <c r="AS190" s="37"/>
      <c r="AT190" s="38"/>
      <c r="AU190" s="1630"/>
      <c r="AV190" s="1342">
        <f t="shared" si="120"/>
        <v>0</v>
      </c>
      <c r="AW190" s="1342">
        <f t="shared" si="121"/>
        <v>0</v>
      </c>
      <c r="AX190" s="1342">
        <f t="shared" si="122"/>
        <v>0</v>
      </c>
      <c r="AY190" s="39">
        <f t="shared" si="97"/>
        <v>0</v>
      </c>
      <c r="AZ190" s="32">
        <f t="shared" si="98"/>
        <v>0</v>
      </c>
      <c r="BA190" s="32">
        <f t="shared" si="99"/>
        <v>0</v>
      </c>
      <c r="BB190" s="32">
        <f t="shared" si="100"/>
        <v>0</v>
      </c>
      <c r="BC190" s="32">
        <f t="shared" si="101"/>
        <v>0</v>
      </c>
      <c r="BD190" s="32">
        <f t="shared" si="102"/>
        <v>0</v>
      </c>
      <c r="BE190" s="32">
        <f t="shared" si="103"/>
        <v>0</v>
      </c>
      <c r="BF190" s="32">
        <f t="shared" si="104"/>
        <v>0</v>
      </c>
      <c r="BG190" s="32">
        <f t="shared" si="105"/>
        <v>0</v>
      </c>
      <c r="BH190" s="32">
        <f t="shared" si="106"/>
        <v>0</v>
      </c>
      <c r="BI190" s="32">
        <f t="shared" si="107"/>
        <v>0</v>
      </c>
      <c r="BJ190" s="32">
        <f t="shared" si="108"/>
        <v>0</v>
      </c>
      <c r="BK190" s="32">
        <f t="shared" si="109"/>
        <v>0</v>
      </c>
      <c r="BL190" s="32">
        <f t="shared" si="110"/>
        <v>0</v>
      </c>
      <c r="BM190" s="32">
        <f t="shared" si="111"/>
        <v>0</v>
      </c>
      <c r="BN190" s="32">
        <f t="shared" si="112"/>
        <v>0</v>
      </c>
      <c r="BO190" s="32">
        <f t="shared" si="113"/>
        <v>0</v>
      </c>
      <c r="BP190" s="32">
        <f t="shared" si="114"/>
        <v>0</v>
      </c>
      <c r="BQ190" s="32">
        <f t="shared" si="115"/>
        <v>0</v>
      </c>
      <c r="BR190" s="32">
        <f t="shared" si="116"/>
        <v>0</v>
      </c>
      <c r="BS190" s="32">
        <f t="shared" si="117"/>
        <v>0</v>
      </c>
      <c r="BT190" s="40">
        <f t="shared" si="118"/>
        <v>0</v>
      </c>
    </row>
    <row r="191" spans="1:72">
      <c r="A191" s="6"/>
      <c r="B191" s="31"/>
      <c r="C191" s="31"/>
      <c r="D191" s="1629"/>
      <c r="E191" s="32">
        <f t="shared" si="119"/>
        <v>0</v>
      </c>
      <c r="F191" s="33"/>
      <c r="G191" s="34">
        <f t="shared" si="94"/>
        <v>0</v>
      </c>
      <c r="H191" s="35">
        <f t="shared" si="95"/>
        <v>0</v>
      </c>
      <c r="I191" s="36"/>
      <c r="J191" s="36"/>
      <c r="K191" s="36"/>
      <c r="L191" s="36"/>
      <c r="M191" s="36"/>
      <c r="N191" s="36"/>
      <c r="O191" s="36"/>
      <c r="P191" s="36"/>
      <c r="Q191" s="36"/>
      <c r="R191" s="36"/>
      <c r="S191" s="36"/>
      <c r="T191" s="36"/>
      <c r="U191" s="36"/>
      <c r="V191" s="36"/>
      <c r="W191" s="36"/>
      <c r="X191" s="36"/>
      <c r="Y191" s="36"/>
      <c r="Z191" s="36"/>
      <c r="AA191" s="36"/>
      <c r="AB191" s="36"/>
      <c r="AC191" s="32">
        <f t="shared" si="96"/>
        <v>0</v>
      </c>
      <c r="AD191" s="37"/>
      <c r="AE191" s="37"/>
      <c r="AF191" s="37"/>
      <c r="AG191" s="37"/>
      <c r="AH191" s="37"/>
      <c r="AI191" s="37"/>
      <c r="AJ191" s="37"/>
      <c r="AK191" s="37"/>
      <c r="AL191" s="37"/>
      <c r="AM191" s="37"/>
      <c r="AN191" s="37"/>
      <c r="AO191" s="37"/>
      <c r="AP191" s="37"/>
      <c r="AQ191" s="37"/>
      <c r="AR191" s="37"/>
      <c r="AS191" s="37"/>
      <c r="AT191" s="38"/>
      <c r="AU191" s="1630"/>
      <c r="AV191" s="1342">
        <f t="shared" si="120"/>
        <v>0</v>
      </c>
      <c r="AW191" s="1342">
        <f t="shared" si="121"/>
        <v>0</v>
      </c>
      <c r="AX191" s="1342">
        <f t="shared" si="122"/>
        <v>0</v>
      </c>
      <c r="AY191" s="39">
        <f t="shared" si="97"/>
        <v>0</v>
      </c>
      <c r="AZ191" s="32">
        <f t="shared" si="98"/>
        <v>0</v>
      </c>
      <c r="BA191" s="32">
        <f t="shared" si="99"/>
        <v>0</v>
      </c>
      <c r="BB191" s="32">
        <f t="shared" si="100"/>
        <v>0</v>
      </c>
      <c r="BC191" s="32">
        <f t="shared" si="101"/>
        <v>0</v>
      </c>
      <c r="BD191" s="32">
        <f t="shared" si="102"/>
        <v>0</v>
      </c>
      <c r="BE191" s="32">
        <f t="shared" si="103"/>
        <v>0</v>
      </c>
      <c r="BF191" s="32">
        <f t="shared" si="104"/>
        <v>0</v>
      </c>
      <c r="BG191" s="32">
        <f t="shared" si="105"/>
        <v>0</v>
      </c>
      <c r="BH191" s="32">
        <f t="shared" si="106"/>
        <v>0</v>
      </c>
      <c r="BI191" s="32">
        <f t="shared" si="107"/>
        <v>0</v>
      </c>
      <c r="BJ191" s="32">
        <f t="shared" si="108"/>
        <v>0</v>
      </c>
      <c r="BK191" s="32">
        <f t="shared" si="109"/>
        <v>0</v>
      </c>
      <c r="BL191" s="32">
        <f t="shared" si="110"/>
        <v>0</v>
      </c>
      <c r="BM191" s="32">
        <f t="shared" si="111"/>
        <v>0</v>
      </c>
      <c r="BN191" s="32">
        <f t="shared" si="112"/>
        <v>0</v>
      </c>
      <c r="BO191" s="32">
        <f t="shared" si="113"/>
        <v>0</v>
      </c>
      <c r="BP191" s="32">
        <f t="shared" si="114"/>
        <v>0</v>
      </c>
      <c r="BQ191" s="32">
        <f t="shared" si="115"/>
        <v>0</v>
      </c>
      <c r="BR191" s="32">
        <f t="shared" si="116"/>
        <v>0</v>
      </c>
      <c r="BS191" s="32">
        <f t="shared" si="117"/>
        <v>0</v>
      </c>
      <c r="BT191" s="40">
        <f t="shared" si="118"/>
        <v>0</v>
      </c>
    </row>
    <row r="192" spans="1:72">
      <c r="A192" s="6"/>
      <c r="B192" s="31"/>
      <c r="C192" s="31"/>
      <c r="D192" s="1629"/>
      <c r="E192" s="32">
        <f t="shared" si="119"/>
        <v>0</v>
      </c>
      <c r="F192" s="33"/>
      <c r="G192" s="34">
        <f t="shared" si="94"/>
        <v>0</v>
      </c>
      <c r="H192" s="35">
        <f t="shared" si="95"/>
        <v>0</v>
      </c>
      <c r="I192" s="36"/>
      <c r="J192" s="36"/>
      <c r="K192" s="36"/>
      <c r="L192" s="36"/>
      <c r="M192" s="36"/>
      <c r="N192" s="36"/>
      <c r="O192" s="36"/>
      <c r="P192" s="36"/>
      <c r="Q192" s="36"/>
      <c r="R192" s="36"/>
      <c r="S192" s="36"/>
      <c r="T192" s="36"/>
      <c r="U192" s="36"/>
      <c r="V192" s="36"/>
      <c r="W192" s="36"/>
      <c r="X192" s="36"/>
      <c r="Y192" s="36"/>
      <c r="Z192" s="36"/>
      <c r="AA192" s="36"/>
      <c r="AB192" s="36"/>
      <c r="AC192" s="32">
        <f t="shared" si="96"/>
        <v>0</v>
      </c>
      <c r="AD192" s="37"/>
      <c r="AE192" s="37"/>
      <c r="AF192" s="37"/>
      <c r="AG192" s="37"/>
      <c r="AH192" s="37"/>
      <c r="AI192" s="37"/>
      <c r="AJ192" s="37"/>
      <c r="AK192" s="37"/>
      <c r="AL192" s="37"/>
      <c r="AM192" s="37"/>
      <c r="AN192" s="37"/>
      <c r="AO192" s="37"/>
      <c r="AP192" s="37"/>
      <c r="AQ192" s="37"/>
      <c r="AR192" s="37"/>
      <c r="AS192" s="37"/>
      <c r="AT192" s="38"/>
      <c r="AU192" s="1630"/>
      <c r="AV192" s="1342">
        <f t="shared" si="120"/>
        <v>0</v>
      </c>
      <c r="AW192" s="1342">
        <f t="shared" si="121"/>
        <v>0</v>
      </c>
      <c r="AX192" s="1342">
        <f t="shared" si="122"/>
        <v>0</v>
      </c>
      <c r="AY192" s="39">
        <f t="shared" si="97"/>
        <v>0</v>
      </c>
      <c r="AZ192" s="32">
        <f t="shared" si="98"/>
        <v>0</v>
      </c>
      <c r="BA192" s="32">
        <f t="shared" si="99"/>
        <v>0</v>
      </c>
      <c r="BB192" s="32">
        <f t="shared" si="100"/>
        <v>0</v>
      </c>
      <c r="BC192" s="32">
        <f t="shared" si="101"/>
        <v>0</v>
      </c>
      <c r="BD192" s="32">
        <f t="shared" si="102"/>
        <v>0</v>
      </c>
      <c r="BE192" s="32">
        <f t="shared" si="103"/>
        <v>0</v>
      </c>
      <c r="BF192" s="32">
        <f t="shared" si="104"/>
        <v>0</v>
      </c>
      <c r="BG192" s="32">
        <f t="shared" si="105"/>
        <v>0</v>
      </c>
      <c r="BH192" s="32">
        <f t="shared" si="106"/>
        <v>0</v>
      </c>
      <c r="BI192" s="32">
        <f t="shared" si="107"/>
        <v>0</v>
      </c>
      <c r="BJ192" s="32">
        <f t="shared" si="108"/>
        <v>0</v>
      </c>
      <c r="BK192" s="32">
        <f t="shared" si="109"/>
        <v>0</v>
      </c>
      <c r="BL192" s="32">
        <f t="shared" si="110"/>
        <v>0</v>
      </c>
      <c r="BM192" s="32">
        <f t="shared" si="111"/>
        <v>0</v>
      </c>
      <c r="BN192" s="32">
        <f t="shared" si="112"/>
        <v>0</v>
      </c>
      <c r="BO192" s="32">
        <f t="shared" si="113"/>
        <v>0</v>
      </c>
      <c r="BP192" s="32">
        <f t="shared" si="114"/>
        <v>0</v>
      </c>
      <c r="BQ192" s="32">
        <f t="shared" si="115"/>
        <v>0</v>
      </c>
      <c r="BR192" s="32">
        <f t="shared" si="116"/>
        <v>0</v>
      </c>
      <c r="BS192" s="32">
        <f t="shared" si="117"/>
        <v>0</v>
      </c>
      <c r="BT192" s="40">
        <f t="shared" si="118"/>
        <v>0</v>
      </c>
    </row>
    <row r="193" spans="1:72">
      <c r="A193" s="6"/>
      <c r="B193" s="31"/>
      <c r="C193" s="31"/>
      <c r="D193" s="1629"/>
      <c r="E193" s="32">
        <f t="shared" si="119"/>
        <v>0</v>
      </c>
      <c r="F193" s="33"/>
      <c r="G193" s="34">
        <f t="shared" si="94"/>
        <v>0</v>
      </c>
      <c r="H193" s="35">
        <f t="shared" si="95"/>
        <v>0</v>
      </c>
      <c r="I193" s="36"/>
      <c r="J193" s="36"/>
      <c r="K193" s="36"/>
      <c r="L193" s="36"/>
      <c r="M193" s="36"/>
      <c r="N193" s="36"/>
      <c r="O193" s="36"/>
      <c r="P193" s="36"/>
      <c r="Q193" s="36"/>
      <c r="R193" s="36"/>
      <c r="S193" s="36"/>
      <c r="T193" s="36"/>
      <c r="U193" s="36"/>
      <c r="V193" s="36"/>
      <c r="W193" s="36"/>
      <c r="X193" s="36"/>
      <c r="Y193" s="36"/>
      <c r="Z193" s="36"/>
      <c r="AA193" s="36"/>
      <c r="AB193" s="36"/>
      <c r="AC193" s="32">
        <f t="shared" si="96"/>
        <v>0</v>
      </c>
      <c r="AD193" s="37"/>
      <c r="AE193" s="37"/>
      <c r="AF193" s="37"/>
      <c r="AG193" s="37"/>
      <c r="AH193" s="37"/>
      <c r="AI193" s="37"/>
      <c r="AJ193" s="37"/>
      <c r="AK193" s="37"/>
      <c r="AL193" s="37"/>
      <c r="AM193" s="37"/>
      <c r="AN193" s="37"/>
      <c r="AO193" s="37"/>
      <c r="AP193" s="37"/>
      <c r="AQ193" s="37"/>
      <c r="AR193" s="37"/>
      <c r="AS193" s="37"/>
      <c r="AT193" s="38"/>
      <c r="AU193" s="1630"/>
      <c r="AV193" s="1342">
        <f t="shared" si="120"/>
        <v>0</v>
      </c>
      <c r="AW193" s="1342">
        <f t="shared" si="121"/>
        <v>0</v>
      </c>
      <c r="AX193" s="1342">
        <f t="shared" si="122"/>
        <v>0</v>
      </c>
      <c r="AY193" s="39">
        <f t="shared" si="97"/>
        <v>0</v>
      </c>
      <c r="AZ193" s="32">
        <f t="shared" si="98"/>
        <v>0</v>
      </c>
      <c r="BA193" s="32">
        <f t="shared" si="99"/>
        <v>0</v>
      </c>
      <c r="BB193" s="32">
        <f t="shared" si="100"/>
        <v>0</v>
      </c>
      <c r="BC193" s="32">
        <f t="shared" si="101"/>
        <v>0</v>
      </c>
      <c r="BD193" s="32">
        <f t="shared" si="102"/>
        <v>0</v>
      </c>
      <c r="BE193" s="32">
        <f t="shared" si="103"/>
        <v>0</v>
      </c>
      <c r="BF193" s="32">
        <f t="shared" si="104"/>
        <v>0</v>
      </c>
      <c r="BG193" s="32">
        <f t="shared" si="105"/>
        <v>0</v>
      </c>
      <c r="BH193" s="32">
        <f t="shared" si="106"/>
        <v>0</v>
      </c>
      <c r="BI193" s="32">
        <f t="shared" si="107"/>
        <v>0</v>
      </c>
      <c r="BJ193" s="32">
        <f t="shared" si="108"/>
        <v>0</v>
      </c>
      <c r="BK193" s="32">
        <f t="shared" si="109"/>
        <v>0</v>
      </c>
      <c r="BL193" s="32">
        <f t="shared" si="110"/>
        <v>0</v>
      </c>
      <c r="BM193" s="32">
        <f t="shared" si="111"/>
        <v>0</v>
      </c>
      <c r="BN193" s="32">
        <f t="shared" si="112"/>
        <v>0</v>
      </c>
      <c r="BO193" s="32">
        <f t="shared" si="113"/>
        <v>0</v>
      </c>
      <c r="BP193" s="32">
        <f t="shared" si="114"/>
        <v>0</v>
      </c>
      <c r="BQ193" s="32">
        <f t="shared" si="115"/>
        <v>0</v>
      </c>
      <c r="BR193" s="32">
        <f t="shared" si="116"/>
        <v>0</v>
      </c>
      <c r="BS193" s="32">
        <f t="shared" si="117"/>
        <v>0</v>
      </c>
      <c r="BT193" s="40">
        <f t="shared" si="118"/>
        <v>0</v>
      </c>
    </row>
    <row r="194" spans="1:72">
      <c r="A194" s="6"/>
      <c r="B194" s="31"/>
      <c r="C194" s="31"/>
      <c r="D194" s="1629"/>
      <c r="E194" s="32">
        <f t="shared" si="119"/>
        <v>0</v>
      </c>
      <c r="F194" s="33"/>
      <c r="G194" s="34">
        <f t="shared" si="94"/>
        <v>0</v>
      </c>
      <c r="H194" s="35">
        <f t="shared" si="95"/>
        <v>0</v>
      </c>
      <c r="I194" s="36"/>
      <c r="J194" s="36"/>
      <c r="K194" s="36"/>
      <c r="L194" s="36"/>
      <c r="M194" s="36"/>
      <c r="N194" s="36"/>
      <c r="O194" s="36"/>
      <c r="P194" s="36"/>
      <c r="Q194" s="36"/>
      <c r="R194" s="36"/>
      <c r="S194" s="36"/>
      <c r="T194" s="36"/>
      <c r="U194" s="36"/>
      <c r="V194" s="36"/>
      <c r="W194" s="36"/>
      <c r="X194" s="36"/>
      <c r="Y194" s="36"/>
      <c r="Z194" s="36"/>
      <c r="AA194" s="36"/>
      <c r="AB194" s="36"/>
      <c r="AC194" s="32">
        <f t="shared" si="96"/>
        <v>0</v>
      </c>
      <c r="AD194" s="37"/>
      <c r="AE194" s="37"/>
      <c r="AF194" s="37"/>
      <c r="AG194" s="37"/>
      <c r="AH194" s="37"/>
      <c r="AI194" s="37"/>
      <c r="AJ194" s="37"/>
      <c r="AK194" s="37"/>
      <c r="AL194" s="37"/>
      <c r="AM194" s="37"/>
      <c r="AN194" s="37"/>
      <c r="AO194" s="37"/>
      <c r="AP194" s="37"/>
      <c r="AQ194" s="37"/>
      <c r="AR194" s="37"/>
      <c r="AS194" s="37"/>
      <c r="AT194" s="38"/>
      <c r="AU194" s="1630"/>
      <c r="AV194" s="1342">
        <f t="shared" si="120"/>
        <v>0</v>
      </c>
      <c r="AW194" s="1342">
        <f t="shared" si="121"/>
        <v>0</v>
      </c>
      <c r="AX194" s="1342">
        <f t="shared" si="122"/>
        <v>0</v>
      </c>
      <c r="AY194" s="39">
        <f t="shared" si="97"/>
        <v>0</v>
      </c>
      <c r="AZ194" s="32">
        <f t="shared" si="98"/>
        <v>0</v>
      </c>
      <c r="BA194" s="32">
        <f t="shared" si="99"/>
        <v>0</v>
      </c>
      <c r="BB194" s="32">
        <f t="shared" si="100"/>
        <v>0</v>
      </c>
      <c r="BC194" s="32">
        <f t="shared" si="101"/>
        <v>0</v>
      </c>
      <c r="BD194" s="32">
        <f t="shared" si="102"/>
        <v>0</v>
      </c>
      <c r="BE194" s="32">
        <f t="shared" si="103"/>
        <v>0</v>
      </c>
      <c r="BF194" s="32">
        <f t="shared" si="104"/>
        <v>0</v>
      </c>
      <c r="BG194" s="32">
        <f t="shared" si="105"/>
        <v>0</v>
      </c>
      <c r="BH194" s="32">
        <f t="shared" si="106"/>
        <v>0</v>
      </c>
      <c r="BI194" s="32">
        <f t="shared" si="107"/>
        <v>0</v>
      </c>
      <c r="BJ194" s="32">
        <f t="shared" si="108"/>
        <v>0</v>
      </c>
      <c r="BK194" s="32">
        <f t="shared" si="109"/>
        <v>0</v>
      </c>
      <c r="BL194" s="32">
        <f t="shared" si="110"/>
        <v>0</v>
      </c>
      <c r="BM194" s="32">
        <f t="shared" si="111"/>
        <v>0</v>
      </c>
      <c r="BN194" s="32">
        <f t="shared" si="112"/>
        <v>0</v>
      </c>
      <c r="BO194" s="32">
        <f t="shared" si="113"/>
        <v>0</v>
      </c>
      <c r="BP194" s="32">
        <f t="shared" si="114"/>
        <v>0</v>
      </c>
      <c r="BQ194" s="32">
        <f t="shared" si="115"/>
        <v>0</v>
      </c>
      <c r="BR194" s="32">
        <f t="shared" si="116"/>
        <v>0</v>
      </c>
      <c r="BS194" s="32">
        <f t="shared" si="117"/>
        <v>0</v>
      </c>
      <c r="BT194" s="40">
        <f t="shared" si="118"/>
        <v>0</v>
      </c>
    </row>
    <row r="195" spans="1:72">
      <c r="A195" s="6"/>
      <c r="B195" s="31"/>
      <c r="C195" s="31"/>
      <c r="D195" s="1629"/>
      <c r="E195" s="32">
        <f t="shared" si="119"/>
        <v>0</v>
      </c>
      <c r="F195" s="33"/>
      <c r="G195" s="34">
        <f t="shared" si="94"/>
        <v>0</v>
      </c>
      <c r="H195" s="35">
        <f t="shared" si="95"/>
        <v>0</v>
      </c>
      <c r="I195" s="36"/>
      <c r="J195" s="36"/>
      <c r="K195" s="36"/>
      <c r="L195" s="36"/>
      <c r="M195" s="36"/>
      <c r="N195" s="36"/>
      <c r="O195" s="36"/>
      <c r="P195" s="36"/>
      <c r="Q195" s="36"/>
      <c r="R195" s="36"/>
      <c r="S195" s="36"/>
      <c r="T195" s="36"/>
      <c r="U195" s="36"/>
      <c r="V195" s="36"/>
      <c r="W195" s="36"/>
      <c r="X195" s="36"/>
      <c r="Y195" s="36"/>
      <c r="Z195" s="36"/>
      <c r="AA195" s="36"/>
      <c r="AB195" s="36"/>
      <c r="AC195" s="32">
        <f t="shared" si="96"/>
        <v>0</v>
      </c>
      <c r="AD195" s="37"/>
      <c r="AE195" s="37"/>
      <c r="AF195" s="37"/>
      <c r="AG195" s="37"/>
      <c r="AH195" s="37"/>
      <c r="AI195" s="37"/>
      <c r="AJ195" s="37"/>
      <c r="AK195" s="37"/>
      <c r="AL195" s="37"/>
      <c r="AM195" s="37"/>
      <c r="AN195" s="37"/>
      <c r="AO195" s="37"/>
      <c r="AP195" s="37"/>
      <c r="AQ195" s="37"/>
      <c r="AR195" s="37"/>
      <c r="AS195" s="37"/>
      <c r="AT195" s="38"/>
      <c r="AU195" s="1630"/>
      <c r="AV195" s="1342">
        <f t="shared" si="120"/>
        <v>0</v>
      </c>
      <c r="AW195" s="1342">
        <f t="shared" si="121"/>
        <v>0</v>
      </c>
      <c r="AX195" s="1342">
        <f t="shared" si="122"/>
        <v>0</v>
      </c>
      <c r="AY195" s="39">
        <f t="shared" si="97"/>
        <v>0</v>
      </c>
      <c r="AZ195" s="32">
        <f t="shared" si="98"/>
        <v>0</v>
      </c>
      <c r="BA195" s="32">
        <f t="shared" si="99"/>
        <v>0</v>
      </c>
      <c r="BB195" s="32">
        <f t="shared" si="100"/>
        <v>0</v>
      </c>
      <c r="BC195" s="32">
        <f t="shared" si="101"/>
        <v>0</v>
      </c>
      <c r="BD195" s="32">
        <f t="shared" si="102"/>
        <v>0</v>
      </c>
      <c r="BE195" s="32">
        <f t="shared" si="103"/>
        <v>0</v>
      </c>
      <c r="BF195" s="32">
        <f t="shared" si="104"/>
        <v>0</v>
      </c>
      <c r="BG195" s="32">
        <f t="shared" si="105"/>
        <v>0</v>
      </c>
      <c r="BH195" s="32">
        <f t="shared" si="106"/>
        <v>0</v>
      </c>
      <c r="BI195" s="32">
        <f t="shared" si="107"/>
        <v>0</v>
      </c>
      <c r="BJ195" s="32">
        <f t="shared" si="108"/>
        <v>0</v>
      </c>
      <c r="BK195" s="32">
        <f t="shared" si="109"/>
        <v>0</v>
      </c>
      <c r="BL195" s="32">
        <f t="shared" si="110"/>
        <v>0</v>
      </c>
      <c r="BM195" s="32">
        <f t="shared" si="111"/>
        <v>0</v>
      </c>
      <c r="BN195" s="32">
        <f t="shared" si="112"/>
        <v>0</v>
      </c>
      <c r="BO195" s="32">
        <f t="shared" si="113"/>
        <v>0</v>
      </c>
      <c r="BP195" s="32">
        <f t="shared" si="114"/>
        <v>0</v>
      </c>
      <c r="BQ195" s="32">
        <f t="shared" si="115"/>
        <v>0</v>
      </c>
      <c r="BR195" s="32">
        <f t="shared" si="116"/>
        <v>0</v>
      </c>
      <c r="BS195" s="32">
        <f t="shared" si="117"/>
        <v>0</v>
      </c>
      <c r="BT195" s="40">
        <f t="shared" si="118"/>
        <v>0</v>
      </c>
    </row>
    <row r="196" spans="1:72">
      <c r="A196" s="6"/>
      <c r="B196" s="31"/>
      <c r="C196" s="31"/>
      <c r="D196" s="1629"/>
      <c r="E196" s="32">
        <f t="shared" si="119"/>
        <v>0</v>
      </c>
      <c r="F196" s="33"/>
      <c r="G196" s="34">
        <f t="shared" si="94"/>
        <v>0</v>
      </c>
      <c r="H196" s="35">
        <f t="shared" si="95"/>
        <v>0</v>
      </c>
      <c r="I196" s="36"/>
      <c r="J196" s="36"/>
      <c r="K196" s="36"/>
      <c r="L196" s="36"/>
      <c r="M196" s="36"/>
      <c r="N196" s="36"/>
      <c r="O196" s="36"/>
      <c r="P196" s="36"/>
      <c r="Q196" s="36"/>
      <c r="R196" s="36"/>
      <c r="S196" s="36"/>
      <c r="T196" s="36"/>
      <c r="U196" s="36"/>
      <c r="V196" s="36"/>
      <c r="W196" s="36"/>
      <c r="X196" s="36"/>
      <c r="Y196" s="36"/>
      <c r="Z196" s="36"/>
      <c r="AA196" s="36"/>
      <c r="AB196" s="36"/>
      <c r="AC196" s="32">
        <f t="shared" si="96"/>
        <v>0</v>
      </c>
      <c r="AD196" s="37"/>
      <c r="AE196" s="37"/>
      <c r="AF196" s="37"/>
      <c r="AG196" s="37"/>
      <c r="AH196" s="37"/>
      <c r="AI196" s="37"/>
      <c r="AJ196" s="37"/>
      <c r="AK196" s="37"/>
      <c r="AL196" s="37"/>
      <c r="AM196" s="37"/>
      <c r="AN196" s="37"/>
      <c r="AO196" s="37"/>
      <c r="AP196" s="37"/>
      <c r="AQ196" s="37"/>
      <c r="AR196" s="37"/>
      <c r="AS196" s="37"/>
      <c r="AT196" s="38"/>
      <c r="AU196" s="1630"/>
      <c r="AV196" s="1342">
        <f t="shared" si="120"/>
        <v>0</v>
      </c>
      <c r="AW196" s="1342">
        <f t="shared" si="121"/>
        <v>0</v>
      </c>
      <c r="AX196" s="1342">
        <f t="shared" si="122"/>
        <v>0</v>
      </c>
      <c r="AY196" s="39">
        <f t="shared" si="97"/>
        <v>0</v>
      </c>
      <c r="AZ196" s="32">
        <f t="shared" si="98"/>
        <v>0</v>
      </c>
      <c r="BA196" s="32">
        <f t="shared" si="99"/>
        <v>0</v>
      </c>
      <c r="BB196" s="32">
        <f t="shared" si="100"/>
        <v>0</v>
      </c>
      <c r="BC196" s="32">
        <f t="shared" si="101"/>
        <v>0</v>
      </c>
      <c r="BD196" s="32">
        <f t="shared" si="102"/>
        <v>0</v>
      </c>
      <c r="BE196" s="32">
        <f t="shared" si="103"/>
        <v>0</v>
      </c>
      <c r="BF196" s="32">
        <f t="shared" si="104"/>
        <v>0</v>
      </c>
      <c r="BG196" s="32">
        <f t="shared" si="105"/>
        <v>0</v>
      </c>
      <c r="BH196" s="32">
        <f t="shared" si="106"/>
        <v>0</v>
      </c>
      <c r="BI196" s="32">
        <f t="shared" si="107"/>
        <v>0</v>
      </c>
      <c r="BJ196" s="32">
        <f t="shared" si="108"/>
        <v>0</v>
      </c>
      <c r="BK196" s="32">
        <f t="shared" si="109"/>
        <v>0</v>
      </c>
      <c r="BL196" s="32">
        <f t="shared" si="110"/>
        <v>0</v>
      </c>
      <c r="BM196" s="32">
        <f t="shared" si="111"/>
        <v>0</v>
      </c>
      <c r="BN196" s="32">
        <f t="shared" si="112"/>
        <v>0</v>
      </c>
      <c r="BO196" s="32">
        <f t="shared" si="113"/>
        <v>0</v>
      </c>
      <c r="BP196" s="32">
        <f t="shared" si="114"/>
        <v>0</v>
      </c>
      <c r="BQ196" s="32">
        <f t="shared" si="115"/>
        <v>0</v>
      </c>
      <c r="BR196" s="32">
        <f t="shared" si="116"/>
        <v>0</v>
      </c>
      <c r="BS196" s="32">
        <f t="shared" si="117"/>
        <v>0</v>
      </c>
      <c r="BT196" s="40">
        <f t="shared" si="118"/>
        <v>0</v>
      </c>
    </row>
    <row r="197" spans="1:72">
      <c r="A197" s="6"/>
      <c r="B197" s="31"/>
      <c r="C197" s="31"/>
      <c r="D197" s="1629"/>
      <c r="E197" s="32">
        <f t="shared" si="119"/>
        <v>0</v>
      </c>
      <c r="F197" s="33"/>
      <c r="G197" s="34">
        <f t="shared" si="94"/>
        <v>0</v>
      </c>
      <c r="H197" s="35">
        <f t="shared" si="95"/>
        <v>0</v>
      </c>
      <c r="I197" s="36"/>
      <c r="J197" s="36"/>
      <c r="K197" s="36"/>
      <c r="L197" s="36"/>
      <c r="M197" s="36"/>
      <c r="N197" s="36"/>
      <c r="O197" s="36"/>
      <c r="P197" s="36"/>
      <c r="Q197" s="36"/>
      <c r="R197" s="36"/>
      <c r="S197" s="36"/>
      <c r="T197" s="36"/>
      <c r="U197" s="36"/>
      <c r="V197" s="36"/>
      <c r="W197" s="36"/>
      <c r="X197" s="36"/>
      <c r="Y197" s="36"/>
      <c r="Z197" s="36"/>
      <c r="AA197" s="36"/>
      <c r="AB197" s="36"/>
      <c r="AC197" s="32">
        <f t="shared" si="96"/>
        <v>0</v>
      </c>
      <c r="AD197" s="37"/>
      <c r="AE197" s="37"/>
      <c r="AF197" s="37"/>
      <c r="AG197" s="37"/>
      <c r="AH197" s="37"/>
      <c r="AI197" s="37"/>
      <c r="AJ197" s="37"/>
      <c r="AK197" s="37"/>
      <c r="AL197" s="37"/>
      <c r="AM197" s="37"/>
      <c r="AN197" s="37"/>
      <c r="AO197" s="37"/>
      <c r="AP197" s="37"/>
      <c r="AQ197" s="37"/>
      <c r="AR197" s="37"/>
      <c r="AS197" s="37"/>
      <c r="AT197" s="38"/>
      <c r="AU197" s="1630"/>
      <c r="AV197" s="1342">
        <f t="shared" si="120"/>
        <v>0</v>
      </c>
      <c r="AW197" s="1342">
        <f t="shared" si="121"/>
        <v>0</v>
      </c>
      <c r="AX197" s="1342">
        <f t="shared" si="122"/>
        <v>0</v>
      </c>
      <c r="AY197" s="39">
        <f t="shared" si="97"/>
        <v>0</v>
      </c>
      <c r="AZ197" s="32">
        <f t="shared" si="98"/>
        <v>0</v>
      </c>
      <c r="BA197" s="32">
        <f t="shared" si="99"/>
        <v>0</v>
      </c>
      <c r="BB197" s="32">
        <f t="shared" si="100"/>
        <v>0</v>
      </c>
      <c r="BC197" s="32">
        <f t="shared" si="101"/>
        <v>0</v>
      </c>
      <c r="BD197" s="32">
        <f t="shared" si="102"/>
        <v>0</v>
      </c>
      <c r="BE197" s="32">
        <f t="shared" si="103"/>
        <v>0</v>
      </c>
      <c r="BF197" s="32">
        <f t="shared" si="104"/>
        <v>0</v>
      </c>
      <c r="BG197" s="32">
        <f t="shared" si="105"/>
        <v>0</v>
      </c>
      <c r="BH197" s="32">
        <f t="shared" si="106"/>
        <v>0</v>
      </c>
      <c r="BI197" s="32">
        <f t="shared" si="107"/>
        <v>0</v>
      </c>
      <c r="BJ197" s="32">
        <f t="shared" si="108"/>
        <v>0</v>
      </c>
      <c r="BK197" s="32">
        <f t="shared" si="109"/>
        <v>0</v>
      </c>
      <c r="BL197" s="32">
        <f t="shared" si="110"/>
        <v>0</v>
      </c>
      <c r="BM197" s="32">
        <f t="shared" si="111"/>
        <v>0</v>
      </c>
      <c r="BN197" s="32">
        <f t="shared" si="112"/>
        <v>0</v>
      </c>
      <c r="BO197" s="32">
        <f t="shared" si="113"/>
        <v>0</v>
      </c>
      <c r="BP197" s="32">
        <f t="shared" si="114"/>
        <v>0</v>
      </c>
      <c r="BQ197" s="32">
        <f t="shared" si="115"/>
        <v>0</v>
      </c>
      <c r="BR197" s="32">
        <f t="shared" si="116"/>
        <v>0</v>
      </c>
      <c r="BS197" s="32">
        <f t="shared" si="117"/>
        <v>0</v>
      </c>
      <c r="BT197" s="40">
        <f t="shared" si="118"/>
        <v>0</v>
      </c>
    </row>
    <row r="198" spans="1:72">
      <c r="A198" s="6"/>
      <c r="B198" s="31"/>
      <c r="C198" s="31"/>
      <c r="D198" s="1629"/>
      <c r="E198" s="32">
        <f t="shared" si="119"/>
        <v>0</v>
      </c>
      <c r="F198" s="33"/>
      <c r="G198" s="34">
        <f t="shared" si="94"/>
        <v>0</v>
      </c>
      <c r="H198" s="35">
        <f t="shared" si="95"/>
        <v>0</v>
      </c>
      <c r="I198" s="36"/>
      <c r="J198" s="36"/>
      <c r="K198" s="36"/>
      <c r="L198" s="36"/>
      <c r="M198" s="36"/>
      <c r="N198" s="36"/>
      <c r="O198" s="36"/>
      <c r="P198" s="36"/>
      <c r="Q198" s="36"/>
      <c r="R198" s="36"/>
      <c r="S198" s="36"/>
      <c r="T198" s="36"/>
      <c r="U198" s="36"/>
      <c r="V198" s="36"/>
      <c r="W198" s="36"/>
      <c r="X198" s="36"/>
      <c r="Y198" s="36"/>
      <c r="Z198" s="36"/>
      <c r="AA198" s="36"/>
      <c r="AB198" s="36"/>
      <c r="AC198" s="32">
        <f t="shared" si="96"/>
        <v>0</v>
      </c>
      <c r="AD198" s="37"/>
      <c r="AE198" s="37"/>
      <c r="AF198" s="37"/>
      <c r="AG198" s="37"/>
      <c r="AH198" s="37"/>
      <c r="AI198" s="37"/>
      <c r="AJ198" s="37"/>
      <c r="AK198" s="37"/>
      <c r="AL198" s="37"/>
      <c r="AM198" s="37"/>
      <c r="AN198" s="37"/>
      <c r="AO198" s="37"/>
      <c r="AP198" s="37"/>
      <c r="AQ198" s="37"/>
      <c r="AR198" s="37"/>
      <c r="AS198" s="37"/>
      <c r="AT198" s="38"/>
      <c r="AU198" s="1630"/>
      <c r="AV198" s="1342">
        <f t="shared" si="120"/>
        <v>0</v>
      </c>
      <c r="AW198" s="1342">
        <f t="shared" si="121"/>
        <v>0</v>
      </c>
      <c r="AX198" s="1342">
        <f t="shared" si="122"/>
        <v>0</v>
      </c>
      <c r="AY198" s="39">
        <f t="shared" si="97"/>
        <v>0</v>
      </c>
      <c r="AZ198" s="32">
        <f t="shared" si="98"/>
        <v>0</v>
      </c>
      <c r="BA198" s="32">
        <f t="shared" si="99"/>
        <v>0</v>
      </c>
      <c r="BB198" s="32">
        <f t="shared" si="100"/>
        <v>0</v>
      </c>
      <c r="BC198" s="32">
        <f t="shared" si="101"/>
        <v>0</v>
      </c>
      <c r="BD198" s="32">
        <f t="shared" si="102"/>
        <v>0</v>
      </c>
      <c r="BE198" s="32">
        <f t="shared" si="103"/>
        <v>0</v>
      </c>
      <c r="BF198" s="32">
        <f t="shared" si="104"/>
        <v>0</v>
      </c>
      <c r="BG198" s="32">
        <f t="shared" si="105"/>
        <v>0</v>
      </c>
      <c r="BH198" s="32">
        <f t="shared" si="106"/>
        <v>0</v>
      </c>
      <c r="BI198" s="32">
        <f t="shared" si="107"/>
        <v>0</v>
      </c>
      <c r="BJ198" s="32">
        <f t="shared" si="108"/>
        <v>0</v>
      </c>
      <c r="BK198" s="32">
        <f t="shared" si="109"/>
        <v>0</v>
      </c>
      <c r="BL198" s="32">
        <f t="shared" si="110"/>
        <v>0</v>
      </c>
      <c r="BM198" s="32">
        <f t="shared" si="111"/>
        <v>0</v>
      </c>
      <c r="BN198" s="32">
        <f t="shared" si="112"/>
        <v>0</v>
      </c>
      <c r="BO198" s="32">
        <f t="shared" si="113"/>
        <v>0</v>
      </c>
      <c r="BP198" s="32">
        <f t="shared" si="114"/>
        <v>0</v>
      </c>
      <c r="BQ198" s="32">
        <f t="shared" si="115"/>
        <v>0</v>
      </c>
      <c r="BR198" s="32">
        <f t="shared" si="116"/>
        <v>0</v>
      </c>
      <c r="BS198" s="32">
        <f t="shared" si="117"/>
        <v>0</v>
      </c>
      <c r="BT198" s="40">
        <f t="shared" si="118"/>
        <v>0</v>
      </c>
    </row>
    <row r="199" spans="1:72">
      <c r="A199" s="6"/>
      <c r="B199" s="31"/>
      <c r="C199" s="31"/>
      <c r="D199" s="1629"/>
      <c r="E199" s="32">
        <f t="shared" si="119"/>
        <v>0</v>
      </c>
      <c r="F199" s="33"/>
      <c r="G199" s="34">
        <f t="shared" si="94"/>
        <v>0</v>
      </c>
      <c r="H199" s="35">
        <f t="shared" si="95"/>
        <v>0</v>
      </c>
      <c r="I199" s="36"/>
      <c r="J199" s="36"/>
      <c r="K199" s="36"/>
      <c r="L199" s="36"/>
      <c r="M199" s="36"/>
      <c r="N199" s="36"/>
      <c r="O199" s="36"/>
      <c r="P199" s="36"/>
      <c r="Q199" s="36"/>
      <c r="R199" s="36"/>
      <c r="S199" s="36"/>
      <c r="T199" s="36"/>
      <c r="U199" s="36"/>
      <c r="V199" s="36"/>
      <c r="W199" s="36"/>
      <c r="X199" s="36"/>
      <c r="Y199" s="36"/>
      <c r="Z199" s="36"/>
      <c r="AA199" s="36"/>
      <c r="AB199" s="36"/>
      <c r="AC199" s="32">
        <f t="shared" si="96"/>
        <v>0</v>
      </c>
      <c r="AD199" s="37"/>
      <c r="AE199" s="37"/>
      <c r="AF199" s="37"/>
      <c r="AG199" s="37"/>
      <c r="AH199" s="37"/>
      <c r="AI199" s="37"/>
      <c r="AJ199" s="37"/>
      <c r="AK199" s="37"/>
      <c r="AL199" s="37"/>
      <c r="AM199" s="37"/>
      <c r="AN199" s="37"/>
      <c r="AO199" s="37"/>
      <c r="AP199" s="37"/>
      <c r="AQ199" s="37"/>
      <c r="AR199" s="37"/>
      <c r="AS199" s="37"/>
      <c r="AT199" s="38"/>
      <c r="AU199" s="1630"/>
      <c r="AV199" s="1342">
        <f t="shared" si="120"/>
        <v>0</v>
      </c>
      <c r="AW199" s="1342">
        <f t="shared" si="121"/>
        <v>0</v>
      </c>
      <c r="AX199" s="1342">
        <f t="shared" si="122"/>
        <v>0</v>
      </c>
      <c r="AY199" s="39">
        <f t="shared" si="97"/>
        <v>0</v>
      </c>
      <c r="AZ199" s="32">
        <f t="shared" si="98"/>
        <v>0</v>
      </c>
      <c r="BA199" s="32">
        <f t="shared" si="99"/>
        <v>0</v>
      </c>
      <c r="BB199" s="32">
        <f t="shared" si="100"/>
        <v>0</v>
      </c>
      <c r="BC199" s="32">
        <f t="shared" si="101"/>
        <v>0</v>
      </c>
      <c r="BD199" s="32">
        <f t="shared" si="102"/>
        <v>0</v>
      </c>
      <c r="BE199" s="32">
        <f t="shared" si="103"/>
        <v>0</v>
      </c>
      <c r="BF199" s="32">
        <f t="shared" si="104"/>
        <v>0</v>
      </c>
      <c r="BG199" s="32">
        <f t="shared" si="105"/>
        <v>0</v>
      </c>
      <c r="BH199" s="32">
        <f t="shared" si="106"/>
        <v>0</v>
      </c>
      <c r="BI199" s="32">
        <f t="shared" si="107"/>
        <v>0</v>
      </c>
      <c r="BJ199" s="32">
        <f t="shared" si="108"/>
        <v>0</v>
      </c>
      <c r="BK199" s="32">
        <f t="shared" si="109"/>
        <v>0</v>
      </c>
      <c r="BL199" s="32">
        <f t="shared" si="110"/>
        <v>0</v>
      </c>
      <c r="BM199" s="32">
        <f t="shared" si="111"/>
        <v>0</v>
      </c>
      <c r="BN199" s="32">
        <f t="shared" si="112"/>
        <v>0</v>
      </c>
      <c r="BO199" s="32">
        <f t="shared" si="113"/>
        <v>0</v>
      </c>
      <c r="BP199" s="32">
        <f t="shared" si="114"/>
        <v>0</v>
      </c>
      <c r="BQ199" s="32">
        <f t="shared" si="115"/>
        <v>0</v>
      </c>
      <c r="BR199" s="32">
        <f t="shared" si="116"/>
        <v>0</v>
      </c>
      <c r="BS199" s="32">
        <f t="shared" si="117"/>
        <v>0</v>
      </c>
      <c r="BT199" s="40">
        <f t="shared" si="118"/>
        <v>0</v>
      </c>
    </row>
    <row r="200" spans="1:72">
      <c r="A200" s="6"/>
      <c r="B200" s="31"/>
      <c r="C200" s="31"/>
      <c r="D200" s="1629"/>
      <c r="E200" s="32">
        <f t="shared" si="119"/>
        <v>0</v>
      </c>
      <c r="F200" s="33"/>
      <c r="G200" s="34">
        <f t="shared" si="94"/>
        <v>0</v>
      </c>
      <c r="H200" s="35">
        <f t="shared" si="95"/>
        <v>0</v>
      </c>
      <c r="I200" s="36"/>
      <c r="J200" s="36"/>
      <c r="K200" s="36"/>
      <c r="L200" s="36"/>
      <c r="M200" s="36"/>
      <c r="N200" s="36"/>
      <c r="O200" s="36"/>
      <c r="P200" s="36"/>
      <c r="Q200" s="36"/>
      <c r="R200" s="36"/>
      <c r="S200" s="36"/>
      <c r="T200" s="36"/>
      <c r="U200" s="36"/>
      <c r="V200" s="36"/>
      <c r="W200" s="36"/>
      <c r="X200" s="36"/>
      <c r="Y200" s="36"/>
      <c r="Z200" s="36"/>
      <c r="AA200" s="36"/>
      <c r="AB200" s="36"/>
      <c r="AC200" s="32">
        <f t="shared" si="96"/>
        <v>0</v>
      </c>
      <c r="AD200" s="37"/>
      <c r="AE200" s="37"/>
      <c r="AF200" s="37"/>
      <c r="AG200" s="37"/>
      <c r="AH200" s="37"/>
      <c r="AI200" s="37"/>
      <c r="AJ200" s="37"/>
      <c r="AK200" s="37"/>
      <c r="AL200" s="37"/>
      <c r="AM200" s="37"/>
      <c r="AN200" s="37"/>
      <c r="AO200" s="37"/>
      <c r="AP200" s="37"/>
      <c r="AQ200" s="37"/>
      <c r="AR200" s="37"/>
      <c r="AS200" s="37"/>
      <c r="AT200" s="38"/>
      <c r="AU200" s="1630"/>
      <c r="AV200" s="1342">
        <f t="shared" si="120"/>
        <v>0</v>
      </c>
      <c r="AW200" s="1342">
        <f t="shared" si="121"/>
        <v>0</v>
      </c>
      <c r="AX200" s="1342">
        <f t="shared" si="122"/>
        <v>0</v>
      </c>
      <c r="AY200" s="39">
        <f t="shared" si="97"/>
        <v>0</v>
      </c>
      <c r="AZ200" s="32">
        <f t="shared" si="98"/>
        <v>0</v>
      </c>
      <c r="BA200" s="32">
        <f t="shared" si="99"/>
        <v>0</v>
      </c>
      <c r="BB200" s="32">
        <f t="shared" si="100"/>
        <v>0</v>
      </c>
      <c r="BC200" s="32">
        <f t="shared" si="101"/>
        <v>0</v>
      </c>
      <c r="BD200" s="32">
        <f t="shared" si="102"/>
        <v>0</v>
      </c>
      <c r="BE200" s="32">
        <f t="shared" si="103"/>
        <v>0</v>
      </c>
      <c r="BF200" s="32">
        <f t="shared" si="104"/>
        <v>0</v>
      </c>
      <c r="BG200" s="32">
        <f t="shared" si="105"/>
        <v>0</v>
      </c>
      <c r="BH200" s="32">
        <f t="shared" si="106"/>
        <v>0</v>
      </c>
      <c r="BI200" s="32">
        <f t="shared" si="107"/>
        <v>0</v>
      </c>
      <c r="BJ200" s="32">
        <f t="shared" si="108"/>
        <v>0</v>
      </c>
      <c r="BK200" s="32">
        <f t="shared" si="109"/>
        <v>0</v>
      </c>
      <c r="BL200" s="32">
        <f t="shared" si="110"/>
        <v>0</v>
      </c>
      <c r="BM200" s="32">
        <f t="shared" si="111"/>
        <v>0</v>
      </c>
      <c r="BN200" s="32">
        <f t="shared" si="112"/>
        <v>0</v>
      </c>
      <c r="BO200" s="32">
        <f t="shared" si="113"/>
        <v>0</v>
      </c>
      <c r="BP200" s="32">
        <f t="shared" si="114"/>
        <v>0</v>
      </c>
      <c r="BQ200" s="32">
        <f t="shared" si="115"/>
        <v>0</v>
      </c>
      <c r="BR200" s="32">
        <f t="shared" si="116"/>
        <v>0</v>
      </c>
      <c r="BS200" s="32">
        <f t="shared" si="117"/>
        <v>0</v>
      </c>
      <c r="BT200" s="40">
        <f t="shared" si="118"/>
        <v>0</v>
      </c>
    </row>
    <row r="201" spans="1:72">
      <c r="A201" s="6"/>
      <c r="B201" s="31"/>
      <c r="C201" s="31"/>
      <c r="D201" s="1629"/>
      <c r="E201" s="32">
        <f t="shared" si="119"/>
        <v>0</v>
      </c>
      <c r="F201" s="33"/>
      <c r="G201" s="34">
        <f t="shared" si="94"/>
        <v>0</v>
      </c>
      <c r="H201" s="35">
        <f t="shared" si="95"/>
        <v>0</v>
      </c>
      <c r="I201" s="36"/>
      <c r="J201" s="36"/>
      <c r="K201" s="36"/>
      <c r="L201" s="36"/>
      <c r="M201" s="36"/>
      <c r="N201" s="36"/>
      <c r="O201" s="36"/>
      <c r="P201" s="36"/>
      <c r="Q201" s="36"/>
      <c r="R201" s="36"/>
      <c r="S201" s="36"/>
      <c r="T201" s="36"/>
      <c r="U201" s="36"/>
      <c r="V201" s="36"/>
      <c r="W201" s="36"/>
      <c r="X201" s="36"/>
      <c r="Y201" s="36"/>
      <c r="Z201" s="36"/>
      <c r="AA201" s="36"/>
      <c r="AB201" s="36"/>
      <c r="AC201" s="32">
        <f t="shared" si="96"/>
        <v>0</v>
      </c>
      <c r="AD201" s="37"/>
      <c r="AE201" s="37"/>
      <c r="AF201" s="37"/>
      <c r="AG201" s="37"/>
      <c r="AH201" s="37"/>
      <c r="AI201" s="37"/>
      <c r="AJ201" s="37"/>
      <c r="AK201" s="37"/>
      <c r="AL201" s="37"/>
      <c r="AM201" s="37"/>
      <c r="AN201" s="37"/>
      <c r="AO201" s="37"/>
      <c r="AP201" s="37"/>
      <c r="AQ201" s="37"/>
      <c r="AR201" s="37"/>
      <c r="AS201" s="37"/>
      <c r="AT201" s="38"/>
      <c r="AU201" s="1630"/>
      <c r="AV201" s="1342">
        <f t="shared" si="120"/>
        <v>0</v>
      </c>
      <c r="AW201" s="1342">
        <f t="shared" si="121"/>
        <v>0</v>
      </c>
      <c r="AX201" s="1342">
        <f t="shared" si="122"/>
        <v>0</v>
      </c>
      <c r="AY201" s="39">
        <f t="shared" si="97"/>
        <v>0</v>
      </c>
      <c r="AZ201" s="32">
        <f t="shared" si="98"/>
        <v>0</v>
      </c>
      <c r="BA201" s="32">
        <f t="shared" si="99"/>
        <v>0</v>
      </c>
      <c r="BB201" s="32">
        <f t="shared" si="100"/>
        <v>0</v>
      </c>
      <c r="BC201" s="32">
        <f t="shared" si="101"/>
        <v>0</v>
      </c>
      <c r="BD201" s="32">
        <f t="shared" si="102"/>
        <v>0</v>
      </c>
      <c r="BE201" s="32">
        <f t="shared" si="103"/>
        <v>0</v>
      </c>
      <c r="BF201" s="32">
        <f t="shared" si="104"/>
        <v>0</v>
      </c>
      <c r="BG201" s="32">
        <f t="shared" si="105"/>
        <v>0</v>
      </c>
      <c r="BH201" s="32">
        <f t="shared" si="106"/>
        <v>0</v>
      </c>
      <c r="BI201" s="32">
        <f t="shared" si="107"/>
        <v>0</v>
      </c>
      <c r="BJ201" s="32">
        <f t="shared" si="108"/>
        <v>0</v>
      </c>
      <c r="BK201" s="32">
        <f t="shared" si="109"/>
        <v>0</v>
      </c>
      <c r="BL201" s="32">
        <f t="shared" si="110"/>
        <v>0</v>
      </c>
      <c r="BM201" s="32">
        <f t="shared" si="111"/>
        <v>0</v>
      </c>
      <c r="BN201" s="32">
        <f t="shared" si="112"/>
        <v>0</v>
      </c>
      <c r="BO201" s="32">
        <f t="shared" si="113"/>
        <v>0</v>
      </c>
      <c r="BP201" s="32">
        <f t="shared" si="114"/>
        <v>0</v>
      </c>
      <c r="BQ201" s="32">
        <f t="shared" si="115"/>
        <v>0</v>
      </c>
      <c r="BR201" s="32">
        <f t="shared" si="116"/>
        <v>0</v>
      </c>
      <c r="BS201" s="32">
        <f t="shared" si="117"/>
        <v>0</v>
      </c>
      <c r="BT201" s="40">
        <f t="shared" si="118"/>
        <v>0</v>
      </c>
    </row>
    <row r="202" spans="1:72">
      <c r="A202" s="6"/>
      <c r="B202" s="31"/>
      <c r="C202" s="31"/>
      <c r="D202" s="1629"/>
      <c r="E202" s="32">
        <f t="shared" si="119"/>
        <v>0</v>
      </c>
      <c r="F202" s="33"/>
      <c r="G202" s="34">
        <f t="shared" si="94"/>
        <v>0</v>
      </c>
      <c r="H202" s="35">
        <f t="shared" si="95"/>
        <v>0</v>
      </c>
      <c r="I202" s="36"/>
      <c r="J202" s="36"/>
      <c r="K202" s="36"/>
      <c r="L202" s="36"/>
      <c r="M202" s="36"/>
      <c r="N202" s="36"/>
      <c r="O202" s="36"/>
      <c r="P202" s="36"/>
      <c r="Q202" s="36"/>
      <c r="R202" s="36"/>
      <c r="S202" s="36"/>
      <c r="T202" s="36"/>
      <c r="U202" s="36"/>
      <c r="V202" s="36"/>
      <c r="W202" s="36"/>
      <c r="X202" s="36"/>
      <c r="Y202" s="36"/>
      <c r="Z202" s="36"/>
      <c r="AA202" s="36"/>
      <c r="AB202" s="36"/>
      <c r="AC202" s="32">
        <f t="shared" si="96"/>
        <v>0</v>
      </c>
      <c r="AD202" s="37"/>
      <c r="AE202" s="37"/>
      <c r="AF202" s="37"/>
      <c r="AG202" s="37"/>
      <c r="AH202" s="37"/>
      <c r="AI202" s="37"/>
      <c r="AJ202" s="37"/>
      <c r="AK202" s="37"/>
      <c r="AL202" s="37"/>
      <c r="AM202" s="37"/>
      <c r="AN202" s="37"/>
      <c r="AO202" s="37"/>
      <c r="AP202" s="37"/>
      <c r="AQ202" s="37"/>
      <c r="AR202" s="37"/>
      <c r="AS202" s="37"/>
      <c r="AT202" s="38"/>
      <c r="AU202" s="1630"/>
      <c r="AV202" s="1342">
        <f t="shared" si="120"/>
        <v>0</v>
      </c>
      <c r="AW202" s="1342">
        <f t="shared" si="121"/>
        <v>0</v>
      </c>
      <c r="AX202" s="1342">
        <f t="shared" si="122"/>
        <v>0</v>
      </c>
      <c r="AY202" s="39">
        <f t="shared" si="97"/>
        <v>0</v>
      </c>
      <c r="AZ202" s="32">
        <f t="shared" si="98"/>
        <v>0</v>
      </c>
      <c r="BA202" s="32">
        <f t="shared" si="99"/>
        <v>0</v>
      </c>
      <c r="BB202" s="32">
        <f t="shared" si="100"/>
        <v>0</v>
      </c>
      <c r="BC202" s="32">
        <f t="shared" si="101"/>
        <v>0</v>
      </c>
      <c r="BD202" s="32">
        <f t="shared" si="102"/>
        <v>0</v>
      </c>
      <c r="BE202" s="32">
        <f t="shared" si="103"/>
        <v>0</v>
      </c>
      <c r="BF202" s="32">
        <f t="shared" si="104"/>
        <v>0</v>
      </c>
      <c r="BG202" s="32">
        <f t="shared" si="105"/>
        <v>0</v>
      </c>
      <c r="BH202" s="32">
        <f t="shared" si="106"/>
        <v>0</v>
      </c>
      <c r="BI202" s="32">
        <f t="shared" si="107"/>
        <v>0</v>
      </c>
      <c r="BJ202" s="32">
        <f t="shared" si="108"/>
        <v>0</v>
      </c>
      <c r="BK202" s="32">
        <f t="shared" si="109"/>
        <v>0</v>
      </c>
      <c r="BL202" s="32">
        <f t="shared" si="110"/>
        <v>0</v>
      </c>
      <c r="BM202" s="32">
        <f t="shared" si="111"/>
        <v>0</v>
      </c>
      <c r="BN202" s="32">
        <f t="shared" si="112"/>
        <v>0</v>
      </c>
      <c r="BO202" s="32">
        <f t="shared" si="113"/>
        <v>0</v>
      </c>
      <c r="BP202" s="32">
        <f t="shared" si="114"/>
        <v>0</v>
      </c>
      <c r="BQ202" s="32">
        <f t="shared" si="115"/>
        <v>0</v>
      </c>
      <c r="BR202" s="32">
        <f t="shared" si="116"/>
        <v>0</v>
      </c>
      <c r="BS202" s="32">
        <f t="shared" si="117"/>
        <v>0</v>
      </c>
      <c r="BT202" s="40">
        <f t="shared" si="118"/>
        <v>0</v>
      </c>
    </row>
    <row r="203" spans="1:72">
      <c r="A203" s="6"/>
      <c r="B203" s="31"/>
      <c r="C203" s="31"/>
      <c r="D203" s="1629"/>
      <c r="E203" s="32">
        <f t="shared" si="119"/>
        <v>0</v>
      </c>
      <c r="F203" s="33"/>
      <c r="G203" s="34">
        <f t="shared" si="94"/>
        <v>0</v>
      </c>
      <c r="H203" s="35">
        <f t="shared" si="95"/>
        <v>0</v>
      </c>
      <c r="I203" s="36"/>
      <c r="J203" s="36"/>
      <c r="K203" s="36"/>
      <c r="L203" s="36"/>
      <c r="M203" s="36"/>
      <c r="N203" s="36"/>
      <c r="O203" s="36"/>
      <c r="P203" s="36"/>
      <c r="Q203" s="36"/>
      <c r="R203" s="36"/>
      <c r="S203" s="36"/>
      <c r="T203" s="36"/>
      <c r="U203" s="36"/>
      <c r="V203" s="36"/>
      <c r="W203" s="36"/>
      <c r="X203" s="36"/>
      <c r="Y203" s="36"/>
      <c r="Z203" s="36"/>
      <c r="AA203" s="36"/>
      <c r="AB203" s="36"/>
      <c r="AC203" s="32">
        <f t="shared" si="96"/>
        <v>0</v>
      </c>
      <c r="AD203" s="37"/>
      <c r="AE203" s="37"/>
      <c r="AF203" s="37"/>
      <c r="AG203" s="37"/>
      <c r="AH203" s="37"/>
      <c r="AI203" s="37"/>
      <c r="AJ203" s="37"/>
      <c r="AK203" s="37"/>
      <c r="AL203" s="37"/>
      <c r="AM203" s="37"/>
      <c r="AN203" s="37"/>
      <c r="AO203" s="37"/>
      <c r="AP203" s="37"/>
      <c r="AQ203" s="37"/>
      <c r="AR203" s="37"/>
      <c r="AS203" s="37"/>
      <c r="AT203" s="38"/>
      <c r="AU203" s="1630"/>
      <c r="AV203" s="1342">
        <f t="shared" si="120"/>
        <v>0</v>
      </c>
      <c r="AW203" s="1342">
        <f t="shared" si="121"/>
        <v>0</v>
      </c>
      <c r="AX203" s="1342">
        <f t="shared" si="122"/>
        <v>0</v>
      </c>
      <c r="AY203" s="39">
        <f t="shared" si="97"/>
        <v>0</v>
      </c>
      <c r="AZ203" s="32">
        <f t="shared" si="98"/>
        <v>0</v>
      </c>
      <c r="BA203" s="32">
        <f t="shared" si="99"/>
        <v>0</v>
      </c>
      <c r="BB203" s="32">
        <f t="shared" si="100"/>
        <v>0</v>
      </c>
      <c r="BC203" s="32">
        <f t="shared" si="101"/>
        <v>0</v>
      </c>
      <c r="BD203" s="32">
        <f t="shared" si="102"/>
        <v>0</v>
      </c>
      <c r="BE203" s="32">
        <f t="shared" si="103"/>
        <v>0</v>
      </c>
      <c r="BF203" s="32">
        <f t="shared" si="104"/>
        <v>0</v>
      </c>
      <c r="BG203" s="32">
        <f t="shared" si="105"/>
        <v>0</v>
      </c>
      <c r="BH203" s="32">
        <f t="shared" si="106"/>
        <v>0</v>
      </c>
      <c r="BI203" s="32">
        <f t="shared" si="107"/>
        <v>0</v>
      </c>
      <c r="BJ203" s="32">
        <f t="shared" si="108"/>
        <v>0</v>
      </c>
      <c r="BK203" s="32">
        <f t="shared" si="109"/>
        <v>0</v>
      </c>
      <c r="BL203" s="32">
        <f t="shared" si="110"/>
        <v>0</v>
      </c>
      <c r="BM203" s="32">
        <f t="shared" si="111"/>
        <v>0</v>
      </c>
      <c r="BN203" s="32">
        <f t="shared" si="112"/>
        <v>0</v>
      </c>
      <c r="BO203" s="32">
        <f t="shared" si="113"/>
        <v>0</v>
      </c>
      <c r="BP203" s="32">
        <f t="shared" si="114"/>
        <v>0</v>
      </c>
      <c r="BQ203" s="32">
        <f t="shared" si="115"/>
        <v>0</v>
      </c>
      <c r="BR203" s="32">
        <f t="shared" si="116"/>
        <v>0</v>
      </c>
      <c r="BS203" s="32">
        <f t="shared" si="117"/>
        <v>0</v>
      </c>
      <c r="BT203" s="40">
        <f t="shared" si="118"/>
        <v>0</v>
      </c>
    </row>
    <row r="204" spans="1:72">
      <c r="A204" s="6"/>
      <c r="B204" s="31"/>
      <c r="C204" s="31"/>
      <c r="D204" s="1629"/>
      <c r="E204" s="32">
        <f t="shared" si="119"/>
        <v>0</v>
      </c>
      <c r="F204" s="33"/>
      <c r="G204" s="34">
        <f t="shared" si="94"/>
        <v>0</v>
      </c>
      <c r="H204" s="35">
        <f t="shared" si="95"/>
        <v>0</v>
      </c>
      <c r="I204" s="36"/>
      <c r="J204" s="36"/>
      <c r="K204" s="36"/>
      <c r="L204" s="36"/>
      <c r="M204" s="36"/>
      <c r="N204" s="36"/>
      <c r="O204" s="36"/>
      <c r="P204" s="36"/>
      <c r="Q204" s="36"/>
      <c r="R204" s="36"/>
      <c r="S204" s="36"/>
      <c r="T204" s="36"/>
      <c r="U204" s="36"/>
      <c r="V204" s="36"/>
      <c r="W204" s="36"/>
      <c r="X204" s="36"/>
      <c r="Y204" s="36"/>
      <c r="Z204" s="36"/>
      <c r="AA204" s="36"/>
      <c r="AB204" s="36"/>
      <c r="AC204" s="32">
        <f t="shared" si="96"/>
        <v>0</v>
      </c>
      <c r="AD204" s="37"/>
      <c r="AE204" s="37"/>
      <c r="AF204" s="37"/>
      <c r="AG204" s="37"/>
      <c r="AH204" s="37"/>
      <c r="AI204" s="37"/>
      <c r="AJ204" s="37"/>
      <c r="AK204" s="37"/>
      <c r="AL204" s="37"/>
      <c r="AM204" s="37"/>
      <c r="AN204" s="37"/>
      <c r="AO204" s="37"/>
      <c r="AP204" s="37"/>
      <c r="AQ204" s="37"/>
      <c r="AR204" s="37"/>
      <c r="AS204" s="37"/>
      <c r="AT204" s="38"/>
      <c r="AU204" s="1630"/>
      <c r="AV204" s="1342">
        <f t="shared" si="120"/>
        <v>0</v>
      </c>
      <c r="AW204" s="1342">
        <f t="shared" si="121"/>
        <v>0</v>
      </c>
      <c r="AX204" s="1342">
        <f t="shared" si="122"/>
        <v>0</v>
      </c>
      <c r="AY204" s="39">
        <f t="shared" si="97"/>
        <v>0</v>
      </c>
      <c r="AZ204" s="32">
        <f t="shared" si="98"/>
        <v>0</v>
      </c>
      <c r="BA204" s="32">
        <f t="shared" si="99"/>
        <v>0</v>
      </c>
      <c r="BB204" s="32">
        <f t="shared" si="100"/>
        <v>0</v>
      </c>
      <c r="BC204" s="32">
        <f t="shared" si="101"/>
        <v>0</v>
      </c>
      <c r="BD204" s="32">
        <f t="shared" si="102"/>
        <v>0</v>
      </c>
      <c r="BE204" s="32">
        <f t="shared" si="103"/>
        <v>0</v>
      </c>
      <c r="BF204" s="32">
        <f t="shared" si="104"/>
        <v>0</v>
      </c>
      <c r="BG204" s="32">
        <f t="shared" si="105"/>
        <v>0</v>
      </c>
      <c r="BH204" s="32">
        <f t="shared" si="106"/>
        <v>0</v>
      </c>
      <c r="BI204" s="32">
        <f t="shared" si="107"/>
        <v>0</v>
      </c>
      <c r="BJ204" s="32">
        <f t="shared" si="108"/>
        <v>0</v>
      </c>
      <c r="BK204" s="32">
        <f t="shared" si="109"/>
        <v>0</v>
      </c>
      <c r="BL204" s="32">
        <f t="shared" si="110"/>
        <v>0</v>
      </c>
      <c r="BM204" s="32">
        <f t="shared" si="111"/>
        <v>0</v>
      </c>
      <c r="BN204" s="32">
        <f t="shared" si="112"/>
        <v>0</v>
      </c>
      <c r="BO204" s="32">
        <f t="shared" si="113"/>
        <v>0</v>
      </c>
      <c r="BP204" s="32">
        <f t="shared" si="114"/>
        <v>0</v>
      </c>
      <c r="BQ204" s="32">
        <f t="shared" si="115"/>
        <v>0</v>
      </c>
      <c r="BR204" s="32">
        <f t="shared" si="116"/>
        <v>0</v>
      </c>
      <c r="BS204" s="32">
        <f t="shared" si="117"/>
        <v>0</v>
      </c>
      <c r="BT204" s="40">
        <f t="shared" si="118"/>
        <v>0</v>
      </c>
    </row>
    <row r="205" spans="1:72">
      <c r="A205" s="6"/>
      <c r="B205" s="6"/>
      <c r="C205" s="6"/>
      <c r="D205" s="1629"/>
      <c r="E205" s="32">
        <f t="shared" si="119"/>
        <v>0</v>
      </c>
      <c r="F205" s="41"/>
      <c r="G205" s="34">
        <f t="shared" si="94"/>
        <v>0</v>
      </c>
      <c r="H205" s="35">
        <f t="shared" si="95"/>
        <v>0</v>
      </c>
      <c r="I205" s="7"/>
      <c r="J205" s="7"/>
      <c r="K205" s="36"/>
      <c r="L205" s="36"/>
      <c r="M205" s="36"/>
      <c r="N205" s="36"/>
      <c r="O205" s="36"/>
      <c r="P205" s="36"/>
      <c r="Q205" s="36"/>
      <c r="R205" s="36"/>
      <c r="S205" s="36"/>
      <c r="T205" s="36"/>
      <c r="U205" s="36"/>
      <c r="V205" s="36"/>
      <c r="W205" s="36"/>
      <c r="X205" s="36"/>
      <c r="Y205" s="36"/>
      <c r="Z205" s="36"/>
      <c r="AA205" s="36"/>
      <c r="AB205" s="36"/>
      <c r="AC205" s="32">
        <f t="shared" si="96"/>
        <v>0</v>
      </c>
      <c r="AD205" s="37"/>
      <c r="AE205" s="37"/>
      <c r="AF205" s="37"/>
      <c r="AG205" s="37"/>
      <c r="AH205" s="37"/>
      <c r="AI205" s="37"/>
      <c r="AJ205" s="37"/>
      <c r="AK205" s="37"/>
      <c r="AL205" s="37"/>
      <c r="AM205" s="37"/>
      <c r="AN205" s="37"/>
      <c r="AO205" s="37"/>
      <c r="AP205" s="37"/>
      <c r="AQ205" s="37"/>
      <c r="AR205" s="37"/>
      <c r="AS205" s="37"/>
      <c r="AT205" s="37"/>
      <c r="AU205" s="1570"/>
      <c r="AV205" s="1342">
        <f t="shared" si="120"/>
        <v>0</v>
      </c>
      <c r="AW205" s="1342">
        <f t="shared" si="121"/>
        <v>0</v>
      </c>
      <c r="AX205" s="1342">
        <f t="shared" si="122"/>
        <v>0</v>
      </c>
      <c r="AY205" s="39">
        <f t="shared" si="97"/>
        <v>0</v>
      </c>
      <c r="AZ205" s="32">
        <f t="shared" si="98"/>
        <v>0</v>
      </c>
      <c r="BA205" s="32">
        <f t="shared" si="99"/>
        <v>0</v>
      </c>
      <c r="BB205" s="32">
        <f t="shared" si="100"/>
        <v>0</v>
      </c>
      <c r="BC205" s="32">
        <f t="shared" si="101"/>
        <v>0</v>
      </c>
      <c r="BD205" s="32">
        <f t="shared" si="102"/>
        <v>0</v>
      </c>
      <c r="BE205" s="32">
        <f t="shared" si="103"/>
        <v>0</v>
      </c>
      <c r="BF205" s="32">
        <f t="shared" si="104"/>
        <v>0</v>
      </c>
      <c r="BG205" s="32">
        <f t="shared" si="105"/>
        <v>0</v>
      </c>
      <c r="BH205" s="32">
        <f t="shared" si="106"/>
        <v>0</v>
      </c>
      <c r="BI205" s="32">
        <f t="shared" si="107"/>
        <v>0</v>
      </c>
      <c r="BJ205" s="32">
        <f t="shared" si="108"/>
        <v>0</v>
      </c>
      <c r="BK205" s="32">
        <f t="shared" si="109"/>
        <v>0</v>
      </c>
      <c r="BL205" s="32">
        <f t="shared" si="110"/>
        <v>0</v>
      </c>
      <c r="BM205" s="32">
        <f t="shared" si="111"/>
        <v>0</v>
      </c>
      <c r="BN205" s="32">
        <f t="shared" si="112"/>
        <v>0</v>
      </c>
      <c r="BO205" s="32">
        <f t="shared" si="113"/>
        <v>0</v>
      </c>
      <c r="BP205" s="32">
        <f t="shared" si="114"/>
        <v>0</v>
      </c>
      <c r="BQ205" s="32">
        <f t="shared" si="115"/>
        <v>0</v>
      </c>
      <c r="BR205" s="32">
        <f t="shared" si="116"/>
        <v>0</v>
      </c>
      <c r="BS205" s="32">
        <f t="shared" si="117"/>
        <v>0</v>
      </c>
      <c r="BT205" s="40">
        <f t="shared" si="118"/>
        <v>0</v>
      </c>
    </row>
    <row r="206" spans="1:72">
      <c r="A206" s="6"/>
      <c r="B206" s="6"/>
      <c r="C206" s="6"/>
      <c r="D206" s="1629"/>
      <c r="E206" s="32">
        <f t="shared" si="119"/>
        <v>0</v>
      </c>
      <c r="F206" s="41"/>
      <c r="G206" s="34">
        <f>H206+AC206+AT206</f>
        <v>0</v>
      </c>
      <c r="H206" s="35">
        <f>SUMIF(I$12:AB$12,"总值",I206:AB206)</f>
        <v>0</v>
      </c>
      <c r="I206" s="36"/>
      <c r="J206" s="36"/>
      <c r="K206" s="36"/>
      <c r="L206" s="36"/>
      <c r="M206" s="36"/>
      <c r="N206" s="36"/>
      <c r="O206" s="36"/>
      <c r="P206" s="36"/>
      <c r="Q206" s="36"/>
      <c r="R206" s="36"/>
      <c r="S206" s="36"/>
      <c r="T206" s="36"/>
      <c r="U206" s="36"/>
      <c r="V206" s="36"/>
      <c r="W206" s="36"/>
      <c r="X206" s="36"/>
      <c r="Y206" s="36"/>
      <c r="Z206" s="36"/>
      <c r="AA206" s="36"/>
      <c r="AB206" s="36"/>
      <c r="AC206" s="32">
        <f>SUMIF(AD$12:AS$12,"总值",AD206:AS206)</f>
        <v>0</v>
      </c>
      <c r="AD206" s="37"/>
      <c r="AE206" s="37"/>
      <c r="AF206" s="37"/>
      <c r="AG206" s="37"/>
      <c r="AH206" s="37"/>
      <c r="AI206" s="37"/>
      <c r="AJ206" s="37"/>
      <c r="AK206" s="37"/>
      <c r="AL206" s="37"/>
      <c r="AM206" s="37"/>
      <c r="AN206" s="37"/>
      <c r="AO206" s="37"/>
      <c r="AP206" s="37"/>
      <c r="AQ206" s="37"/>
      <c r="AR206" s="37"/>
      <c r="AS206" s="37"/>
      <c r="AT206" s="37"/>
      <c r="AU206" s="1570"/>
      <c r="AV206" s="1342">
        <f t="shared" si="120"/>
        <v>0</v>
      </c>
      <c r="AW206" s="1342">
        <f t="shared" si="121"/>
        <v>0</v>
      </c>
      <c r="AX206" s="1342">
        <f t="shared" si="122"/>
        <v>0</v>
      </c>
      <c r="AY206" s="39">
        <f>ROUND($AY$6*AZ206/$AZ$5,2)</f>
        <v>0</v>
      </c>
      <c r="AZ206" s="32">
        <f>BA206+BL206</f>
        <v>0</v>
      </c>
      <c r="BA206" s="32">
        <f>SUM(BB206:BK206)</f>
        <v>0</v>
      </c>
      <c r="BB206" s="32">
        <f t="shared" si="100"/>
        <v>0</v>
      </c>
      <c r="BC206" s="32">
        <f t="shared" si="101"/>
        <v>0</v>
      </c>
      <c r="BD206" s="32">
        <f t="shared" si="102"/>
        <v>0</v>
      </c>
      <c r="BE206" s="32">
        <f t="shared" si="103"/>
        <v>0</v>
      </c>
      <c r="BF206" s="32">
        <f t="shared" si="104"/>
        <v>0</v>
      </c>
      <c r="BG206" s="32">
        <f t="shared" si="105"/>
        <v>0</v>
      </c>
      <c r="BH206" s="32">
        <f t="shared" si="106"/>
        <v>0</v>
      </c>
      <c r="BI206" s="32">
        <f t="shared" si="107"/>
        <v>0</v>
      </c>
      <c r="BJ206" s="32">
        <f t="shared" si="108"/>
        <v>0</v>
      </c>
      <c r="BK206" s="32">
        <f t="shared" si="109"/>
        <v>0</v>
      </c>
      <c r="BL206" s="32">
        <f>SUM(BM206:BT206)</f>
        <v>0</v>
      </c>
      <c r="BM206" s="32">
        <f t="shared" si="111"/>
        <v>0</v>
      </c>
      <c r="BN206" s="32">
        <f t="shared" si="112"/>
        <v>0</v>
      </c>
      <c r="BO206" s="32">
        <f t="shared" si="113"/>
        <v>0</v>
      </c>
      <c r="BP206" s="32">
        <f t="shared" si="114"/>
        <v>0</v>
      </c>
      <c r="BQ206" s="32">
        <f t="shared" si="115"/>
        <v>0</v>
      </c>
      <c r="BR206" s="32">
        <f t="shared" si="116"/>
        <v>0</v>
      </c>
      <c r="BS206" s="32">
        <f t="shared" si="117"/>
        <v>0</v>
      </c>
      <c r="BT206" s="40">
        <f t="shared" si="118"/>
        <v>0</v>
      </c>
    </row>
    <row r="207" spans="1:72">
      <c r="A207" s="6"/>
      <c r="B207" s="6"/>
      <c r="C207" s="6"/>
      <c r="D207" s="1629"/>
      <c r="E207" s="32">
        <f t="shared" si="119"/>
        <v>0</v>
      </c>
      <c r="F207" s="41"/>
      <c r="G207" s="34">
        <f>H207+AC207+AT207</f>
        <v>0</v>
      </c>
      <c r="H207" s="35">
        <f>SUMIF(I$12:AB$12,"总值",I207:AB207)</f>
        <v>0</v>
      </c>
      <c r="I207" s="36"/>
      <c r="J207" s="36"/>
      <c r="K207" s="36"/>
      <c r="L207" s="36"/>
      <c r="M207" s="36"/>
      <c r="N207" s="36"/>
      <c r="O207" s="36"/>
      <c r="P207" s="36"/>
      <c r="Q207" s="36"/>
      <c r="R207" s="36"/>
      <c r="S207" s="36"/>
      <c r="T207" s="36"/>
      <c r="U207" s="36"/>
      <c r="V207" s="36"/>
      <c r="W207" s="36"/>
      <c r="X207" s="36"/>
      <c r="Y207" s="36"/>
      <c r="Z207" s="36"/>
      <c r="AA207" s="36"/>
      <c r="AB207" s="36"/>
      <c r="AC207" s="32">
        <f>SUMIF(AD$12:AS$12,"总值",AD207:AS207)</f>
        <v>0</v>
      </c>
      <c r="AD207" s="37"/>
      <c r="AE207" s="37"/>
      <c r="AF207" s="37"/>
      <c r="AG207" s="37"/>
      <c r="AH207" s="37"/>
      <c r="AI207" s="37"/>
      <c r="AJ207" s="37"/>
      <c r="AK207" s="37"/>
      <c r="AL207" s="37"/>
      <c r="AM207" s="37"/>
      <c r="AN207" s="37"/>
      <c r="AO207" s="37"/>
      <c r="AP207" s="37"/>
      <c r="AQ207" s="37"/>
      <c r="AR207" s="37"/>
      <c r="AS207" s="37"/>
      <c r="AT207" s="37"/>
      <c r="AU207" s="1570"/>
      <c r="AV207" s="1342">
        <f t="shared" si="120"/>
        <v>0</v>
      </c>
      <c r="AW207" s="1342">
        <f t="shared" si="121"/>
        <v>0</v>
      </c>
      <c r="AX207" s="1342">
        <f t="shared" si="122"/>
        <v>0</v>
      </c>
      <c r="AY207" s="39">
        <f>ROUND($AY$6*AZ207/$AZ$5,2)</f>
        <v>0</v>
      </c>
      <c r="AZ207" s="32">
        <f>BA207+BL207</f>
        <v>0</v>
      </c>
      <c r="BA207" s="32">
        <f>SUM(BB207:BK207)</f>
        <v>0</v>
      </c>
      <c r="BB207" s="32">
        <f t="shared" si="100"/>
        <v>0</v>
      </c>
      <c r="BC207" s="32">
        <f t="shared" si="101"/>
        <v>0</v>
      </c>
      <c r="BD207" s="32">
        <f t="shared" si="102"/>
        <v>0</v>
      </c>
      <c r="BE207" s="32">
        <f t="shared" si="103"/>
        <v>0</v>
      </c>
      <c r="BF207" s="32">
        <f t="shared" si="104"/>
        <v>0</v>
      </c>
      <c r="BG207" s="32">
        <f t="shared" si="105"/>
        <v>0</v>
      </c>
      <c r="BH207" s="32">
        <f t="shared" si="106"/>
        <v>0</v>
      </c>
      <c r="BI207" s="32">
        <f t="shared" si="107"/>
        <v>0</v>
      </c>
      <c r="BJ207" s="32">
        <f t="shared" si="108"/>
        <v>0</v>
      </c>
      <c r="BK207" s="32">
        <f t="shared" si="109"/>
        <v>0</v>
      </c>
      <c r="BL207" s="32">
        <f>SUM(BM207:BT207)</f>
        <v>0</v>
      </c>
      <c r="BM207" s="32">
        <f t="shared" si="111"/>
        <v>0</v>
      </c>
      <c r="BN207" s="32">
        <f t="shared" si="112"/>
        <v>0</v>
      </c>
      <c r="BO207" s="32">
        <f t="shared" si="113"/>
        <v>0</v>
      </c>
      <c r="BP207" s="32">
        <f t="shared" si="114"/>
        <v>0</v>
      </c>
      <c r="BQ207" s="32">
        <f t="shared" si="115"/>
        <v>0</v>
      </c>
      <c r="BR207" s="32">
        <f t="shared" si="116"/>
        <v>0</v>
      </c>
      <c r="BS207" s="32">
        <f t="shared" si="117"/>
        <v>0</v>
      </c>
      <c r="BT207" s="40">
        <f t="shared" si="118"/>
        <v>0</v>
      </c>
    </row>
    <row r="208" spans="1:72">
      <c r="A208" s="6"/>
      <c r="B208" s="31"/>
      <c r="C208" s="31"/>
      <c r="D208" s="1629"/>
      <c r="E208" s="32">
        <f t="shared" ref="E208:E302" si="123">IF($C$3="是",ROUND($A$3*G208/$B$3,2),ROUND($A$3*(G208-AT208)/$B$3,2))</f>
        <v>0</v>
      </c>
      <c r="F208" s="33"/>
      <c r="G208" s="34">
        <f t="shared" ref="G208:G299" si="124">H208+AC208+AT208</f>
        <v>0</v>
      </c>
      <c r="H208" s="35">
        <f t="shared" ref="H208:H299" si="125">SUMIF(I$12:AB$12,"总值",I208:AB208)</f>
        <v>0</v>
      </c>
      <c r="I208" s="36"/>
      <c r="J208" s="36"/>
      <c r="K208" s="36"/>
      <c r="L208" s="36"/>
      <c r="M208" s="36"/>
      <c r="N208" s="36"/>
      <c r="O208" s="36"/>
      <c r="P208" s="36"/>
      <c r="Q208" s="36"/>
      <c r="R208" s="36"/>
      <c r="S208" s="36"/>
      <c r="T208" s="36"/>
      <c r="U208" s="36"/>
      <c r="V208" s="36"/>
      <c r="W208" s="36"/>
      <c r="X208" s="36"/>
      <c r="Y208" s="36"/>
      <c r="Z208" s="36"/>
      <c r="AA208" s="36"/>
      <c r="AB208" s="36"/>
      <c r="AC208" s="32">
        <f t="shared" ref="AC208:AC299" si="126">SUMIF(AD$12:AS$12,"总值",AD208:AS208)</f>
        <v>0</v>
      </c>
      <c r="AD208" s="37"/>
      <c r="AE208" s="37"/>
      <c r="AF208" s="37"/>
      <c r="AG208" s="37"/>
      <c r="AH208" s="37"/>
      <c r="AI208" s="37"/>
      <c r="AJ208" s="37"/>
      <c r="AK208" s="37"/>
      <c r="AL208" s="37"/>
      <c r="AM208" s="37"/>
      <c r="AN208" s="37"/>
      <c r="AO208" s="37"/>
      <c r="AP208" s="37"/>
      <c r="AQ208" s="37"/>
      <c r="AR208" s="37"/>
      <c r="AS208" s="37"/>
      <c r="AT208" s="38"/>
      <c r="AU208" s="1630"/>
      <c r="AV208" s="1342">
        <f t="shared" ref="AV208:AV302" si="127">A208</f>
        <v>0</v>
      </c>
      <c r="AW208" s="1342">
        <f t="shared" ref="AW208:AW302" si="128">B208</f>
        <v>0</v>
      </c>
      <c r="AX208" s="1342">
        <f t="shared" ref="AX208:AX302" si="129">C208</f>
        <v>0</v>
      </c>
      <c r="AY208" s="39">
        <f t="shared" ref="AY208:AY299" si="130">ROUND($AY$6*AZ208/$AZ$5,2)</f>
        <v>0</v>
      </c>
      <c r="AZ208" s="32">
        <f t="shared" ref="AZ208:AZ299" si="131">BA208+BL208</f>
        <v>0</v>
      </c>
      <c r="BA208" s="32">
        <f t="shared" ref="BA208:BA299" si="132">SUM(BB208:BK208)</f>
        <v>0</v>
      </c>
      <c r="BB208" s="32">
        <f t="shared" ref="BB208:BB299" si="133">IF($D208="是",I208-J208,0)</f>
        <v>0</v>
      </c>
      <c r="BC208" s="32">
        <f t="shared" ref="BC208:BC299" si="134">IF($D208="是",K208-L208,0)</f>
        <v>0</v>
      </c>
      <c r="BD208" s="32">
        <f t="shared" ref="BD208:BD299" si="135">IF($D208="是",M208-N208,0)</f>
        <v>0</v>
      </c>
      <c r="BE208" s="32">
        <f t="shared" ref="BE208:BE299" si="136">IF($D208="是",O208-P208,0)</f>
        <v>0</v>
      </c>
      <c r="BF208" s="32">
        <f t="shared" ref="BF208:BF299" si="137">IF($D208="是",Q208-R208,0)</f>
        <v>0</v>
      </c>
      <c r="BG208" s="32">
        <f t="shared" ref="BG208:BG299" si="138">IF($D208="是",S208-T208,0)</f>
        <v>0</v>
      </c>
      <c r="BH208" s="32">
        <f t="shared" ref="BH208:BH299" si="139">IF($D208="是",U208-V208,0)</f>
        <v>0</v>
      </c>
      <c r="BI208" s="32">
        <f t="shared" ref="BI208:BI299" si="140">IF($D208="是",W208-X208,0)</f>
        <v>0</v>
      </c>
      <c r="BJ208" s="32">
        <f t="shared" ref="BJ208:BJ299" si="141">IF($D208="是",Y208-Z208,0)</f>
        <v>0</v>
      </c>
      <c r="BK208" s="32">
        <f t="shared" ref="BK208:BK299" si="142">IF($D208="是",AA208-AB208,0)</f>
        <v>0</v>
      </c>
      <c r="BL208" s="32">
        <f t="shared" ref="BL208:BL299" si="143">SUM(BM208:BT208)</f>
        <v>0</v>
      </c>
      <c r="BM208" s="32">
        <f t="shared" ref="BM208:BM299" si="144">IF($D208="是",AD208-AE208,0)</f>
        <v>0</v>
      </c>
      <c r="BN208" s="32">
        <f t="shared" ref="BN208:BN299" si="145">IF($D208="是",AF208-AG208,0)</f>
        <v>0</v>
      </c>
      <c r="BO208" s="32">
        <f t="shared" ref="BO208:BO299" si="146">IF($D208="是",AH208-AI208,0)</f>
        <v>0</v>
      </c>
      <c r="BP208" s="32">
        <f t="shared" ref="BP208:BP299" si="147">IF($D208="是",AJ208-AK208,0)</f>
        <v>0</v>
      </c>
      <c r="BQ208" s="32">
        <f t="shared" ref="BQ208:BQ299" si="148">IF($D208="是",AL208-AM208,0)</f>
        <v>0</v>
      </c>
      <c r="BR208" s="32">
        <f t="shared" ref="BR208:BR299" si="149">IF($D208="是",AN208-AO208,0)</f>
        <v>0</v>
      </c>
      <c r="BS208" s="32">
        <f t="shared" ref="BS208:BS299" si="150">IF($D208="是",AP208-AQ208,0)</f>
        <v>0</v>
      </c>
      <c r="BT208" s="40">
        <f t="shared" ref="BT208:BT299" si="151">IF($D208="是",AR208-AS208,0)</f>
        <v>0</v>
      </c>
    </row>
    <row r="209" spans="1:72">
      <c r="A209" s="6"/>
      <c r="B209" s="31"/>
      <c r="C209" s="31"/>
      <c r="D209" s="1629"/>
      <c r="E209" s="32">
        <f t="shared" si="123"/>
        <v>0</v>
      </c>
      <c r="F209" s="33"/>
      <c r="G209" s="34">
        <f t="shared" si="124"/>
        <v>0</v>
      </c>
      <c r="H209" s="35">
        <f t="shared" si="125"/>
        <v>0</v>
      </c>
      <c r="I209" s="36"/>
      <c r="J209" s="36"/>
      <c r="K209" s="36"/>
      <c r="L209" s="36"/>
      <c r="M209" s="36"/>
      <c r="N209" s="36"/>
      <c r="O209" s="36"/>
      <c r="P209" s="36"/>
      <c r="Q209" s="36"/>
      <c r="R209" s="36"/>
      <c r="S209" s="36"/>
      <c r="T209" s="36"/>
      <c r="U209" s="36"/>
      <c r="V209" s="36"/>
      <c r="W209" s="36"/>
      <c r="X209" s="36"/>
      <c r="Y209" s="36"/>
      <c r="Z209" s="36"/>
      <c r="AA209" s="36"/>
      <c r="AB209" s="36"/>
      <c r="AC209" s="32">
        <f t="shared" si="126"/>
        <v>0</v>
      </c>
      <c r="AD209" s="37"/>
      <c r="AE209" s="37"/>
      <c r="AF209" s="37"/>
      <c r="AG209" s="37"/>
      <c r="AH209" s="37"/>
      <c r="AI209" s="37"/>
      <c r="AJ209" s="37"/>
      <c r="AK209" s="37"/>
      <c r="AL209" s="37"/>
      <c r="AM209" s="37"/>
      <c r="AN209" s="37"/>
      <c r="AO209" s="37"/>
      <c r="AP209" s="37"/>
      <c r="AQ209" s="37"/>
      <c r="AR209" s="37"/>
      <c r="AS209" s="37"/>
      <c r="AT209" s="38"/>
      <c r="AU209" s="1630"/>
      <c r="AV209" s="1342">
        <f t="shared" si="127"/>
        <v>0</v>
      </c>
      <c r="AW209" s="1342">
        <f t="shared" si="128"/>
        <v>0</v>
      </c>
      <c r="AX209" s="1342">
        <f t="shared" si="129"/>
        <v>0</v>
      </c>
      <c r="AY209" s="39">
        <f t="shared" si="130"/>
        <v>0</v>
      </c>
      <c r="AZ209" s="32">
        <f t="shared" si="131"/>
        <v>0</v>
      </c>
      <c r="BA209" s="32">
        <f t="shared" si="132"/>
        <v>0</v>
      </c>
      <c r="BB209" s="32">
        <f t="shared" si="133"/>
        <v>0</v>
      </c>
      <c r="BC209" s="32">
        <f t="shared" si="134"/>
        <v>0</v>
      </c>
      <c r="BD209" s="32">
        <f t="shared" si="135"/>
        <v>0</v>
      </c>
      <c r="BE209" s="32">
        <f t="shared" si="136"/>
        <v>0</v>
      </c>
      <c r="BF209" s="32">
        <f t="shared" si="137"/>
        <v>0</v>
      </c>
      <c r="BG209" s="32">
        <f t="shared" si="138"/>
        <v>0</v>
      </c>
      <c r="BH209" s="32">
        <f t="shared" si="139"/>
        <v>0</v>
      </c>
      <c r="BI209" s="32">
        <f t="shared" si="140"/>
        <v>0</v>
      </c>
      <c r="BJ209" s="32">
        <f t="shared" si="141"/>
        <v>0</v>
      </c>
      <c r="BK209" s="32">
        <f t="shared" si="142"/>
        <v>0</v>
      </c>
      <c r="BL209" s="32">
        <f t="shared" si="143"/>
        <v>0</v>
      </c>
      <c r="BM209" s="32">
        <f t="shared" si="144"/>
        <v>0</v>
      </c>
      <c r="BN209" s="32">
        <f t="shared" si="145"/>
        <v>0</v>
      </c>
      <c r="BO209" s="32">
        <f t="shared" si="146"/>
        <v>0</v>
      </c>
      <c r="BP209" s="32">
        <f t="shared" si="147"/>
        <v>0</v>
      </c>
      <c r="BQ209" s="32">
        <f t="shared" si="148"/>
        <v>0</v>
      </c>
      <c r="BR209" s="32">
        <f t="shared" si="149"/>
        <v>0</v>
      </c>
      <c r="BS209" s="32">
        <f t="shared" si="150"/>
        <v>0</v>
      </c>
      <c r="BT209" s="40">
        <f t="shared" si="151"/>
        <v>0</v>
      </c>
    </row>
    <row r="210" spans="1:72">
      <c r="A210" s="6"/>
      <c r="B210" s="31"/>
      <c r="C210" s="31"/>
      <c r="D210" s="1629"/>
      <c r="E210" s="32">
        <f t="shared" si="123"/>
        <v>0</v>
      </c>
      <c r="F210" s="33"/>
      <c r="G210" s="34">
        <f t="shared" si="124"/>
        <v>0</v>
      </c>
      <c r="H210" s="35">
        <f t="shared" si="125"/>
        <v>0</v>
      </c>
      <c r="I210" s="36"/>
      <c r="J210" s="36"/>
      <c r="K210" s="36"/>
      <c r="L210" s="36"/>
      <c r="M210" s="36"/>
      <c r="N210" s="36"/>
      <c r="O210" s="36"/>
      <c r="P210" s="36"/>
      <c r="Q210" s="36"/>
      <c r="R210" s="36"/>
      <c r="S210" s="36"/>
      <c r="T210" s="36"/>
      <c r="U210" s="36"/>
      <c r="V210" s="36"/>
      <c r="W210" s="36"/>
      <c r="X210" s="36"/>
      <c r="Y210" s="36"/>
      <c r="Z210" s="36"/>
      <c r="AA210" s="36"/>
      <c r="AB210" s="36"/>
      <c r="AC210" s="32">
        <f t="shared" si="126"/>
        <v>0</v>
      </c>
      <c r="AD210" s="37"/>
      <c r="AE210" s="37"/>
      <c r="AF210" s="37"/>
      <c r="AG210" s="37"/>
      <c r="AH210" s="37"/>
      <c r="AI210" s="37"/>
      <c r="AJ210" s="37"/>
      <c r="AK210" s="37"/>
      <c r="AL210" s="37"/>
      <c r="AM210" s="37"/>
      <c r="AN210" s="37"/>
      <c r="AO210" s="37"/>
      <c r="AP210" s="37"/>
      <c r="AQ210" s="37"/>
      <c r="AR210" s="37"/>
      <c r="AS210" s="37"/>
      <c r="AT210" s="38"/>
      <c r="AU210" s="1630"/>
      <c r="AV210" s="1342">
        <f t="shared" si="127"/>
        <v>0</v>
      </c>
      <c r="AW210" s="1342">
        <f t="shared" si="128"/>
        <v>0</v>
      </c>
      <c r="AX210" s="1342">
        <f t="shared" si="129"/>
        <v>0</v>
      </c>
      <c r="AY210" s="39">
        <f t="shared" si="130"/>
        <v>0</v>
      </c>
      <c r="AZ210" s="32">
        <f t="shared" si="131"/>
        <v>0</v>
      </c>
      <c r="BA210" s="32">
        <f t="shared" si="132"/>
        <v>0</v>
      </c>
      <c r="BB210" s="32">
        <f t="shared" si="133"/>
        <v>0</v>
      </c>
      <c r="BC210" s="32">
        <f t="shared" si="134"/>
        <v>0</v>
      </c>
      <c r="BD210" s="32">
        <f t="shared" si="135"/>
        <v>0</v>
      </c>
      <c r="BE210" s="32">
        <f t="shared" si="136"/>
        <v>0</v>
      </c>
      <c r="BF210" s="32">
        <f t="shared" si="137"/>
        <v>0</v>
      </c>
      <c r="BG210" s="32">
        <f t="shared" si="138"/>
        <v>0</v>
      </c>
      <c r="BH210" s="32">
        <f t="shared" si="139"/>
        <v>0</v>
      </c>
      <c r="BI210" s="32">
        <f t="shared" si="140"/>
        <v>0</v>
      </c>
      <c r="BJ210" s="32">
        <f t="shared" si="141"/>
        <v>0</v>
      </c>
      <c r="BK210" s="32">
        <f t="shared" si="142"/>
        <v>0</v>
      </c>
      <c r="BL210" s="32">
        <f t="shared" si="143"/>
        <v>0</v>
      </c>
      <c r="BM210" s="32">
        <f t="shared" si="144"/>
        <v>0</v>
      </c>
      <c r="BN210" s="32">
        <f t="shared" si="145"/>
        <v>0</v>
      </c>
      <c r="BO210" s="32">
        <f t="shared" si="146"/>
        <v>0</v>
      </c>
      <c r="BP210" s="32">
        <f t="shared" si="147"/>
        <v>0</v>
      </c>
      <c r="BQ210" s="32">
        <f t="shared" si="148"/>
        <v>0</v>
      </c>
      <c r="BR210" s="32">
        <f t="shared" si="149"/>
        <v>0</v>
      </c>
      <c r="BS210" s="32">
        <f t="shared" si="150"/>
        <v>0</v>
      </c>
      <c r="BT210" s="40">
        <f t="shared" si="151"/>
        <v>0</v>
      </c>
    </row>
    <row r="211" spans="1:72">
      <c r="A211" s="6"/>
      <c r="B211" s="31"/>
      <c r="C211" s="31"/>
      <c r="D211" s="1629"/>
      <c r="E211" s="32">
        <f t="shared" si="123"/>
        <v>0</v>
      </c>
      <c r="F211" s="33"/>
      <c r="G211" s="34">
        <f t="shared" si="124"/>
        <v>0</v>
      </c>
      <c r="H211" s="35">
        <f t="shared" si="125"/>
        <v>0</v>
      </c>
      <c r="I211" s="36"/>
      <c r="J211" s="36"/>
      <c r="K211" s="36"/>
      <c r="L211" s="36"/>
      <c r="M211" s="36"/>
      <c r="N211" s="36"/>
      <c r="O211" s="36"/>
      <c r="P211" s="36"/>
      <c r="Q211" s="36"/>
      <c r="R211" s="36"/>
      <c r="S211" s="36"/>
      <c r="T211" s="36"/>
      <c r="U211" s="36"/>
      <c r="V211" s="36"/>
      <c r="W211" s="36"/>
      <c r="X211" s="36"/>
      <c r="Y211" s="36"/>
      <c r="Z211" s="36"/>
      <c r="AA211" s="36"/>
      <c r="AB211" s="36"/>
      <c r="AC211" s="32">
        <f t="shared" si="126"/>
        <v>0</v>
      </c>
      <c r="AD211" s="37"/>
      <c r="AE211" s="37"/>
      <c r="AF211" s="37"/>
      <c r="AG211" s="37"/>
      <c r="AH211" s="37"/>
      <c r="AI211" s="37"/>
      <c r="AJ211" s="37"/>
      <c r="AK211" s="37"/>
      <c r="AL211" s="37"/>
      <c r="AM211" s="37"/>
      <c r="AN211" s="37"/>
      <c r="AO211" s="37"/>
      <c r="AP211" s="37"/>
      <c r="AQ211" s="37"/>
      <c r="AR211" s="37"/>
      <c r="AS211" s="37"/>
      <c r="AT211" s="38"/>
      <c r="AU211" s="1630"/>
      <c r="AV211" s="1342">
        <f t="shared" si="127"/>
        <v>0</v>
      </c>
      <c r="AW211" s="1342">
        <f t="shared" si="128"/>
        <v>0</v>
      </c>
      <c r="AX211" s="1342">
        <f t="shared" si="129"/>
        <v>0</v>
      </c>
      <c r="AY211" s="39">
        <f t="shared" si="130"/>
        <v>0</v>
      </c>
      <c r="AZ211" s="32">
        <f t="shared" si="131"/>
        <v>0</v>
      </c>
      <c r="BA211" s="32">
        <f t="shared" si="132"/>
        <v>0</v>
      </c>
      <c r="BB211" s="32">
        <f t="shared" si="133"/>
        <v>0</v>
      </c>
      <c r="BC211" s="32">
        <f t="shared" si="134"/>
        <v>0</v>
      </c>
      <c r="BD211" s="32">
        <f t="shared" si="135"/>
        <v>0</v>
      </c>
      <c r="BE211" s="32">
        <f t="shared" si="136"/>
        <v>0</v>
      </c>
      <c r="BF211" s="32">
        <f t="shared" si="137"/>
        <v>0</v>
      </c>
      <c r="BG211" s="32">
        <f t="shared" si="138"/>
        <v>0</v>
      </c>
      <c r="BH211" s="32">
        <f t="shared" si="139"/>
        <v>0</v>
      </c>
      <c r="BI211" s="32">
        <f t="shared" si="140"/>
        <v>0</v>
      </c>
      <c r="BJ211" s="32">
        <f t="shared" si="141"/>
        <v>0</v>
      </c>
      <c r="BK211" s="32">
        <f t="shared" si="142"/>
        <v>0</v>
      </c>
      <c r="BL211" s="32">
        <f t="shared" si="143"/>
        <v>0</v>
      </c>
      <c r="BM211" s="32">
        <f t="shared" si="144"/>
        <v>0</v>
      </c>
      <c r="BN211" s="32">
        <f t="shared" si="145"/>
        <v>0</v>
      </c>
      <c r="BO211" s="32">
        <f t="shared" si="146"/>
        <v>0</v>
      </c>
      <c r="BP211" s="32">
        <f t="shared" si="147"/>
        <v>0</v>
      </c>
      <c r="BQ211" s="32">
        <f t="shared" si="148"/>
        <v>0</v>
      </c>
      <c r="BR211" s="32">
        <f t="shared" si="149"/>
        <v>0</v>
      </c>
      <c r="BS211" s="32">
        <f t="shared" si="150"/>
        <v>0</v>
      </c>
      <c r="BT211" s="40">
        <f t="shared" si="151"/>
        <v>0</v>
      </c>
    </row>
    <row r="212" spans="1:72">
      <c r="A212" s="6"/>
      <c r="B212" s="31"/>
      <c r="C212" s="31"/>
      <c r="D212" s="1629"/>
      <c r="E212" s="32">
        <f t="shared" si="123"/>
        <v>0</v>
      </c>
      <c r="F212" s="33"/>
      <c r="G212" s="34">
        <f t="shared" si="124"/>
        <v>0</v>
      </c>
      <c r="H212" s="35">
        <f t="shared" si="125"/>
        <v>0</v>
      </c>
      <c r="I212" s="36"/>
      <c r="J212" s="36"/>
      <c r="K212" s="36"/>
      <c r="L212" s="36"/>
      <c r="M212" s="36"/>
      <c r="N212" s="36"/>
      <c r="O212" s="36"/>
      <c r="P212" s="36"/>
      <c r="Q212" s="36"/>
      <c r="R212" s="36"/>
      <c r="S212" s="36"/>
      <c r="T212" s="36"/>
      <c r="U212" s="36"/>
      <c r="V212" s="36"/>
      <c r="W212" s="36"/>
      <c r="X212" s="36"/>
      <c r="Y212" s="36"/>
      <c r="Z212" s="36"/>
      <c r="AA212" s="36"/>
      <c r="AB212" s="36"/>
      <c r="AC212" s="32">
        <f t="shared" si="126"/>
        <v>0</v>
      </c>
      <c r="AD212" s="37"/>
      <c r="AE212" s="37"/>
      <c r="AF212" s="37"/>
      <c r="AG212" s="37"/>
      <c r="AH212" s="37"/>
      <c r="AI212" s="37"/>
      <c r="AJ212" s="37"/>
      <c r="AK212" s="37"/>
      <c r="AL212" s="37"/>
      <c r="AM212" s="37"/>
      <c r="AN212" s="37"/>
      <c r="AO212" s="37"/>
      <c r="AP212" s="37"/>
      <c r="AQ212" s="37"/>
      <c r="AR212" s="37"/>
      <c r="AS212" s="37"/>
      <c r="AT212" s="38"/>
      <c r="AU212" s="1630"/>
      <c r="AV212" s="1342">
        <f t="shared" si="127"/>
        <v>0</v>
      </c>
      <c r="AW212" s="1342">
        <f t="shared" si="128"/>
        <v>0</v>
      </c>
      <c r="AX212" s="1342">
        <f t="shared" si="129"/>
        <v>0</v>
      </c>
      <c r="AY212" s="39">
        <f t="shared" si="130"/>
        <v>0</v>
      </c>
      <c r="AZ212" s="32">
        <f t="shared" si="131"/>
        <v>0</v>
      </c>
      <c r="BA212" s="32">
        <f t="shared" si="132"/>
        <v>0</v>
      </c>
      <c r="BB212" s="32">
        <f t="shared" si="133"/>
        <v>0</v>
      </c>
      <c r="BC212" s="32">
        <f t="shared" si="134"/>
        <v>0</v>
      </c>
      <c r="BD212" s="32">
        <f t="shared" si="135"/>
        <v>0</v>
      </c>
      <c r="BE212" s="32">
        <f t="shared" si="136"/>
        <v>0</v>
      </c>
      <c r="BF212" s="32">
        <f t="shared" si="137"/>
        <v>0</v>
      </c>
      <c r="BG212" s="32">
        <f t="shared" si="138"/>
        <v>0</v>
      </c>
      <c r="BH212" s="32">
        <f t="shared" si="139"/>
        <v>0</v>
      </c>
      <c r="BI212" s="32">
        <f t="shared" si="140"/>
        <v>0</v>
      </c>
      <c r="BJ212" s="32">
        <f t="shared" si="141"/>
        <v>0</v>
      </c>
      <c r="BK212" s="32">
        <f t="shared" si="142"/>
        <v>0</v>
      </c>
      <c r="BL212" s="32">
        <f t="shared" si="143"/>
        <v>0</v>
      </c>
      <c r="BM212" s="32">
        <f t="shared" si="144"/>
        <v>0</v>
      </c>
      <c r="BN212" s="32">
        <f t="shared" si="145"/>
        <v>0</v>
      </c>
      <c r="BO212" s="32">
        <f t="shared" si="146"/>
        <v>0</v>
      </c>
      <c r="BP212" s="32">
        <f t="shared" si="147"/>
        <v>0</v>
      </c>
      <c r="BQ212" s="32">
        <f t="shared" si="148"/>
        <v>0</v>
      </c>
      <c r="BR212" s="32">
        <f t="shared" si="149"/>
        <v>0</v>
      </c>
      <c r="BS212" s="32">
        <f t="shared" si="150"/>
        <v>0</v>
      </c>
      <c r="BT212" s="40">
        <f t="shared" si="151"/>
        <v>0</v>
      </c>
    </row>
    <row r="213" spans="1:72">
      <c r="A213" s="6"/>
      <c r="B213" s="31"/>
      <c r="C213" s="31"/>
      <c r="D213" s="1629"/>
      <c r="E213" s="32">
        <f t="shared" si="123"/>
        <v>0</v>
      </c>
      <c r="F213" s="33"/>
      <c r="G213" s="34">
        <f t="shared" si="124"/>
        <v>0</v>
      </c>
      <c r="H213" s="35">
        <f t="shared" si="125"/>
        <v>0</v>
      </c>
      <c r="I213" s="36"/>
      <c r="J213" s="36"/>
      <c r="K213" s="36"/>
      <c r="L213" s="36"/>
      <c r="M213" s="36"/>
      <c r="N213" s="36"/>
      <c r="O213" s="36"/>
      <c r="P213" s="36"/>
      <c r="Q213" s="36"/>
      <c r="R213" s="36"/>
      <c r="S213" s="36"/>
      <c r="T213" s="36"/>
      <c r="U213" s="36"/>
      <c r="V213" s="36"/>
      <c r="W213" s="36"/>
      <c r="X213" s="36"/>
      <c r="Y213" s="36"/>
      <c r="Z213" s="36"/>
      <c r="AA213" s="36"/>
      <c r="AB213" s="36"/>
      <c r="AC213" s="32">
        <f t="shared" si="126"/>
        <v>0</v>
      </c>
      <c r="AD213" s="37"/>
      <c r="AE213" s="37"/>
      <c r="AF213" s="37"/>
      <c r="AG213" s="37"/>
      <c r="AH213" s="37"/>
      <c r="AI213" s="37"/>
      <c r="AJ213" s="37"/>
      <c r="AK213" s="37"/>
      <c r="AL213" s="37"/>
      <c r="AM213" s="37"/>
      <c r="AN213" s="37"/>
      <c r="AO213" s="37"/>
      <c r="AP213" s="37"/>
      <c r="AQ213" s="37"/>
      <c r="AR213" s="37"/>
      <c r="AS213" s="37"/>
      <c r="AT213" s="38"/>
      <c r="AU213" s="1630"/>
      <c r="AV213" s="1342">
        <f t="shared" si="127"/>
        <v>0</v>
      </c>
      <c r="AW213" s="1342">
        <f t="shared" si="128"/>
        <v>0</v>
      </c>
      <c r="AX213" s="1342">
        <f t="shared" si="129"/>
        <v>0</v>
      </c>
      <c r="AY213" s="39">
        <f t="shared" si="130"/>
        <v>0</v>
      </c>
      <c r="AZ213" s="32">
        <f t="shared" si="131"/>
        <v>0</v>
      </c>
      <c r="BA213" s="32">
        <f t="shared" si="132"/>
        <v>0</v>
      </c>
      <c r="BB213" s="32">
        <f t="shared" si="133"/>
        <v>0</v>
      </c>
      <c r="BC213" s="32">
        <f t="shared" si="134"/>
        <v>0</v>
      </c>
      <c r="BD213" s="32">
        <f t="shared" si="135"/>
        <v>0</v>
      </c>
      <c r="BE213" s="32">
        <f t="shared" si="136"/>
        <v>0</v>
      </c>
      <c r="BF213" s="32">
        <f t="shared" si="137"/>
        <v>0</v>
      </c>
      <c r="BG213" s="32">
        <f t="shared" si="138"/>
        <v>0</v>
      </c>
      <c r="BH213" s="32">
        <f t="shared" si="139"/>
        <v>0</v>
      </c>
      <c r="BI213" s="32">
        <f t="shared" si="140"/>
        <v>0</v>
      </c>
      <c r="BJ213" s="32">
        <f t="shared" si="141"/>
        <v>0</v>
      </c>
      <c r="BK213" s="32">
        <f t="shared" si="142"/>
        <v>0</v>
      </c>
      <c r="BL213" s="32">
        <f t="shared" si="143"/>
        <v>0</v>
      </c>
      <c r="BM213" s="32">
        <f t="shared" si="144"/>
        <v>0</v>
      </c>
      <c r="BN213" s="32">
        <f t="shared" si="145"/>
        <v>0</v>
      </c>
      <c r="BO213" s="32">
        <f t="shared" si="146"/>
        <v>0</v>
      </c>
      <c r="BP213" s="32">
        <f t="shared" si="147"/>
        <v>0</v>
      </c>
      <c r="BQ213" s="32">
        <f t="shared" si="148"/>
        <v>0</v>
      </c>
      <c r="BR213" s="32">
        <f t="shared" si="149"/>
        <v>0</v>
      </c>
      <c r="BS213" s="32">
        <f t="shared" si="150"/>
        <v>0</v>
      </c>
      <c r="BT213" s="40">
        <f t="shared" si="151"/>
        <v>0</v>
      </c>
    </row>
    <row r="214" spans="1:72">
      <c r="A214" s="6"/>
      <c r="B214" s="31"/>
      <c r="C214" s="31"/>
      <c r="D214" s="1629"/>
      <c r="E214" s="32">
        <f t="shared" si="123"/>
        <v>0</v>
      </c>
      <c r="F214" s="33"/>
      <c r="G214" s="34">
        <f t="shared" si="124"/>
        <v>0</v>
      </c>
      <c r="H214" s="35">
        <f t="shared" si="125"/>
        <v>0</v>
      </c>
      <c r="I214" s="36"/>
      <c r="J214" s="36"/>
      <c r="K214" s="36"/>
      <c r="L214" s="36"/>
      <c r="M214" s="36"/>
      <c r="N214" s="36"/>
      <c r="O214" s="36"/>
      <c r="P214" s="36"/>
      <c r="Q214" s="36"/>
      <c r="R214" s="36"/>
      <c r="S214" s="36"/>
      <c r="T214" s="36"/>
      <c r="U214" s="36"/>
      <c r="V214" s="36"/>
      <c r="W214" s="36"/>
      <c r="X214" s="36"/>
      <c r="Y214" s="36"/>
      <c r="Z214" s="36"/>
      <c r="AA214" s="36"/>
      <c r="AB214" s="36"/>
      <c r="AC214" s="32">
        <f t="shared" si="126"/>
        <v>0</v>
      </c>
      <c r="AD214" s="37"/>
      <c r="AE214" s="37"/>
      <c r="AF214" s="37"/>
      <c r="AG214" s="37"/>
      <c r="AH214" s="37"/>
      <c r="AI214" s="37"/>
      <c r="AJ214" s="37"/>
      <c r="AK214" s="37"/>
      <c r="AL214" s="37"/>
      <c r="AM214" s="37"/>
      <c r="AN214" s="37"/>
      <c r="AO214" s="37"/>
      <c r="AP214" s="37"/>
      <c r="AQ214" s="37"/>
      <c r="AR214" s="37"/>
      <c r="AS214" s="37"/>
      <c r="AT214" s="38"/>
      <c r="AU214" s="1630"/>
      <c r="AV214" s="1342">
        <f t="shared" si="127"/>
        <v>0</v>
      </c>
      <c r="AW214" s="1342">
        <f t="shared" si="128"/>
        <v>0</v>
      </c>
      <c r="AX214" s="1342">
        <f t="shared" si="129"/>
        <v>0</v>
      </c>
      <c r="AY214" s="39">
        <f t="shared" si="130"/>
        <v>0</v>
      </c>
      <c r="AZ214" s="32">
        <f t="shared" si="131"/>
        <v>0</v>
      </c>
      <c r="BA214" s="32">
        <f t="shared" si="132"/>
        <v>0</v>
      </c>
      <c r="BB214" s="32">
        <f t="shared" si="133"/>
        <v>0</v>
      </c>
      <c r="BC214" s="32">
        <f t="shared" si="134"/>
        <v>0</v>
      </c>
      <c r="BD214" s="32">
        <f t="shared" si="135"/>
        <v>0</v>
      </c>
      <c r="BE214" s="32">
        <f t="shared" si="136"/>
        <v>0</v>
      </c>
      <c r="BF214" s="32">
        <f t="shared" si="137"/>
        <v>0</v>
      </c>
      <c r="BG214" s="32">
        <f t="shared" si="138"/>
        <v>0</v>
      </c>
      <c r="BH214" s="32">
        <f t="shared" si="139"/>
        <v>0</v>
      </c>
      <c r="BI214" s="32">
        <f t="shared" si="140"/>
        <v>0</v>
      </c>
      <c r="BJ214" s="32">
        <f t="shared" si="141"/>
        <v>0</v>
      </c>
      <c r="BK214" s="32">
        <f t="shared" si="142"/>
        <v>0</v>
      </c>
      <c r="BL214" s="32">
        <f t="shared" si="143"/>
        <v>0</v>
      </c>
      <c r="BM214" s="32">
        <f t="shared" si="144"/>
        <v>0</v>
      </c>
      <c r="BN214" s="32">
        <f t="shared" si="145"/>
        <v>0</v>
      </c>
      <c r="BO214" s="32">
        <f t="shared" si="146"/>
        <v>0</v>
      </c>
      <c r="BP214" s="32">
        <f t="shared" si="147"/>
        <v>0</v>
      </c>
      <c r="BQ214" s="32">
        <f t="shared" si="148"/>
        <v>0</v>
      </c>
      <c r="BR214" s="32">
        <f t="shared" si="149"/>
        <v>0</v>
      </c>
      <c r="BS214" s="32">
        <f t="shared" si="150"/>
        <v>0</v>
      </c>
      <c r="BT214" s="40">
        <f t="shared" si="151"/>
        <v>0</v>
      </c>
    </row>
    <row r="215" spans="1:72">
      <c r="A215" s="6"/>
      <c r="B215" s="31"/>
      <c r="C215" s="31"/>
      <c r="D215" s="1629"/>
      <c r="E215" s="32">
        <f t="shared" si="123"/>
        <v>0</v>
      </c>
      <c r="F215" s="33"/>
      <c r="G215" s="34">
        <f t="shared" si="124"/>
        <v>0</v>
      </c>
      <c r="H215" s="35">
        <f t="shared" si="125"/>
        <v>0</v>
      </c>
      <c r="I215" s="36"/>
      <c r="J215" s="36"/>
      <c r="K215" s="36"/>
      <c r="L215" s="36"/>
      <c r="M215" s="36"/>
      <c r="N215" s="36"/>
      <c r="O215" s="36"/>
      <c r="P215" s="36"/>
      <c r="Q215" s="36"/>
      <c r="R215" s="36"/>
      <c r="S215" s="36"/>
      <c r="T215" s="36"/>
      <c r="U215" s="36"/>
      <c r="V215" s="36"/>
      <c r="W215" s="36"/>
      <c r="X215" s="36"/>
      <c r="Y215" s="36"/>
      <c r="Z215" s="36"/>
      <c r="AA215" s="36"/>
      <c r="AB215" s="36"/>
      <c r="AC215" s="32">
        <f t="shared" si="126"/>
        <v>0</v>
      </c>
      <c r="AD215" s="37"/>
      <c r="AE215" s="37"/>
      <c r="AF215" s="37"/>
      <c r="AG215" s="37"/>
      <c r="AH215" s="37"/>
      <c r="AI215" s="37"/>
      <c r="AJ215" s="37"/>
      <c r="AK215" s="37"/>
      <c r="AL215" s="37"/>
      <c r="AM215" s="37"/>
      <c r="AN215" s="37"/>
      <c r="AO215" s="37"/>
      <c r="AP215" s="37"/>
      <c r="AQ215" s="37"/>
      <c r="AR215" s="37"/>
      <c r="AS215" s="37"/>
      <c r="AT215" s="38"/>
      <c r="AU215" s="1630"/>
      <c r="AV215" s="1342">
        <f t="shared" si="127"/>
        <v>0</v>
      </c>
      <c r="AW215" s="1342">
        <f t="shared" si="128"/>
        <v>0</v>
      </c>
      <c r="AX215" s="1342">
        <f t="shared" si="129"/>
        <v>0</v>
      </c>
      <c r="AY215" s="39">
        <f t="shared" si="130"/>
        <v>0</v>
      </c>
      <c r="AZ215" s="32">
        <f t="shared" si="131"/>
        <v>0</v>
      </c>
      <c r="BA215" s="32">
        <f t="shared" si="132"/>
        <v>0</v>
      </c>
      <c r="BB215" s="32">
        <f t="shared" si="133"/>
        <v>0</v>
      </c>
      <c r="BC215" s="32">
        <f t="shared" si="134"/>
        <v>0</v>
      </c>
      <c r="BD215" s="32">
        <f t="shared" si="135"/>
        <v>0</v>
      </c>
      <c r="BE215" s="32">
        <f t="shared" si="136"/>
        <v>0</v>
      </c>
      <c r="BF215" s="32">
        <f t="shared" si="137"/>
        <v>0</v>
      </c>
      <c r="BG215" s="32">
        <f t="shared" si="138"/>
        <v>0</v>
      </c>
      <c r="BH215" s="32">
        <f t="shared" si="139"/>
        <v>0</v>
      </c>
      <c r="BI215" s="32">
        <f t="shared" si="140"/>
        <v>0</v>
      </c>
      <c r="BJ215" s="32">
        <f t="shared" si="141"/>
        <v>0</v>
      </c>
      <c r="BK215" s="32">
        <f t="shared" si="142"/>
        <v>0</v>
      </c>
      <c r="BL215" s="32">
        <f t="shared" si="143"/>
        <v>0</v>
      </c>
      <c r="BM215" s="32">
        <f t="shared" si="144"/>
        <v>0</v>
      </c>
      <c r="BN215" s="32">
        <f t="shared" si="145"/>
        <v>0</v>
      </c>
      <c r="BO215" s="32">
        <f t="shared" si="146"/>
        <v>0</v>
      </c>
      <c r="BP215" s="32">
        <f t="shared" si="147"/>
        <v>0</v>
      </c>
      <c r="BQ215" s="32">
        <f t="shared" si="148"/>
        <v>0</v>
      </c>
      <c r="BR215" s="32">
        <f t="shared" si="149"/>
        <v>0</v>
      </c>
      <c r="BS215" s="32">
        <f t="shared" si="150"/>
        <v>0</v>
      </c>
      <c r="BT215" s="40">
        <f t="shared" si="151"/>
        <v>0</v>
      </c>
    </row>
    <row r="216" spans="1:72">
      <c r="A216" s="6"/>
      <c r="B216" s="31"/>
      <c r="C216" s="31"/>
      <c r="D216" s="1629"/>
      <c r="E216" s="32">
        <f t="shared" si="123"/>
        <v>0</v>
      </c>
      <c r="F216" s="33"/>
      <c r="G216" s="34">
        <f t="shared" si="124"/>
        <v>0</v>
      </c>
      <c r="H216" s="35">
        <f t="shared" si="125"/>
        <v>0</v>
      </c>
      <c r="I216" s="36"/>
      <c r="J216" s="36"/>
      <c r="K216" s="36"/>
      <c r="L216" s="36"/>
      <c r="M216" s="36"/>
      <c r="N216" s="36"/>
      <c r="O216" s="36"/>
      <c r="P216" s="36"/>
      <c r="Q216" s="36"/>
      <c r="R216" s="36"/>
      <c r="S216" s="36"/>
      <c r="T216" s="36"/>
      <c r="U216" s="36"/>
      <c r="V216" s="36"/>
      <c r="W216" s="36"/>
      <c r="X216" s="36"/>
      <c r="Y216" s="36"/>
      <c r="Z216" s="36"/>
      <c r="AA216" s="36"/>
      <c r="AB216" s="36"/>
      <c r="AC216" s="32">
        <f t="shared" si="126"/>
        <v>0</v>
      </c>
      <c r="AD216" s="37"/>
      <c r="AE216" s="37"/>
      <c r="AF216" s="37"/>
      <c r="AG216" s="37"/>
      <c r="AH216" s="37"/>
      <c r="AI216" s="37"/>
      <c r="AJ216" s="37"/>
      <c r="AK216" s="37"/>
      <c r="AL216" s="37"/>
      <c r="AM216" s="37"/>
      <c r="AN216" s="37"/>
      <c r="AO216" s="37"/>
      <c r="AP216" s="37"/>
      <c r="AQ216" s="37"/>
      <c r="AR216" s="37"/>
      <c r="AS216" s="37"/>
      <c r="AT216" s="38"/>
      <c r="AU216" s="1630"/>
      <c r="AV216" s="1342">
        <f t="shared" si="127"/>
        <v>0</v>
      </c>
      <c r="AW216" s="1342">
        <f t="shared" si="128"/>
        <v>0</v>
      </c>
      <c r="AX216" s="1342">
        <f t="shared" si="129"/>
        <v>0</v>
      </c>
      <c r="AY216" s="39">
        <f t="shared" si="130"/>
        <v>0</v>
      </c>
      <c r="AZ216" s="32">
        <f t="shared" si="131"/>
        <v>0</v>
      </c>
      <c r="BA216" s="32">
        <f t="shared" si="132"/>
        <v>0</v>
      </c>
      <c r="BB216" s="32">
        <f t="shared" si="133"/>
        <v>0</v>
      </c>
      <c r="BC216" s="32">
        <f t="shared" si="134"/>
        <v>0</v>
      </c>
      <c r="BD216" s="32">
        <f t="shared" si="135"/>
        <v>0</v>
      </c>
      <c r="BE216" s="32">
        <f t="shared" si="136"/>
        <v>0</v>
      </c>
      <c r="BF216" s="32">
        <f t="shared" si="137"/>
        <v>0</v>
      </c>
      <c r="BG216" s="32">
        <f t="shared" si="138"/>
        <v>0</v>
      </c>
      <c r="BH216" s="32">
        <f t="shared" si="139"/>
        <v>0</v>
      </c>
      <c r="BI216" s="32">
        <f t="shared" si="140"/>
        <v>0</v>
      </c>
      <c r="BJ216" s="32">
        <f t="shared" si="141"/>
        <v>0</v>
      </c>
      <c r="BK216" s="32">
        <f t="shared" si="142"/>
        <v>0</v>
      </c>
      <c r="BL216" s="32">
        <f t="shared" si="143"/>
        <v>0</v>
      </c>
      <c r="BM216" s="32">
        <f t="shared" si="144"/>
        <v>0</v>
      </c>
      <c r="BN216" s="32">
        <f t="shared" si="145"/>
        <v>0</v>
      </c>
      <c r="BO216" s="32">
        <f t="shared" si="146"/>
        <v>0</v>
      </c>
      <c r="BP216" s="32">
        <f t="shared" si="147"/>
        <v>0</v>
      </c>
      <c r="BQ216" s="32">
        <f t="shared" si="148"/>
        <v>0</v>
      </c>
      <c r="BR216" s="32">
        <f t="shared" si="149"/>
        <v>0</v>
      </c>
      <c r="BS216" s="32">
        <f t="shared" si="150"/>
        <v>0</v>
      </c>
      <c r="BT216" s="40">
        <f t="shared" si="151"/>
        <v>0</v>
      </c>
    </row>
    <row r="217" spans="1:72">
      <c r="A217" s="6"/>
      <c r="B217" s="31"/>
      <c r="C217" s="31"/>
      <c r="D217" s="1629"/>
      <c r="E217" s="32">
        <f t="shared" si="123"/>
        <v>0</v>
      </c>
      <c r="F217" s="33"/>
      <c r="G217" s="34">
        <f t="shared" si="124"/>
        <v>0</v>
      </c>
      <c r="H217" s="35">
        <f t="shared" si="125"/>
        <v>0</v>
      </c>
      <c r="I217" s="36"/>
      <c r="J217" s="36"/>
      <c r="K217" s="36"/>
      <c r="L217" s="36"/>
      <c r="M217" s="36"/>
      <c r="N217" s="36"/>
      <c r="O217" s="36"/>
      <c r="P217" s="36"/>
      <c r="Q217" s="36"/>
      <c r="R217" s="36"/>
      <c r="S217" s="36"/>
      <c r="T217" s="36"/>
      <c r="U217" s="36"/>
      <c r="V217" s="36"/>
      <c r="W217" s="36"/>
      <c r="X217" s="36"/>
      <c r="Y217" s="36"/>
      <c r="Z217" s="36"/>
      <c r="AA217" s="36"/>
      <c r="AB217" s="36"/>
      <c r="AC217" s="32">
        <f t="shared" si="126"/>
        <v>0</v>
      </c>
      <c r="AD217" s="37"/>
      <c r="AE217" s="37"/>
      <c r="AF217" s="37"/>
      <c r="AG217" s="37"/>
      <c r="AH217" s="37"/>
      <c r="AI217" s="37"/>
      <c r="AJ217" s="37"/>
      <c r="AK217" s="37"/>
      <c r="AL217" s="37"/>
      <c r="AM217" s="37"/>
      <c r="AN217" s="37"/>
      <c r="AO217" s="37"/>
      <c r="AP217" s="37"/>
      <c r="AQ217" s="37"/>
      <c r="AR217" s="37"/>
      <c r="AS217" s="37"/>
      <c r="AT217" s="38"/>
      <c r="AU217" s="1630"/>
      <c r="AV217" s="1342">
        <f t="shared" si="127"/>
        <v>0</v>
      </c>
      <c r="AW217" s="1342">
        <f t="shared" si="128"/>
        <v>0</v>
      </c>
      <c r="AX217" s="1342">
        <f t="shared" si="129"/>
        <v>0</v>
      </c>
      <c r="AY217" s="39">
        <f t="shared" si="130"/>
        <v>0</v>
      </c>
      <c r="AZ217" s="32">
        <f t="shared" si="131"/>
        <v>0</v>
      </c>
      <c r="BA217" s="32">
        <f t="shared" si="132"/>
        <v>0</v>
      </c>
      <c r="BB217" s="32">
        <f t="shared" si="133"/>
        <v>0</v>
      </c>
      <c r="BC217" s="32">
        <f t="shared" si="134"/>
        <v>0</v>
      </c>
      <c r="BD217" s="32">
        <f t="shared" si="135"/>
        <v>0</v>
      </c>
      <c r="BE217" s="32">
        <f t="shared" si="136"/>
        <v>0</v>
      </c>
      <c r="BF217" s="32">
        <f t="shared" si="137"/>
        <v>0</v>
      </c>
      <c r="BG217" s="32">
        <f t="shared" si="138"/>
        <v>0</v>
      </c>
      <c r="BH217" s="32">
        <f t="shared" si="139"/>
        <v>0</v>
      </c>
      <c r="BI217" s="32">
        <f t="shared" si="140"/>
        <v>0</v>
      </c>
      <c r="BJ217" s="32">
        <f t="shared" si="141"/>
        <v>0</v>
      </c>
      <c r="BK217" s="32">
        <f t="shared" si="142"/>
        <v>0</v>
      </c>
      <c r="BL217" s="32">
        <f t="shared" si="143"/>
        <v>0</v>
      </c>
      <c r="BM217" s="32">
        <f t="shared" si="144"/>
        <v>0</v>
      </c>
      <c r="BN217" s="32">
        <f t="shared" si="145"/>
        <v>0</v>
      </c>
      <c r="BO217" s="32">
        <f t="shared" si="146"/>
        <v>0</v>
      </c>
      <c r="BP217" s="32">
        <f t="shared" si="147"/>
        <v>0</v>
      </c>
      <c r="BQ217" s="32">
        <f t="shared" si="148"/>
        <v>0</v>
      </c>
      <c r="BR217" s="32">
        <f t="shared" si="149"/>
        <v>0</v>
      </c>
      <c r="BS217" s="32">
        <f t="shared" si="150"/>
        <v>0</v>
      </c>
      <c r="BT217" s="40">
        <f t="shared" si="151"/>
        <v>0</v>
      </c>
    </row>
    <row r="218" spans="1:72">
      <c r="A218" s="6"/>
      <c r="B218" s="31"/>
      <c r="C218" s="31"/>
      <c r="D218" s="1629"/>
      <c r="E218" s="32">
        <f t="shared" si="123"/>
        <v>0</v>
      </c>
      <c r="F218" s="33"/>
      <c r="G218" s="34">
        <f t="shared" si="124"/>
        <v>0</v>
      </c>
      <c r="H218" s="35">
        <f t="shared" si="125"/>
        <v>0</v>
      </c>
      <c r="I218" s="36"/>
      <c r="J218" s="36"/>
      <c r="K218" s="36"/>
      <c r="L218" s="36"/>
      <c r="M218" s="36"/>
      <c r="N218" s="36"/>
      <c r="O218" s="36"/>
      <c r="P218" s="36"/>
      <c r="Q218" s="36"/>
      <c r="R218" s="36"/>
      <c r="S218" s="36"/>
      <c r="T218" s="36"/>
      <c r="U218" s="36"/>
      <c r="V218" s="36"/>
      <c r="W218" s="36"/>
      <c r="X218" s="36"/>
      <c r="Y218" s="36"/>
      <c r="Z218" s="36"/>
      <c r="AA218" s="36"/>
      <c r="AB218" s="36"/>
      <c r="AC218" s="32">
        <f t="shared" si="126"/>
        <v>0</v>
      </c>
      <c r="AD218" s="37"/>
      <c r="AE218" s="37"/>
      <c r="AF218" s="37"/>
      <c r="AG218" s="37"/>
      <c r="AH218" s="37"/>
      <c r="AI218" s="37"/>
      <c r="AJ218" s="37"/>
      <c r="AK218" s="37"/>
      <c r="AL218" s="37"/>
      <c r="AM218" s="37"/>
      <c r="AN218" s="37"/>
      <c r="AO218" s="37"/>
      <c r="AP218" s="37"/>
      <c r="AQ218" s="37"/>
      <c r="AR218" s="37"/>
      <c r="AS218" s="37"/>
      <c r="AT218" s="38"/>
      <c r="AU218" s="1630"/>
      <c r="AV218" s="1342">
        <f t="shared" si="127"/>
        <v>0</v>
      </c>
      <c r="AW218" s="1342">
        <f t="shared" si="128"/>
        <v>0</v>
      </c>
      <c r="AX218" s="1342">
        <f t="shared" si="129"/>
        <v>0</v>
      </c>
      <c r="AY218" s="39">
        <f t="shared" si="130"/>
        <v>0</v>
      </c>
      <c r="AZ218" s="32">
        <f t="shared" si="131"/>
        <v>0</v>
      </c>
      <c r="BA218" s="32">
        <f t="shared" si="132"/>
        <v>0</v>
      </c>
      <c r="BB218" s="32">
        <f t="shared" si="133"/>
        <v>0</v>
      </c>
      <c r="BC218" s="32">
        <f t="shared" si="134"/>
        <v>0</v>
      </c>
      <c r="BD218" s="32">
        <f t="shared" si="135"/>
        <v>0</v>
      </c>
      <c r="BE218" s="32">
        <f t="shared" si="136"/>
        <v>0</v>
      </c>
      <c r="BF218" s="32">
        <f t="shared" si="137"/>
        <v>0</v>
      </c>
      <c r="BG218" s="32">
        <f t="shared" si="138"/>
        <v>0</v>
      </c>
      <c r="BH218" s="32">
        <f t="shared" si="139"/>
        <v>0</v>
      </c>
      <c r="BI218" s="32">
        <f t="shared" si="140"/>
        <v>0</v>
      </c>
      <c r="BJ218" s="32">
        <f t="shared" si="141"/>
        <v>0</v>
      </c>
      <c r="BK218" s="32">
        <f t="shared" si="142"/>
        <v>0</v>
      </c>
      <c r="BL218" s="32">
        <f t="shared" si="143"/>
        <v>0</v>
      </c>
      <c r="BM218" s="32">
        <f t="shared" si="144"/>
        <v>0</v>
      </c>
      <c r="BN218" s="32">
        <f t="shared" si="145"/>
        <v>0</v>
      </c>
      <c r="BO218" s="32">
        <f t="shared" si="146"/>
        <v>0</v>
      </c>
      <c r="BP218" s="32">
        <f t="shared" si="147"/>
        <v>0</v>
      </c>
      <c r="BQ218" s="32">
        <f t="shared" si="148"/>
        <v>0</v>
      </c>
      <c r="BR218" s="32">
        <f t="shared" si="149"/>
        <v>0</v>
      </c>
      <c r="BS218" s="32">
        <f t="shared" si="150"/>
        <v>0</v>
      </c>
      <c r="BT218" s="40">
        <f t="shared" si="151"/>
        <v>0</v>
      </c>
    </row>
    <row r="219" spans="1:72">
      <c r="A219" s="6"/>
      <c r="B219" s="31"/>
      <c r="C219" s="31"/>
      <c r="D219" s="1629"/>
      <c r="E219" s="32">
        <f t="shared" si="123"/>
        <v>0</v>
      </c>
      <c r="F219" s="33"/>
      <c r="G219" s="34">
        <f t="shared" si="124"/>
        <v>0</v>
      </c>
      <c r="H219" s="35">
        <f t="shared" si="125"/>
        <v>0</v>
      </c>
      <c r="I219" s="36"/>
      <c r="J219" s="36"/>
      <c r="K219" s="36"/>
      <c r="L219" s="36"/>
      <c r="M219" s="36"/>
      <c r="N219" s="36"/>
      <c r="O219" s="36"/>
      <c r="P219" s="36"/>
      <c r="Q219" s="36"/>
      <c r="R219" s="36"/>
      <c r="S219" s="36"/>
      <c r="T219" s="36"/>
      <c r="U219" s="36"/>
      <c r="V219" s="36"/>
      <c r="W219" s="36"/>
      <c r="X219" s="36"/>
      <c r="Y219" s="36"/>
      <c r="Z219" s="36"/>
      <c r="AA219" s="36"/>
      <c r="AB219" s="36"/>
      <c r="AC219" s="32">
        <f t="shared" si="126"/>
        <v>0</v>
      </c>
      <c r="AD219" s="37"/>
      <c r="AE219" s="37"/>
      <c r="AF219" s="37"/>
      <c r="AG219" s="37"/>
      <c r="AH219" s="37"/>
      <c r="AI219" s="37"/>
      <c r="AJ219" s="37"/>
      <c r="AK219" s="37"/>
      <c r="AL219" s="37"/>
      <c r="AM219" s="37"/>
      <c r="AN219" s="37"/>
      <c r="AO219" s="37"/>
      <c r="AP219" s="37"/>
      <c r="AQ219" s="37"/>
      <c r="AR219" s="37"/>
      <c r="AS219" s="37"/>
      <c r="AT219" s="38"/>
      <c r="AU219" s="1630"/>
      <c r="AV219" s="1342">
        <f t="shared" si="127"/>
        <v>0</v>
      </c>
      <c r="AW219" s="1342">
        <f t="shared" si="128"/>
        <v>0</v>
      </c>
      <c r="AX219" s="1342">
        <f t="shared" si="129"/>
        <v>0</v>
      </c>
      <c r="AY219" s="39">
        <f t="shared" si="130"/>
        <v>0</v>
      </c>
      <c r="AZ219" s="32">
        <f t="shared" si="131"/>
        <v>0</v>
      </c>
      <c r="BA219" s="32">
        <f t="shared" si="132"/>
        <v>0</v>
      </c>
      <c r="BB219" s="32">
        <f t="shared" si="133"/>
        <v>0</v>
      </c>
      <c r="BC219" s="32">
        <f t="shared" si="134"/>
        <v>0</v>
      </c>
      <c r="BD219" s="32">
        <f t="shared" si="135"/>
        <v>0</v>
      </c>
      <c r="BE219" s="32">
        <f t="shared" si="136"/>
        <v>0</v>
      </c>
      <c r="BF219" s="32">
        <f t="shared" si="137"/>
        <v>0</v>
      </c>
      <c r="BG219" s="32">
        <f t="shared" si="138"/>
        <v>0</v>
      </c>
      <c r="BH219" s="32">
        <f t="shared" si="139"/>
        <v>0</v>
      </c>
      <c r="BI219" s="32">
        <f t="shared" si="140"/>
        <v>0</v>
      </c>
      <c r="BJ219" s="32">
        <f t="shared" si="141"/>
        <v>0</v>
      </c>
      <c r="BK219" s="32">
        <f t="shared" si="142"/>
        <v>0</v>
      </c>
      <c r="BL219" s="32">
        <f t="shared" si="143"/>
        <v>0</v>
      </c>
      <c r="BM219" s="32">
        <f t="shared" si="144"/>
        <v>0</v>
      </c>
      <c r="BN219" s="32">
        <f t="shared" si="145"/>
        <v>0</v>
      </c>
      <c r="BO219" s="32">
        <f t="shared" si="146"/>
        <v>0</v>
      </c>
      <c r="BP219" s="32">
        <f t="shared" si="147"/>
        <v>0</v>
      </c>
      <c r="BQ219" s="32">
        <f t="shared" si="148"/>
        <v>0</v>
      </c>
      <c r="BR219" s="32">
        <f t="shared" si="149"/>
        <v>0</v>
      </c>
      <c r="BS219" s="32">
        <f t="shared" si="150"/>
        <v>0</v>
      </c>
      <c r="BT219" s="40">
        <f t="shared" si="151"/>
        <v>0</v>
      </c>
    </row>
    <row r="220" spans="1:72">
      <c r="A220" s="6"/>
      <c r="B220" s="31"/>
      <c r="C220" s="31"/>
      <c r="D220" s="1629"/>
      <c r="E220" s="32">
        <f t="shared" si="123"/>
        <v>0</v>
      </c>
      <c r="F220" s="33"/>
      <c r="G220" s="34">
        <f t="shared" si="124"/>
        <v>0</v>
      </c>
      <c r="H220" s="35">
        <f t="shared" si="125"/>
        <v>0</v>
      </c>
      <c r="I220" s="36"/>
      <c r="J220" s="36"/>
      <c r="K220" s="36"/>
      <c r="L220" s="36"/>
      <c r="M220" s="36"/>
      <c r="N220" s="36"/>
      <c r="O220" s="36"/>
      <c r="P220" s="36"/>
      <c r="Q220" s="36"/>
      <c r="R220" s="36"/>
      <c r="S220" s="36"/>
      <c r="T220" s="36"/>
      <c r="U220" s="36"/>
      <c r="V220" s="36"/>
      <c r="W220" s="36"/>
      <c r="X220" s="36"/>
      <c r="Y220" s="36"/>
      <c r="Z220" s="36"/>
      <c r="AA220" s="36"/>
      <c r="AB220" s="36"/>
      <c r="AC220" s="32">
        <f t="shared" si="126"/>
        <v>0</v>
      </c>
      <c r="AD220" s="37"/>
      <c r="AE220" s="37"/>
      <c r="AF220" s="37"/>
      <c r="AG220" s="37"/>
      <c r="AH220" s="37"/>
      <c r="AI220" s="37"/>
      <c r="AJ220" s="37"/>
      <c r="AK220" s="37"/>
      <c r="AL220" s="37"/>
      <c r="AM220" s="37"/>
      <c r="AN220" s="37"/>
      <c r="AO220" s="37"/>
      <c r="AP220" s="37"/>
      <c r="AQ220" s="37"/>
      <c r="AR220" s="37"/>
      <c r="AS220" s="37"/>
      <c r="AT220" s="38"/>
      <c r="AU220" s="1630"/>
      <c r="AV220" s="1342">
        <f t="shared" si="127"/>
        <v>0</v>
      </c>
      <c r="AW220" s="1342">
        <f t="shared" si="128"/>
        <v>0</v>
      </c>
      <c r="AX220" s="1342">
        <f t="shared" si="129"/>
        <v>0</v>
      </c>
      <c r="AY220" s="39">
        <f t="shared" si="130"/>
        <v>0</v>
      </c>
      <c r="AZ220" s="32">
        <f t="shared" si="131"/>
        <v>0</v>
      </c>
      <c r="BA220" s="32">
        <f t="shared" si="132"/>
        <v>0</v>
      </c>
      <c r="BB220" s="32">
        <f t="shared" si="133"/>
        <v>0</v>
      </c>
      <c r="BC220" s="32">
        <f t="shared" si="134"/>
        <v>0</v>
      </c>
      <c r="BD220" s="32">
        <f t="shared" si="135"/>
        <v>0</v>
      </c>
      <c r="BE220" s="32">
        <f t="shared" si="136"/>
        <v>0</v>
      </c>
      <c r="BF220" s="32">
        <f t="shared" si="137"/>
        <v>0</v>
      </c>
      <c r="BG220" s="32">
        <f t="shared" si="138"/>
        <v>0</v>
      </c>
      <c r="BH220" s="32">
        <f t="shared" si="139"/>
        <v>0</v>
      </c>
      <c r="BI220" s="32">
        <f t="shared" si="140"/>
        <v>0</v>
      </c>
      <c r="BJ220" s="32">
        <f t="shared" si="141"/>
        <v>0</v>
      </c>
      <c r="BK220" s="32">
        <f t="shared" si="142"/>
        <v>0</v>
      </c>
      <c r="BL220" s="32">
        <f t="shared" si="143"/>
        <v>0</v>
      </c>
      <c r="BM220" s="32">
        <f t="shared" si="144"/>
        <v>0</v>
      </c>
      <c r="BN220" s="32">
        <f t="shared" si="145"/>
        <v>0</v>
      </c>
      <c r="BO220" s="32">
        <f t="shared" si="146"/>
        <v>0</v>
      </c>
      <c r="BP220" s="32">
        <f t="shared" si="147"/>
        <v>0</v>
      </c>
      <c r="BQ220" s="32">
        <f t="shared" si="148"/>
        <v>0</v>
      </c>
      <c r="BR220" s="32">
        <f t="shared" si="149"/>
        <v>0</v>
      </c>
      <c r="BS220" s="32">
        <f t="shared" si="150"/>
        <v>0</v>
      </c>
      <c r="BT220" s="40">
        <f t="shared" si="151"/>
        <v>0</v>
      </c>
    </row>
    <row r="221" spans="1:72">
      <c r="A221" s="6"/>
      <c r="B221" s="31"/>
      <c r="C221" s="31"/>
      <c r="D221" s="1629"/>
      <c r="E221" s="32">
        <f t="shared" si="123"/>
        <v>0</v>
      </c>
      <c r="F221" s="33"/>
      <c r="G221" s="34">
        <f t="shared" si="124"/>
        <v>0</v>
      </c>
      <c r="H221" s="35">
        <f t="shared" si="125"/>
        <v>0</v>
      </c>
      <c r="I221" s="36"/>
      <c r="J221" s="36"/>
      <c r="K221" s="36"/>
      <c r="L221" s="36"/>
      <c r="M221" s="36"/>
      <c r="N221" s="36"/>
      <c r="O221" s="36"/>
      <c r="P221" s="36"/>
      <c r="Q221" s="36"/>
      <c r="R221" s="36"/>
      <c r="S221" s="36"/>
      <c r="T221" s="36"/>
      <c r="U221" s="36"/>
      <c r="V221" s="36"/>
      <c r="W221" s="36"/>
      <c r="X221" s="36"/>
      <c r="Y221" s="36"/>
      <c r="Z221" s="36"/>
      <c r="AA221" s="36"/>
      <c r="AB221" s="36"/>
      <c r="AC221" s="32">
        <f t="shared" si="126"/>
        <v>0</v>
      </c>
      <c r="AD221" s="37"/>
      <c r="AE221" s="37"/>
      <c r="AF221" s="37"/>
      <c r="AG221" s="37"/>
      <c r="AH221" s="37"/>
      <c r="AI221" s="37"/>
      <c r="AJ221" s="37"/>
      <c r="AK221" s="37"/>
      <c r="AL221" s="37"/>
      <c r="AM221" s="37"/>
      <c r="AN221" s="37"/>
      <c r="AO221" s="37"/>
      <c r="AP221" s="37"/>
      <c r="AQ221" s="37"/>
      <c r="AR221" s="37"/>
      <c r="AS221" s="37"/>
      <c r="AT221" s="38"/>
      <c r="AU221" s="1630"/>
      <c r="AV221" s="1342">
        <f t="shared" si="127"/>
        <v>0</v>
      </c>
      <c r="AW221" s="1342">
        <f t="shared" si="128"/>
        <v>0</v>
      </c>
      <c r="AX221" s="1342">
        <f t="shared" si="129"/>
        <v>0</v>
      </c>
      <c r="AY221" s="39">
        <f t="shared" si="130"/>
        <v>0</v>
      </c>
      <c r="AZ221" s="32">
        <f t="shared" si="131"/>
        <v>0</v>
      </c>
      <c r="BA221" s="32">
        <f t="shared" si="132"/>
        <v>0</v>
      </c>
      <c r="BB221" s="32">
        <f t="shared" si="133"/>
        <v>0</v>
      </c>
      <c r="BC221" s="32">
        <f t="shared" si="134"/>
        <v>0</v>
      </c>
      <c r="BD221" s="32">
        <f t="shared" si="135"/>
        <v>0</v>
      </c>
      <c r="BE221" s="32">
        <f t="shared" si="136"/>
        <v>0</v>
      </c>
      <c r="BF221" s="32">
        <f t="shared" si="137"/>
        <v>0</v>
      </c>
      <c r="BG221" s="32">
        <f t="shared" si="138"/>
        <v>0</v>
      </c>
      <c r="BH221" s="32">
        <f t="shared" si="139"/>
        <v>0</v>
      </c>
      <c r="BI221" s="32">
        <f t="shared" si="140"/>
        <v>0</v>
      </c>
      <c r="BJ221" s="32">
        <f t="shared" si="141"/>
        <v>0</v>
      </c>
      <c r="BK221" s="32">
        <f t="shared" si="142"/>
        <v>0</v>
      </c>
      <c r="BL221" s="32">
        <f t="shared" si="143"/>
        <v>0</v>
      </c>
      <c r="BM221" s="32">
        <f t="shared" si="144"/>
        <v>0</v>
      </c>
      <c r="BN221" s="32">
        <f t="shared" si="145"/>
        <v>0</v>
      </c>
      <c r="BO221" s="32">
        <f t="shared" si="146"/>
        <v>0</v>
      </c>
      <c r="BP221" s="32">
        <f t="shared" si="147"/>
        <v>0</v>
      </c>
      <c r="BQ221" s="32">
        <f t="shared" si="148"/>
        <v>0</v>
      </c>
      <c r="BR221" s="32">
        <f t="shared" si="149"/>
        <v>0</v>
      </c>
      <c r="BS221" s="32">
        <f t="shared" si="150"/>
        <v>0</v>
      </c>
      <c r="BT221" s="40">
        <f t="shared" si="151"/>
        <v>0</v>
      </c>
    </row>
    <row r="222" spans="1:72">
      <c r="A222" s="6"/>
      <c r="B222" s="31"/>
      <c r="C222" s="31"/>
      <c r="D222" s="1629"/>
      <c r="E222" s="32">
        <f t="shared" si="123"/>
        <v>0</v>
      </c>
      <c r="F222" s="33"/>
      <c r="G222" s="34">
        <f t="shared" si="124"/>
        <v>0</v>
      </c>
      <c r="H222" s="35">
        <f t="shared" si="125"/>
        <v>0</v>
      </c>
      <c r="I222" s="36"/>
      <c r="J222" s="36"/>
      <c r="K222" s="36"/>
      <c r="L222" s="36"/>
      <c r="M222" s="36"/>
      <c r="N222" s="36"/>
      <c r="O222" s="36"/>
      <c r="P222" s="36"/>
      <c r="Q222" s="36"/>
      <c r="R222" s="36"/>
      <c r="S222" s="36"/>
      <c r="T222" s="36"/>
      <c r="U222" s="36"/>
      <c r="V222" s="36"/>
      <c r="W222" s="36"/>
      <c r="X222" s="36"/>
      <c r="Y222" s="36"/>
      <c r="Z222" s="36"/>
      <c r="AA222" s="36"/>
      <c r="AB222" s="36"/>
      <c r="AC222" s="32">
        <f t="shared" si="126"/>
        <v>0</v>
      </c>
      <c r="AD222" s="37"/>
      <c r="AE222" s="37"/>
      <c r="AF222" s="37"/>
      <c r="AG222" s="37"/>
      <c r="AH222" s="37"/>
      <c r="AI222" s="37"/>
      <c r="AJ222" s="37"/>
      <c r="AK222" s="37"/>
      <c r="AL222" s="37"/>
      <c r="AM222" s="37"/>
      <c r="AN222" s="37"/>
      <c r="AO222" s="37"/>
      <c r="AP222" s="37"/>
      <c r="AQ222" s="37"/>
      <c r="AR222" s="37"/>
      <c r="AS222" s="37"/>
      <c r="AT222" s="38"/>
      <c r="AU222" s="1630"/>
      <c r="AV222" s="1342">
        <f t="shared" si="127"/>
        <v>0</v>
      </c>
      <c r="AW222" s="1342">
        <f t="shared" si="128"/>
        <v>0</v>
      </c>
      <c r="AX222" s="1342">
        <f t="shared" si="129"/>
        <v>0</v>
      </c>
      <c r="AY222" s="39">
        <f t="shared" si="130"/>
        <v>0</v>
      </c>
      <c r="AZ222" s="32">
        <f t="shared" si="131"/>
        <v>0</v>
      </c>
      <c r="BA222" s="32">
        <f t="shared" si="132"/>
        <v>0</v>
      </c>
      <c r="BB222" s="32">
        <f t="shared" si="133"/>
        <v>0</v>
      </c>
      <c r="BC222" s="32">
        <f t="shared" si="134"/>
        <v>0</v>
      </c>
      <c r="BD222" s="32">
        <f t="shared" si="135"/>
        <v>0</v>
      </c>
      <c r="BE222" s="32">
        <f t="shared" si="136"/>
        <v>0</v>
      </c>
      <c r="BF222" s="32">
        <f t="shared" si="137"/>
        <v>0</v>
      </c>
      <c r="BG222" s="32">
        <f t="shared" si="138"/>
        <v>0</v>
      </c>
      <c r="BH222" s="32">
        <f t="shared" si="139"/>
        <v>0</v>
      </c>
      <c r="BI222" s="32">
        <f t="shared" si="140"/>
        <v>0</v>
      </c>
      <c r="BJ222" s="32">
        <f t="shared" si="141"/>
        <v>0</v>
      </c>
      <c r="BK222" s="32">
        <f t="shared" si="142"/>
        <v>0</v>
      </c>
      <c r="BL222" s="32">
        <f t="shared" si="143"/>
        <v>0</v>
      </c>
      <c r="BM222" s="32">
        <f t="shared" si="144"/>
        <v>0</v>
      </c>
      <c r="BN222" s="32">
        <f t="shared" si="145"/>
        <v>0</v>
      </c>
      <c r="BO222" s="32">
        <f t="shared" si="146"/>
        <v>0</v>
      </c>
      <c r="BP222" s="32">
        <f t="shared" si="147"/>
        <v>0</v>
      </c>
      <c r="BQ222" s="32">
        <f t="shared" si="148"/>
        <v>0</v>
      </c>
      <c r="BR222" s="32">
        <f t="shared" si="149"/>
        <v>0</v>
      </c>
      <c r="BS222" s="32">
        <f t="shared" si="150"/>
        <v>0</v>
      </c>
      <c r="BT222" s="40">
        <f t="shared" si="151"/>
        <v>0</v>
      </c>
    </row>
    <row r="223" spans="1:72">
      <c r="A223" s="6"/>
      <c r="B223" s="31"/>
      <c r="C223" s="31"/>
      <c r="D223" s="1629"/>
      <c r="E223" s="32">
        <f t="shared" si="123"/>
        <v>0</v>
      </c>
      <c r="F223" s="33"/>
      <c r="G223" s="34">
        <f t="shared" si="124"/>
        <v>0</v>
      </c>
      <c r="H223" s="35">
        <f t="shared" si="125"/>
        <v>0</v>
      </c>
      <c r="I223" s="36"/>
      <c r="J223" s="36"/>
      <c r="K223" s="36"/>
      <c r="L223" s="36"/>
      <c r="M223" s="36"/>
      <c r="N223" s="36"/>
      <c r="O223" s="36"/>
      <c r="P223" s="36"/>
      <c r="Q223" s="36"/>
      <c r="R223" s="36"/>
      <c r="S223" s="36"/>
      <c r="T223" s="36"/>
      <c r="U223" s="36"/>
      <c r="V223" s="36"/>
      <c r="W223" s="36"/>
      <c r="X223" s="36"/>
      <c r="Y223" s="36"/>
      <c r="Z223" s="36"/>
      <c r="AA223" s="36"/>
      <c r="AB223" s="36"/>
      <c r="AC223" s="32">
        <f t="shared" si="126"/>
        <v>0</v>
      </c>
      <c r="AD223" s="37"/>
      <c r="AE223" s="37"/>
      <c r="AF223" s="37"/>
      <c r="AG223" s="37"/>
      <c r="AH223" s="37"/>
      <c r="AI223" s="37"/>
      <c r="AJ223" s="37"/>
      <c r="AK223" s="37"/>
      <c r="AL223" s="37"/>
      <c r="AM223" s="37"/>
      <c r="AN223" s="37"/>
      <c r="AO223" s="37"/>
      <c r="AP223" s="37"/>
      <c r="AQ223" s="37"/>
      <c r="AR223" s="37"/>
      <c r="AS223" s="37"/>
      <c r="AT223" s="38"/>
      <c r="AU223" s="1630"/>
      <c r="AV223" s="1342">
        <f t="shared" si="127"/>
        <v>0</v>
      </c>
      <c r="AW223" s="1342">
        <f t="shared" si="128"/>
        <v>0</v>
      </c>
      <c r="AX223" s="1342">
        <f t="shared" si="129"/>
        <v>0</v>
      </c>
      <c r="AY223" s="39">
        <f t="shared" si="130"/>
        <v>0</v>
      </c>
      <c r="AZ223" s="32">
        <f t="shared" si="131"/>
        <v>0</v>
      </c>
      <c r="BA223" s="32">
        <f t="shared" si="132"/>
        <v>0</v>
      </c>
      <c r="BB223" s="32">
        <f t="shared" si="133"/>
        <v>0</v>
      </c>
      <c r="BC223" s="32">
        <f t="shared" si="134"/>
        <v>0</v>
      </c>
      <c r="BD223" s="32">
        <f t="shared" si="135"/>
        <v>0</v>
      </c>
      <c r="BE223" s="32">
        <f t="shared" si="136"/>
        <v>0</v>
      </c>
      <c r="BF223" s="32">
        <f t="shared" si="137"/>
        <v>0</v>
      </c>
      <c r="BG223" s="32">
        <f t="shared" si="138"/>
        <v>0</v>
      </c>
      <c r="BH223" s="32">
        <f t="shared" si="139"/>
        <v>0</v>
      </c>
      <c r="BI223" s="32">
        <f t="shared" si="140"/>
        <v>0</v>
      </c>
      <c r="BJ223" s="32">
        <f t="shared" si="141"/>
        <v>0</v>
      </c>
      <c r="BK223" s="32">
        <f t="shared" si="142"/>
        <v>0</v>
      </c>
      <c r="BL223" s="32">
        <f t="shared" si="143"/>
        <v>0</v>
      </c>
      <c r="BM223" s="32">
        <f t="shared" si="144"/>
        <v>0</v>
      </c>
      <c r="BN223" s="32">
        <f t="shared" si="145"/>
        <v>0</v>
      </c>
      <c r="BO223" s="32">
        <f t="shared" si="146"/>
        <v>0</v>
      </c>
      <c r="BP223" s="32">
        <f t="shared" si="147"/>
        <v>0</v>
      </c>
      <c r="BQ223" s="32">
        <f t="shared" si="148"/>
        <v>0</v>
      </c>
      <c r="BR223" s="32">
        <f t="shared" si="149"/>
        <v>0</v>
      </c>
      <c r="BS223" s="32">
        <f t="shared" si="150"/>
        <v>0</v>
      </c>
      <c r="BT223" s="40">
        <f t="shared" si="151"/>
        <v>0</v>
      </c>
    </row>
    <row r="224" spans="1:72">
      <c r="A224" s="6"/>
      <c r="B224" s="31"/>
      <c r="C224" s="31"/>
      <c r="D224" s="1629"/>
      <c r="E224" s="32">
        <f t="shared" si="123"/>
        <v>0</v>
      </c>
      <c r="F224" s="33"/>
      <c r="G224" s="34">
        <f t="shared" si="124"/>
        <v>0</v>
      </c>
      <c r="H224" s="35">
        <f t="shared" si="125"/>
        <v>0</v>
      </c>
      <c r="I224" s="36"/>
      <c r="J224" s="36"/>
      <c r="K224" s="36"/>
      <c r="L224" s="36"/>
      <c r="M224" s="36"/>
      <c r="N224" s="36"/>
      <c r="O224" s="36"/>
      <c r="P224" s="36"/>
      <c r="Q224" s="36"/>
      <c r="R224" s="36"/>
      <c r="S224" s="36"/>
      <c r="T224" s="36"/>
      <c r="U224" s="36"/>
      <c r="V224" s="36"/>
      <c r="W224" s="36"/>
      <c r="X224" s="36"/>
      <c r="Y224" s="36"/>
      <c r="Z224" s="36"/>
      <c r="AA224" s="36"/>
      <c r="AB224" s="36"/>
      <c r="AC224" s="32">
        <f t="shared" si="126"/>
        <v>0</v>
      </c>
      <c r="AD224" s="37"/>
      <c r="AE224" s="37"/>
      <c r="AF224" s="37"/>
      <c r="AG224" s="37"/>
      <c r="AH224" s="37"/>
      <c r="AI224" s="37"/>
      <c r="AJ224" s="37"/>
      <c r="AK224" s="37"/>
      <c r="AL224" s="37"/>
      <c r="AM224" s="37"/>
      <c r="AN224" s="37"/>
      <c r="AO224" s="37"/>
      <c r="AP224" s="37"/>
      <c r="AQ224" s="37"/>
      <c r="AR224" s="37"/>
      <c r="AS224" s="37"/>
      <c r="AT224" s="38"/>
      <c r="AU224" s="1630"/>
      <c r="AV224" s="1342">
        <f t="shared" si="127"/>
        <v>0</v>
      </c>
      <c r="AW224" s="1342">
        <f t="shared" si="128"/>
        <v>0</v>
      </c>
      <c r="AX224" s="1342">
        <f t="shared" si="129"/>
        <v>0</v>
      </c>
      <c r="AY224" s="39">
        <f t="shared" si="130"/>
        <v>0</v>
      </c>
      <c r="AZ224" s="32">
        <f t="shared" si="131"/>
        <v>0</v>
      </c>
      <c r="BA224" s="32">
        <f t="shared" si="132"/>
        <v>0</v>
      </c>
      <c r="BB224" s="32">
        <f t="shared" si="133"/>
        <v>0</v>
      </c>
      <c r="BC224" s="32">
        <f t="shared" si="134"/>
        <v>0</v>
      </c>
      <c r="BD224" s="32">
        <f t="shared" si="135"/>
        <v>0</v>
      </c>
      <c r="BE224" s="32">
        <f t="shared" si="136"/>
        <v>0</v>
      </c>
      <c r="BF224" s="32">
        <f t="shared" si="137"/>
        <v>0</v>
      </c>
      <c r="BG224" s="32">
        <f t="shared" si="138"/>
        <v>0</v>
      </c>
      <c r="BH224" s="32">
        <f t="shared" si="139"/>
        <v>0</v>
      </c>
      <c r="BI224" s="32">
        <f t="shared" si="140"/>
        <v>0</v>
      </c>
      <c r="BJ224" s="32">
        <f t="shared" si="141"/>
        <v>0</v>
      </c>
      <c r="BK224" s="32">
        <f t="shared" si="142"/>
        <v>0</v>
      </c>
      <c r="BL224" s="32">
        <f t="shared" si="143"/>
        <v>0</v>
      </c>
      <c r="BM224" s="32">
        <f t="shared" si="144"/>
        <v>0</v>
      </c>
      <c r="BN224" s="32">
        <f t="shared" si="145"/>
        <v>0</v>
      </c>
      <c r="BO224" s="32">
        <f t="shared" si="146"/>
        <v>0</v>
      </c>
      <c r="BP224" s="32">
        <f t="shared" si="147"/>
        <v>0</v>
      </c>
      <c r="BQ224" s="32">
        <f t="shared" si="148"/>
        <v>0</v>
      </c>
      <c r="BR224" s="32">
        <f t="shared" si="149"/>
        <v>0</v>
      </c>
      <c r="BS224" s="32">
        <f t="shared" si="150"/>
        <v>0</v>
      </c>
      <c r="BT224" s="40">
        <f t="shared" si="151"/>
        <v>0</v>
      </c>
    </row>
    <row r="225" spans="1:72">
      <c r="A225" s="6"/>
      <c r="B225" s="31"/>
      <c r="C225" s="31"/>
      <c r="D225" s="1629"/>
      <c r="E225" s="32">
        <f t="shared" si="123"/>
        <v>0</v>
      </c>
      <c r="F225" s="33"/>
      <c r="G225" s="34">
        <f t="shared" si="124"/>
        <v>0</v>
      </c>
      <c r="H225" s="35">
        <f t="shared" si="125"/>
        <v>0</v>
      </c>
      <c r="I225" s="36"/>
      <c r="J225" s="36"/>
      <c r="K225" s="36"/>
      <c r="L225" s="36"/>
      <c r="M225" s="36"/>
      <c r="N225" s="36"/>
      <c r="O225" s="36"/>
      <c r="P225" s="36"/>
      <c r="Q225" s="36"/>
      <c r="R225" s="36"/>
      <c r="S225" s="36"/>
      <c r="T225" s="36"/>
      <c r="U225" s="36"/>
      <c r="V225" s="36"/>
      <c r="W225" s="36"/>
      <c r="X225" s="36"/>
      <c r="Y225" s="36"/>
      <c r="Z225" s="36"/>
      <c r="AA225" s="36"/>
      <c r="AB225" s="36"/>
      <c r="AC225" s="32">
        <f t="shared" si="126"/>
        <v>0</v>
      </c>
      <c r="AD225" s="37"/>
      <c r="AE225" s="37"/>
      <c r="AF225" s="37"/>
      <c r="AG225" s="37"/>
      <c r="AH225" s="37"/>
      <c r="AI225" s="37"/>
      <c r="AJ225" s="37"/>
      <c r="AK225" s="37"/>
      <c r="AL225" s="37"/>
      <c r="AM225" s="37"/>
      <c r="AN225" s="37"/>
      <c r="AO225" s="37"/>
      <c r="AP225" s="37"/>
      <c r="AQ225" s="37"/>
      <c r="AR225" s="37"/>
      <c r="AS225" s="37"/>
      <c r="AT225" s="38"/>
      <c r="AU225" s="1630"/>
      <c r="AV225" s="1342">
        <f t="shared" si="127"/>
        <v>0</v>
      </c>
      <c r="AW225" s="1342">
        <f t="shared" si="128"/>
        <v>0</v>
      </c>
      <c r="AX225" s="1342">
        <f t="shared" si="129"/>
        <v>0</v>
      </c>
      <c r="AY225" s="39">
        <f t="shared" si="130"/>
        <v>0</v>
      </c>
      <c r="AZ225" s="32">
        <f t="shared" si="131"/>
        <v>0</v>
      </c>
      <c r="BA225" s="32">
        <f t="shared" si="132"/>
        <v>0</v>
      </c>
      <c r="BB225" s="32">
        <f t="shared" si="133"/>
        <v>0</v>
      </c>
      <c r="BC225" s="32">
        <f t="shared" si="134"/>
        <v>0</v>
      </c>
      <c r="BD225" s="32">
        <f t="shared" si="135"/>
        <v>0</v>
      </c>
      <c r="BE225" s="32">
        <f t="shared" si="136"/>
        <v>0</v>
      </c>
      <c r="BF225" s="32">
        <f t="shared" si="137"/>
        <v>0</v>
      </c>
      <c r="BG225" s="32">
        <f t="shared" si="138"/>
        <v>0</v>
      </c>
      <c r="BH225" s="32">
        <f t="shared" si="139"/>
        <v>0</v>
      </c>
      <c r="BI225" s="32">
        <f t="shared" si="140"/>
        <v>0</v>
      </c>
      <c r="BJ225" s="32">
        <f t="shared" si="141"/>
        <v>0</v>
      </c>
      <c r="BK225" s="32">
        <f t="shared" si="142"/>
        <v>0</v>
      </c>
      <c r="BL225" s="32">
        <f t="shared" si="143"/>
        <v>0</v>
      </c>
      <c r="BM225" s="32">
        <f t="shared" si="144"/>
        <v>0</v>
      </c>
      <c r="BN225" s="32">
        <f t="shared" si="145"/>
        <v>0</v>
      </c>
      <c r="BO225" s="32">
        <f t="shared" si="146"/>
        <v>0</v>
      </c>
      <c r="BP225" s="32">
        <f t="shared" si="147"/>
        <v>0</v>
      </c>
      <c r="BQ225" s="32">
        <f t="shared" si="148"/>
        <v>0</v>
      </c>
      <c r="BR225" s="32">
        <f t="shared" si="149"/>
        <v>0</v>
      </c>
      <c r="BS225" s="32">
        <f t="shared" si="150"/>
        <v>0</v>
      </c>
      <c r="BT225" s="40">
        <f t="shared" si="151"/>
        <v>0</v>
      </c>
    </row>
    <row r="226" spans="1:72">
      <c r="A226" s="6"/>
      <c r="B226" s="31"/>
      <c r="C226" s="31"/>
      <c r="D226" s="1629"/>
      <c r="E226" s="32">
        <f t="shared" si="123"/>
        <v>0</v>
      </c>
      <c r="F226" s="33"/>
      <c r="G226" s="34">
        <f t="shared" si="124"/>
        <v>0</v>
      </c>
      <c r="H226" s="35">
        <f t="shared" si="125"/>
        <v>0</v>
      </c>
      <c r="I226" s="36"/>
      <c r="J226" s="36"/>
      <c r="K226" s="36"/>
      <c r="L226" s="36"/>
      <c r="M226" s="36"/>
      <c r="N226" s="36"/>
      <c r="O226" s="36"/>
      <c r="P226" s="36"/>
      <c r="Q226" s="36"/>
      <c r="R226" s="36"/>
      <c r="S226" s="36"/>
      <c r="T226" s="36"/>
      <c r="U226" s="36"/>
      <c r="V226" s="36"/>
      <c r="W226" s="36"/>
      <c r="X226" s="36"/>
      <c r="Y226" s="36"/>
      <c r="Z226" s="36"/>
      <c r="AA226" s="36"/>
      <c r="AB226" s="36"/>
      <c r="AC226" s="32">
        <f t="shared" si="126"/>
        <v>0</v>
      </c>
      <c r="AD226" s="37"/>
      <c r="AE226" s="37"/>
      <c r="AF226" s="37"/>
      <c r="AG226" s="37"/>
      <c r="AH226" s="37"/>
      <c r="AI226" s="37"/>
      <c r="AJ226" s="37"/>
      <c r="AK226" s="37"/>
      <c r="AL226" s="37"/>
      <c r="AM226" s="37"/>
      <c r="AN226" s="37"/>
      <c r="AO226" s="37"/>
      <c r="AP226" s="37"/>
      <c r="AQ226" s="37"/>
      <c r="AR226" s="37"/>
      <c r="AS226" s="37"/>
      <c r="AT226" s="38"/>
      <c r="AU226" s="1630"/>
      <c r="AV226" s="1342">
        <f t="shared" si="127"/>
        <v>0</v>
      </c>
      <c r="AW226" s="1342">
        <f t="shared" si="128"/>
        <v>0</v>
      </c>
      <c r="AX226" s="1342">
        <f t="shared" si="129"/>
        <v>0</v>
      </c>
      <c r="AY226" s="39">
        <f t="shared" si="130"/>
        <v>0</v>
      </c>
      <c r="AZ226" s="32">
        <f t="shared" si="131"/>
        <v>0</v>
      </c>
      <c r="BA226" s="32">
        <f t="shared" si="132"/>
        <v>0</v>
      </c>
      <c r="BB226" s="32">
        <f t="shared" si="133"/>
        <v>0</v>
      </c>
      <c r="BC226" s="32">
        <f t="shared" si="134"/>
        <v>0</v>
      </c>
      <c r="BD226" s="32">
        <f t="shared" si="135"/>
        <v>0</v>
      </c>
      <c r="BE226" s="32">
        <f t="shared" si="136"/>
        <v>0</v>
      </c>
      <c r="BF226" s="32">
        <f t="shared" si="137"/>
        <v>0</v>
      </c>
      <c r="BG226" s="32">
        <f t="shared" si="138"/>
        <v>0</v>
      </c>
      <c r="BH226" s="32">
        <f t="shared" si="139"/>
        <v>0</v>
      </c>
      <c r="BI226" s="32">
        <f t="shared" si="140"/>
        <v>0</v>
      </c>
      <c r="BJ226" s="32">
        <f t="shared" si="141"/>
        <v>0</v>
      </c>
      <c r="BK226" s="32">
        <f t="shared" si="142"/>
        <v>0</v>
      </c>
      <c r="BL226" s="32">
        <f t="shared" si="143"/>
        <v>0</v>
      </c>
      <c r="BM226" s="32">
        <f t="shared" si="144"/>
        <v>0</v>
      </c>
      <c r="BN226" s="32">
        <f t="shared" si="145"/>
        <v>0</v>
      </c>
      <c r="BO226" s="32">
        <f t="shared" si="146"/>
        <v>0</v>
      </c>
      <c r="BP226" s="32">
        <f t="shared" si="147"/>
        <v>0</v>
      </c>
      <c r="BQ226" s="32">
        <f t="shared" si="148"/>
        <v>0</v>
      </c>
      <c r="BR226" s="32">
        <f t="shared" si="149"/>
        <v>0</v>
      </c>
      <c r="BS226" s="32">
        <f t="shared" si="150"/>
        <v>0</v>
      </c>
      <c r="BT226" s="40">
        <f t="shared" si="151"/>
        <v>0</v>
      </c>
    </row>
    <row r="227" spans="1:72">
      <c r="A227" s="6"/>
      <c r="B227" s="31"/>
      <c r="C227" s="31"/>
      <c r="D227" s="1629"/>
      <c r="E227" s="32">
        <f t="shared" si="123"/>
        <v>0</v>
      </c>
      <c r="F227" s="33"/>
      <c r="G227" s="34">
        <f t="shared" si="124"/>
        <v>0</v>
      </c>
      <c r="H227" s="35">
        <f t="shared" si="125"/>
        <v>0</v>
      </c>
      <c r="I227" s="36"/>
      <c r="J227" s="36"/>
      <c r="K227" s="36"/>
      <c r="L227" s="36"/>
      <c r="M227" s="36"/>
      <c r="N227" s="36"/>
      <c r="O227" s="36"/>
      <c r="P227" s="36"/>
      <c r="Q227" s="36"/>
      <c r="R227" s="36"/>
      <c r="S227" s="36"/>
      <c r="T227" s="36"/>
      <c r="U227" s="36"/>
      <c r="V227" s="36"/>
      <c r="W227" s="36"/>
      <c r="X227" s="36"/>
      <c r="Y227" s="36"/>
      <c r="Z227" s="36"/>
      <c r="AA227" s="36"/>
      <c r="AB227" s="36"/>
      <c r="AC227" s="32">
        <f t="shared" si="126"/>
        <v>0</v>
      </c>
      <c r="AD227" s="37"/>
      <c r="AE227" s="37"/>
      <c r="AF227" s="37"/>
      <c r="AG227" s="37"/>
      <c r="AH227" s="37"/>
      <c r="AI227" s="37"/>
      <c r="AJ227" s="37"/>
      <c r="AK227" s="37"/>
      <c r="AL227" s="37"/>
      <c r="AM227" s="37"/>
      <c r="AN227" s="37"/>
      <c r="AO227" s="37"/>
      <c r="AP227" s="37"/>
      <c r="AQ227" s="37"/>
      <c r="AR227" s="37"/>
      <c r="AS227" s="37"/>
      <c r="AT227" s="38"/>
      <c r="AU227" s="1630"/>
      <c r="AV227" s="1342">
        <f t="shared" si="127"/>
        <v>0</v>
      </c>
      <c r="AW227" s="1342">
        <f t="shared" si="128"/>
        <v>0</v>
      </c>
      <c r="AX227" s="1342">
        <f t="shared" si="129"/>
        <v>0</v>
      </c>
      <c r="AY227" s="39">
        <f t="shared" si="130"/>
        <v>0</v>
      </c>
      <c r="AZ227" s="32">
        <f t="shared" si="131"/>
        <v>0</v>
      </c>
      <c r="BA227" s="32">
        <f t="shared" si="132"/>
        <v>0</v>
      </c>
      <c r="BB227" s="32">
        <f t="shared" si="133"/>
        <v>0</v>
      </c>
      <c r="BC227" s="32">
        <f t="shared" si="134"/>
        <v>0</v>
      </c>
      <c r="BD227" s="32">
        <f t="shared" si="135"/>
        <v>0</v>
      </c>
      <c r="BE227" s="32">
        <f t="shared" si="136"/>
        <v>0</v>
      </c>
      <c r="BF227" s="32">
        <f t="shared" si="137"/>
        <v>0</v>
      </c>
      <c r="BG227" s="32">
        <f t="shared" si="138"/>
        <v>0</v>
      </c>
      <c r="BH227" s="32">
        <f t="shared" si="139"/>
        <v>0</v>
      </c>
      <c r="BI227" s="32">
        <f t="shared" si="140"/>
        <v>0</v>
      </c>
      <c r="BJ227" s="32">
        <f t="shared" si="141"/>
        <v>0</v>
      </c>
      <c r="BK227" s="32">
        <f t="shared" si="142"/>
        <v>0</v>
      </c>
      <c r="BL227" s="32">
        <f t="shared" si="143"/>
        <v>0</v>
      </c>
      <c r="BM227" s="32">
        <f t="shared" si="144"/>
        <v>0</v>
      </c>
      <c r="BN227" s="32">
        <f t="shared" si="145"/>
        <v>0</v>
      </c>
      <c r="BO227" s="32">
        <f t="shared" si="146"/>
        <v>0</v>
      </c>
      <c r="BP227" s="32">
        <f t="shared" si="147"/>
        <v>0</v>
      </c>
      <c r="BQ227" s="32">
        <f t="shared" si="148"/>
        <v>0</v>
      </c>
      <c r="BR227" s="32">
        <f t="shared" si="149"/>
        <v>0</v>
      </c>
      <c r="BS227" s="32">
        <f t="shared" si="150"/>
        <v>0</v>
      </c>
      <c r="BT227" s="40">
        <f t="shared" si="151"/>
        <v>0</v>
      </c>
    </row>
    <row r="228" spans="1:72">
      <c r="A228" s="6"/>
      <c r="B228" s="31"/>
      <c r="C228" s="31"/>
      <c r="D228" s="1629"/>
      <c r="E228" s="32">
        <f t="shared" si="123"/>
        <v>0</v>
      </c>
      <c r="F228" s="33"/>
      <c r="G228" s="34">
        <f t="shared" si="124"/>
        <v>0</v>
      </c>
      <c r="H228" s="35">
        <f t="shared" si="125"/>
        <v>0</v>
      </c>
      <c r="I228" s="36"/>
      <c r="J228" s="36"/>
      <c r="K228" s="36"/>
      <c r="L228" s="36"/>
      <c r="M228" s="36"/>
      <c r="N228" s="36"/>
      <c r="O228" s="36"/>
      <c r="P228" s="36"/>
      <c r="Q228" s="36"/>
      <c r="R228" s="36"/>
      <c r="S228" s="36"/>
      <c r="T228" s="36"/>
      <c r="U228" s="36"/>
      <c r="V228" s="36"/>
      <c r="W228" s="36"/>
      <c r="X228" s="36"/>
      <c r="Y228" s="36"/>
      <c r="Z228" s="36"/>
      <c r="AA228" s="36"/>
      <c r="AB228" s="36"/>
      <c r="AC228" s="32">
        <f t="shared" si="126"/>
        <v>0</v>
      </c>
      <c r="AD228" s="37"/>
      <c r="AE228" s="37"/>
      <c r="AF228" s="37"/>
      <c r="AG228" s="37"/>
      <c r="AH228" s="37"/>
      <c r="AI228" s="37"/>
      <c r="AJ228" s="37"/>
      <c r="AK228" s="37"/>
      <c r="AL228" s="37"/>
      <c r="AM228" s="37"/>
      <c r="AN228" s="37"/>
      <c r="AO228" s="37"/>
      <c r="AP228" s="37"/>
      <c r="AQ228" s="37"/>
      <c r="AR228" s="37"/>
      <c r="AS228" s="37"/>
      <c r="AT228" s="38"/>
      <c r="AU228" s="1630"/>
      <c r="AV228" s="1342">
        <f t="shared" si="127"/>
        <v>0</v>
      </c>
      <c r="AW228" s="1342">
        <f t="shared" si="128"/>
        <v>0</v>
      </c>
      <c r="AX228" s="1342">
        <f t="shared" si="129"/>
        <v>0</v>
      </c>
      <c r="AY228" s="39">
        <f t="shared" si="130"/>
        <v>0</v>
      </c>
      <c r="AZ228" s="32">
        <f t="shared" si="131"/>
        <v>0</v>
      </c>
      <c r="BA228" s="32">
        <f t="shared" si="132"/>
        <v>0</v>
      </c>
      <c r="BB228" s="32">
        <f t="shared" si="133"/>
        <v>0</v>
      </c>
      <c r="BC228" s="32">
        <f t="shared" si="134"/>
        <v>0</v>
      </c>
      <c r="BD228" s="32">
        <f t="shared" si="135"/>
        <v>0</v>
      </c>
      <c r="BE228" s="32">
        <f t="shared" si="136"/>
        <v>0</v>
      </c>
      <c r="BF228" s="32">
        <f t="shared" si="137"/>
        <v>0</v>
      </c>
      <c r="BG228" s="32">
        <f t="shared" si="138"/>
        <v>0</v>
      </c>
      <c r="BH228" s="32">
        <f t="shared" si="139"/>
        <v>0</v>
      </c>
      <c r="BI228" s="32">
        <f t="shared" si="140"/>
        <v>0</v>
      </c>
      <c r="BJ228" s="32">
        <f t="shared" si="141"/>
        <v>0</v>
      </c>
      <c r="BK228" s="32">
        <f t="shared" si="142"/>
        <v>0</v>
      </c>
      <c r="BL228" s="32">
        <f t="shared" si="143"/>
        <v>0</v>
      </c>
      <c r="BM228" s="32">
        <f t="shared" si="144"/>
        <v>0</v>
      </c>
      <c r="BN228" s="32">
        <f t="shared" si="145"/>
        <v>0</v>
      </c>
      <c r="BO228" s="32">
        <f t="shared" si="146"/>
        <v>0</v>
      </c>
      <c r="BP228" s="32">
        <f t="shared" si="147"/>
        <v>0</v>
      </c>
      <c r="BQ228" s="32">
        <f t="shared" si="148"/>
        <v>0</v>
      </c>
      <c r="BR228" s="32">
        <f t="shared" si="149"/>
        <v>0</v>
      </c>
      <c r="BS228" s="32">
        <f t="shared" si="150"/>
        <v>0</v>
      </c>
      <c r="BT228" s="40">
        <f t="shared" si="151"/>
        <v>0</v>
      </c>
    </row>
    <row r="229" spans="1:72">
      <c r="A229" s="6"/>
      <c r="B229" s="31"/>
      <c r="C229" s="31"/>
      <c r="D229" s="1629"/>
      <c r="E229" s="32">
        <f t="shared" si="123"/>
        <v>0</v>
      </c>
      <c r="F229" s="33"/>
      <c r="G229" s="34">
        <f t="shared" si="124"/>
        <v>0</v>
      </c>
      <c r="H229" s="35">
        <f t="shared" si="125"/>
        <v>0</v>
      </c>
      <c r="I229" s="36"/>
      <c r="J229" s="36"/>
      <c r="K229" s="36"/>
      <c r="L229" s="36"/>
      <c r="M229" s="36"/>
      <c r="N229" s="36"/>
      <c r="O229" s="36"/>
      <c r="P229" s="36"/>
      <c r="Q229" s="36"/>
      <c r="R229" s="36"/>
      <c r="S229" s="36"/>
      <c r="T229" s="36"/>
      <c r="U229" s="36"/>
      <c r="V229" s="36"/>
      <c r="W229" s="36"/>
      <c r="X229" s="36"/>
      <c r="Y229" s="36"/>
      <c r="Z229" s="36"/>
      <c r="AA229" s="36"/>
      <c r="AB229" s="36"/>
      <c r="AC229" s="32">
        <f t="shared" si="126"/>
        <v>0</v>
      </c>
      <c r="AD229" s="37"/>
      <c r="AE229" s="37"/>
      <c r="AF229" s="37"/>
      <c r="AG229" s="37"/>
      <c r="AH229" s="37"/>
      <c r="AI229" s="37"/>
      <c r="AJ229" s="37"/>
      <c r="AK229" s="37"/>
      <c r="AL229" s="37"/>
      <c r="AM229" s="37"/>
      <c r="AN229" s="37"/>
      <c r="AO229" s="37"/>
      <c r="AP229" s="37"/>
      <c r="AQ229" s="37"/>
      <c r="AR229" s="37"/>
      <c r="AS229" s="37"/>
      <c r="AT229" s="38"/>
      <c r="AU229" s="1630"/>
      <c r="AV229" s="1342">
        <f t="shared" si="127"/>
        <v>0</v>
      </c>
      <c r="AW229" s="1342">
        <f t="shared" si="128"/>
        <v>0</v>
      </c>
      <c r="AX229" s="1342">
        <f t="shared" si="129"/>
        <v>0</v>
      </c>
      <c r="AY229" s="39">
        <f t="shared" si="130"/>
        <v>0</v>
      </c>
      <c r="AZ229" s="32">
        <f t="shared" si="131"/>
        <v>0</v>
      </c>
      <c r="BA229" s="32">
        <f t="shared" si="132"/>
        <v>0</v>
      </c>
      <c r="BB229" s="32">
        <f t="shared" si="133"/>
        <v>0</v>
      </c>
      <c r="BC229" s="32">
        <f t="shared" si="134"/>
        <v>0</v>
      </c>
      <c r="BD229" s="32">
        <f t="shared" si="135"/>
        <v>0</v>
      </c>
      <c r="BE229" s="32">
        <f t="shared" si="136"/>
        <v>0</v>
      </c>
      <c r="BF229" s="32">
        <f t="shared" si="137"/>
        <v>0</v>
      </c>
      <c r="BG229" s="32">
        <f t="shared" si="138"/>
        <v>0</v>
      </c>
      <c r="BH229" s="32">
        <f t="shared" si="139"/>
        <v>0</v>
      </c>
      <c r="BI229" s="32">
        <f t="shared" si="140"/>
        <v>0</v>
      </c>
      <c r="BJ229" s="32">
        <f t="shared" si="141"/>
        <v>0</v>
      </c>
      <c r="BK229" s="32">
        <f t="shared" si="142"/>
        <v>0</v>
      </c>
      <c r="BL229" s="32">
        <f t="shared" si="143"/>
        <v>0</v>
      </c>
      <c r="BM229" s="32">
        <f t="shared" si="144"/>
        <v>0</v>
      </c>
      <c r="BN229" s="32">
        <f t="shared" si="145"/>
        <v>0</v>
      </c>
      <c r="BO229" s="32">
        <f t="shared" si="146"/>
        <v>0</v>
      </c>
      <c r="BP229" s="32">
        <f t="shared" si="147"/>
        <v>0</v>
      </c>
      <c r="BQ229" s="32">
        <f t="shared" si="148"/>
        <v>0</v>
      </c>
      <c r="BR229" s="32">
        <f t="shared" si="149"/>
        <v>0</v>
      </c>
      <c r="BS229" s="32">
        <f t="shared" si="150"/>
        <v>0</v>
      </c>
      <c r="BT229" s="40">
        <f t="shared" si="151"/>
        <v>0</v>
      </c>
    </row>
    <row r="230" spans="1:72">
      <c r="A230" s="6"/>
      <c r="B230" s="31"/>
      <c r="C230" s="31"/>
      <c r="D230" s="1629"/>
      <c r="E230" s="32">
        <f t="shared" si="123"/>
        <v>0</v>
      </c>
      <c r="F230" s="33"/>
      <c r="G230" s="34">
        <f t="shared" si="124"/>
        <v>0</v>
      </c>
      <c r="H230" s="35">
        <f t="shared" si="125"/>
        <v>0</v>
      </c>
      <c r="I230" s="36"/>
      <c r="J230" s="36"/>
      <c r="K230" s="36"/>
      <c r="L230" s="36"/>
      <c r="M230" s="36"/>
      <c r="N230" s="36"/>
      <c r="O230" s="36"/>
      <c r="P230" s="36"/>
      <c r="Q230" s="36"/>
      <c r="R230" s="36"/>
      <c r="S230" s="36"/>
      <c r="T230" s="36"/>
      <c r="U230" s="36"/>
      <c r="V230" s="36"/>
      <c r="W230" s="36"/>
      <c r="X230" s="36"/>
      <c r="Y230" s="36"/>
      <c r="Z230" s="36"/>
      <c r="AA230" s="36"/>
      <c r="AB230" s="36"/>
      <c r="AC230" s="32">
        <f t="shared" si="126"/>
        <v>0</v>
      </c>
      <c r="AD230" s="37"/>
      <c r="AE230" s="37"/>
      <c r="AF230" s="37"/>
      <c r="AG230" s="37"/>
      <c r="AH230" s="37"/>
      <c r="AI230" s="37"/>
      <c r="AJ230" s="37"/>
      <c r="AK230" s="37"/>
      <c r="AL230" s="37"/>
      <c r="AM230" s="37"/>
      <c r="AN230" s="37"/>
      <c r="AO230" s="37"/>
      <c r="AP230" s="37"/>
      <c r="AQ230" s="37"/>
      <c r="AR230" s="37"/>
      <c r="AS230" s="37"/>
      <c r="AT230" s="38"/>
      <c r="AU230" s="1630"/>
      <c r="AV230" s="1342">
        <f t="shared" si="127"/>
        <v>0</v>
      </c>
      <c r="AW230" s="1342">
        <f t="shared" si="128"/>
        <v>0</v>
      </c>
      <c r="AX230" s="1342">
        <f t="shared" si="129"/>
        <v>0</v>
      </c>
      <c r="AY230" s="39">
        <f t="shared" si="130"/>
        <v>0</v>
      </c>
      <c r="AZ230" s="32">
        <f t="shared" si="131"/>
        <v>0</v>
      </c>
      <c r="BA230" s="32">
        <f t="shared" si="132"/>
        <v>0</v>
      </c>
      <c r="BB230" s="32">
        <f t="shared" si="133"/>
        <v>0</v>
      </c>
      <c r="BC230" s="32">
        <f t="shared" si="134"/>
        <v>0</v>
      </c>
      <c r="BD230" s="32">
        <f t="shared" si="135"/>
        <v>0</v>
      </c>
      <c r="BE230" s="32">
        <f t="shared" si="136"/>
        <v>0</v>
      </c>
      <c r="BF230" s="32">
        <f t="shared" si="137"/>
        <v>0</v>
      </c>
      <c r="BG230" s="32">
        <f t="shared" si="138"/>
        <v>0</v>
      </c>
      <c r="BH230" s="32">
        <f t="shared" si="139"/>
        <v>0</v>
      </c>
      <c r="BI230" s="32">
        <f t="shared" si="140"/>
        <v>0</v>
      </c>
      <c r="BJ230" s="32">
        <f t="shared" si="141"/>
        <v>0</v>
      </c>
      <c r="BK230" s="32">
        <f t="shared" si="142"/>
        <v>0</v>
      </c>
      <c r="BL230" s="32">
        <f t="shared" si="143"/>
        <v>0</v>
      </c>
      <c r="BM230" s="32">
        <f t="shared" si="144"/>
        <v>0</v>
      </c>
      <c r="BN230" s="32">
        <f t="shared" si="145"/>
        <v>0</v>
      </c>
      <c r="BO230" s="32">
        <f t="shared" si="146"/>
        <v>0</v>
      </c>
      <c r="BP230" s="32">
        <f t="shared" si="147"/>
        <v>0</v>
      </c>
      <c r="BQ230" s="32">
        <f t="shared" si="148"/>
        <v>0</v>
      </c>
      <c r="BR230" s="32">
        <f t="shared" si="149"/>
        <v>0</v>
      </c>
      <c r="BS230" s="32">
        <f t="shared" si="150"/>
        <v>0</v>
      </c>
      <c r="BT230" s="40">
        <f t="shared" si="151"/>
        <v>0</v>
      </c>
    </row>
    <row r="231" spans="1:72">
      <c r="A231" s="6"/>
      <c r="B231" s="31"/>
      <c r="C231" s="31"/>
      <c r="D231" s="1629"/>
      <c r="E231" s="32">
        <f t="shared" si="123"/>
        <v>0</v>
      </c>
      <c r="F231" s="33"/>
      <c r="G231" s="34">
        <f t="shared" si="124"/>
        <v>0</v>
      </c>
      <c r="H231" s="35">
        <f t="shared" si="125"/>
        <v>0</v>
      </c>
      <c r="I231" s="36"/>
      <c r="J231" s="36"/>
      <c r="K231" s="36"/>
      <c r="L231" s="36"/>
      <c r="M231" s="36"/>
      <c r="N231" s="36"/>
      <c r="O231" s="36"/>
      <c r="P231" s="36"/>
      <c r="Q231" s="36"/>
      <c r="R231" s="36"/>
      <c r="S231" s="36"/>
      <c r="T231" s="36"/>
      <c r="U231" s="36"/>
      <c r="V231" s="36"/>
      <c r="W231" s="36"/>
      <c r="X231" s="36"/>
      <c r="Y231" s="36"/>
      <c r="Z231" s="36"/>
      <c r="AA231" s="36"/>
      <c r="AB231" s="36"/>
      <c r="AC231" s="32">
        <f t="shared" si="126"/>
        <v>0</v>
      </c>
      <c r="AD231" s="37"/>
      <c r="AE231" s="37"/>
      <c r="AF231" s="37"/>
      <c r="AG231" s="37"/>
      <c r="AH231" s="37"/>
      <c r="AI231" s="37"/>
      <c r="AJ231" s="37"/>
      <c r="AK231" s="37"/>
      <c r="AL231" s="37"/>
      <c r="AM231" s="37"/>
      <c r="AN231" s="37"/>
      <c r="AO231" s="37"/>
      <c r="AP231" s="37"/>
      <c r="AQ231" s="37"/>
      <c r="AR231" s="37"/>
      <c r="AS231" s="37"/>
      <c r="AT231" s="38"/>
      <c r="AU231" s="1630"/>
      <c r="AV231" s="1342">
        <f t="shared" si="127"/>
        <v>0</v>
      </c>
      <c r="AW231" s="1342">
        <f t="shared" si="128"/>
        <v>0</v>
      </c>
      <c r="AX231" s="1342">
        <f t="shared" si="129"/>
        <v>0</v>
      </c>
      <c r="AY231" s="39">
        <f t="shared" si="130"/>
        <v>0</v>
      </c>
      <c r="AZ231" s="32">
        <f t="shared" si="131"/>
        <v>0</v>
      </c>
      <c r="BA231" s="32">
        <f t="shared" si="132"/>
        <v>0</v>
      </c>
      <c r="BB231" s="32">
        <f t="shared" si="133"/>
        <v>0</v>
      </c>
      <c r="BC231" s="32">
        <f t="shared" si="134"/>
        <v>0</v>
      </c>
      <c r="BD231" s="32">
        <f t="shared" si="135"/>
        <v>0</v>
      </c>
      <c r="BE231" s="32">
        <f t="shared" si="136"/>
        <v>0</v>
      </c>
      <c r="BF231" s="32">
        <f t="shared" si="137"/>
        <v>0</v>
      </c>
      <c r="BG231" s="32">
        <f t="shared" si="138"/>
        <v>0</v>
      </c>
      <c r="BH231" s="32">
        <f t="shared" si="139"/>
        <v>0</v>
      </c>
      <c r="BI231" s="32">
        <f t="shared" si="140"/>
        <v>0</v>
      </c>
      <c r="BJ231" s="32">
        <f t="shared" si="141"/>
        <v>0</v>
      </c>
      <c r="BK231" s="32">
        <f t="shared" si="142"/>
        <v>0</v>
      </c>
      <c r="BL231" s="32">
        <f t="shared" si="143"/>
        <v>0</v>
      </c>
      <c r="BM231" s="32">
        <f t="shared" si="144"/>
        <v>0</v>
      </c>
      <c r="BN231" s="32">
        <f t="shared" si="145"/>
        <v>0</v>
      </c>
      <c r="BO231" s="32">
        <f t="shared" si="146"/>
        <v>0</v>
      </c>
      <c r="BP231" s="32">
        <f t="shared" si="147"/>
        <v>0</v>
      </c>
      <c r="BQ231" s="32">
        <f t="shared" si="148"/>
        <v>0</v>
      </c>
      <c r="BR231" s="32">
        <f t="shared" si="149"/>
        <v>0</v>
      </c>
      <c r="BS231" s="32">
        <f t="shared" si="150"/>
        <v>0</v>
      </c>
      <c r="BT231" s="40">
        <f t="shared" si="151"/>
        <v>0</v>
      </c>
    </row>
    <row r="232" spans="1:72">
      <c r="A232" s="6"/>
      <c r="B232" s="31"/>
      <c r="C232" s="31"/>
      <c r="D232" s="1629"/>
      <c r="E232" s="32">
        <f t="shared" si="123"/>
        <v>0</v>
      </c>
      <c r="F232" s="33"/>
      <c r="G232" s="34">
        <f t="shared" si="124"/>
        <v>0</v>
      </c>
      <c r="H232" s="35">
        <f t="shared" si="125"/>
        <v>0</v>
      </c>
      <c r="I232" s="36"/>
      <c r="J232" s="36"/>
      <c r="K232" s="36"/>
      <c r="L232" s="36"/>
      <c r="M232" s="36"/>
      <c r="N232" s="36"/>
      <c r="O232" s="36"/>
      <c r="P232" s="36"/>
      <c r="Q232" s="36"/>
      <c r="R232" s="36"/>
      <c r="S232" s="36"/>
      <c r="T232" s="36"/>
      <c r="U232" s="36"/>
      <c r="V232" s="36"/>
      <c r="W232" s="36"/>
      <c r="X232" s="36"/>
      <c r="Y232" s="36"/>
      <c r="Z232" s="36"/>
      <c r="AA232" s="36"/>
      <c r="AB232" s="36"/>
      <c r="AC232" s="32">
        <f t="shared" si="126"/>
        <v>0</v>
      </c>
      <c r="AD232" s="37"/>
      <c r="AE232" s="37"/>
      <c r="AF232" s="37"/>
      <c r="AG232" s="37"/>
      <c r="AH232" s="37"/>
      <c r="AI232" s="37"/>
      <c r="AJ232" s="37"/>
      <c r="AK232" s="37"/>
      <c r="AL232" s="37"/>
      <c r="AM232" s="37"/>
      <c r="AN232" s="37"/>
      <c r="AO232" s="37"/>
      <c r="AP232" s="37"/>
      <c r="AQ232" s="37"/>
      <c r="AR232" s="37"/>
      <c r="AS232" s="37"/>
      <c r="AT232" s="38"/>
      <c r="AU232" s="1630"/>
      <c r="AV232" s="1342">
        <f t="shared" si="127"/>
        <v>0</v>
      </c>
      <c r="AW232" s="1342">
        <f t="shared" si="128"/>
        <v>0</v>
      </c>
      <c r="AX232" s="1342">
        <f t="shared" si="129"/>
        <v>0</v>
      </c>
      <c r="AY232" s="39">
        <f t="shared" si="130"/>
        <v>0</v>
      </c>
      <c r="AZ232" s="32">
        <f t="shared" si="131"/>
        <v>0</v>
      </c>
      <c r="BA232" s="32">
        <f t="shared" si="132"/>
        <v>0</v>
      </c>
      <c r="BB232" s="32">
        <f t="shared" si="133"/>
        <v>0</v>
      </c>
      <c r="BC232" s="32">
        <f t="shared" si="134"/>
        <v>0</v>
      </c>
      <c r="BD232" s="32">
        <f t="shared" si="135"/>
        <v>0</v>
      </c>
      <c r="BE232" s="32">
        <f t="shared" si="136"/>
        <v>0</v>
      </c>
      <c r="BF232" s="32">
        <f t="shared" si="137"/>
        <v>0</v>
      </c>
      <c r="BG232" s="32">
        <f t="shared" si="138"/>
        <v>0</v>
      </c>
      <c r="BH232" s="32">
        <f t="shared" si="139"/>
        <v>0</v>
      </c>
      <c r="BI232" s="32">
        <f t="shared" si="140"/>
        <v>0</v>
      </c>
      <c r="BJ232" s="32">
        <f t="shared" si="141"/>
        <v>0</v>
      </c>
      <c r="BK232" s="32">
        <f t="shared" si="142"/>
        <v>0</v>
      </c>
      <c r="BL232" s="32">
        <f t="shared" si="143"/>
        <v>0</v>
      </c>
      <c r="BM232" s="32">
        <f t="shared" si="144"/>
        <v>0</v>
      </c>
      <c r="BN232" s="32">
        <f t="shared" si="145"/>
        <v>0</v>
      </c>
      <c r="BO232" s="32">
        <f t="shared" si="146"/>
        <v>0</v>
      </c>
      <c r="BP232" s="32">
        <f t="shared" si="147"/>
        <v>0</v>
      </c>
      <c r="BQ232" s="32">
        <f t="shared" si="148"/>
        <v>0</v>
      </c>
      <c r="BR232" s="32">
        <f t="shared" si="149"/>
        <v>0</v>
      </c>
      <c r="BS232" s="32">
        <f t="shared" si="150"/>
        <v>0</v>
      </c>
      <c r="BT232" s="40">
        <f t="shared" si="151"/>
        <v>0</v>
      </c>
    </row>
    <row r="233" spans="1:72">
      <c r="A233" s="6"/>
      <c r="B233" s="31"/>
      <c r="C233" s="31"/>
      <c r="D233" s="1629"/>
      <c r="E233" s="32">
        <f t="shared" si="123"/>
        <v>0</v>
      </c>
      <c r="F233" s="33"/>
      <c r="G233" s="34">
        <f t="shared" si="124"/>
        <v>0</v>
      </c>
      <c r="H233" s="35">
        <f t="shared" si="125"/>
        <v>0</v>
      </c>
      <c r="I233" s="36"/>
      <c r="J233" s="36"/>
      <c r="K233" s="36"/>
      <c r="L233" s="36"/>
      <c r="M233" s="36"/>
      <c r="N233" s="36"/>
      <c r="O233" s="36"/>
      <c r="P233" s="36"/>
      <c r="Q233" s="36"/>
      <c r="R233" s="36"/>
      <c r="S233" s="36"/>
      <c r="T233" s="36"/>
      <c r="U233" s="36"/>
      <c r="V233" s="36"/>
      <c r="W233" s="36"/>
      <c r="X233" s="36"/>
      <c r="Y233" s="36"/>
      <c r="Z233" s="36"/>
      <c r="AA233" s="36"/>
      <c r="AB233" s="36"/>
      <c r="AC233" s="32">
        <f t="shared" si="126"/>
        <v>0</v>
      </c>
      <c r="AD233" s="37"/>
      <c r="AE233" s="37"/>
      <c r="AF233" s="37"/>
      <c r="AG233" s="37"/>
      <c r="AH233" s="37"/>
      <c r="AI233" s="37"/>
      <c r="AJ233" s="37"/>
      <c r="AK233" s="37"/>
      <c r="AL233" s="37"/>
      <c r="AM233" s="37"/>
      <c r="AN233" s="37"/>
      <c r="AO233" s="37"/>
      <c r="AP233" s="37"/>
      <c r="AQ233" s="37"/>
      <c r="AR233" s="37"/>
      <c r="AS233" s="37"/>
      <c r="AT233" s="38"/>
      <c r="AU233" s="1630"/>
      <c r="AV233" s="1342">
        <f t="shared" si="127"/>
        <v>0</v>
      </c>
      <c r="AW233" s="1342">
        <f t="shared" si="128"/>
        <v>0</v>
      </c>
      <c r="AX233" s="1342">
        <f t="shared" si="129"/>
        <v>0</v>
      </c>
      <c r="AY233" s="39">
        <f t="shared" si="130"/>
        <v>0</v>
      </c>
      <c r="AZ233" s="32">
        <f t="shared" si="131"/>
        <v>0</v>
      </c>
      <c r="BA233" s="32">
        <f t="shared" si="132"/>
        <v>0</v>
      </c>
      <c r="BB233" s="32">
        <f t="shared" si="133"/>
        <v>0</v>
      </c>
      <c r="BC233" s="32">
        <f t="shared" si="134"/>
        <v>0</v>
      </c>
      <c r="BD233" s="32">
        <f t="shared" si="135"/>
        <v>0</v>
      </c>
      <c r="BE233" s="32">
        <f t="shared" si="136"/>
        <v>0</v>
      </c>
      <c r="BF233" s="32">
        <f t="shared" si="137"/>
        <v>0</v>
      </c>
      <c r="BG233" s="32">
        <f t="shared" si="138"/>
        <v>0</v>
      </c>
      <c r="BH233" s="32">
        <f t="shared" si="139"/>
        <v>0</v>
      </c>
      <c r="BI233" s="32">
        <f t="shared" si="140"/>
        <v>0</v>
      </c>
      <c r="BJ233" s="32">
        <f t="shared" si="141"/>
        <v>0</v>
      </c>
      <c r="BK233" s="32">
        <f t="shared" si="142"/>
        <v>0</v>
      </c>
      <c r="BL233" s="32">
        <f t="shared" si="143"/>
        <v>0</v>
      </c>
      <c r="BM233" s="32">
        <f t="shared" si="144"/>
        <v>0</v>
      </c>
      <c r="BN233" s="32">
        <f t="shared" si="145"/>
        <v>0</v>
      </c>
      <c r="BO233" s="32">
        <f t="shared" si="146"/>
        <v>0</v>
      </c>
      <c r="BP233" s="32">
        <f t="shared" si="147"/>
        <v>0</v>
      </c>
      <c r="BQ233" s="32">
        <f t="shared" si="148"/>
        <v>0</v>
      </c>
      <c r="BR233" s="32">
        <f t="shared" si="149"/>
        <v>0</v>
      </c>
      <c r="BS233" s="32">
        <f t="shared" si="150"/>
        <v>0</v>
      </c>
      <c r="BT233" s="40">
        <f t="shared" si="151"/>
        <v>0</v>
      </c>
    </row>
    <row r="234" spans="1:72">
      <c r="A234" s="6"/>
      <c r="B234" s="31"/>
      <c r="C234" s="31"/>
      <c r="D234" s="1629"/>
      <c r="E234" s="32">
        <f t="shared" si="123"/>
        <v>0</v>
      </c>
      <c r="F234" s="33"/>
      <c r="G234" s="34">
        <f t="shared" si="124"/>
        <v>0</v>
      </c>
      <c r="H234" s="35">
        <f t="shared" si="125"/>
        <v>0</v>
      </c>
      <c r="I234" s="36"/>
      <c r="J234" s="36"/>
      <c r="K234" s="36"/>
      <c r="L234" s="36"/>
      <c r="M234" s="36"/>
      <c r="N234" s="36"/>
      <c r="O234" s="36"/>
      <c r="P234" s="36"/>
      <c r="Q234" s="36"/>
      <c r="R234" s="36"/>
      <c r="S234" s="36"/>
      <c r="T234" s="36"/>
      <c r="U234" s="36"/>
      <c r="V234" s="36"/>
      <c r="W234" s="36"/>
      <c r="X234" s="36"/>
      <c r="Y234" s="36"/>
      <c r="Z234" s="36"/>
      <c r="AA234" s="36"/>
      <c r="AB234" s="36"/>
      <c r="AC234" s="32">
        <f t="shared" si="126"/>
        <v>0</v>
      </c>
      <c r="AD234" s="37"/>
      <c r="AE234" s="37"/>
      <c r="AF234" s="37"/>
      <c r="AG234" s="37"/>
      <c r="AH234" s="37"/>
      <c r="AI234" s="37"/>
      <c r="AJ234" s="37"/>
      <c r="AK234" s="37"/>
      <c r="AL234" s="37"/>
      <c r="AM234" s="37"/>
      <c r="AN234" s="37"/>
      <c r="AO234" s="37"/>
      <c r="AP234" s="37"/>
      <c r="AQ234" s="37"/>
      <c r="AR234" s="37"/>
      <c r="AS234" s="37"/>
      <c r="AT234" s="38"/>
      <c r="AU234" s="1630"/>
      <c r="AV234" s="1342">
        <f t="shared" si="127"/>
        <v>0</v>
      </c>
      <c r="AW234" s="1342">
        <f t="shared" si="128"/>
        <v>0</v>
      </c>
      <c r="AX234" s="1342">
        <f t="shared" si="129"/>
        <v>0</v>
      </c>
      <c r="AY234" s="39">
        <f t="shared" si="130"/>
        <v>0</v>
      </c>
      <c r="AZ234" s="32">
        <f t="shared" si="131"/>
        <v>0</v>
      </c>
      <c r="BA234" s="32">
        <f t="shared" si="132"/>
        <v>0</v>
      </c>
      <c r="BB234" s="32">
        <f t="shared" si="133"/>
        <v>0</v>
      </c>
      <c r="BC234" s="32">
        <f t="shared" si="134"/>
        <v>0</v>
      </c>
      <c r="BD234" s="32">
        <f t="shared" si="135"/>
        <v>0</v>
      </c>
      <c r="BE234" s="32">
        <f t="shared" si="136"/>
        <v>0</v>
      </c>
      <c r="BF234" s="32">
        <f t="shared" si="137"/>
        <v>0</v>
      </c>
      <c r="BG234" s="32">
        <f t="shared" si="138"/>
        <v>0</v>
      </c>
      <c r="BH234" s="32">
        <f t="shared" si="139"/>
        <v>0</v>
      </c>
      <c r="BI234" s="32">
        <f t="shared" si="140"/>
        <v>0</v>
      </c>
      <c r="BJ234" s="32">
        <f t="shared" si="141"/>
        <v>0</v>
      </c>
      <c r="BK234" s="32">
        <f t="shared" si="142"/>
        <v>0</v>
      </c>
      <c r="BL234" s="32">
        <f t="shared" si="143"/>
        <v>0</v>
      </c>
      <c r="BM234" s="32">
        <f t="shared" si="144"/>
        <v>0</v>
      </c>
      <c r="BN234" s="32">
        <f t="shared" si="145"/>
        <v>0</v>
      </c>
      <c r="BO234" s="32">
        <f t="shared" si="146"/>
        <v>0</v>
      </c>
      <c r="BP234" s="32">
        <f t="shared" si="147"/>
        <v>0</v>
      </c>
      <c r="BQ234" s="32">
        <f t="shared" si="148"/>
        <v>0</v>
      </c>
      <c r="BR234" s="32">
        <f t="shared" si="149"/>
        <v>0</v>
      </c>
      <c r="BS234" s="32">
        <f t="shared" si="150"/>
        <v>0</v>
      </c>
      <c r="BT234" s="40">
        <f t="shared" si="151"/>
        <v>0</v>
      </c>
    </row>
    <row r="235" spans="1:72">
      <c r="A235" s="6"/>
      <c r="B235" s="31"/>
      <c r="C235" s="31"/>
      <c r="D235" s="1629"/>
      <c r="E235" s="32">
        <f t="shared" si="123"/>
        <v>0</v>
      </c>
      <c r="F235" s="33"/>
      <c r="G235" s="34">
        <f t="shared" si="124"/>
        <v>0</v>
      </c>
      <c r="H235" s="35">
        <f t="shared" si="125"/>
        <v>0</v>
      </c>
      <c r="I235" s="36"/>
      <c r="J235" s="36"/>
      <c r="K235" s="36"/>
      <c r="L235" s="36"/>
      <c r="M235" s="36"/>
      <c r="N235" s="36"/>
      <c r="O235" s="36"/>
      <c r="P235" s="36"/>
      <c r="Q235" s="36"/>
      <c r="R235" s="36"/>
      <c r="S235" s="36"/>
      <c r="T235" s="36"/>
      <c r="U235" s="36"/>
      <c r="V235" s="36"/>
      <c r="W235" s="36"/>
      <c r="X235" s="36"/>
      <c r="Y235" s="36"/>
      <c r="Z235" s="36"/>
      <c r="AA235" s="36"/>
      <c r="AB235" s="36"/>
      <c r="AC235" s="32">
        <f t="shared" si="126"/>
        <v>0</v>
      </c>
      <c r="AD235" s="37"/>
      <c r="AE235" s="37"/>
      <c r="AF235" s="37"/>
      <c r="AG235" s="37"/>
      <c r="AH235" s="37"/>
      <c r="AI235" s="37"/>
      <c r="AJ235" s="37"/>
      <c r="AK235" s="37"/>
      <c r="AL235" s="37"/>
      <c r="AM235" s="37"/>
      <c r="AN235" s="37"/>
      <c r="AO235" s="37"/>
      <c r="AP235" s="37"/>
      <c r="AQ235" s="37"/>
      <c r="AR235" s="37"/>
      <c r="AS235" s="37"/>
      <c r="AT235" s="38"/>
      <c r="AU235" s="1630"/>
      <c r="AV235" s="1342">
        <f t="shared" si="127"/>
        <v>0</v>
      </c>
      <c r="AW235" s="1342">
        <f t="shared" si="128"/>
        <v>0</v>
      </c>
      <c r="AX235" s="1342">
        <f t="shared" si="129"/>
        <v>0</v>
      </c>
      <c r="AY235" s="39">
        <f t="shared" si="130"/>
        <v>0</v>
      </c>
      <c r="AZ235" s="32">
        <f t="shared" si="131"/>
        <v>0</v>
      </c>
      <c r="BA235" s="32">
        <f t="shared" si="132"/>
        <v>0</v>
      </c>
      <c r="BB235" s="32">
        <f t="shared" si="133"/>
        <v>0</v>
      </c>
      <c r="BC235" s="32">
        <f t="shared" si="134"/>
        <v>0</v>
      </c>
      <c r="BD235" s="32">
        <f t="shared" si="135"/>
        <v>0</v>
      </c>
      <c r="BE235" s="32">
        <f t="shared" si="136"/>
        <v>0</v>
      </c>
      <c r="BF235" s="32">
        <f t="shared" si="137"/>
        <v>0</v>
      </c>
      <c r="BG235" s="32">
        <f t="shared" si="138"/>
        <v>0</v>
      </c>
      <c r="BH235" s="32">
        <f t="shared" si="139"/>
        <v>0</v>
      </c>
      <c r="BI235" s="32">
        <f t="shared" si="140"/>
        <v>0</v>
      </c>
      <c r="BJ235" s="32">
        <f t="shared" si="141"/>
        <v>0</v>
      </c>
      <c r="BK235" s="32">
        <f t="shared" si="142"/>
        <v>0</v>
      </c>
      <c r="BL235" s="32">
        <f t="shared" si="143"/>
        <v>0</v>
      </c>
      <c r="BM235" s="32">
        <f t="shared" si="144"/>
        <v>0</v>
      </c>
      <c r="BN235" s="32">
        <f t="shared" si="145"/>
        <v>0</v>
      </c>
      <c r="BO235" s="32">
        <f t="shared" si="146"/>
        <v>0</v>
      </c>
      <c r="BP235" s="32">
        <f t="shared" si="147"/>
        <v>0</v>
      </c>
      <c r="BQ235" s="32">
        <f t="shared" si="148"/>
        <v>0</v>
      </c>
      <c r="BR235" s="32">
        <f t="shared" si="149"/>
        <v>0</v>
      </c>
      <c r="BS235" s="32">
        <f t="shared" si="150"/>
        <v>0</v>
      </c>
      <c r="BT235" s="40">
        <f t="shared" si="151"/>
        <v>0</v>
      </c>
    </row>
    <row r="236" spans="1:72">
      <c r="A236" s="6"/>
      <c r="B236" s="31"/>
      <c r="C236" s="31"/>
      <c r="D236" s="1629"/>
      <c r="E236" s="32">
        <f t="shared" si="123"/>
        <v>0</v>
      </c>
      <c r="F236" s="33"/>
      <c r="G236" s="34">
        <f t="shared" si="124"/>
        <v>0</v>
      </c>
      <c r="H236" s="35">
        <f t="shared" si="125"/>
        <v>0</v>
      </c>
      <c r="I236" s="36"/>
      <c r="J236" s="36"/>
      <c r="K236" s="36"/>
      <c r="L236" s="36"/>
      <c r="M236" s="36"/>
      <c r="N236" s="36"/>
      <c r="O236" s="36"/>
      <c r="P236" s="36"/>
      <c r="Q236" s="36"/>
      <c r="R236" s="36"/>
      <c r="S236" s="36"/>
      <c r="T236" s="36"/>
      <c r="U236" s="36"/>
      <c r="V236" s="36"/>
      <c r="W236" s="36"/>
      <c r="X236" s="36"/>
      <c r="Y236" s="36"/>
      <c r="Z236" s="36"/>
      <c r="AA236" s="36"/>
      <c r="AB236" s="36"/>
      <c r="AC236" s="32">
        <f t="shared" si="126"/>
        <v>0</v>
      </c>
      <c r="AD236" s="37"/>
      <c r="AE236" s="37"/>
      <c r="AF236" s="37"/>
      <c r="AG236" s="37"/>
      <c r="AH236" s="37"/>
      <c r="AI236" s="37"/>
      <c r="AJ236" s="37"/>
      <c r="AK236" s="37"/>
      <c r="AL236" s="37"/>
      <c r="AM236" s="37"/>
      <c r="AN236" s="37"/>
      <c r="AO236" s="37"/>
      <c r="AP236" s="37"/>
      <c r="AQ236" s="37"/>
      <c r="AR236" s="37"/>
      <c r="AS236" s="37"/>
      <c r="AT236" s="38"/>
      <c r="AU236" s="1630"/>
      <c r="AV236" s="1342">
        <f t="shared" si="127"/>
        <v>0</v>
      </c>
      <c r="AW236" s="1342">
        <f t="shared" si="128"/>
        <v>0</v>
      </c>
      <c r="AX236" s="1342">
        <f t="shared" si="129"/>
        <v>0</v>
      </c>
      <c r="AY236" s="39">
        <f t="shared" si="130"/>
        <v>0</v>
      </c>
      <c r="AZ236" s="32">
        <f t="shared" si="131"/>
        <v>0</v>
      </c>
      <c r="BA236" s="32">
        <f t="shared" si="132"/>
        <v>0</v>
      </c>
      <c r="BB236" s="32">
        <f t="shared" si="133"/>
        <v>0</v>
      </c>
      <c r="BC236" s="32">
        <f t="shared" si="134"/>
        <v>0</v>
      </c>
      <c r="BD236" s="32">
        <f t="shared" si="135"/>
        <v>0</v>
      </c>
      <c r="BE236" s="32">
        <f t="shared" si="136"/>
        <v>0</v>
      </c>
      <c r="BF236" s="32">
        <f t="shared" si="137"/>
        <v>0</v>
      </c>
      <c r="BG236" s="32">
        <f t="shared" si="138"/>
        <v>0</v>
      </c>
      <c r="BH236" s="32">
        <f t="shared" si="139"/>
        <v>0</v>
      </c>
      <c r="BI236" s="32">
        <f t="shared" si="140"/>
        <v>0</v>
      </c>
      <c r="BJ236" s="32">
        <f t="shared" si="141"/>
        <v>0</v>
      </c>
      <c r="BK236" s="32">
        <f t="shared" si="142"/>
        <v>0</v>
      </c>
      <c r="BL236" s="32">
        <f t="shared" si="143"/>
        <v>0</v>
      </c>
      <c r="BM236" s="32">
        <f t="shared" si="144"/>
        <v>0</v>
      </c>
      <c r="BN236" s="32">
        <f t="shared" si="145"/>
        <v>0</v>
      </c>
      <c r="BO236" s="32">
        <f t="shared" si="146"/>
        <v>0</v>
      </c>
      <c r="BP236" s="32">
        <f t="shared" si="147"/>
        <v>0</v>
      </c>
      <c r="BQ236" s="32">
        <f t="shared" si="148"/>
        <v>0</v>
      </c>
      <c r="BR236" s="32">
        <f t="shared" si="149"/>
        <v>0</v>
      </c>
      <c r="BS236" s="32">
        <f t="shared" si="150"/>
        <v>0</v>
      </c>
      <c r="BT236" s="40">
        <f t="shared" si="151"/>
        <v>0</v>
      </c>
    </row>
    <row r="237" spans="1:72">
      <c r="A237" s="6"/>
      <c r="B237" s="31"/>
      <c r="C237" s="31"/>
      <c r="D237" s="1629"/>
      <c r="E237" s="32">
        <f t="shared" si="123"/>
        <v>0</v>
      </c>
      <c r="F237" s="33"/>
      <c r="G237" s="34">
        <f t="shared" si="124"/>
        <v>0</v>
      </c>
      <c r="H237" s="35">
        <f t="shared" si="125"/>
        <v>0</v>
      </c>
      <c r="I237" s="36"/>
      <c r="J237" s="36"/>
      <c r="K237" s="36"/>
      <c r="L237" s="36"/>
      <c r="M237" s="36"/>
      <c r="N237" s="36"/>
      <c r="O237" s="36"/>
      <c r="P237" s="36"/>
      <c r="Q237" s="36"/>
      <c r="R237" s="36"/>
      <c r="S237" s="36"/>
      <c r="T237" s="36"/>
      <c r="U237" s="36"/>
      <c r="V237" s="36"/>
      <c r="W237" s="36"/>
      <c r="X237" s="36"/>
      <c r="Y237" s="36"/>
      <c r="Z237" s="36"/>
      <c r="AA237" s="36"/>
      <c r="AB237" s="36"/>
      <c r="AC237" s="32">
        <f t="shared" si="126"/>
        <v>0</v>
      </c>
      <c r="AD237" s="37"/>
      <c r="AE237" s="37"/>
      <c r="AF237" s="37"/>
      <c r="AG237" s="37"/>
      <c r="AH237" s="37"/>
      <c r="AI237" s="37"/>
      <c r="AJ237" s="37"/>
      <c r="AK237" s="37"/>
      <c r="AL237" s="37"/>
      <c r="AM237" s="37"/>
      <c r="AN237" s="37"/>
      <c r="AO237" s="37"/>
      <c r="AP237" s="37"/>
      <c r="AQ237" s="37"/>
      <c r="AR237" s="37"/>
      <c r="AS237" s="37"/>
      <c r="AT237" s="38"/>
      <c r="AU237" s="1630"/>
      <c r="AV237" s="1342">
        <f t="shared" si="127"/>
        <v>0</v>
      </c>
      <c r="AW237" s="1342">
        <f t="shared" si="128"/>
        <v>0</v>
      </c>
      <c r="AX237" s="1342">
        <f t="shared" si="129"/>
        <v>0</v>
      </c>
      <c r="AY237" s="39">
        <f t="shared" si="130"/>
        <v>0</v>
      </c>
      <c r="AZ237" s="32">
        <f t="shared" si="131"/>
        <v>0</v>
      </c>
      <c r="BA237" s="32">
        <f t="shared" si="132"/>
        <v>0</v>
      </c>
      <c r="BB237" s="32">
        <f t="shared" si="133"/>
        <v>0</v>
      </c>
      <c r="BC237" s="32">
        <f t="shared" si="134"/>
        <v>0</v>
      </c>
      <c r="BD237" s="32">
        <f t="shared" si="135"/>
        <v>0</v>
      </c>
      <c r="BE237" s="32">
        <f t="shared" si="136"/>
        <v>0</v>
      </c>
      <c r="BF237" s="32">
        <f t="shared" si="137"/>
        <v>0</v>
      </c>
      <c r="BG237" s="32">
        <f t="shared" si="138"/>
        <v>0</v>
      </c>
      <c r="BH237" s="32">
        <f t="shared" si="139"/>
        <v>0</v>
      </c>
      <c r="BI237" s="32">
        <f t="shared" si="140"/>
        <v>0</v>
      </c>
      <c r="BJ237" s="32">
        <f t="shared" si="141"/>
        <v>0</v>
      </c>
      <c r="BK237" s="32">
        <f t="shared" si="142"/>
        <v>0</v>
      </c>
      <c r="BL237" s="32">
        <f t="shared" si="143"/>
        <v>0</v>
      </c>
      <c r="BM237" s="32">
        <f t="shared" si="144"/>
        <v>0</v>
      </c>
      <c r="BN237" s="32">
        <f t="shared" si="145"/>
        <v>0</v>
      </c>
      <c r="BO237" s="32">
        <f t="shared" si="146"/>
        <v>0</v>
      </c>
      <c r="BP237" s="32">
        <f t="shared" si="147"/>
        <v>0</v>
      </c>
      <c r="BQ237" s="32">
        <f t="shared" si="148"/>
        <v>0</v>
      </c>
      <c r="BR237" s="32">
        <f t="shared" si="149"/>
        <v>0</v>
      </c>
      <c r="BS237" s="32">
        <f t="shared" si="150"/>
        <v>0</v>
      </c>
      <c r="BT237" s="40">
        <f t="shared" si="151"/>
        <v>0</v>
      </c>
    </row>
    <row r="238" spans="1:72">
      <c r="A238" s="6"/>
      <c r="B238" s="31"/>
      <c r="C238" s="31"/>
      <c r="D238" s="1629"/>
      <c r="E238" s="32">
        <f t="shared" si="123"/>
        <v>0</v>
      </c>
      <c r="F238" s="33"/>
      <c r="G238" s="34">
        <f t="shared" si="124"/>
        <v>0</v>
      </c>
      <c r="H238" s="35">
        <f t="shared" si="125"/>
        <v>0</v>
      </c>
      <c r="I238" s="36"/>
      <c r="J238" s="36"/>
      <c r="K238" s="36"/>
      <c r="L238" s="36"/>
      <c r="M238" s="36"/>
      <c r="N238" s="36"/>
      <c r="O238" s="36"/>
      <c r="P238" s="36"/>
      <c r="Q238" s="36"/>
      <c r="R238" s="36"/>
      <c r="S238" s="36"/>
      <c r="T238" s="36"/>
      <c r="U238" s="36"/>
      <c r="V238" s="36"/>
      <c r="W238" s="36"/>
      <c r="X238" s="36"/>
      <c r="Y238" s="36"/>
      <c r="Z238" s="36"/>
      <c r="AA238" s="36"/>
      <c r="AB238" s="36"/>
      <c r="AC238" s="32">
        <f t="shared" si="126"/>
        <v>0</v>
      </c>
      <c r="AD238" s="37"/>
      <c r="AE238" s="37"/>
      <c r="AF238" s="37"/>
      <c r="AG238" s="37"/>
      <c r="AH238" s="37"/>
      <c r="AI238" s="37"/>
      <c r="AJ238" s="37"/>
      <c r="AK238" s="37"/>
      <c r="AL238" s="37"/>
      <c r="AM238" s="37"/>
      <c r="AN238" s="37"/>
      <c r="AO238" s="37"/>
      <c r="AP238" s="37"/>
      <c r="AQ238" s="37"/>
      <c r="AR238" s="37"/>
      <c r="AS238" s="37"/>
      <c r="AT238" s="38"/>
      <c r="AU238" s="1630"/>
      <c r="AV238" s="1342">
        <f t="shared" si="127"/>
        <v>0</v>
      </c>
      <c r="AW238" s="1342">
        <f t="shared" si="128"/>
        <v>0</v>
      </c>
      <c r="AX238" s="1342">
        <f t="shared" si="129"/>
        <v>0</v>
      </c>
      <c r="AY238" s="39">
        <f t="shared" si="130"/>
        <v>0</v>
      </c>
      <c r="AZ238" s="32">
        <f t="shared" si="131"/>
        <v>0</v>
      </c>
      <c r="BA238" s="32">
        <f t="shared" si="132"/>
        <v>0</v>
      </c>
      <c r="BB238" s="32">
        <f t="shared" si="133"/>
        <v>0</v>
      </c>
      <c r="BC238" s="32">
        <f t="shared" si="134"/>
        <v>0</v>
      </c>
      <c r="BD238" s="32">
        <f t="shared" si="135"/>
        <v>0</v>
      </c>
      <c r="BE238" s="32">
        <f t="shared" si="136"/>
        <v>0</v>
      </c>
      <c r="BF238" s="32">
        <f t="shared" si="137"/>
        <v>0</v>
      </c>
      <c r="BG238" s="32">
        <f t="shared" si="138"/>
        <v>0</v>
      </c>
      <c r="BH238" s="32">
        <f t="shared" si="139"/>
        <v>0</v>
      </c>
      <c r="BI238" s="32">
        <f t="shared" si="140"/>
        <v>0</v>
      </c>
      <c r="BJ238" s="32">
        <f t="shared" si="141"/>
        <v>0</v>
      </c>
      <c r="BK238" s="32">
        <f t="shared" si="142"/>
        <v>0</v>
      </c>
      <c r="BL238" s="32">
        <f t="shared" si="143"/>
        <v>0</v>
      </c>
      <c r="BM238" s="32">
        <f t="shared" si="144"/>
        <v>0</v>
      </c>
      <c r="BN238" s="32">
        <f t="shared" si="145"/>
        <v>0</v>
      </c>
      <c r="BO238" s="32">
        <f t="shared" si="146"/>
        <v>0</v>
      </c>
      <c r="BP238" s="32">
        <f t="shared" si="147"/>
        <v>0</v>
      </c>
      <c r="BQ238" s="32">
        <f t="shared" si="148"/>
        <v>0</v>
      </c>
      <c r="BR238" s="32">
        <f t="shared" si="149"/>
        <v>0</v>
      </c>
      <c r="BS238" s="32">
        <f t="shared" si="150"/>
        <v>0</v>
      </c>
      <c r="BT238" s="40">
        <f t="shared" si="151"/>
        <v>0</v>
      </c>
    </row>
    <row r="239" spans="1:72">
      <c r="A239" s="6"/>
      <c r="B239" s="31"/>
      <c r="C239" s="31"/>
      <c r="D239" s="1629"/>
      <c r="E239" s="32">
        <f t="shared" si="123"/>
        <v>0</v>
      </c>
      <c r="F239" s="33"/>
      <c r="G239" s="34">
        <f t="shared" si="124"/>
        <v>0</v>
      </c>
      <c r="H239" s="35">
        <f t="shared" si="125"/>
        <v>0</v>
      </c>
      <c r="I239" s="36"/>
      <c r="J239" s="36"/>
      <c r="K239" s="36"/>
      <c r="L239" s="36"/>
      <c r="M239" s="36"/>
      <c r="N239" s="36"/>
      <c r="O239" s="36"/>
      <c r="P239" s="36"/>
      <c r="Q239" s="36"/>
      <c r="R239" s="36"/>
      <c r="S239" s="36"/>
      <c r="T239" s="36"/>
      <c r="U239" s="36"/>
      <c r="V239" s="36"/>
      <c r="W239" s="36"/>
      <c r="X239" s="36"/>
      <c r="Y239" s="36"/>
      <c r="Z239" s="36"/>
      <c r="AA239" s="36"/>
      <c r="AB239" s="36"/>
      <c r="AC239" s="32">
        <f t="shared" si="126"/>
        <v>0</v>
      </c>
      <c r="AD239" s="37"/>
      <c r="AE239" s="37"/>
      <c r="AF239" s="37"/>
      <c r="AG239" s="37"/>
      <c r="AH239" s="37"/>
      <c r="AI239" s="37"/>
      <c r="AJ239" s="37"/>
      <c r="AK239" s="37"/>
      <c r="AL239" s="37"/>
      <c r="AM239" s="37"/>
      <c r="AN239" s="37"/>
      <c r="AO239" s="37"/>
      <c r="AP239" s="37"/>
      <c r="AQ239" s="37"/>
      <c r="AR239" s="37"/>
      <c r="AS239" s="37"/>
      <c r="AT239" s="38"/>
      <c r="AU239" s="1630"/>
      <c r="AV239" s="1342">
        <f t="shared" si="127"/>
        <v>0</v>
      </c>
      <c r="AW239" s="1342">
        <f t="shared" si="128"/>
        <v>0</v>
      </c>
      <c r="AX239" s="1342">
        <f t="shared" si="129"/>
        <v>0</v>
      </c>
      <c r="AY239" s="39">
        <f t="shared" si="130"/>
        <v>0</v>
      </c>
      <c r="AZ239" s="32">
        <f t="shared" si="131"/>
        <v>0</v>
      </c>
      <c r="BA239" s="32">
        <f t="shared" si="132"/>
        <v>0</v>
      </c>
      <c r="BB239" s="32">
        <f t="shared" si="133"/>
        <v>0</v>
      </c>
      <c r="BC239" s="32">
        <f t="shared" si="134"/>
        <v>0</v>
      </c>
      <c r="BD239" s="32">
        <f t="shared" si="135"/>
        <v>0</v>
      </c>
      <c r="BE239" s="32">
        <f t="shared" si="136"/>
        <v>0</v>
      </c>
      <c r="BF239" s="32">
        <f t="shared" si="137"/>
        <v>0</v>
      </c>
      <c r="BG239" s="32">
        <f t="shared" si="138"/>
        <v>0</v>
      </c>
      <c r="BH239" s="32">
        <f t="shared" si="139"/>
        <v>0</v>
      </c>
      <c r="BI239" s="32">
        <f t="shared" si="140"/>
        <v>0</v>
      </c>
      <c r="BJ239" s="32">
        <f t="shared" si="141"/>
        <v>0</v>
      </c>
      <c r="BK239" s="32">
        <f t="shared" si="142"/>
        <v>0</v>
      </c>
      <c r="BL239" s="32">
        <f t="shared" si="143"/>
        <v>0</v>
      </c>
      <c r="BM239" s="32">
        <f t="shared" si="144"/>
        <v>0</v>
      </c>
      <c r="BN239" s="32">
        <f t="shared" si="145"/>
        <v>0</v>
      </c>
      <c r="BO239" s="32">
        <f t="shared" si="146"/>
        <v>0</v>
      </c>
      <c r="BP239" s="32">
        <f t="shared" si="147"/>
        <v>0</v>
      </c>
      <c r="BQ239" s="32">
        <f t="shared" si="148"/>
        <v>0</v>
      </c>
      <c r="BR239" s="32">
        <f t="shared" si="149"/>
        <v>0</v>
      </c>
      <c r="BS239" s="32">
        <f t="shared" si="150"/>
        <v>0</v>
      </c>
      <c r="BT239" s="40">
        <f t="shared" si="151"/>
        <v>0</v>
      </c>
    </row>
    <row r="240" spans="1:72">
      <c r="A240" s="6"/>
      <c r="B240" s="31"/>
      <c r="C240" s="31"/>
      <c r="D240" s="1629"/>
      <c r="E240" s="32">
        <f t="shared" si="123"/>
        <v>0</v>
      </c>
      <c r="F240" s="33"/>
      <c r="G240" s="34">
        <f t="shared" si="124"/>
        <v>0</v>
      </c>
      <c r="H240" s="35">
        <f t="shared" si="125"/>
        <v>0</v>
      </c>
      <c r="I240" s="36"/>
      <c r="J240" s="36"/>
      <c r="K240" s="36"/>
      <c r="L240" s="36"/>
      <c r="M240" s="36"/>
      <c r="N240" s="36"/>
      <c r="O240" s="36"/>
      <c r="P240" s="36"/>
      <c r="Q240" s="36"/>
      <c r="R240" s="36"/>
      <c r="S240" s="36"/>
      <c r="T240" s="36"/>
      <c r="U240" s="36"/>
      <c r="V240" s="36"/>
      <c r="W240" s="36"/>
      <c r="X240" s="36"/>
      <c r="Y240" s="36"/>
      <c r="Z240" s="36"/>
      <c r="AA240" s="36"/>
      <c r="AB240" s="36"/>
      <c r="AC240" s="32">
        <f t="shared" si="126"/>
        <v>0</v>
      </c>
      <c r="AD240" s="37"/>
      <c r="AE240" s="37"/>
      <c r="AF240" s="37"/>
      <c r="AG240" s="37"/>
      <c r="AH240" s="37"/>
      <c r="AI240" s="37"/>
      <c r="AJ240" s="37"/>
      <c r="AK240" s="37"/>
      <c r="AL240" s="37"/>
      <c r="AM240" s="37"/>
      <c r="AN240" s="37"/>
      <c r="AO240" s="37"/>
      <c r="AP240" s="37"/>
      <c r="AQ240" s="37"/>
      <c r="AR240" s="37"/>
      <c r="AS240" s="37"/>
      <c r="AT240" s="38"/>
      <c r="AU240" s="1630"/>
      <c r="AV240" s="1342">
        <f t="shared" si="127"/>
        <v>0</v>
      </c>
      <c r="AW240" s="1342">
        <f t="shared" si="128"/>
        <v>0</v>
      </c>
      <c r="AX240" s="1342">
        <f t="shared" si="129"/>
        <v>0</v>
      </c>
      <c r="AY240" s="39">
        <f t="shared" si="130"/>
        <v>0</v>
      </c>
      <c r="AZ240" s="32">
        <f t="shared" si="131"/>
        <v>0</v>
      </c>
      <c r="BA240" s="32">
        <f t="shared" si="132"/>
        <v>0</v>
      </c>
      <c r="BB240" s="32">
        <f t="shared" si="133"/>
        <v>0</v>
      </c>
      <c r="BC240" s="32">
        <f t="shared" si="134"/>
        <v>0</v>
      </c>
      <c r="BD240" s="32">
        <f t="shared" si="135"/>
        <v>0</v>
      </c>
      <c r="BE240" s="32">
        <f t="shared" si="136"/>
        <v>0</v>
      </c>
      <c r="BF240" s="32">
        <f t="shared" si="137"/>
        <v>0</v>
      </c>
      <c r="BG240" s="32">
        <f t="shared" si="138"/>
        <v>0</v>
      </c>
      <c r="BH240" s="32">
        <f t="shared" si="139"/>
        <v>0</v>
      </c>
      <c r="BI240" s="32">
        <f t="shared" si="140"/>
        <v>0</v>
      </c>
      <c r="BJ240" s="32">
        <f t="shared" si="141"/>
        <v>0</v>
      </c>
      <c r="BK240" s="32">
        <f t="shared" si="142"/>
        <v>0</v>
      </c>
      <c r="BL240" s="32">
        <f t="shared" si="143"/>
        <v>0</v>
      </c>
      <c r="BM240" s="32">
        <f t="shared" si="144"/>
        <v>0</v>
      </c>
      <c r="BN240" s="32">
        <f t="shared" si="145"/>
        <v>0</v>
      </c>
      <c r="BO240" s="32">
        <f t="shared" si="146"/>
        <v>0</v>
      </c>
      <c r="BP240" s="32">
        <f t="shared" si="147"/>
        <v>0</v>
      </c>
      <c r="BQ240" s="32">
        <f t="shared" si="148"/>
        <v>0</v>
      </c>
      <c r="BR240" s="32">
        <f t="shared" si="149"/>
        <v>0</v>
      </c>
      <c r="BS240" s="32">
        <f t="shared" si="150"/>
        <v>0</v>
      </c>
      <c r="BT240" s="40">
        <f t="shared" si="151"/>
        <v>0</v>
      </c>
    </row>
    <row r="241" spans="1:72">
      <c r="A241" s="6"/>
      <c r="B241" s="31"/>
      <c r="C241" s="31"/>
      <c r="D241" s="1629"/>
      <c r="E241" s="32">
        <f t="shared" si="123"/>
        <v>0</v>
      </c>
      <c r="F241" s="33"/>
      <c r="G241" s="34">
        <f t="shared" si="124"/>
        <v>0</v>
      </c>
      <c r="H241" s="35">
        <f t="shared" si="125"/>
        <v>0</v>
      </c>
      <c r="I241" s="36"/>
      <c r="J241" s="36"/>
      <c r="K241" s="36"/>
      <c r="L241" s="36"/>
      <c r="M241" s="36"/>
      <c r="N241" s="36"/>
      <c r="O241" s="36"/>
      <c r="P241" s="36"/>
      <c r="Q241" s="36"/>
      <c r="R241" s="36"/>
      <c r="S241" s="36"/>
      <c r="T241" s="36"/>
      <c r="U241" s="36"/>
      <c r="V241" s="36"/>
      <c r="W241" s="36"/>
      <c r="X241" s="36"/>
      <c r="Y241" s="36"/>
      <c r="Z241" s="36"/>
      <c r="AA241" s="36"/>
      <c r="AB241" s="36"/>
      <c r="AC241" s="32">
        <f t="shared" si="126"/>
        <v>0</v>
      </c>
      <c r="AD241" s="37"/>
      <c r="AE241" s="37"/>
      <c r="AF241" s="37"/>
      <c r="AG241" s="37"/>
      <c r="AH241" s="37"/>
      <c r="AI241" s="37"/>
      <c r="AJ241" s="37"/>
      <c r="AK241" s="37"/>
      <c r="AL241" s="37"/>
      <c r="AM241" s="37"/>
      <c r="AN241" s="37"/>
      <c r="AO241" s="37"/>
      <c r="AP241" s="37"/>
      <c r="AQ241" s="37"/>
      <c r="AR241" s="37"/>
      <c r="AS241" s="37"/>
      <c r="AT241" s="38"/>
      <c r="AU241" s="1630"/>
      <c r="AV241" s="1342">
        <f t="shared" si="127"/>
        <v>0</v>
      </c>
      <c r="AW241" s="1342">
        <f t="shared" si="128"/>
        <v>0</v>
      </c>
      <c r="AX241" s="1342">
        <f t="shared" si="129"/>
        <v>0</v>
      </c>
      <c r="AY241" s="39">
        <f t="shared" si="130"/>
        <v>0</v>
      </c>
      <c r="AZ241" s="32">
        <f t="shared" si="131"/>
        <v>0</v>
      </c>
      <c r="BA241" s="32">
        <f t="shared" si="132"/>
        <v>0</v>
      </c>
      <c r="BB241" s="32">
        <f t="shared" si="133"/>
        <v>0</v>
      </c>
      <c r="BC241" s="32">
        <f t="shared" si="134"/>
        <v>0</v>
      </c>
      <c r="BD241" s="32">
        <f t="shared" si="135"/>
        <v>0</v>
      </c>
      <c r="BE241" s="32">
        <f t="shared" si="136"/>
        <v>0</v>
      </c>
      <c r="BF241" s="32">
        <f t="shared" si="137"/>
        <v>0</v>
      </c>
      <c r="BG241" s="32">
        <f t="shared" si="138"/>
        <v>0</v>
      </c>
      <c r="BH241" s="32">
        <f t="shared" si="139"/>
        <v>0</v>
      </c>
      <c r="BI241" s="32">
        <f t="shared" si="140"/>
        <v>0</v>
      </c>
      <c r="BJ241" s="32">
        <f t="shared" si="141"/>
        <v>0</v>
      </c>
      <c r="BK241" s="32">
        <f t="shared" si="142"/>
        <v>0</v>
      </c>
      <c r="BL241" s="32">
        <f t="shared" si="143"/>
        <v>0</v>
      </c>
      <c r="BM241" s="32">
        <f t="shared" si="144"/>
        <v>0</v>
      </c>
      <c r="BN241" s="32">
        <f t="shared" si="145"/>
        <v>0</v>
      </c>
      <c r="BO241" s="32">
        <f t="shared" si="146"/>
        <v>0</v>
      </c>
      <c r="BP241" s="32">
        <f t="shared" si="147"/>
        <v>0</v>
      </c>
      <c r="BQ241" s="32">
        <f t="shared" si="148"/>
        <v>0</v>
      </c>
      <c r="BR241" s="32">
        <f t="shared" si="149"/>
        <v>0</v>
      </c>
      <c r="BS241" s="32">
        <f t="shared" si="150"/>
        <v>0</v>
      </c>
      <c r="BT241" s="40">
        <f t="shared" si="151"/>
        <v>0</v>
      </c>
    </row>
    <row r="242" spans="1:72">
      <c r="A242" s="6"/>
      <c r="B242" s="31"/>
      <c r="C242" s="31"/>
      <c r="D242" s="1629"/>
      <c r="E242" s="32">
        <f t="shared" si="123"/>
        <v>0</v>
      </c>
      <c r="F242" s="33"/>
      <c r="G242" s="34">
        <f t="shared" si="124"/>
        <v>0</v>
      </c>
      <c r="H242" s="35">
        <f t="shared" si="125"/>
        <v>0</v>
      </c>
      <c r="I242" s="36"/>
      <c r="J242" s="36"/>
      <c r="K242" s="36"/>
      <c r="L242" s="36"/>
      <c r="M242" s="36"/>
      <c r="N242" s="36"/>
      <c r="O242" s="36"/>
      <c r="P242" s="36"/>
      <c r="Q242" s="36"/>
      <c r="R242" s="36"/>
      <c r="S242" s="36"/>
      <c r="T242" s="36"/>
      <c r="U242" s="36"/>
      <c r="V242" s="36"/>
      <c r="W242" s="36"/>
      <c r="X242" s="36"/>
      <c r="Y242" s="36"/>
      <c r="Z242" s="36"/>
      <c r="AA242" s="36"/>
      <c r="AB242" s="36"/>
      <c r="AC242" s="32">
        <f t="shared" si="126"/>
        <v>0</v>
      </c>
      <c r="AD242" s="37"/>
      <c r="AE242" s="37"/>
      <c r="AF242" s="37"/>
      <c r="AG242" s="37"/>
      <c r="AH242" s="37"/>
      <c r="AI242" s="37"/>
      <c r="AJ242" s="37"/>
      <c r="AK242" s="37"/>
      <c r="AL242" s="37"/>
      <c r="AM242" s="37"/>
      <c r="AN242" s="37"/>
      <c r="AO242" s="37"/>
      <c r="AP242" s="37"/>
      <c r="AQ242" s="37"/>
      <c r="AR242" s="37"/>
      <c r="AS242" s="37"/>
      <c r="AT242" s="38"/>
      <c r="AU242" s="1630"/>
      <c r="AV242" s="1342">
        <f t="shared" si="127"/>
        <v>0</v>
      </c>
      <c r="AW242" s="1342">
        <f t="shared" si="128"/>
        <v>0</v>
      </c>
      <c r="AX242" s="1342">
        <f t="shared" si="129"/>
        <v>0</v>
      </c>
      <c r="AY242" s="39">
        <f t="shared" si="130"/>
        <v>0</v>
      </c>
      <c r="AZ242" s="32">
        <f t="shared" si="131"/>
        <v>0</v>
      </c>
      <c r="BA242" s="32">
        <f t="shared" si="132"/>
        <v>0</v>
      </c>
      <c r="BB242" s="32">
        <f t="shared" si="133"/>
        <v>0</v>
      </c>
      <c r="BC242" s="32">
        <f t="shared" si="134"/>
        <v>0</v>
      </c>
      <c r="BD242" s="32">
        <f t="shared" si="135"/>
        <v>0</v>
      </c>
      <c r="BE242" s="32">
        <f t="shared" si="136"/>
        <v>0</v>
      </c>
      <c r="BF242" s="32">
        <f t="shared" si="137"/>
        <v>0</v>
      </c>
      <c r="BG242" s="32">
        <f t="shared" si="138"/>
        <v>0</v>
      </c>
      <c r="BH242" s="32">
        <f t="shared" si="139"/>
        <v>0</v>
      </c>
      <c r="BI242" s="32">
        <f t="shared" si="140"/>
        <v>0</v>
      </c>
      <c r="BJ242" s="32">
        <f t="shared" si="141"/>
        <v>0</v>
      </c>
      <c r="BK242" s="32">
        <f t="shared" si="142"/>
        <v>0</v>
      </c>
      <c r="BL242" s="32">
        <f t="shared" si="143"/>
        <v>0</v>
      </c>
      <c r="BM242" s="32">
        <f t="shared" si="144"/>
        <v>0</v>
      </c>
      <c r="BN242" s="32">
        <f t="shared" si="145"/>
        <v>0</v>
      </c>
      <c r="BO242" s="32">
        <f t="shared" si="146"/>
        <v>0</v>
      </c>
      <c r="BP242" s="32">
        <f t="shared" si="147"/>
        <v>0</v>
      </c>
      <c r="BQ242" s="32">
        <f t="shared" si="148"/>
        <v>0</v>
      </c>
      <c r="BR242" s="32">
        <f t="shared" si="149"/>
        <v>0</v>
      </c>
      <c r="BS242" s="32">
        <f t="shared" si="150"/>
        <v>0</v>
      </c>
      <c r="BT242" s="40">
        <f t="shared" si="151"/>
        <v>0</v>
      </c>
    </row>
    <row r="243" spans="1:72">
      <c r="A243" s="6"/>
      <c r="B243" s="31"/>
      <c r="C243" s="31"/>
      <c r="D243" s="1629"/>
      <c r="E243" s="32">
        <f t="shared" si="123"/>
        <v>0</v>
      </c>
      <c r="F243" s="33"/>
      <c r="G243" s="34">
        <f t="shared" si="124"/>
        <v>0</v>
      </c>
      <c r="H243" s="35">
        <f t="shared" si="125"/>
        <v>0</v>
      </c>
      <c r="I243" s="36"/>
      <c r="J243" s="36"/>
      <c r="K243" s="36"/>
      <c r="L243" s="36"/>
      <c r="M243" s="36"/>
      <c r="N243" s="36"/>
      <c r="O243" s="36"/>
      <c r="P243" s="36"/>
      <c r="Q243" s="36"/>
      <c r="R243" s="36"/>
      <c r="S243" s="36"/>
      <c r="T243" s="36"/>
      <c r="U243" s="36"/>
      <c r="V243" s="36"/>
      <c r="W243" s="36"/>
      <c r="X243" s="36"/>
      <c r="Y243" s="36"/>
      <c r="Z243" s="36"/>
      <c r="AA243" s="36"/>
      <c r="AB243" s="36"/>
      <c r="AC243" s="32">
        <f t="shared" si="126"/>
        <v>0</v>
      </c>
      <c r="AD243" s="37"/>
      <c r="AE243" s="37"/>
      <c r="AF243" s="37"/>
      <c r="AG243" s="37"/>
      <c r="AH243" s="37"/>
      <c r="AI243" s="37"/>
      <c r="AJ243" s="37"/>
      <c r="AK243" s="37"/>
      <c r="AL243" s="37"/>
      <c r="AM243" s="37"/>
      <c r="AN243" s="37"/>
      <c r="AO243" s="37"/>
      <c r="AP243" s="37"/>
      <c r="AQ243" s="37"/>
      <c r="AR243" s="37"/>
      <c r="AS243" s="37"/>
      <c r="AT243" s="38"/>
      <c r="AU243" s="1630"/>
      <c r="AV243" s="1342">
        <f t="shared" si="127"/>
        <v>0</v>
      </c>
      <c r="AW243" s="1342">
        <f t="shared" si="128"/>
        <v>0</v>
      </c>
      <c r="AX243" s="1342">
        <f t="shared" si="129"/>
        <v>0</v>
      </c>
      <c r="AY243" s="39">
        <f t="shared" si="130"/>
        <v>0</v>
      </c>
      <c r="AZ243" s="32">
        <f t="shared" si="131"/>
        <v>0</v>
      </c>
      <c r="BA243" s="32">
        <f t="shared" si="132"/>
        <v>0</v>
      </c>
      <c r="BB243" s="32">
        <f t="shared" si="133"/>
        <v>0</v>
      </c>
      <c r="BC243" s="32">
        <f t="shared" si="134"/>
        <v>0</v>
      </c>
      <c r="BD243" s="32">
        <f t="shared" si="135"/>
        <v>0</v>
      </c>
      <c r="BE243" s="32">
        <f t="shared" si="136"/>
        <v>0</v>
      </c>
      <c r="BF243" s="32">
        <f t="shared" si="137"/>
        <v>0</v>
      </c>
      <c r="BG243" s="32">
        <f t="shared" si="138"/>
        <v>0</v>
      </c>
      <c r="BH243" s="32">
        <f t="shared" si="139"/>
        <v>0</v>
      </c>
      <c r="BI243" s="32">
        <f t="shared" si="140"/>
        <v>0</v>
      </c>
      <c r="BJ243" s="32">
        <f t="shared" si="141"/>
        <v>0</v>
      </c>
      <c r="BK243" s="32">
        <f t="shared" si="142"/>
        <v>0</v>
      </c>
      <c r="BL243" s="32">
        <f t="shared" si="143"/>
        <v>0</v>
      </c>
      <c r="BM243" s="32">
        <f t="shared" si="144"/>
        <v>0</v>
      </c>
      <c r="BN243" s="32">
        <f t="shared" si="145"/>
        <v>0</v>
      </c>
      <c r="BO243" s="32">
        <f t="shared" si="146"/>
        <v>0</v>
      </c>
      <c r="BP243" s="32">
        <f t="shared" si="147"/>
        <v>0</v>
      </c>
      <c r="BQ243" s="32">
        <f t="shared" si="148"/>
        <v>0</v>
      </c>
      <c r="BR243" s="32">
        <f t="shared" si="149"/>
        <v>0</v>
      </c>
      <c r="BS243" s="32">
        <f t="shared" si="150"/>
        <v>0</v>
      </c>
      <c r="BT243" s="40">
        <f t="shared" si="151"/>
        <v>0</v>
      </c>
    </row>
    <row r="244" spans="1:72">
      <c r="A244" s="6"/>
      <c r="B244" s="31"/>
      <c r="C244" s="31"/>
      <c r="D244" s="1629"/>
      <c r="E244" s="32">
        <f t="shared" si="123"/>
        <v>0</v>
      </c>
      <c r="F244" s="33"/>
      <c r="G244" s="34">
        <f t="shared" si="124"/>
        <v>0</v>
      </c>
      <c r="H244" s="35">
        <f t="shared" si="125"/>
        <v>0</v>
      </c>
      <c r="I244" s="36"/>
      <c r="J244" s="36"/>
      <c r="K244" s="36"/>
      <c r="L244" s="36"/>
      <c r="M244" s="36"/>
      <c r="N244" s="36"/>
      <c r="O244" s="36"/>
      <c r="P244" s="36"/>
      <c r="Q244" s="36"/>
      <c r="R244" s="36"/>
      <c r="S244" s="36"/>
      <c r="T244" s="36"/>
      <c r="U244" s="36"/>
      <c r="V244" s="36"/>
      <c r="W244" s="36"/>
      <c r="X244" s="36"/>
      <c r="Y244" s="36"/>
      <c r="Z244" s="36"/>
      <c r="AA244" s="36"/>
      <c r="AB244" s="36"/>
      <c r="AC244" s="32">
        <f t="shared" si="126"/>
        <v>0</v>
      </c>
      <c r="AD244" s="37"/>
      <c r="AE244" s="37"/>
      <c r="AF244" s="37"/>
      <c r="AG244" s="37"/>
      <c r="AH244" s="37"/>
      <c r="AI244" s="37"/>
      <c r="AJ244" s="37"/>
      <c r="AK244" s="37"/>
      <c r="AL244" s="37"/>
      <c r="AM244" s="37"/>
      <c r="AN244" s="37"/>
      <c r="AO244" s="37"/>
      <c r="AP244" s="37"/>
      <c r="AQ244" s="37"/>
      <c r="AR244" s="37"/>
      <c r="AS244" s="37"/>
      <c r="AT244" s="38"/>
      <c r="AU244" s="1630"/>
      <c r="AV244" s="1342">
        <f t="shared" si="127"/>
        <v>0</v>
      </c>
      <c r="AW244" s="1342">
        <f t="shared" si="128"/>
        <v>0</v>
      </c>
      <c r="AX244" s="1342">
        <f t="shared" si="129"/>
        <v>0</v>
      </c>
      <c r="AY244" s="39">
        <f t="shared" si="130"/>
        <v>0</v>
      </c>
      <c r="AZ244" s="32">
        <f t="shared" si="131"/>
        <v>0</v>
      </c>
      <c r="BA244" s="32">
        <f t="shared" si="132"/>
        <v>0</v>
      </c>
      <c r="BB244" s="32">
        <f t="shared" si="133"/>
        <v>0</v>
      </c>
      <c r="BC244" s="32">
        <f t="shared" si="134"/>
        <v>0</v>
      </c>
      <c r="BD244" s="32">
        <f t="shared" si="135"/>
        <v>0</v>
      </c>
      <c r="BE244" s="32">
        <f t="shared" si="136"/>
        <v>0</v>
      </c>
      <c r="BF244" s="32">
        <f t="shared" si="137"/>
        <v>0</v>
      </c>
      <c r="BG244" s="32">
        <f t="shared" si="138"/>
        <v>0</v>
      </c>
      <c r="BH244" s="32">
        <f t="shared" si="139"/>
        <v>0</v>
      </c>
      <c r="BI244" s="32">
        <f t="shared" si="140"/>
        <v>0</v>
      </c>
      <c r="BJ244" s="32">
        <f t="shared" si="141"/>
        <v>0</v>
      </c>
      <c r="BK244" s="32">
        <f t="shared" si="142"/>
        <v>0</v>
      </c>
      <c r="BL244" s="32">
        <f t="shared" si="143"/>
        <v>0</v>
      </c>
      <c r="BM244" s="32">
        <f t="shared" si="144"/>
        <v>0</v>
      </c>
      <c r="BN244" s="32">
        <f t="shared" si="145"/>
        <v>0</v>
      </c>
      <c r="BO244" s="32">
        <f t="shared" si="146"/>
        <v>0</v>
      </c>
      <c r="BP244" s="32">
        <f t="shared" si="147"/>
        <v>0</v>
      </c>
      <c r="BQ244" s="32">
        <f t="shared" si="148"/>
        <v>0</v>
      </c>
      <c r="BR244" s="32">
        <f t="shared" si="149"/>
        <v>0</v>
      </c>
      <c r="BS244" s="32">
        <f t="shared" si="150"/>
        <v>0</v>
      </c>
      <c r="BT244" s="40">
        <f t="shared" si="151"/>
        <v>0</v>
      </c>
    </row>
    <row r="245" spans="1:72">
      <c r="A245" s="6"/>
      <c r="B245" s="31"/>
      <c r="C245" s="31"/>
      <c r="D245" s="1629"/>
      <c r="E245" s="32">
        <f t="shared" si="123"/>
        <v>0</v>
      </c>
      <c r="F245" s="33"/>
      <c r="G245" s="34">
        <f t="shared" si="124"/>
        <v>0</v>
      </c>
      <c r="H245" s="35">
        <f t="shared" si="125"/>
        <v>0</v>
      </c>
      <c r="I245" s="36"/>
      <c r="J245" s="36"/>
      <c r="K245" s="36"/>
      <c r="L245" s="36"/>
      <c r="M245" s="36"/>
      <c r="N245" s="36"/>
      <c r="O245" s="36"/>
      <c r="P245" s="36"/>
      <c r="Q245" s="36"/>
      <c r="R245" s="36"/>
      <c r="S245" s="36"/>
      <c r="T245" s="36"/>
      <c r="U245" s="36"/>
      <c r="V245" s="36"/>
      <c r="W245" s="36"/>
      <c r="X245" s="36"/>
      <c r="Y245" s="36"/>
      <c r="Z245" s="36"/>
      <c r="AA245" s="36"/>
      <c r="AB245" s="36"/>
      <c r="AC245" s="32">
        <f t="shared" si="126"/>
        <v>0</v>
      </c>
      <c r="AD245" s="37"/>
      <c r="AE245" s="37"/>
      <c r="AF245" s="37"/>
      <c r="AG245" s="37"/>
      <c r="AH245" s="37"/>
      <c r="AI245" s="37"/>
      <c r="AJ245" s="37"/>
      <c r="AK245" s="37"/>
      <c r="AL245" s="37"/>
      <c r="AM245" s="37"/>
      <c r="AN245" s="37"/>
      <c r="AO245" s="37"/>
      <c r="AP245" s="37"/>
      <c r="AQ245" s="37"/>
      <c r="AR245" s="37"/>
      <c r="AS245" s="37"/>
      <c r="AT245" s="38"/>
      <c r="AU245" s="1630"/>
      <c r="AV245" s="1342">
        <f t="shared" si="127"/>
        <v>0</v>
      </c>
      <c r="AW245" s="1342">
        <f t="shared" si="128"/>
        <v>0</v>
      </c>
      <c r="AX245" s="1342">
        <f t="shared" si="129"/>
        <v>0</v>
      </c>
      <c r="AY245" s="39">
        <f t="shared" si="130"/>
        <v>0</v>
      </c>
      <c r="AZ245" s="32">
        <f t="shared" si="131"/>
        <v>0</v>
      </c>
      <c r="BA245" s="32">
        <f t="shared" si="132"/>
        <v>0</v>
      </c>
      <c r="BB245" s="32">
        <f t="shared" si="133"/>
        <v>0</v>
      </c>
      <c r="BC245" s="32">
        <f t="shared" si="134"/>
        <v>0</v>
      </c>
      <c r="BD245" s="32">
        <f t="shared" si="135"/>
        <v>0</v>
      </c>
      <c r="BE245" s="32">
        <f t="shared" si="136"/>
        <v>0</v>
      </c>
      <c r="BF245" s="32">
        <f t="shared" si="137"/>
        <v>0</v>
      </c>
      <c r="BG245" s="32">
        <f t="shared" si="138"/>
        <v>0</v>
      </c>
      <c r="BH245" s="32">
        <f t="shared" si="139"/>
        <v>0</v>
      </c>
      <c r="BI245" s="32">
        <f t="shared" si="140"/>
        <v>0</v>
      </c>
      <c r="BJ245" s="32">
        <f t="shared" si="141"/>
        <v>0</v>
      </c>
      <c r="BK245" s="32">
        <f t="shared" si="142"/>
        <v>0</v>
      </c>
      <c r="BL245" s="32">
        <f t="shared" si="143"/>
        <v>0</v>
      </c>
      <c r="BM245" s="32">
        <f t="shared" si="144"/>
        <v>0</v>
      </c>
      <c r="BN245" s="32">
        <f t="shared" si="145"/>
        <v>0</v>
      </c>
      <c r="BO245" s="32">
        <f t="shared" si="146"/>
        <v>0</v>
      </c>
      <c r="BP245" s="32">
        <f t="shared" si="147"/>
        <v>0</v>
      </c>
      <c r="BQ245" s="32">
        <f t="shared" si="148"/>
        <v>0</v>
      </c>
      <c r="BR245" s="32">
        <f t="shared" si="149"/>
        <v>0</v>
      </c>
      <c r="BS245" s="32">
        <f t="shared" si="150"/>
        <v>0</v>
      </c>
      <c r="BT245" s="40">
        <f t="shared" si="151"/>
        <v>0</v>
      </c>
    </row>
    <row r="246" spans="1:72">
      <c r="A246" s="6"/>
      <c r="B246" s="31"/>
      <c r="C246" s="31"/>
      <c r="D246" s="1629"/>
      <c r="E246" s="32">
        <f t="shared" si="123"/>
        <v>0</v>
      </c>
      <c r="F246" s="33"/>
      <c r="G246" s="34">
        <f t="shared" si="124"/>
        <v>0</v>
      </c>
      <c r="H246" s="35">
        <f t="shared" si="125"/>
        <v>0</v>
      </c>
      <c r="I246" s="36"/>
      <c r="J246" s="36"/>
      <c r="K246" s="36"/>
      <c r="L246" s="36"/>
      <c r="M246" s="36"/>
      <c r="N246" s="36"/>
      <c r="O246" s="36"/>
      <c r="P246" s="36"/>
      <c r="Q246" s="36"/>
      <c r="R246" s="36"/>
      <c r="S246" s="36"/>
      <c r="T246" s="36"/>
      <c r="U246" s="36"/>
      <c r="V246" s="36"/>
      <c r="W246" s="36"/>
      <c r="X246" s="36"/>
      <c r="Y246" s="36"/>
      <c r="Z246" s="36"/>
      <c r="AA246" s="36"/>
      <c r="AB246" s="36"/>
      <c r="AC246" s="32">
        <f t="shared" si="126"/>
        <v>0</v>
      </c>
      <c r="AD246" s="37"/>
      <c r="AE246" s="37"/>
      <c r="AF246" s="37"/>
      <c r="AG246" s="37"/>
      <c r="AH246" s="37"/>
      <c r="AI246" s="37"/>
      <c r="AJ246" s="37"/>
      <c r="AK246" s="37"/>
      <c r="AL246" s="37"/>
      <c r="AM246" s="37"/>
      <c r="AN246" s="37"/>
      <c r="AO246" s="37"/>
      <c r="AP246" s="37"/>
      <c r="AQ246" s="37"/>
      <c r="AR246" s="37"/>
      <c r="AS246" s="37"/>
      <c r="AT246" s="38"/>
      <c r="AU246" s="1630"/>
      <c r="AV246" s="1342">
        <f t="shared" si="127"/>
        <v>0</v>
      </c>
      <c r="AW246" s="1342">
        <f t="shared" si="128"/>
        <v>0</v>
      </c>
      <c r="AX246" s="1342">
        <f t="shared" si="129"/>
        <v>0</v>
      </c>
      <c r="AY246" s="39">
        <f t="shared" si="130"/>
        <v>0</v>
      </c>
      <c r="AZ246" s="32">
        <f t="shared" si="131"/>
        <v>0</v>
      </c>
      <c r="BA246" s="32">
        <f t="shared" si="132"/>
        <v>0</v>
      </c>
      <c r="BB246" s="32">
        <f t="shared" si="133"/>
        <v>0</v>
      </c>
      <c r="BC246" s="32">
        <f t="shared" si="134"/>
        <v>0</v>
      </c>
      <c r="BD246" s="32">
        <f t="shared" si="135"/>
        <v>0</v>
      </c>
      <c r="BE246" s="32">
        <f t="shared" si="136"/>
        <v>0</v>
      </c>
      <c r="BF246" s="32">
        <f t="shared" si="137"/>
        <v>0</v>
      </c>
      <c r="BG246" s="32">
        <f t="shared" si="138"/>
        <v>0</v>
      </c>
      <c r="BH246" s="32">
        <f t="shared" si="139"/>
        <v>0</v>
      </c>
      <c r="BI246" s="32">
        <f t="shared" si="140"/>
        <v>0</v>
      </c>
      <c r="BJ246" s="32">
        <f t="shared" si="141"/>
        <v>0</v>
      </c>
      <c r="BK246" s="32">
        <f t="shared" si="142"/>
        <v>0</v>
      </c>
      <c r="BL246" s="32">
        <f t="shared" si="143"/>
        <v>0</v>
      </c>
      <c r="BM246" s="32">
        <f t="shared" si="144"/>
        <v>0</v>
      </c>
      <c r="BN246" s="32">
        <f t="shared" si="145"/>
        <v>0</v>
      </c>
      <c r="BO246" s="32">
        <f t="shared" si="146"/>
        <v>0</v>
      </c>
      <c r="BP246" s="32">
        <f t="shared" si="147"/>
        <v>0</v>
      </c>
      <c r="BQ246" s="32">
        <f t="shared" si="148"/>
        <v>0</v>
      </c>
      <c r="BR246" s="32">
        <f t="shared" si="149"/>
        <v>0</v>
      </c>
      <c r="BS246" s="32">
        <f t="shared" si="150"/>
        <v>0</v>
      </c>
      <c r="BT246" s="40">
        <f t="shared" si="151"/>
        <v>0</v>
      </c>
    </row>
    <row r="247" spans="1:72">
      <c r="A247" s="6"/>
      <c r="B247" s="31"/>
      <c r="C247" s="31"/>
      <c r="D247" s="1629"/>
      <c r="E247" s="32">
        <f t="shared" si="123"/>
        <v>0</v>
      </c>
      <c r="F247" s="33"/>
      <c r="G247" s="34">
        <f t="shared" si="124"/>
        <v>0</v>
      </c>
      <c r="H247" s="35">
        <f t="shared" si="125"/>
        <v>0</v>
      </c>
      <c r="I247" s="36"/>
      <c r="J247" s="36"/>
      <c r="K247" s="36"/>
      <c r="L247" s="36"/>
      <c r="M247" s="36"/>
      <c r="N247" s="36"/>
      <c r="O247" s="36"/>
      <c r="P247" s="36"/>
      <c r="Q247" s="36"/>
      <c r="R247" s="36"/>
      <c r="S247" s="36"/>
      <c r="T247" s="36"/>
      <c r="U247" s="36"/>
      <c r="V247" s="36"/>
      <c r="W247" s="36"/>
      <c r="X247" s="36"/>
      <c r="Y247" s="36"/>
      <c r="Z247" s="36"/>
      <c r="AA247" s="36"/>
      <c r="AB247" s="36"/>
      <c r="AC247" s="32">
        <f t="shared" si="126"/>
        <v>0</v>
      </c>
      <c r="AD247" s="37"/>
      <c r="AE247" s="37"/>
      <c r="AF247" s="37"/>
      <c r="AG247" s="37"/>
      <c r="AH247" s="37"/>
      <c r="AI247" s="37"/>
      <c r="AJ247" s="37"/>
      <c r="AK247" s="37"/>
      <c r="AL247" s="37"/>
      <c r="AM247" s="37"/>
      <c r="AN247" s="37"/>
      <c r="AO247" s="37"/>
      <c r="AP247" s="37"/>
      <c r="AQ247" s="37"/>
      <c r="AR247" s="37"/>
      <c r="AS247" s="37"/>
      <c r="AT247" s="38"/>
      <c r="AU247" s="1630"/>
      <c r="AV247" s="1342">
        <f t="shared" si="127"/>
        <v>0</v>
      </c>
      <c r="AW247" s="1342">
        <f t="shared" si="128"/>
        <v>0</v>
      </c>
      <c r="AX247" s="1342">
        <f t="shared" si="129"/>
        <v>0</v>
      </c>
      <c r="AY247" s="39">
        <f t="shared" si="130"/>
        <v>0</v>
      </c>
      <c r="AZ247" s="32">
        <f t="shared" si="131"/>
        <v>0</v>
      </c>
      <c r="BA247" s="32">
        <f t="shared" si="132"/>
        <v>0</v>
      </c>
      <c r="BB247" s="32">
        <f t="shared" si="133"/>
        <v>0</v>
      </c>
      <c r="BC247" s="32">
        <f t="shared" si="134"/>
        <v>0</v>
      </c>
      <c r="BD247" s="32">
        <f t="shared" si="135"/>
        <v>0</v>
      </c>
      <c r="BE247" s="32">
        <f t="shared" si="136"/>
        <v>0</v>
      </c>
      <c r="BF247" s="32">
        <f t="shared" si="137"/>
        <v>0</v>
      </c>
      <c r="BG247" s="32">
        <f t="shared" si="138"/>
        <v>0</v>
      </c>
      <c r="BH247" s="32">
        <f t="shared" si="139"/>
        <v>0</v>
      </c>
      <c r="BI247" s="32">
        <f t="shared" si="140"/>
        <v>0</v>
      </c>
      <c r="BJ247" s="32">
        <f t="shared" si="141"/>
        <v>0</v>
      </c>
      <c r="BK247" s="32">
        <f t="shared" si="142"/>
        <v>0</v>
      </c>
      <c r="BL247" s="32">
        <f t="shared" si="143"/>
        <v>0</v>
      </c>
      <c r="BM247" s="32">
        <f t="shared" si="144"/>
        <v>0</v>
      </c>
      <c r="BN247" s="32">
        <f t="shared" si="145"/>
        <v>0</v>
      </c>
      <c r="BO247" s="32">
        <f t="shared" si="146"/>
        <v>0</v>
      </c>
      <c r="BP247" s="32">
        <f t="shared" si="147"/>
        <v>0</v>
      </c>
      <c r="BQ247" s="32">
        <f t="shared" si="148"/>
        <v>0</v>
      </c>
      <c r="BR247" s="32">
        <f t="shared" si="149"/>
        <v>0</v>
      </c>
      <c r="BS247" s="32">
        <f t="shared" si="150"/>
        <v>0</v>
      </c>
      <c r="BT247" s="40">
        <f t="shared" si="151"/>
        <v>0</v>
      </c>
    </row>
    <row r="248" spans="1:72">
      <c r="A248" s="6"/>
      <c r="B248" s="31"/>
      <c r="C248" s="31"/>
      <c r="D248" s="1629"/>
      <c r="E248" s="32">
        <f t="shared" si="123"/>
        <v>0</v>
      </c>
      <c r="F248" s="33"/>
      <c r="G248" s="34">
        <f t="shared" si="124"/>
        <v>0</v>
      </c>
      <c r="H248" s="35">
        <f t="shared" si="125"/>
        <v>0</v>
      </c>
      <c r="I248" s="36"/>
      <c r="J248" s="36"/>
      <c r="K248" s="36"/>
      <c r="L248" s="36"/>
      <c r="M248" s="36"/>
      <c r="N248" s="36"/>
      <c r="O248" s="36"/>
      <c r="P248" s="36"/>
      <c r="Q248" s="36"/>
      <c r="R248" s="36"/>
      <c r="S248" s="36"/>
      <c r="T248" s="36"/>
      <c r="U248" s="36"/>
      <c r="V248" s="36"/>
      <c r="W248" s="36"/>
      <c r="X248" s="36"/>
      <c r="Y248" s="36"/>
      <c r="Z248" s="36"/>
      <c r="AA248" s="36"/>
      <c r="AB248" s="36"/>
      <c r="AC248" s="32">
        <f t="shared" si="126"/>
        <v>0</v>
      </c>
      <c r="AD248" s="37"/>
      <c r="AE248" s="37"/>
      <c r="AF248" s="37"/>
      <c r="AG248" s="37"/>
      <c r="AH248" s="37"/>
      <c r="AI248" s="37"/>
      <c r="AJ248" s="37"/>
      <c r="AK248" s="37"/>
      <c r="AL248" s="37"/>
      <c r="AM248" s="37"/>
      <c r="AN248" s="37"/>
      <c r="AO248" s="37"/>
      <c r="AP248" s="37"/>
      <c r="AQ248" s="37"/>
      <c r="AR248" s="37"/>
      <c r="AS248" s="37"/>
      <c r="AT248" s="38"/>
      <c r="AU248" s="1630"/>
      <c r="AV248" s="1342">
        <f t="shared" si="127"/>
        <v>0</v>
      </c>
      <c r="AW248" s="1342">
        <f t="shared" si="128"/>
        <v>0</v>
      </c>
      <c r="AX248" s="1342">
        <f t="shared" si="129"/>
        <v>0</v>
      </c>
      <c r="AY248" s="39">
        <f t="shared" si="130"/>
        <v>0</v>
      </c>
      <c r="AZ248" s="32">
        <f t="shared" si="131"/>
        <v>0</v>
      </c>
      <c r="BA248" s="32">
        <f t="shared" si="132"/>
        <v>0</v>
      </c>
      <c r="BB248" s="32">
        <f t="shared" si="133"/>
        <v>0</v>
      </c>
      <c r="BC248" s="32">
        <f t="shared" si="134"/>
        <v>0</v>
      </c>
      <c r="BD248" s="32">
        <f t="shared" si="135"/>
        <v>0</v>
      </c>
      <c r="BE248" s="32">
        <f t="shared" si="136"/>
        <v>0</v>
      </c>
      <c r="BF248" s="32">
        <f t="shared" si="137"/>
        <v>0</v>
      </c>
      <c r="BG248" s="32">
        <f t="shared" si="138"/>
        <v>0</v>
      </c>
      <c r="BH248" s="32">
        <f t="shared" si="139"/>
        <v>0</v>
      </c>
      <c r="BI248" s="32">
        <f t="shared" si="140"/>
        <v>0</v>
      </c>
      <c r="BJ248" s="32">
        <f t="shared" si="141"/>
        <v>0</v>
      </c>
      <c r="BK248" s="32">
        <f t="shared" si="142"/>
        <v>0</v>
      </c>
      <c r="BL248" s="32">
        <f t="shared" si="143"/>
        <v>0</v>
      </c>
      <c r="BM248" s="32">
        <f t="shared" si="144"/>
        <v>0</v>
      </c>
      <c r="BN248" s="32">
        <f t="shared" si="145"/>
        <v>0</v>
      </c>
      <c r="BO248" s="32">
        <f t="shared" si="146"/>
        <v>0</v>
      </c>
      <c r="BP248" s="32">
        <f t="shared" si="147"/>
        <v>0</v>
      </c>
      <c r="BQ248" s="32">
        <f t="shared" si="148"/>
        <v>0</v>
      </c>
      <c r="BR248" s="32">
        <f t="shared" si="149"/>
        <v>0</v>
      </c>
      <c r="BS248" s="32">
        <f t="shared" si="150"/>
        <v>0</v>
      </c>
      <c r="BT248" s="40">
        <f t="shared" si="151"/>
        <v>0</v>
      </c>
    </row>
    <row r="249" spans="1:72">
      <c r="A249" s="6"/>
      <c r="B249" s="31"/>
      <c r="C249" s="31"/>
      <c r="D249" s="1629"/>
      <c r="E249" s="32">
        <f t="shared" si="123"/>
        <v>0</v>
      </c>
      <c r="F249" s="33"/>
      <c r="G249" s="34">
        <f t="shared" si="124"/>
        <v>0</v>
      </c>
      <c r="H249" s="35">
        <f t="shared" si="125"/>
        <v>0</v>
      </c>
      <c r="I249" s="36"/>
      <c r="J249" s="36"/>
      <c r="K249" s="36"/>
      <c r="L249" s="36"/>
      <c r="M249" s="36"/>
      <c r="N249" s="36"/>
      <c r="O249" s="36"/>
      <c r="P249" s="36"/>
      <c r="Q249" s="36"/>
      <c r="R249" s="36"/>
      <c r="S249" s="36"/>
      <c r="T249" s="36"/>
      <c r="U249" s="36"/>
      <c r="V249" s="36"/>
      <c r="W249" s="36"/>
      <c r="X249" s="36"/>
      <c r="Y249" s="36"/>
      <c r="Z249" s="36"/>
      <c r="AA249" s="36"/>
      <c r="AB249" s="36"/>
      <c r="AC249" s="32">
        <f t="shared" si="126"/>
        <v>0</v>
      </c>
      <c r="AD249" s="37"/>
      <c r="AE249" s="37"/>
      <c r="AF249" s="37"/>
      <c r="AG249" s="37"/>
      <c r="AH249" s="37"/>
      <c r="AI249" s="37"/>
      <c r="AJ249" s="37"/>
      <c r="AK249" s="37"/>
      <c r="AL249" s="37"/>
      <c r="AM249" s="37"/>
      <c r="AN249" s="37"/>
      <c r="AO249" s="37"/>
      <c r="AP249" s="37"/>
      <c r="AQ249" s="37"/>
      <c r="AR249" s="37"/>
      <c r="AS249" s="37"/>
      <c r="AT249" s="38"/>
      <c r="AU249" s="1630"/>
      <c r="AV249" s="1342">
        <f t="shared" si="127"/>
        <v>0</v>
      </c>
      <c r="AW249" s="1342">
        <f t="shared" si="128"/>
        <v>0</v>
      </c>
      <c r="AX249" s="1342">
        <f t="shared" si="129"/>
        <v>0</v>
      </c>
      <c r="AY249" s="39">
        <f t="shared" si="130"/>
        <v>0</v>
      </c>
      <c r="AZ249" s="32">
        <f t="shared" si="131"/>
        <v>0</v>
      </c>
      <c r="BA249" s="32">
        <f t="shared" si="132"/>
        <v>0</v>
      </c>
      <c r="BB249" s="32">
        <f t="shared" si="133"/>
        <v>0</v>
      </c>
      <c r="BC249" s="32">
        <f t="shared" si="134"/>
        <v>0</v>
      </c>
      <c r="BD249" s="32">
        <f t="shared" si="135"/>
        <v>0</v>
      </c>
      <c r="BE249" s="32">
        <f t="shared" si="136"/>
        <v>0</v>
      </c>
      <c r="BF249" s="32">
        <f t="shared" si="137"/>
        <v>0</v>
      </c>
      <c r="BG249" s="32">
        <f t="shared" si="138"/>
        <v>0</v>
      </c>
      <c r="BH249" s="32">
        <f t="shared" si="139"/>
        <v>0</v>
      </c>
      <c r="BI249" s="32">
        <f t="shared" si="140"/>
        <v>0</v>
      </c>
      <c r="BJ249" s="32">
        <f t="shared" si="141"/>
        <v>0</v>
      </c>
      <c r="BK249" s="32">
        <f t="shared" si="142"/>
        <v>0</v>
      </c>
      <c r="BL249" s="32">
        <f t="shared" si="143"/>
        <v>0</v>
      </c>
      <c r="BM249" s="32">
        <f t="shared" si="144"/>
        <v>0</v>
      </c>
      <c r="BN249" s="32">
        <f t="shared" si="145"/>
        <v>0</v>
      </c>
      <c r="BO249" s="32">
        <f t="shared" si="146"/>
        <v>0</v>
      </c>
      <c r="BP249" s="32">
        <f t="shared" si="147"/>
        <v>0</v>
      </c>
      <c r="BQ249" s="32">
        <f t="shared" si="148"/>
        <v>0</v>
      </c>
      <c r="BR249" s="32">
        <f t="shared" si="149"/>
        <v>0</v>
      </c>
      <c r="BS249" s="32">
        <f t="shared" si="150"/>
        <v>0</v>
      </c>
      <c r="BT249" s="40">
        <f t="shared" si="151"/>
        <v>0</v>
      </c>
    </row>
    <row r="250" spans="1:72">
      <c r="A250" s="6"/>
      <c r="B250" s="31"/>
      <c r="C250" s="31"/>
      <c r="D250" s="1629"/>
      <c r="E250" s="32">
        <f t="shared" si="123"/>
        <v>0</v>
      </c>
      <c r="F250" s="33"/>
      <c r="G250" s="34">
        <f t="shared" si="124"/>
        <v>0</v>
      </c>
      <c r="H250" s="35">
        <f t="shared" si="125"/>
        <v>0</v>
      </c>
      <c r="I250" s="36"/>
      <c r="J250" s="36"/>
      <c r="K250" s="36"/>
      <c r="L250" s="36"/>
      <c r="M250" s="36"/>
      <c r="N250" s="36"/>
      <c r="O250" s="36"/>
      <c r="P250" s="36"/>
      <c r="Q250" s="36"/>
      <c r="R250" s="36"/>
      <c r="S250" s="36"/>
      <c r="T250" s="36"/>
      <c r="U250" s="36"/>
      <c r="V250" s="36"/>
      <c r="W250" s="36"/>
      <c r="X250" s="36"/>
      <c r="Y250" s="36"/>
      <c r="Z250" s="36"/>
      <c r="AA250" s="36"/>
      <c r="AB250" s="36"/>
      <c r="AC250" s="32">
        <f t="shared" si="126"/>
        <v>0</v>
      </c>
      <c r="AD250" s="37"/>
      <c r="AE250" s="37"/>
      <c r="AF250" s="37"/>
      <c r="AG250" s="37"/>
      <c r="AH250" s="37"/>
      <c r="AI250" s="37"/>
      <c r="AJ250" s="37"/>
      <c r="AK250" s="37"/>
      <c r="AL250" s="37"/>
      <c r="AM250" s="37"/>
      <c r="AN250" s="37"/>
      <c r="AO250" s="37"/>
      <c r="AP250" s="37"/>
      <c r="AQ250" s="37"/>
      <c r="AR250" s="37"/>
      <c r="AS250" s="37"/>
      <c r="AT250" s="38"/>
      <c r="AU250" s="1630"/>
      <c r="AV250" s="1342">
        <f t="shared" si="127"/>
        <v>0</v>
      </c>
      <c r="AW250" s="1342">
        <f t="shared" si="128"/>
        <v>0</v>
      </c>
      <c r="AX250" s="1342">
        <f t="shared" si="129"/>
        <v>0</v>
      </c>
      <c r="AY250" s="39">
        <f t="shared" si="130"/>
        <v>0</v>
      </c>
      <c r="AZ250" s="32">
        <f t="shared" si="131"/>
        <v>0</v>
      </c>
      <c r="BA250" s="32">
        <f t="shared" si="132"/>
        <v>0</v>
      </c>
      <c r="BB250" s="32">
        <f t="shared" si="133"/>
        <v>0</v>
      </c>
      <c r="BC250" s="32">
        <f t="shared" si="134"/>
        <v>0</v>
      </c>
      <c r="BD250" s="32">
        <f t="shared" si="135"/>
        <v>0</v>
      </c>
      <c r="BE250" s="32">
        <f t="shared" si="136"/>
        <v>0</v>
      </c>
      <c r="BF250" s="32">
        <f t="shared" si="137"/>
        <v>0</v>
      </c>
      <c r="BG250" s="32">
        <f t="shared" si="138"/>
        <v>0</v>
      </c>
      <c r="BH250" s="32">
        <f t="shared" si="139"/>
        <v>0</v>
      </c>
      <c r="BI250" s="32">
        <f t="shared" si="140"/>
        <v>0</v>
      </c>
      <c r="BJ250" s="32">
        <f t="shared" si="141"/>
        <v>0</v>
      </c>
      <c r="BK250" s="32">
        <f t="shared" si="142"/>
        <v>0</v>
      </c>
      <c r="BL250" s="32">
        <f t="shared" si="143"/>
        <v>0</v>
      </c>
      <c r="BM250" s="32">
        <f t="shared" si="144"/>
        <v>0</v>
      </c>
      <c r="BN250" s="32">
        <f t="shared" si="145"/>
        <v>0</v>
      </c>
      <c r="BO250" s="32">
        <f t="shared" si="146"/>
        <v>0</v>
      </c>
      <c r="BP250" s="32">
        <f t="shared" si="147"/>
        <v>0</v>
      </c>
      <c r="BQ250" s="32">
        <f t="shared" si="148"/>
        <v>0</v>
      </c>
      <c r="BR250" s="32">
        <f t="shared" si="149"/>
        <v>0</v>
      </c>
      <c r="BS250" s="32">
        <f t="shared" si="150"/>
        <v>0</v>
      </c>
      <c r="BT250" s="40">
        <f t="shared" si="151"/>
        <v>0</v>
      </c>
    </row>
    <row r="251" spans="1:72">
      <c r="A251" s="6"/>
      <c r="B251" s="31"/>
      <c r="C251" s="31"/>
      <c r="D251" s="1629"/>
      <c r="E251" s="32">
        <f t="shared" si="123"/>
        <v>0</v>
      </c>
      <c r="F251" s="33"/>
      <c r="G251" s="34">
        <f t="shared" si="124"/>
        <v>0</v>
      </c>
      <c r="H251" s="35">
        <f t="shared" si="125"/>
        <v>0</v>
      </c>
      <c r="I251" s="36"/>
      <c r="J251" s="36"/>
      <c r="K251" s="36"/>
      <c r="L251" s="36"/>
      <c r="M251" s="36"/>
      <c r="N251" s="36"/>
      <c r="O251" s="36"/>
      <c r="P251" s="36"/>
      <c r="Q251" s="36"/>
      <c r="R251" s="36"/>
      <c r="S251" s="36"/>
      <c r="T251" s="36"/>
      <c r="U251" s="36"/>
      <c r="V251" s="36"/>
      <c r="W251" s="36"/>
      <c r="X251" s="36"/>
      <c r="Y251" s="36"/>
      <c r="Z251" s="36"/>
      <c r="AA251" s="36"/>
      <c r="AB251" s="36"/>
      <c r="AC251" s="32">
        <f t="shared" si="126"/>
        <v>0</v>
      </c>
      <c r="AD251" s="37"/>
      <c r="AE251" s="37"/>
      <c r="AF251" s="37"/>
      <c r="AG251" s="37"/>
      <c r="AH251" s="37"/>
      <c r="AI251" s="37"/>
      <c r="AJ251" s="37"/>
      <c r="AK251" s="37"/>
      <c r="AL251" s="37"/>
      <c r="AM251" s="37"/>
      <c r="AN251" s="37"/>
      <c r="AO251" s="37"/>
      <c r="AP251" s="37"/>
      <c r="AQ251" s="37"/>
      <c r="AR251" s="37"/>
      <c r="AS251" s="37"/>
      <c r="AT251" s="38"/>
      <c r="AU251" s="1630"/>
      <c r="AV251" s="1342">
        <f t="shared" si="127"/>
        <v>0</v>
      </c>
      <c r="AW251" s="1342">
        <f t="shared" si="128"/>
        <v>0</v>
      </c>
      <c r="AX251" s="1342">
        <f t="shared" si="129"/>
        <v>0</v>
      </c>
      <c r="AY251" s="39">
        <f t="shared" si="130"/>
        <v>0</v>
      </c>
      <c r="AZ251" s="32">
        <f t="shared" si="131"/>
        <v>0</v>
      </c>
      <c r="BA251" s="32">
        <f t="shared" si="132"/>
        <v>0</v>
      </c>
      <c r="BB251" s="32">
        <f t="shared" si="133"/>
        <v>0</v>
      </c>
      <c r="BC251" s="32">
        <f t="shared" si="134"/>
        <v>0</v>
      </c>
      <c r="BD251" s="32">
        <f t="shared" si="135"/>
        <v>0</v>
      </c>
      <c r="BE251" s="32">
        <f t="shared" si="136"/>
        <v>0</v>
      </c>
      <c r="BF251" s="32">
        <f t="shared" si="137"/>
        <v>0</v>
      </c>
      <c r="BG251" s="32">
        <f t="shared" si="138"/>
        <v>0</v>
      </c>
      <c r="BH251" s="32">
        <f t="shared" si="139"/>
        <v>0</v>
      </c>
      <c r="BI251" s="32">
        <f t="shared" si="140"/>
        <v>0</v>
      </c>
      <c r="BJ251" s="32">
        <f t="shared" si="141"/>
        <v>0</v>
      </c>
      <c r="BK251" s="32">
        <f t="shared" si="142"/>
        <v>0</v>
      </c>
      <c r="BL251" s="32">
        <f t="shared" si="143"/>
        <v>0</v>
      </c>
      <c r="BM251" s="32">
        <f t="shared" si="144"/>
        <v>0</v>
      </c>
      <c r="BN251" s="32">
        <f t="shared" si="145"/>
        <v>0</v>
      </c>
      <c r="BO251" s="32">
        <f t="shared" si="146"/>
        <v>0</v>
      </c>
      <c r="BP251" s="32">
        <f t="shared" si="147"/>
        <v>0</v>
      </c>
      <c r="BQ251" s="32">
        <f t="shared" si="148"/>
        <v>0</v>
      </c>
      <c r="BR251" s="32">
        <f t="shared" si="149"/>
        <v>0</v>
      </c>
      <c r="BS251" s="32">
        <f t="shared" si="150"/>
        <v>0</v>
      </c>
      <c r="BT251" s="40">
        <f t="shared" si="151"/>
        <v>0</v>
      </c>
    </row>
    <row r="252" spans="1:72">
      <c r="A252" s="6"/>
      <c r="B252" s="31"/>
      <c r="C252" s="31"/>
      <c r="D252" s="1629"/>
      <c r="E252" s="32">
        <f t="shared" si="123"/>
        <v>0</v>
      </c>
      <c r="F252" s="33"/>
      <c r="G252" s="34">
        <f t="shared" si="124"/>
        <v>0</v>
      </c>
      <c r="H252" s="35">
        <f t="shared" si="125"/>
        <v>0</v>
      </c>
      <c r="I252" s="36"/>
      <c r="J252" s="36"/>
      <c r="K252" s="36"/>
      <c r="L252" s="36"/>
      <c r="M252" s="36"/>
      <c r="N252" s="36"/>
      <c r="O252" s="36"/>
      <c r="P252" s="36"/>
      <c r="Q252" s="36"/>
      <c r="R252" s="36"/>
      <c r="S252" s="36"/>
      <c r="T252" s="36"/>
      <c r="U252" s="36"/>
      <c r="V252" s="36"/>
      <c r="W252" s="36"/>
      <c r="X252" s="36"/>
      <c r="Y252" s="36"/>
      <c r="Z252" s="36"/>
      <c r="AA252" s="36"/>
      <c r="AB252" s="36"/>
      <c r="AC252" s="32">
        <f t="shared" si="126"/>
        <v>0</v>
      </c>
      <c r="AD252" s="37"/>
      <c r="AE252" s="37"/>
      <c r="AF252" s="37"/>
      <c r="AG252" s="37"/>
      <c r="AH252" s="37"/>
      <c r="AI252" s="37"/>
      <c r="AJ252" s="37"/>
      <c r="AK252" s="37"/>
      <c r="AL252" s="37"/>
      <c r="AM252" s="37"/>
      <c r="AN252" s="37"/>
      <c r="AO252" s="37"/>
      <c r="AP252" s="37"/>
      <c r="AQ252" s="37"/>
      <c r="AR252" s="37"/>
      <c r="AS252" s="37"/>
      <c r="AT252" s="38"/>
      <c r="AU252" s="1630"/>
      <c r="AV252" s="1342">
        <f t="shared" si="127"/>
        <v>0</v>
      </c>
      <c r="AW252" s="1342">
        <f t="shared" si="128"/>
        <v>0</v>
      </c>
      <c r="AX252" s="1342">
        <f t="shared" si="129"/>
        <v>0</v>
      </c>
      <c r="AY252" s="39">
        <f t="shared" si="130"/>
        <v>0</v>
      </c>
      <c r="AZ252" s="32">
        <f t="shared" si="131"/>
        <v>0</v>
      </c>
      <c r="BA252" s="32">
        <f t="shared" si="132"/>
        <v>0</v>
      </c>
      <c r="BB252" s="32">
        <f t="shared" si="133"/>
        <v>0</v>
      </c>
      <c r="BC252" s="32">
        <f t="shared" si="134"/>
        <v>0</v>
      </c>
      <c r="BD252" s="32">
        <f t="shared" si="135"/>
        <v>0</v>
      </c>
      <c r="BE252" s="32">
        <f t="shared" si="136"/>
        <v>0</v>
      </c>
      <c r="BF252" s="32">
        <f t="shared" si="137"/>
        <v>0</v>
      </c>
      <c r="BG252" s="32">
        <f t="shared" si="138"/>
        <v>0</v>
      </c>
      <c r="BH252" s="32">
        <f t="shared" si="139"/>
        <v>0</v>
      </c>
      <c r="BI252" s="32">
        <f t="shared" si="140"/>
        <v>0</v>
      </c>
      <c r="BJ252" s="32">
        <f t="shared" si="141"/>
        <v>0</v>
      </c>
      <c r="BK252" s="32">
        <f t="shared" si="142"/>
        <v>0</v>
      </c>
      <c r="BL252" s="32">
        <f t="shared" si="143"/>
        <v>0</v>
      </c>
      <c r="BM252" s="32">
        <f t="shared" si="144"/>
        <v>0</v>
      </c>
      <c r="BN252" s="32">
        <f t="shared" si="145"/>
        <v>0</v>
      </c>
      <c r="BO252" s="32">
        <f t="shared" si="146"/>
        <v>0</v>
      </c>
      <c r="BP252" s="32">
        <f t="shared" si="147"/>
        <v>0</v>
      </c>
      <c r="BQ252" s="32">
        <f t="shared" si="148"/>
        <v>0</v>
      </c>
      <c r="BR252" s="32">
        <f t="shared" si="149"/>
        <v>0</v>
      </c>
      <c r="BS252" s="32">
        <f t="shared" si="150"/>
        <v>0</v>
      </c>
      <c r="BT252" s="40">
        <f t="shared" si="151"/>
        <v>0</v>
      </c>
    </row>
    <row r="253" spans="1:72">
      <c r="A253" s="6"/>
      <c r="B253" s="31"/>
      <c r="C253" s="31"/>
      <c r="D253" s="1629"/>
      <c r="E253" s="32">
        <f t="shared" si="123"/>
        <v>0</v>
      </c>
      <c r="F253" s="33"/>
      <c r="G253" s="34">
        <f t="shared" si="124"/>
        <v>0</v>
      </c>
      <c r="H253" s="35">
        <f t="shared" si="125"/>
        <v>0</v>
      </c>
      <c r="I253" s="36"/>
      <c r="J253" s="36"/>
      <c r="K253" s="36"/>
      <c r="L253" s="36"/>
      <c r="M253" s="36"/>
      <c r="N253" s="36"/>
      <c r="O253" s="36"/>
      <c r="P253" s="36"/>
      <c r="Q253" s="36"/>
      <c r="R253" s="36"/>
      <c r="S253" s="36"/>
      <c r="T253" s="36"/>
      <c r="U253" s="36"/>
      <c r="V253" s="36"/>
      <c r="W253" s="36"/>
      <c r="X253" s="36"/>
      <c r="Y253" s="36"/>
      <c r="Z253" s="36"/>
      <c r="AA253" s="36"/>
      <c r="AB253" s="36"/>
      <c r="AC253" s="32">
        <f t="shared" si="126"/>
        <v>0</v>
      </c>
      <c r="AD253" s="37"/>
      <c r="AE253" s="37"/>
      <c r="AF253" s="37"/>
      <c r="AG253" s="37"/>
      <c r="AH253" s="37"/>
      <c r="AI253" s="37"/>
      <c r="AJ253" s="37"/>
      <c r="AK253" s="37"/>
      <c r="AL253" s="37"/>
      <c r="AM253" s="37"/>
      <c r="AN253" s="37"/>
      <c r="AO253" s="37"/>
      <c r="AP253" s="37"/>
      <c r="AQ253" s="37"/>
      <c r="AR253" s="37"/>
      <c r="AS253" s="37"/>
      <c r="AT253" s="38"/>
      <c r="AU253" s="1630"/>
      <c r="AV253" s="1342">
        <f t="shared" si="127"/>
        <v>0</v>
      </c>
      <c r="AW253" s="1342">
        <f t="shared" si="128"/>
        <v>0</v>
      </c>
      <c r="AX253" s="1342">
        <f t="shared" si="129"/>
        <v>0</v>
      </c>
      <c r="AY253" s="39">
        <f t="shared" si="130"/>
        <v>0</v>
      </c>
      <c r="AZ253" s="32">
        <f t="shared" si="131"/>
        <v>0</v>
      </c>
      <c r="BA253" s="32">
        <f t="shared" si="132"/>
        <v>0</v>
      </c>
      <c r="BB253" s="32">
        <f t="shared" si="133"/>
        <v>0</v>
      </c>
      <c r="BC253" s="32">
        <f t="shared" si="134"/>
        <v>0</v>
      </c>
      <c r="BD253" s="32">
        <f t="shared" si="135"/>
        <v>0</v>
      </c>
      <c r="BE253" s="32">
        <f t="shared" si="136"/>
        <v>0</v>
      </c>
      <c r="BF253" s="32">
        <f t="shared" si="137"/>
        <v>0</v>
      </c>
      <c r="BG253" s="32">
        <f t="shared" si="138"/>
        <v>0</v>
      </c>
      <c r="BH253" s="32">
        <f t="shared" si="139"/>
        <v>0</v>
      </c>
      <c r="BI253" s="32">
        <f t="shared" si="140"/>
        <v>0</v>
      </c>
      <c r="BJ253" s="32">
        <f t="shared" si="141"/>
        <v>0</v>
      </c>
      <c r="BK253" s="32">
        <f t="shared" si="142"/>
        <v>0</v>
      </c>
      <c r="BL253" s="32">
        <f t="shared" si="143"/>
        <v>0</v>
      </c>
      <c r="BM253" s="32">
        <f t="shared" si="144"/>
        <v>0</v>
      </c>
      <c r="BN253" s="32">
        <f t="shared" si="145"/>
        <v>0</v>
      </c>
      <c r="BO253" s="32">
        <f t="shared" si="146"/>
        <v>0</v>
      </c>
      <c r="BP253" s="32">
        <f t="shared" si="147"/>
        <v>0</v>
      </c>
      <c r="BQ253" s="32">
        <f t="shared" si="148"/>
        <v>0</v>
      </c>
      <c r="BR253" s="32">
        <f t="shared" si="149"/>
        <v>0</v>
      </c>
      <c r="BS253" s="32">
        <f t="shared" si="150"/>
        <v>0</v>
      </c>
      <c r="BT253" s="40">
        <f t="shared" si="151"/>
        <v>0</v>
      </c>
    </row>
    <row r="254" spans="1:72">
      <c r="A254" s="6"/>
      <c r="B254" s="31"/>
      <c r="C254" s="31"/>
      <c r="D254" s="1629"/>
      <c r="E254" s="32">
        <f t="shared" si="123"/>
        <v>0</v>
      </c>
      <c r="F254" s="33"/>
      <c r="G254" s="34">
        <f t="shared" si="124"/>
        <v>0</v>
      </c>
      <c r="H254" s="35">
        <f t="shared" si="125"/>
        <v>0</v>
      </c>
      <c r="I254" s="36"/>
      <c r="J254" s="36"/>
      <c r="K254" s="36"/>
      <c r="L254" s="36"/>
      <c r="M254" s="36"/>
      <c r="N254" s="36"/>
      <c r="O254" s="36"/>
      <c r="P254" s="36"/>
      <c r="Q254" s="36"/>
      <c r="R254" s="36"/>
      <c r="S254" s="36"/>
      <c r="T254" s="36"/>
      <c r="U254" s="36"/>
      <c r="V254" s="36"/>
      <c r="W254" s="36"/>
      <c r="X254" s="36"/>
      <c r="Y254" s="36"/>
      <c r="Z254" s="36"/>
      <c r="AA254" s="36"/>
      <c r="AB254" s="36"/>
      <c r="AC254" s="32">
        <f t="shared" si="126"/>
        <v>0</v>
      </c>
      <c r="AD254" s="37"/>
      <c r="AE254" s="37"/>
      <c r="AF254" s="37"/>
      <c r="AG254" s="37"/>
      <c r="AH254" s="37"/>
      <c r="AI254" s="37"/>
      <c r="AJ254" s="37"/>
      <c r="AK254" s="37"/>
      <c r="AL254" s="37"/>
      <c r="AM254" s="37"/>
      <c r="AN254" s="37"/>
      <c r="AO254" s="37"/>
      <c r="AP254" s="37"/>
      <c r="AQ254" s="37"/>
      <c r="AR254" s="37"/>
      <c r="AS254" s="37"/>
      <c r="AT254" s="38"/>
      <c r="AU254" s="1630"/>
      <c r="AV254" s="1342">
        <f t="shared" si="127"/>
        <v>0</v>
      </c>
      <c r="AW254" s="1342">
        <f t="shared" si="128"/>
        <v>0</v>
      </c>
      <c r="AX254" s="1342">
        <f t="shared" si="129"/>
        <v>0</v>
      </c>
      <c r="AY254" s="39">
        <f t="shared" si="130"/>
        <v>0</v>
      </c>
      <c r="AZ254" s="32">
        <f t="shared" si="131"/>
        <v>0</v>
      </c>
      <c r="BA254" s="32">
        <f t="shared" si="132"/>
        <v>0</v>
      </c>
      <c r="BB254" s="32">
        <f t="shared" si="133"/>
        <v>0</v>
      </c>
      <c r="BC254" s="32">
        <f t="shared" si="134"/>
        <v>0</v>
      </c>
      <c r="BD254" s="32">
        <f t="shared" si="135"/>
        <v>0</v>
      </c>
      <c r="BE254" s="32">
        <f t="shared" si="136"/>
        <v>0</v>
      </c>
      <c r="BF254" s="32">
        <f t="shared" si="137"/>
        <v>0</v>
      </c>
      <c r="BG254" s="32">
        <f t="shared" si="138"/>
        <v>0</v>
      </c>
      <c r="BH254" s="32">
        <f t="shared" si="139"/>
        <v>0</v>
      </c>
      <c r="BI254" s="32">
        <f t="shared" si="140"/>
        <v>0</v>
      </c>
      <c r="BJ254" s="32">
        <f t="shared" si="141"/>
        <v>0</v>
      </c>
      <c r="BK254" s="32">
        <f t="shared" si="142"/>
        <v>0</v>
      </c>
      <c r="BL254" s="32">
        <f t="shared" si="143"/>
        <v>0</v>
      </c>
      <c r="BM254" s="32">
        <f t="shared" si="144"/>
        <v>0</v>
      </c>
      <c r="BN254" s="32">
        <f t="shared" si="145"/>
        <v>0</v>
      </c>
      <c r="BO254" s="32">
        <f t="shared" si="146"/>
        <v>0</v>
      </c>
      <c r="BP254" s="32">
        <f t="shared" si="147"/>
        <v>0</v>
      </c>
      <c r="BQ254" s="32">
        <f t="shared" si="148"/>
        <v>0</v>
      </c>
      <c r="BR254" s="32">
        <f t="shared" si="149"/>
        <v>0</v>
      </c>
      <c r="BS254" s="32">
        <f t="shared" si="150"/>
        <v>0</v>
      </c>
      <c r="BT254" s="40">
        <f t="shared" si="151"/>
        <v>0</v>
      </c>
    </row>
    <row r="255" spans="1:72">
      <c r="A255" s="6"/>
      <c r="B255" s="31"/>
      <c r="C255" s="31"/>
      <c r="D255" s="1629"/>
      <c r="E255" s="32">
        <f t="shared" si="123"/>
        <v>0</v>
      </c>
      <c r="F255" s="33"/>
      <c r="G255" s="34">
        <f t="shared" si="124"/>
        <v>0</v>
      </c>
      <c r="H255" s="35">
        <f t="shared" si="125"/>
        <v>0</v>
      </c>
      <c r="I255" s="36"/>
      <c r="J255" s="36"/>
      <c r="K255" s="36"/>
      <c r="L255" s="36"/>
      <c r="M255" s="36"/>
      <c r="N255" s="36"/>
      <c r="O255" s="36"/>
      <c r="P255" s="36"/>
      <c r="Q255" s="36"/>
      <c r="R255" s="36"/>
      <c r="S255" s="36"/>
      <c r="T255" s="36"/>
      <c r="U255" s="36"/>
      <c r="V255" s="36"/>
      <c r="W255" s="36"/>
      <c r="X255" s="36"/>
      <c r="Y255" s="36"/>
      <c r="Z255" s="36"/>
      <c r="AA255" s="36"/>
      <c r="AB255" s="36"/>
      <c r="AC255" s="32">
        <f t="shared" si="126"/>
        <v>0</v>
      </c>
      <c r="AD255" s="37"/>
      <c r="AE255" s="37"/>
      <c r="AF255" s="37"/>
      <c r="AG255" s="37"/>
      <c r="AH255" s="37"/>
      <c r="AI255" s="37"/>
      <c r="AJ255" s="37"/>
      <c r="AK255" s="37"/>
      <c r="AL255" s="37"/>
      <c r="AM255" s="37"/>
      <c r="AN255" s="37"/>
      <c r="AO255" s="37"/>
      <c r="AP255" s="37"/>
      <c r="AQ255" s="37"/>
      <c r="AR255" s="37"/>
      <c r="AS255" s="37"/>
      <c r="AT255" s="38"/>
      <c r="AU255" s="1630"/>
      <c r="AV255" s="1342">
        <f t="shared" si="127"/>
        <v>0</v>
      </c>
      <c r="AW255" s="1342">
        <f t="shared" si="128"/>
        <v>0</v>
      </c>
      <c r="AX255" s="1342">
        <f t="shared" si="129"/>
        <v>0</v>
      </c>
      <c r="AY255" s="39">
        <f t="shared" si="130"/>
        <v>0</v>
      </c>
      <c r="AZ255" s="32">
        <f t="shared" si="131"/>
        <v>0</v>
      </c>
      <c r="BA255" s="32">
        <f t="shared" si="132"/>
        <v>0</v>
      </c>
      <c r="BB255" s="32">
        <f t="shared" si="133"/>
        <v>0</v>
      </c>
      <c r="BC255" s="32">
        <f t="shared" si="134"/>
        <v>0</v>
      </c>
      <c r="BD255" s="32">
        <f t="shared" si="135"/>
        <v>0</v>
      </c>
      <c r="BE255" s="32">
        <f t="shared" si="136"/>
        <v>0</v>
      </c>
      <c r="BF255" s="32">
        <f t="shared" si="137"/>
        <v>0</v>
      </c>
      <c r="BG255" s="32">
        <f t="shared" si="138"/>
        <v>0</v>
      </c>
      <c r="BH255" s="32">
        <f t="shared" si="139"/>
        <v>0</v>
      </c>
      <c r="BI255" s="32">
        <f t="shared" si="140"/>
        <v>0</v>
      </c>
      <c r="BJ255" s="32">
        <f t="shared" si="141"/>
        <v>0</v>
      </c>
      <c r="BK255" s="32">
        <f t="shared" si="142"/>
        <v>0</v>
      </c>
      <c r="BL255" s="32">
        <f t="shared" si="143"/>
        <v>0</v>
      </c>
      <c r="BM255" s="32">
        <f t="shared" si="144"/>
        <v>0</v>
      </c>
      <c r="BN255" s="32">
        <f t="shared" si="145"/>
        <v>0</v>
      </c>
      <c r="BO255" s="32">
        <f t="shared" si="146"/>
        <v>0</v>
      </c>
      <c r="BP255" s="32">
        <f t="shared" si="147"/>
        <v>0</v>
      </c>
      <c r="BQ255" s="32">
        <f t="shared" si="148"/>
        <v>0</v>
      </c>
      <c r="BR255" s="32">
        <f t="shared" si="149"/>
        <v>0</v>
      </c>
      <c r="BS255" s="32">
        <f t="shared" si="150"/>
        <v>0</v>
      </c>
      <c r="BT255" s="40">
        <f t="shared" si="151"/>
        <v>0</v>
      </c>
    </row>
    <row r="256" spans="1:72">
      <c r="A256" s="6"/>
      <c r="B256" s="31"/>
      <c r="C256" s="31"/>
      <c r="D256" s="1629"/>
      <c r="E256" s="32">
        <f t="shared" si="123"/>
        <v>0</v>
      </c>
      <c r="F256" s="33"/>
      <c r="G256" s="34">
        <f t="shared" si="124"/>
        <v>0</v>
      </c>
      <c r="H256" s="35">
        <f t="shared" si="125"/>
        <v>0</v>
      </c>
      <c r="I256" s="36"/>
      <c r="J256" s="36"/>
      <c r="K256" s="36"/>
      <c r="L256" s="36"/>
      <c r="M256" s="36"/>
      <c r="N256" s="36"/>
      <c r="O256" s="36"/>
      <c r="P256" s="36"/>
      <c r="Q256" s="36"/>
      <c r="R256" s="36"/>
      <c r="S256" s="36"/>
      <c r="T256" s="36"/>
      <c r="U256" s="36"/>
      <c r="V256" s="36"/>
      <c r="W256" s="36"/>
      <c r="X256" s="36"/>
      <c r="Y256" s="36"/>
      <c r="Z256" s="36"/>
      <c r="AA256" s="36"/>
      <c r="AB256" s="36"/>
      <c r="AC256" s="32">
        <f t="shared" si="126"/>
        <v>0</v>
      </c>
      <c r="AD256" s="37"/>
      <c r="AE256" s="37"/>
      <c r="AF256" s="37"/>
      <c r="AG256" s="37"/>
      <c r="AH256" s="37"/>
      <c r="AI256" s="37"/>
      <c r="AJ256" s="37"/>
      <c r="AK256" s="37"/>
      <c r="AL256" s="37"/>
      <c r="AM256" s="37"/>
      <c r="AN256" s="37"/>
      <c r="AO256" s="37"/>
      <c r="AP256" s="37"/>
      <c r="AQ256" s="37"/>
      <c r="AR256" s="37"/>
      <c r="AS256" s="37"/>
      <c r="AT256" s="38"/>
      <c r="AU256" s="1630"/>
      <c r="AV256" s="1342">
        <f t="shared" si="127"/>
        <v>0</v>
      </c>
      <c r="AW256" s="1342">
        <f t="shared" si="128"/>
        <v>0</v>
      </c>
      <c r="AX256" s="1342">
        <f t="shared" si="129"/>
        <v>0</v>
      </c>
      <c r="AY256" s="39">
        <f t="shared" si="130"/>
        <v>0</v>
      </c>
      <c r="AZ256" s="32">
        <f t="shared" si="131"/>
        <v>0</v>
      </c>
      <c r="BA256" s="32">
        <f t="shared" si="132"/>
        <v>0</v>
      </c>
      <c r="BB256" s="32">
        <f t="shared" si="133"/>
        <v>0</v>
      </c>
      <c r="BC256" s="32">
        <f t="shared" si="134"/>
        <v>0</v>
      </c>
      <c r="BD256" s="32">
        <f t="shared" si="135"/>
        <v>0</v>
      </c>
      <c r="BE256" s="32">
        <f t="shared" si="136"/>
        <v>0</v>
      </c>
      <c r="BF256" s="32">
        <f t="shared" si="137"/>
        <v>0</v>
      </c>
      <c r="BG256" s="32">
        <f t="shared" si="138"/>
        <v>0</v>
      </c>
      <c r="BH256" s="32">
        <f t="shared" si="139"/>
        <v>0</v>
      </c>
      <c r="BI256" s="32">
        <f t="shared" si="140"/>
        <v>0</v>
      </c>
      <c r="BJ256" s="32">
        <f t="shared" si="141"/>
        <v>0</v>
      </c>
      <c r="BK256" s="32">
        <f t="shared" si="142"/>
        <v>0</v>
      </c>
      <c r="BL256" s="32">
        <f t="shared" si="143"/>
        <v>0</v>
      </c>
      <c r="BM256" s="32">
        <f t="shared" si="144"/>
        <v>0</v>
      </c>
      <c r="BN256" s="32">
        <f t="shared" si="145"/>
        <v>0</v>
      </c>
      <c r="BO256" s="32">
        <f t="shared" si="146"/>
        <v>0</v>
      </c>
      <c r="BP256" s="32">
        <f t="shared" si="147"/>
        <v>0</v>
      </c>
      <c r="BQ256" s="32">
        <f t="shared" si="148"/>
        <v>0</v>
      </c>
      <c r="BR256" s="32">
        <f t="shared" si="149"/>
        <v>0</v>
      </c>
      <c r="BS256" s="32">
        <f t="shared" si="150"/>
        <v>0</v>
      </c>
      <c r="BT256" s="40">
        <f t="shared" si="151"/>
        <v>0</v>
      </c>
    </row>
    <row r="257" spans="1:72">
      <c r="A257" s="6"/>
      <c r="B257" s="31"/>
      <c r="C257" s="31"/>
      <c r="D257" s="1629"/>
      <c r="E257" s="32">
        <f t="shared" si="123"/>
        <v>0</v>
      </c>
      <c r="F257" s="33"/>
      <c r="G257" s="34">
        <f t="shared" si="124"/>
        <v>0</v>
      </c>
      <c r="H257" s="35">
        <f t="shared" si="125"/>
        <v>0</v>
      </c>
      <c r="I257" s="36"/>
      <c r="J257" s="36"/>
      <c r="K257" s="36"/>
      <c r="L257" s="36"/>
      <c r="M257" s="36"/>
      <c r="N257" s="36"/>
      <c r="O257" s="36"/>
      <c r="P257" s="36"/>
      <c r="Q257" s="36"/>
      <c r="R257" s="36"/>
      <c r="S257" s="36"/>
      <c r="T257" s="36"/>
      <c r="U257" s="36"/>
      <c r="V257" s="36"/>
      <c r="W257" s="36"/>
      <c r="X257" s="36"/>
      <c r="Y257" s="36"/>
      <c r="Z257" s="36"/>
      <c r="AA257" s="36"/>
      <c r="AB257" s="36"/>
      <c r="AC257" s="32">
        <f t="shared" si="126"/>
        <v>0</v>
      </c>
      <c r="AD257" s="37"/>
      <c r="AE257" s="37"/>
      <c r="AF257" s="37"/>
      <c r="AG257" s="37"/>
      <c r="AH257" s="37"/>
      <c r="AI257" s="37"/>
      <c r="AJ257" s="37"/>
      <c r="AK257" s="37"/>
      <c r="AL257" s="37"/>
      <c r="AM257" s="37"/>
      <c r="AN257" s="37"/>
      <c r="AO257" s="37"/>
      <c r="AP257" s="37"/>
      <c r="AQ257" s="37"/>
      <c r="AR257" s="37"/>
      <c r="AS257" s="37"/>
      <c r="AT257" s="38"/>
      <c r="AU257" s="1630"/>
      <c r="AV257" s="1342">
        <f t="shared" si="127"/>
        <v>0</v>
      </c>
      <c r="AW257" s="1342">
        <f t="shared" si="128"/>
        <v>0</v>
      </c>
      <c r="AX257" s="1342">
        <f t="shared" si="129"/>
        <v>0</v>
      </c>
      <c r="AY257" s="39">
        <f t="shared" si="130"/>
        <v>0</v>
      </c>
      <c r="AZ257" s="32">
        <f t="shared" si="131"/>
        <v>0</v>
      </c>
      <c r="BA257" s="32">
        <f t="shared" si="132"/>
        <v>0</v>
      </c>
      <c r="BB257" s="32">
        <f t="shared" si="133"/>
        <v>0</v>
      </c>
      <c r="BC257" s="32">
        <f t="shared" si="134"/>
        <v>0</v>
      </c>
      <c r="BD257" s="32">
        <f t="shared" si="135"/>
        <v>0</v>
      </c>
      <c r="BE257" s="32">
        <f t="shared" si="136"/>
        <v>0</v>
      </c>
      <c r="BF257" s="32">
        <f t="shared" si="137"/>
        <v>0</v>
      </c>
      <c r="BG257" s="32">
        <f t="shared" si="138"/>
        <v>0</v>
      </c>
      <c r="BH257" s="32">
        <f t="shared" si="139"/>
        <v>0</v>
      </c>
      <c r="BI257" s="32">
        <f t="shared" si="140"/>
        <v>0</v>
      </c>
      <c r="BJ257" s="32">
        <f t="shared" si="141"/>
        <v>0</v>
      </c>
      <c r="BK257" s="32">
        <f t="shared" si="142"/>
        <v>0</v>
      </c>
      <c r="BL257" s="32">
        <f t="shared" si="143"/>
        <v>0</v>
      </c>
      <c r="BM257" s="32">
        <f t="shared" si="144"/>
        <v>0</v>
      </c>
      <c r="BN257" s="32">
        <f t="shared" si="145"/>
        <v>0</v>
      </c>
      <c r="BO257" s="32">
        <f t="shared" si="146"/>
        <v>0</v>
      </c>
      <c r="BP257" s="32">
        <f t="shared" si="147"/>
        <v>0</v>
      </c>
      <c r="BQ257" s="32">
        <f t="shared" si="148"/>
        <v>0</v>
      </c>
      <c r="BR257" s="32">
        <f t="shared" si="149"/>
        <v>0</v>
      </c>
      <c r="BS257" s="32">
        <f t="shared" si="150"/>
        <v>0</v>
      </c>
      <c r="BT257" s="40">
        <f t="shared" si="151"/>
        <v>0</v>
      </c>
    </row>
    <row r="258" spans="1:72">
      <c r="A258" s="6"/>
      <c r="B258" s="31"/>
      <c r="C258" s="31"/>
      <c r="D258" s="1629"/>
      <c r="E258" s="32">
        <f t="shared" si="123"/>
        <v>0</v>
      </c>
      <c r="F258" s="33"/>
      <c r="G258" s="34">
        <f t="shared" si="124"/>
        <v>0</v>
      </c>
      <c r="H258" s="35">
        <f t="shared" si="125"/>
        <v>0</v>
      </c>
      <c r="I258" s="36"/>
      <c r="J258" s="36"/>
      <c r="K258" s="36"/>
      <c r="L258" s="36"/>
      <c r="M258" s="36"/>
      <c r="N258" s="36"/>
      <c r="O258" s="36"/>
      <c r="P258" s="36"/>
      <c r="Q258" s="36"/>
      <c r="R258" s="36"/>
      <c r="S258" s="36"/>
      <c r="T258" s="36"/>
      <c r="U258" s="36"/>
      <c r="V258" s="36"/>
      <c r="W258" s="36"/>
      <c r="X258" s="36"/>
      <c r="Y258" s="36"/>
      <c r="Z258" s="36"/>
      <c r="AA258" s="36"/>
      <c r="AB258" s="36"/>
      <c r="AC258" s="32">
        <f t="shared" si="126"/>
        <v>0</v>
      </c>
      <c r="AD258" s="37"/>
      <c r="AE258" s="37"/>
      <c r="AF258" s="37"/>
      <c r="AG258" s="37"/>
      <c r="AH258" s="37"/>
      <c r="AI258" s="37"/>
      <c r="AJ258" s="37"/>
      <c r="AK258" s="37"/>
      <c r="AL258" s="37"/>
      <c r="AM258" s="37"/>
      <c r="AN258" s="37"/>
      <c r="AO258" s="37"/>
      <c r="AP258" s="37"/>
      <c r="AQ258" s="37"/>
      <c r="AR258" s="37"/>
      <c r="AS258" s="37"/>
      <c r="AT258" s="38"/>
      <c r="AU258" s="1630"/>
      <c r="AV258" s="1342">
        <f t="shared" si="127"/>
        <v>0</v>
      </c>
      <c r="AW258" s="1342">
        <f t="shared" si="128"/>
        <v>0</v>
      </c>
      <c r="AX258" s="1342">
        <f t="shared" si="129"/>
        <v>0</v>
      </c>
      <c r="AY258" s="39">
        <f t="shared" si="130"/>
        <v>0</v>
      </c>
      <c r="AZ258" s="32">
        <f t="shared" si="131"/>
        <v>0</v>
      </c>
      <c r="BA258" s="32">
        <f t="shared" si="132"/>
        <v>0</v>
      </c>
      <c r="BB258" s="32">
        <f t="shared" si="133"/>
        <v>0</v>
      </c>
      <c r="BC258" s="32">
        <f t="shared" si="134"/>
        <v>0</v>
      </c>
      <c r="BD258" s="32">
        <f t="shared" si="135"/>
        <v>0</v>
      </c>
      <c r="BE258" s="32">
        <f t="shared" si="136"/>
        <v>0</v>
      </c>
      <c r="BF258" s="32">
        <f t="shared" si="137"/>
        <v>0</v>
      </c>
      <c r="BG258" s="32">
        <f t="shared" si="138"/>
        <v>0</v>
      </c>
      <c r="BH258" s="32">
        <f t="shared" si="139"/>
        <v>0</v>
      </c>
      <c r="BI258" s="32">
        <f t="shared" si="140"/>
        <v>0</v>
      </c>
      <c r="BJ258" s="32">
        <f t="shared" si="141"/>
        <v>0</v>
      </c>
      <c r="BK258" s="32">
        <f t="shared" si="142"/>
        <v>0</v>
      </c>
      <c r="BL258" s="32">
        <f t="shared" si="143"/>
        <v>0</v>
      </c>
      <c r="BM258" s="32">
        <f t="shared" si="144"/>
        <v>0</v>
      </c>
      <c r="BN258" s="32">
        <f t="shared" si="145"/>
        <v>0</v>
      </c>
      <c r="BO258" s="32">
        <f t="shared" si="146"/>
        <v>0</v>
      </c>
      <c r="BP258" s="32">
        <f t="shared" si="147"/>
        <v>0</v>
      </c>
      <c r="BQ258" s="32">
        <f t="shared" si="148"/>
        <v>0</v>
      </c>
      <c r="BR258" s="32">
        <f t="shared" si="149"/>
        <v>0</v>
      </c>
      <c r="BS258" s="32">
        <f t="shared" si="150"/>
        <v>0</v>
      </c>
      <c r="BT258" s="40">
        <f t="shared" si="151"/>
        <v>0</v>
      </c>
    </row>
    <row r="259" spans="1:72">
      <c r="A259" s="6"/>
      <c r="B259" s="31"/>
      <c r="C259" s="31"/>
      <c r="D259" s="1629"/>
      <c r="E259" s="32">
        <f t="shared" si="123"/>
        <v>0</v>
      </c>
      <c r="F259" s="33"/>
      <c r="G259" s="34">
        <f t="shared" si="124"/>
        <v>0</v>
      </c>
      <c r="H259" s="35">
        <f t="shared" si="125"/>
        <v>0</v>
      </c>
      <c r="I259" s="36"/>
      <c r="J259" s="36"/>
      <c r="K259" s="36"/>
      <c r="L259" s="36"/>
      <c r="M259" s="36"/>
      <c r="N259" s="36"/>
      <c r="O259" s="36"/>
      <c r="P259" s="36"/>
      <c r="Q259" s="36"/>
      <c r="R259" s="36"/>
      <c r="S259" s="36"/>
      <c r="T259" s="36"/>
      <c r="U259" s="36"/>
      <c r="V259" s="36"/>
      <c r="W259" s="36"/>
      <c r="X259" s="36"/>
      <c r="Y259" s="36"/>
      <c r="Z259" s="36"/>
      <c r="AA259" s="36"/>
      <c r="AB259" s="36"/>
      <c r="AC259" s="32">
        <f t="shared" si="126"/>
        <v>0</v>
      </c>
      <c r="AD259" s="37"/>
      <c r="AE259" s="37"/>
      <c r="AF259" s="37"/>
      <c r="AG259" s="37"/>
      <c r="AH259" s="37"/>
      <c r="AI259" s="37"/>
      <c r="AJ259" s="37"/>
      <c r="AK259" s="37"/>
      <c r="AL259" s="37"/>
      <c r="AM259" s="37"/>
      <c r="AN259" s="37"/>
      <c r="AO259" s="37"/>
      <c r="AP259" s="37"/>
      <c r="AQ259" s="37"/>
      <c r="AR259" s="37"/>
      <c r="AS259" s="37"/>
      <c r="AT259" s="38"/>
      <c r="AU259" s="1630"/>
      <c r="AV259" s="1342">
        <f t="shared" si="127"/>
        <v>0</v>
      </c>
      <c r="AW259" s="1342">
        <f t="shared" si="128"/>
        <v>0</v>
      </c>
      <c r="AX259" s="1342">
        <f t="shared" si="129"/>
        <v>0</v>
      </c>
      <c r="AY259" s="39">
        <f t="shared" si="130"/>
        <v>0</v>
      </c>
      <c r="AZ259" s="32">
        <f t="shared" si="131"/>
        <v>0</v>
      </c>
      <c r="BA259" s="32">
        <f t="shared" si="132"/>
        <v>0</v>
      </c>
      <c r="BB259" s="32">
        <f t="shared" si="133"/>
        <v>0</v>
      </c>
      <c r="BC259" s="32">
        <f t="shared" si="134"/>
        <v>0</v>
      </c>
      <c r="BD259" s="32">
        <f t="shared" si="135"/>
        <v>0</v>
      </c>
      <c r="BE259" s="32">
        <f t="shared" si="136"/>
        <v>0</v>
      </c>
      <c r="BF259" s="32">
        <f t="shared" si="137"/>
        <v>0</v>
      </c>
      <c r="BG259" s="32">
        <f t="shared" si="138"/>
        <v>0</v>
      </c>
      <c r="BH259" s="32">
        <f t="shared" si="139"/>
        <v>0</v>
      </c>
      <c r="BI259" s="32">
        <f t="shared" si="140"/>
        <v>0</v>
      </c>
      <c r="BJ259" s="32">
        <f t="shared" si="141"/>
        <v>0</v>
      </c>
      <c r="BK259" s="32">
        <f t="shared" si="142"/>
        <v>0</v>
      </c>
      <c r="BL259" s="32">
        <f t="shared" si="143"/>
        <v>0</v>
      </c>
      <c r="BM259" s="32">
        <f t="shared" si="144"/>
        <v>0</v>
      </c>
      <c r="BN259" s="32">
        <f t="shared" si="145"/>
        <v>0</v>
      </c>
      <c r="BO259" s="32">
        <f t="shared" si="146"/>
        <v>0</v>
      </c>
      <c r="BP259" s="32">
        <f t="shared" si="147"/>
        <v>0</v>
      </c>
      <c r="BQ259" s="32">
        <f t="shared" si="148"/>
        <v>0</v>
      </c>
      <c r="BR259" s="32">
        <f t="shared" si="149"/>
        <v>0</v>
      </c>
      <c r="BS259" s="32">
        <f t="shared" si="150"/>
        <v>0</v>
      </c>
      <c r="BT259" s="40">
        <f t="shared" si="151"/>
        <v>0</v>
      </c>
    </row>
    <row r="260" spans="1:72">
      <c r="A260" s="6"/>
      <c r="B260" s="31"/>
      <c r="C260" s="31"/>
      <c r="D260" s="1629"/>
      <c r="E260" s="32">
        <f t="shared" si="123"/>
        <v>0</v>
      </c>
      <c r="F260" s="33"/>
      <c r="G260" s="34">
        <f t="shared" si="124"/>
        <v>0</v>
      </c>
      <c r="H260" s="35">
        <f t="shared" si="125"/>
        <v>0</v>
      </c>
      <c r="I260" s="36"/>
      <c r="J260" s="36"/>
      <c r="K260" s="36"/>
      <c r="L260" s="36"/>
      <c r="M260" s="36"/>
      <c r="N260" s="36"/>
      <c r="O260" s="36"/>
      <c r="P260" s="36"/>
      <c r="Q260" s="36"/>
      <c r="R260" s="36"/>
      <c r="S260" s="36"/>
      <c r="T260" s="36"/>
      <c r="U260" s="36"/>
      <c r="V260" s="36"/>
      <c r="W260" s="36"/>
      <c r="X260" s="36"/>
      <c r="Y260" s="36"/>
      <c r="Z260" s="36"/>
      <c r="AA260" s="36"/>
      <c r="AB260" s="36"/>
      <c r="AC260" s="32">
        <f t="shared" si="126"/>
        <v>0</v>
      </c>
      <c r="AD260" s="37"/>
      <c r="AE260" s="37"/>
      <c r="AF260" s="37"/>
      <c r="AG260" s="37"/>
      <c r="AH260" s="37"/>
      <c r="AI260" s="37"/>
      <c r="AJ260" s="37"/>
      <c r="AK260" s="37"/>
      <c r="AL260" s="37"/>
      <c r="AM260" s="37"/>
      <c r="AN260" s="37"/>
      <c r="AO260" s="37"/>
      <c r="AP260" s="37"/>
      <c r="AQ260" s="37"/>
      <c r="AR260" s="37"/>
      <c r="AS260" s="37"/>
      <c r="AT260" s="38"/>
      <c r="AU260" s="1630"/>
      <c r="AV260" s="1342">
        <f t="shared" si="127"/>
        <v>0</v>
      </c>
      <c r="AW260" s="1342">
        <f t="shared" si="128"/>
        <v>0</v>
      </c>
      <c r="AX260" s="1342">
        <f t="shared" si="129"/>
        <v>0</v>
      </c>
      <c r="AY260" s="39">
        <f t="shared" si="130"/>
        <v>0</v>
      </c>
      <c r="AZ260" s="32">
        <f t="shared" si="131"/>
        <v>0</v>
      </c>
      <c r="BA260" s="32">
        <f t="shared" si="132"/>
        <v>0</v>
      </c>
      <c r="BB260" s="32">
        <f t="shared" si="133"/>
        <v>0</v>
      </c>
      <c r="BC260" s="32">
        <f t="shared" si="134"/>
        <v>0</v>
      </c>
      <c r="BD260" s="32">
        <f t="shared" si="135"/>
        <v>0</v>
      </c>
      <c r="BE260" s="32">
        <f t="shared" si="136"/>
        <v>0</v>
      </c>
      <c r="BF260" s="32">
        <f t="shared" si="137"/>
        <v>0</v>
      </c>
      <c r="BG260" s="32">
        <f t="shared" si="138"/>
        <v>0</v>
      </c>
      <c r="BH260" s="32">
        <f t="shared" si="139"/>
        <v>0</v>
      </c>
      <c r="BI260" s="32">
        <f t="shared" si="140"/>
        <v>0</v>
      </c>
      <c r="BJ260" s="32">
        <f t="shared" si="141"/>
        <v>0</v>
      </c>
      <c r="BK260" s="32">
        <f t="shared" si="142"/>
        <v>0</v>
      </c>
      <c r="BL260" s="32">
        <f t="shared" si="143"/>
        <v>0</v>
      </c>
      <c r="BM260" s="32">
        <f t="shared" si="144"/>
        <v>0</v>
      </c>
      <c r="BN260" s="32">
        <f t="shared" si="145"/>
        <v>0</v>
      </c>
      <c r="BO260" s="32">
        <f t="shared" si="146"/>
        <v>0</v>
      </c>
      <c r="BP260" s="32">
        <f t="shared" si="147"/>
        <v>0</v>
      </c>
      <c r="BQ260" s="32">
        <f t="shared" si="148"/>
        <v>0</v>
      </c>
      <c r="BR260" s="32">
        <f t="shared" si="149"/>
        <v>0</v>
      </c>
      <c r="BS260" s="32">
        <f t="shared" si="150"/>
        <v>0</v>
      </c>
      <c r="BT260" s="40">
        <f t="shared" si="151"/>
        <v>0</v>
      </c>
    </row>
    <row r="261" spans="1:72">
      <c r="A261" s="6"/>
      <c r="B261" s="31"/>
      <c r="C261" s="31"/>
      <c r="D261" s="1629"/>
      <c r="E261" s="32">
        <f t="shared" si="123"/>
        <v>0</v>
      </c>
      <c r="F261" s="33"/>
      <c r="G261" s="34">
        <f t="shared" si="124"/>
        <v>0</v>
      </c>
      <c r="H261" s="35">
        <f t="shared" si="125"/>
        <v>0</v>
      </c>
      <c r="I261" s="36"/>
      <c r="J261" s="36"/>
      <c r="K261" s="36"/>
      <c r="L261" s="36"/>
      <c r="M261" s="36"/>
      <c r="N261" s="36"/>
      <c r="O261" s="36"/>
      <c r="P261" s="36"/>
      <c r="Q261" s="36"/>
      <c r="R261" s="36"/>
      <c r="S261" s="36"/>
      <c r="T261" s="36"/>
      <c r="U261" s="36"/>
      <c r="V261" s="36"/>
      <c r="W261" s="36"/>
      <c r="X261" s="36"/>
      <c r="Y261" s="36"/>
      <c r="Z261" s="36"/>
      <c r="AA261" s="36"/>
      <c r="AB261" s="36"/>
      <c r="AC261" s="32">
        <f t="shared" si="126"/>
        <v>0</v>
      </c>
      <c r="AD261" s="37"/>
      <c r="AE261" s="37"/>
      <c r="AF261" s="37"/>
      <c r="AG261" s="37"/>
      <c r="AH261" s="37"/>
      <c r="AI261" s="37"/>
      <c r="AJ261" s="37"/>
      <c r="AK261" s="37"/>
      <c r="AL261" s="37"/>
      <c r="AM261" s="37"/>
      <c r="AN261" s="37"/>
      <c r="AO261" s="37"/>
      <c r="AP261" s="37"/>
      <c r="AQ261" s="37"/>
      <c r="AR261" s="37"/>
      <c r="AS261" s="37"/>
      <c r="AT261" s="38"/>
      <c r="AU261" s="1630"/>
      <c r="AV261" s="1342">
        <f t="shared" si="127"/>
        <v>0</v>
      </c>
      <c r="AW261" s="1342">
        <f t="shared" si="128"/>
        <v>0</v>
      </c>
      <c r="AX261" s="1342">
        <f t="shared" si="129"/>
        <v>0</v>
      </c>
      <c r="AY261" s="39">
        <f t="shared" si="130"/>
        <v>0</v>
      </c>
      <c r="AZ261" s="32">
        <f t="shared" si="131"/>
        <v>0</v>
      </c>
      <c r="BA261" s="32">
        <f t="shared" si="132"/>
        <v>0</v>
      </c>
      <c r="BB261" s="32">
        <f t="shared" si="133"/>
        <v>0</v>
      </c>
      <c r="BC261" s="32">
        <f t="shared" si="134"/>
        <v>0</v>
      </c>
      <c r="BD261" s="32">
        <f t="shared" si="135"/>
        <v>0</v>
      </c>
      <c r="BE261" s="32">
        <f t="shared" si="136"/>
        <v>0</v>
      </c>
      <c r="BF261" s="32">
        <f t="shared" si="137"/>
        <v>0</v>
      </c>
      <c r="BG261" s="32">
        <f t="shared" si="138"/>
        <v>0</v>
      </c>
      <c r="BH261" s="32">
        <f t="shared" si="139"/>
        <v>0</v>
      </c>
      <c r="BI261" s="32">
        <f t="shared" si="140"/>
        <v>0</v>
      </c>
      <c r="BJ261" s="32">
        <f t="shared" si="141"/>
        <v>0</v>
      </c>
      <c r="BK261" s="32">
        <f t="shared" si="142"/>
        <v>0</v>
      </c>
      <c r="BL261" s="32">
        <f t="shared" si="143"/>
        <v>0</v>
      </c>
      <c r="BM261" s="32">
        <f t="shared" si="144"/>
        <v>0</v>
      </c>
      <c r="BN261" s="32">
        <f t="shared" si="145"/>
        <v>0</v>
      </c>
      <c r="BO261" s="32">
        <f t="shared" si="146"/>
        <v>0</v>
      </c>
      <c r="BP261" s="32">
        <f t="shared" si="147"/>
        <v>0</v>
      </c>
      <c r="BQ261" s="32">
        <f t="shared" si="148"/>
        <v>0</v>
      </c>
      <c r="BR261" s="32">
        <f t="shared" si="149"/>
        <v>0</v>
      </c>
      <c r="BS261" s="32">
        <f t="shared" si="150"/>
        <v>0</v>
      </c>
      <c r="BT261" s="40">
        <f t="shared" si="151"/>
        <v>0</v>
      </c>
    </row>
    <row r="262" spans="1:72">
      <c r="A262" s="6"/>
      <c r="B262" s="31"/>
      <c r="C262" s="31"/>
      <c r="D262" s="1629"/>
      <c r="E262" s="32">
        <f t="shared" si="123"/>
        <v>0</v>
      </c>
      <c r="F262" s="33"/>
      <c r="G262" s="34">
        <f t="shared" si="124"/>
        <v>0</v>
      </c>
      <c r="H262" s="35">
        <f t="shared" si="125"/>
        <v>0</v>
      </c>
      <c r="I262" s="36"/>
      <c r="J262" s="36"/>
      <c r="K262" s="36"/>
      <c r="L262" s="36"/>
      <c r="M262" s="36"/>
      <c r="N262" s="36"/>
      <c r="O262" s="36"/>
      <c r="P262" s="36"/>
      <c r="Q262" s="36"/>
      <c r="R262" s="36"/>
      <c r="S262" s="36"/>
      <c r="T262" s="36"/>
      <c r="U262" s="36"/>
      <c r="V262" s="36"/>
      <c r="W262" s="36"/>
      <c r="X262" s="36"/>
      <c r="Y262" s="36"/>
      <c r="Z262" s="36"/>
      <c r="AA262" s="36"/>
      <c r="AB262" s="36"/>
      <c r="AC262" s="32">
        <f t="shared" si="126"/>
        <v>0</v>
      </c>
      <c r="AD262" s="37"/>
      <c r="AE262" s="37"/>
      <c r="AF262" s="37"/>
      <c r="AG262" s="37"/>
      <c r="AH262" s="37"/>
      <c r="AI262" s="37"/>
      <c r="AJ262" s="37"/>
      <c r="AK262" s="37"/>
      <c r="AL262" s="37"/>
      <c r="AM262" s="37"/>
      <c r="AN262" s="37"/>
      <c r="AO262" s="37"/>
      <c r="AP262" s="37"/>
      <c r="AQ262" s="37"/>
      <c r="AR262" s="37"/>
      <c r="AS262" s="37"/>
      <c r="AT262" s="38"/>
      <c r="AU262" s="1630"/>
      <c r="AV262" s="1342">
        <f t="shared" si="127"/>
        <v>0</v>
      </c>
      <c r="AW262" s="1342">
        <f t="shared" si="128"/>
        <v>0</v>
      </c>
      <c r="AX262" s="1342">
        <f t="shared" si="129"/>
        <v>0</v>
      </c>
      <c r="AY262" s="39">
        <f t="shared" si="130"/>
        <v>0</v>
      </c>
      <c r="AZ262" s="32">
        <f t="shared" si="131"/>
        <v>0</v>
      </c>
      <c r="BA262" s="32">
        <f t="shared" si="132"/>
        <v>0</v>
      </c>
      <c r="BB262" s="32">
        <f t="shared" si="133"/>
        <v>0</v>
      </c>
      <c r="BC262" s="32">
        <f t="shared" si="134"/>
        <v>0</v>
      </c>
      <c r="BD262" s="32">
        <f t="shared" si="135"/>
        <v>0</v>
      </c>
      <c r="BE262" s="32">
        <f t="shared" si="136"/>
        <v>0</v>
      </c>
      <c r="BF262" s="32">
        <f t="shared" si="137"/>
        <v>0</v>
      </c>
      <c r="BG262" s="32">
        <f t="shared" si="138"/>
        <v>0</v>
      </c>
      <c r="BH262" s="32">
        <f t="shared" si="139"/>
        <v>0</v>
      </c>
      <c r="BI262" s="32">
        <f t="shared" si="140"/>
        <v>0</v>
      </c>
      <c r="BJ262" s="32">
        <f t="shared" si="141"/>
        <v>0</v>
      </c>
      <c r="BK262" s="32">
        <f t="shared" si="142"/>
        <v>0</v>
      </c>
      <c r="BL262" s="32">
        <f t="shared" si="143"/>
        <v>0</v>
      </c>
      <c r="BM262" s="32">
        <f t="shared" si="144"/>
        <v>0</v>
      </c>
      <c r="BN262" s="32">
        <f t="shared" si="145"/>
        <v>0</v>
      </c>
      <c r="BO262" s="32">
        <f t="shared" si="146"/>
        <v>0</v>
      </c>
      <c r="BP262" s="32">
        <f t="shared" si="147"/>
        <v>0</v>
      </c>
      <c r="BQ262" s="32">
        <f t="shared" si="148"/>
        <v>0</v>
      </c>
      <c r="BR262" s="32">
        <f t="shared" si="149"/>
        <v>0</v>
      </c>
      <c r="BS262" s="32">
        <f t="shared" si="150"/>
        <v>0</v>
      </c>
      <c r="BT262" s="40">
        <f t="shared" si="151"/>
        <v>0</v>
      </c>
    </row>
    <row r="263" spans="1:72">
      <c r="A263" s="6"/>
      <c r="B263" s="31"/>
      <c r="C263" s="31"/>
      <c r="D263" s="1629"/>
      <c r="E263" s="32">
        <f t="shared" si="123"/>
        <v>0</v>
      </c>
      <c r="F263" s="33"/>
      <c r="G263" s="34">
        <f t="shared" si="124"/>
        <v>0</v>
      </c>
      <c r="H263" s="35">
        <f t="shared" si="125"/>
        <v>0</v>
      </c>
      <c r="I263" s="36"/>
      <c r="J263" s="36"/>
      <c r="K263" s="36"/>
      <c r="L263" s="36"/>
      <c r="M263" s="36"/>
      <c r="N263" s="36"/>
      <c r="O263" s="36"/>
      <c r="P263" s="36"/>
      <c r="Q263" s="36"/>
      <c r="R263" s="36"/>
      <c r="S263" s="36"/>
      <c r="T263" s="36"/>
      <c r="U263" s="36"/>
      <c r="V263" s="36"/>
      <c r="W263" s="36"/>
      <c r="X263" s="36"/>
      <c r="Y263" s="36"/>
      <c r="Z263" s="36"/>
      <c r="AA263" s="36"/>
      <c r="AB263" s="36"/>
      <c r="AC263" s="32">
        <f t="shared" si="126"/>
        <v>0</v>
      </c>
      <c r="AD263" s="37"/>
      <c r="AE263" s="37"/>
      <c r="AF263" s="37"/>
      <c r="AG263" s="37"/>
      <c r="AH263" s="37"/>
      <c r="AI263" s="37"/>
      <c r="AJ263" s="37"/>
      <c r="AK263" s="37"/>
      <c r="AL263" s="37"/>
      <c r="AM263" s="37"/>
      <c r="AN263" s="37"/>
      <c r="AO263" s="37"/>
      <c r="AP263" s="37"/>
      <c r="AQ263" s="37"/>
      <c r="AR263" s="37"/>
      <c r="AS263" s="37"/>
      <c r="AT263" s="38"/>
      <c r="AU263" s="1630"/>
      <c r="AV263" s="1342">
        <f t="shared" si="127"/>
        <v>0</v>
      </c>
      <c r="AW263" s="1342">
        <f t="shared" si="128"/>
        <v>0</v>
      </c>
      <c r="AX263" s="1342">
        <f t="shared" si="129"/>
        <v>0</v>
      </c>
      <c r="AY263" s="39">
        <f t="shared" si="130"/>
        <v>0</v>
      </c>
      <c r="AZ263" s="32">
        <f t="shared" si="131"/>
        <v>0</v>
      </c>
      <c r="BA263" s="32">
        <f t="shared" si="132"/>
        <v>0</v>
      </c>
      <c r="BB263" s="32">
        <f t="shared" si="133"/>
        <v>0</v>
      </c>
      <c r="BC263" s="32">
        <f t="shared" si="134"/>
        <v>0</v>
      </c>
      <c r="BD263" s="32">
        <f t="shared" si="135"/>
        <v>0</v>
      </c>
      <c r="BE263" s="32">
        <f t="shared" si="136"/>
        <v>0</v>
      </c>
      <c r="BF263" s="32">
        <f t="shared" si="137"/>
        <v>0</v>
      </c>
      <c r="BG263" s="32">
        <f t="shared" si="138"/>
        <v>0</v>
      </c>
      <c r="BH263" s="32">
        <f t="shared" si="139"/>
        <v>0</v>
      </c>
      <c r="BI263" s="32">
        <f t="shared" si="140"/>
        <v>0</v>
      </c>
      <c r="BJ263" s="32">
        <f t="shared" si="141"/>
        <v>0</v>
      </c>
      <c r="BK263" s="32">
        <f t="shared" si="142"/>
        <v>0</v>
      </c>
      <c r="BL263" s="32">
        <f t="shared" si="143"/>
        <v>0</v>
      </c>
      <c r="BM263" s="32">
        <f t="shared" si="144"/>
        <v>0</v>
      </c>
      <c r="BN263" s="32">
        <f t="shared" si="145"/>
        <v>0</v>
      </c>
      <c r="BO263" s="32">
        <f t="shared" si="146"/>
        <v>0</v>
      </c>
      <c r="BP263" s="32">
        <f t="shared" si="147"/>
        <v>0</v>
      </c>
      <c r="BQ263" s="32">
        <f t="shared" si="148"/>
        <v>0</v>
      </c>
      <c r="BR263" s="32">
        <f t="shared" si="149"/>
        <v>0</v>
      </c>
      <c r="BS263" s="32">
        <f t="shared" si="150"/>
        <v>0</v>
      </c>
      <c r="BT263" s="40">
        <f t="shared" si="151"/>
        <v>0</v>
      </c>
    </row>
    <row r="264" spans="1:72">
      <c r="A264" s="6"/>
      <c r="B264" s="31"/>
      <c r="C264" s="31"/>
      <c r="D264" s="1629"/>
      <c r="E264" s="32">
        <f t="shared" si="123"/>
        <v>0</v>
      </c>
      <c r="F264" s="33"/>
      <c r="G264" s="34">
        <f t="shared" si="124"/>
        <v>0</v>
      </c>
      <c r="H264" s="35">
        <f t="shared" si="125"/>
        <v>0</v>
      </c>
      <c r="I264" s="36"/>
      <c r="J264" s="36"/>
      <c r="K264" s="36"/>
      <c r="L264" s="36"/>
      <c r="M264" s="36"/>
      <c r="N264" s="36"/>
      <c r="O264" s="36"/>
      <c r="P264" s="36"/>
      <c r="Q264" s="36"/>
      <c r="R264" s="36"/>
      <c r="S264" s="36"/>
      <c r="T264" s="36"/>
      <c r="U264" s="36"/>
      <c r="V264" s="36"/>
      <c r="W264" s="36"/>
      <c r="X264" s="36"/>
      <c r="Y264" s="36"/>
      <c r="Z264" s="36"/>
      <c r="AA264" s="36"/>
      <c r="AB264" s="36"/>
      <c r="AC264" s="32">
        <f t="shared" si="126"/>
        <v>0</v>
      </c>
      <c r="AD264" s="37"/>
      <c r="AE264" s="37"/>
      <c r="AF264" s="37"/>
      <c r="AG264" s="37"/>
      <c r="AH264" s="37"/>
      <c r="AI264" s="37"/>
      <c r="AJ264" s="37"/>
      <c r="AK264" s="37"/>
      <c r="AL264" s="37"/>
      <c r="AM264" s="37"/>
      <c r="AN264" s="37"/>
      <c r="AO264" s="37"/>
      <c r="AP264" s="37"/>
      <c r="AQ264" s="37"/>
      <c r="AR264" s="37"/>
      <c r="AS264" s="37"/>
      <c r="AT264" s="38"/>
      <c r="AU264" s="1630"/>
      <c r="AV264" s="1342">
        <f t="shared" si="127"/>
        <v>0</v>
      </c>
      <c r="AW264" s="1342">
        <f t="shared" si="128"/>
        <v>0</v>
      </c>
      <c r="AX264" s="1342">
        <f t="shared" si="129"/>
        <v>0</v>
      </c>
      <c r="AY264" s="39">
        <f t="shared" si="130"/>
        <v>0</v>
      </c>
      <c r="AZ264" s="32">
        <f t="shared" si="131"/>
        <v>0</v>
      </c>
      <c r="BA264" s="32">
        <f t="shared" si="132"/>
        <v>0</v>
      </c>
      <c r="BB264" s="32">
        <f t="shared" si="133"/>
        <v>0</v>
      </c>
      <c r="BC264" s="32">
        <f t="shared" si="134"/>
        <v>0</v>
      </c>
      <c r="BD264" s="32">
        <f t="shared" si="135"/>
        <v>0</v>
      </c>
      <c r="BE264" s="32">
        <f t="shared" si="136"/>
        <v>0</v>
      </c>
      <c r="BF264" s="32">
        <f t="shared" si="137"/>
        <v>0</v>
      </c>
      <c r="BG264" s="32">
        <f t="shared" si="138"/>
        <v>0</v>
      </c>
      <c r="BH264" s="32">
        <f t="shared" si="139"/>
        <v>0</v>
      </c>
      <c r="BI264" s="32">
        <f t="shared" si="140"/>
        <v>0</v>
      </c>
      <c r="BJ264" s="32">
        <f t="shared" si="141"/>
        <v>0</v>
      </c>
      <c r="BK264" s="32">
        <f t="shared" si="142"/>
        <v>0</v>
      </c>
      <c r="BL264" s="32">
        <f t="shared" si="143"/>
        <v>0</v>
      </c>
      <c r="BM264" s="32">
        <f t="shared" si="144"/>
        <v>0</v>
      </c>
      <c r="BN264" s="32">
        <f t="shared" si="145"/>
        <v>0</v>
      </c>
      <c r="BO264" s="32">
        <f t="shared" si="146"/>
        <v>0</v>
      </c>
      <c r="BP264" s="32">
        <f t="shared" si="147"/>
        <v>0</v>
      </c>
      <c r="BQ264" s="32">
        <f t="shared" si="148"/>
        <v>0</v>
      </c>
      <c r="BR264" s="32">
        <f t="shared" si="149"/>
        <v>0</v>
      </c>
      <c r="BS264" s="32">
        <f t="shared" si="150"/>
        <v>0</v>
      </c>
      <c r="BT264" s="40">
        <f t="shared" si="151"/>
        <v>0</v>
      </c>
    </row>
    <row r="265" spans="1:72">
      <c r="A265" s="6"/>
      <c r="B265" s="31"/>
      <c r="C265" s="31"/>
      <c r="D265" s="1629"/>
      <c r="E265" s="32">
        <f t="shared" si="123"/>
        <v>0</v>
      </c>
      <c r="F265" s="33"/>
      <c r="G265" s="34">
        <f t="shared" si="124"/>
        <v>0</v>
      </c>
      <c r="H265" s="35">
        <f t="shared" si="125"/>
        <v>0</v>
      </c>
      <c r="I265" s="36"/>
      <c r="J265" s="36"/>
      <c r="K265" s="36"/>
      <c r="L265" s="36"/>
      <c r="M265" s="36"/>
      <c r="N265" s="36"/>
      <c r="O265" s="36"/>
      <c r="P265" s="36"/>
      <c r="Q265" s="36"/>
      <c r="R265" s="36"/>
      <c r="S265" s="36"/>
      <c r="T265" s="36"/>
      <c r="U265" s="36"/>
      <c r="V265" s="36"/>
      <c r="W265" s="36"/>
      <c r="X265" s="36"/>
      <c r="Y265" s="36"/>
      <c r="Z265" s="36"/>
      <c r="AA265" s="36"/>
      <c r="AB265" s="36"/>
      <c r="AC265" s="32">
        <f t="shared" si="126"/>
        <v>0</v>
      </c>
      <c r="AD265" s="37"/>
      <c r="AE265" s="37"/>
      <c r="AF265" s="37"/>
      <c r="AG265" s="37"/>
      <c r="AH265" s="37"/>
      <c r="AI265" s="37"/>
      <c r="AJ265" s="37"/>
      <c r="AK265" s="37"/>
      <c r="AL265" s="37"/>
      <c r="AM265" s="37"/>
      <c r="AN265" s="37"/>
      <c r="AO265" s="37"/>
      <c r="AP265" s="37"/>
      <c r="AQ265" s="37"/>
      <c r="AR265" s="37"/>
      <c r="AS265" s="37"/>
      <c r="AT265" s="38"/>
      <c r="AU265" s="1630"/>
      <c r="AV265" s="1342">
        <f t="shared" si="127"/>
        <v>0</v>
      </c>
      <c r="AW265" s="1342">
        <f t="shared" si="128"/>
        <v>0</v>
      </c>
      <c r="AX265" s="1342">
        <f t="shared" si="129"/>
        <v>0</v>
      </c>
      <c r="AY265" s="39">
        <f t="shared" si="130"/>
        <v>0</v>
      </c>
      <c r="AZ265" s="32">
        <f t="shared" si="131"/>
        <v>0</v>
      </c>
      <c r="BA265" s="32">
        <f t="shared" si="132"/>
        <v>0</v>
      </c>
      <c r="BB265" s="32">
        <f t="shared" si="133"/>
        <v>0</v>
      </c>
      <c r="BC265" s="32">
        <f t="shared" si="134"/>
        <v>0</v>
      </c>
      <c r="BD265" s="32">
        <f t="shared" si="135"/>
        <v>0</v>
      </c>
      <c r="BE265" s="32">
        <f t="shared" si="136"/>
        <v>0</v>
      </c>
      <c r="BF265" s="32">
        <f t="shared" si="137"/>
        <v>0</v>
      </c>
      <c r="BG265" s="32">
        <f t="shared" si="138"/>
        <v>0</v>
      </c>
      <c r="BH265" s="32">
        <f t="shared" si="139"/>
        <v>0</v>
      </c>
      <c r="BI265" s="32">
        <f t="shared" si="140"/>
        <v>0</v>
      </c>
      <c r="BJ265" s="32">
        <f t="shared" si="141"/>
        <v>0</v>
      </c>
      <c r="BK265" s="32">
        <f t="shared" si="142"/>
        <v>0</v>
      </c>
      <c r="BL265" s="32">
        <f t="shared" si="143"/>
        <v>0</v>
      </c>
      <c r="BM265" s="32">
        <f t="shared" si="144"/>
        <v>0</v>
      </c>
      <c r="BN265" s="32">
        <f t="shared" si="145"/>
        <v>0</v>
      </c>
      <c r="BO265" s="32">
        <f t="shared" si="146"/>
        <v>0</v>
      </c>
      <c r="BP265" s="32">
        <f t="shared" si="147"/>
        <v>0</v>
      </c>
      <c r="BQ265" s="32">
        <f t="shared" si="148"/>
        <v>0</v>
      </c>
      <c r="BR265" s="32">
        <f t="shared" si="149"/>
        <v>0</v>
      </c>
      <c r="BS265" s="32">
        <f t="shared" si="150"/>
        <v>0</v>
      </c>
      <c r="BT265" s="40">
        <f t="shared" si="151"/>
        <v>0</v>
      </c>
    </row>
    <row r="266" spans="1:72">
      <c r="A266" s="6"/>
      <c r="B266" s="31"/>
      <c r="C266" s="31"/>
      <c r="D266" s="1629"/>
      <c r="E266" s="32">
        <f t="shared" si="123"/>
        <v>0</v>
      </c>
      <c r="F266" s="33"/>
      <c r="G266" s="34">
        <f t="shared" si="124"/>
        <v>0</v>
      </c>
      <c r="H266" s="35">
        <f t="shared" si="125"/>
        <v>0</v>
      </c>
      <c r="I266" s="36"/>
      <c r="J266" s="36"/>
      <c r="K266" s="36"/>
      <c r="L266" s="36"/>
      <c r="M266" s="36"/>
      <c r="N266" s="36"/>
      <c r="O266" s="36"/>
      <c r="P266" s="36"/>
      <c r="Q266" s="36"/>
      <c r="R266" s="36"/>
      <c r="S266" s="36"/>
      <c r="T266" s="36"/>
      <c r="U266" s="36"/>
      <c r="V266" s="36"/>
      <c r="W266" s="36"/>
      <c r="X266" s="36"/>
      <c r="Y266" s="36"/>
      <c r="Z266" s="36"/>
      <c r="AA266" s="36"/>
      <c r="AB266" s="36"/>
      <c r="AC266" s="32">
        <f t="shared" si="126"/>
        <v>0</v>
      </c>
      <c r="AD266" s="37"/>
      <c r="AE266" s="37"/>
      <c r="AF266" s="37"/>
      <c r="AG266" s="37"/>
      <c r="AH266" s="37"/>
      <c r="AI266" s="37"/>
      <c r="AJ266" s="37"/>
      <c r="AK266" s="37"/>
      <c r="AL266" s="37"/>
      <c r="AM266" s="37"/>
      <c r="AN266" s="37"/>
      <c r="AO266" s="37"/>
      <c r="AP266" s="37"/>
      <c r="AQ266" s="37"/>
      <c r="AR266" s="37"/>
      <c r="AS266" s="37"/>
      <c r="AT266" s="38"/>
      <c r="AU266" s="1630"/>
      <c r="AV266" s="1342">
        <f t="shared" si="127"/>
        <v>0</v>
      </c>
      <c r="AW266" s="1342">
        <f t="shared" si="128"/>
        <v>0</v>
      </c>
      <c r="AX266" s="1342">
        <f t="shared" si="129"/>
        <v>0</v>
      </c>
      <c r="AY266" s="39">
        <f t="shared" si="130"/>
        <v>0</v>
      </c>
      <c r="AZ266" s="32">
        <f t="shared" si="131"/>
        <v>0</v>
      </c>
      <c r="BA266" s="32">
        <f t="shared" si="132"/>
        <v>0</v>
      </c>
      <c r="BB266" s="32">
        <f t="shared" si="133"/>
        <v>0</v>
      </c>
      <c r="BC266" s="32">
        <f t="shared" si="134"/>
        <v>0</v>
      </c>
      <c r="BD266" s="32">
        <f t="shared" si="135"/>
        <v>0</v>
      </c>
      <c r="BE266" s="32">
        <f t="shared" si="136"/>
        <v>0</v>
      </c>
      <c r="BF266" s="32">
        <f t="shared" si="137"/>
        <v>0</v>
      </c>
      <c r="BG266" s="32">
        <f t="shared" si="138"/>
        <v>0</v>
      </c>
      <c r="BH266" s="32">
        <f t="shared" si="139"/>
        <v>0</v>
      </c>
      <c r="BI266" s="32">
        <f t="shared" si="140"/>
        <v>0</v>
      </c>
      <c r="BJ266" s="32">
        <f t="shared" si="141"/>
        <v>0</v>
      </c>
      <c r="BK266" s="32">
        <f t="shared" si="142"/>
        <v>0</v>
      </c>
      <c r="BL266" s="32">
        <f t="shared" si="143"/>
        <v>0</v>
      </c>
      <c r="BM266" s="32">
        <f t="shared" si="144"/>
        <v>0</v>
      </c>
      <c r="BN266" s="32">
        <f t="shared" si="145"/>
        <v>0</v>
      </c>
      <c r="BO266" s="32">
        <f t="shared" si="146"/>
        <v>0</v>
      </c>
      <c r="BP266" s="32">
        <f t="shared" si="147"/>
        <v>0</v>
      </c>
      <c r="BQ266" s="32">
        <f t="shared" si="148"/>
        <v>0</v>
      </c>
      <c r="BR266" s="32">
        <f t="shared" si="149"/>
        <v>0</v>
      </c>
      <c r="BS266" s="32">
        <f t="shared" si="150"/>
        <v>0</v>
      </c>
      <c r="BT266" s="40">
        <f t="shared" si="151"/>
        <v>0</v>
      </c>
    </row>
    <row r="267" spans="1:72">
      <c r="A267" s="6"/>
      <c r="B267" s="31"/>
      <c r="C267" s="31"/>
      <c r="D267" s="1629"/>
      <c r="E267" s="32">
        <f t="shared" si="123"/>
        <v>0</v>
      </c>
      <c r="F267" s="33"/>
      <c r="G267" s="34">
        <f t="shared" si="124"/>
        <v>0</v>
      </c>
      <c r="H267" s="35">
        <f t="shared" si="125"/>
        <v>0</v>
      </c>
      <c r="I267" s="36"/>
      <c r="J267" s="36"/>
      <c r="K267" s="36"/>
      <c r="L267" s="36"/>
      <c r="M267" s="36"/>
      <c r="N267" s="36"/>
      <c r="O267" s="36"/>
      <c r="P267" s="36"/>
      <c r="Q267" s="36"/>
      <c r="R267" s="36"/>
      <c r="S267" s="36"/>
      <c r="T267" s="36"/>
      <c r="U267" s="36"/>
      <c r="V267" s="36"/>
      <c r="W267" s="36"/>
      <c r="X267" s="36"/>
      <c r="Y267" s="36"/>
      <c r="Z267" s="36"/>
      <c r="AA267" s="36"/>
      <c r="AB267" s="36"/>
      <c r="AC267" s="32">
        <f t="shared" si="126"/>
        <v>0</v>
      </c>
      <c r="AD267" s="37"/>
      <c r="AE267" s="37"/>
      <c r="AF267" s="37"/>
      <c r="AG267" s="37"/>
      <c r="AH267" s="37"/>
      <c r="AI267" s="37"/>
      <c r="AJ267" s="37"/>
      <c r="AK267" s="37"/>
      <c r="AL267" s="37"/>
      <c r="AM267" s="37"/>
      <c r="AN267" s="37"/>
      <c r="AO267" s="37"/>
      <c r="AP267" s="37"/>
      <c r="AQ267" s="37"/>
      <c r="AR267" s="37"/>
      <c r="AS267" s="37"/>
      <c r="AT267" s="38"/>
      <c r="AU267" s="1630"/>
      <c r="AV267" s="1342">
        <f t="shared" si="127"/>
        <v>0</v>
      </c>
      <c r="AW267" s="1342">
        <f t="shared" si="128"/>
        <v>0</v>
      </c>
      <c r="AX267" s="1342">
        <f t="shared" si="129"/>
        <v>0</v>
      </c>
      <c r="AY267" s="39">
        <f t="shared" si="130"/>
        <v>0</v>
      </c>
      <c r="AZ267" s="32">
        <f t="shared" si="131"/>
        <v>0</v>
      </c>
      <c r="BA267" s="32">
        <f t="shared" si="132"/>
        <v>0</v>
      </c>
      <c r="BB267" s="32">
        <f t="shared" si="133"/>
        <v>0</v>
      </c>
      <c r="BC267" s="32">
        <f t="shared" si="134"/>
        <v>0</v>
      </c>
      <c r="BD267" s="32">
        <f t="shared" si="135"/>
        <v>0</v>
      </c>
      <c r="BE267" s="32">
        <f t="shared" si="136"/>
        <v>0</v>
      </c>
      <c r="BF267" s="32">
        <f t="shared" si="137"/>
        <v>0</v>
      </c>
      <c r="BG267" s="32">
        <f t="shared" si="138"/>
        <v>0</v>
      </c>
      <c r="BH267" s="32">
        <f t="shared" si="139"/>
        <v>0</v>
      </c>
      <c r="BI267" s="32">
        <f t="shared" si="140"/>
        <v>0</v>
      </c>
      <c r="BJ267" s="32">
        <f t="shared" si="141"/>
        <v>0</v>
      </c>
      <c r="BK267" s="32">
        <f t="shared" si="142"/>
        <v>0</v>
      </c>
      <c r="BL267" s="32">
        <f t="shared" si="143"/>
        <v>0</v>
      </c>
      <c r="BM267" s="32">
        <f t="shared" si="144"/>
        <v>0</v>
      </c>
      <c r="BN267" s="32">
        <f t="shared" si="145"/>
        <v>0</v>
      </c>
      <c r="BO267" s="32">
        <f t="shared" si="146"/>
        <v>0</v>
      </c>
      <c r="BP267" s="32">
        <f t="shared" si="147"/>
        <v>0</v>
      </c>
      <c r="BQ267" s="32">
        <f t="shared" si="148"/>
        <v>0</v>
      </c>
      <c r="BR267" s="32">
        <f t="shared" si="149"/>
        <v>0</v>
      </c>
      <c r="BS267" s="32">
        <f t="shared" si="150"/>
        <v>0</v>
      </c>
      <c r="BT267" s="40">
        <f t="shared" si="151"/>
        <v>0</v>
      </c>
    </row>
    <row r="268" spans="1:72">
      <c r="A268" s="6"/>
      <c r="B268" s="31"/>
      <c r="C268" s="31"/>
      <c r="D268" s="1629"/>
      <c r="E268" s="32">
        <f t="shared" si="123"/>
        <v>0</v>
      </c>
      <c r="F268" s="33"/>
      <c r="G268" s="34">
        <f t="shared" si="124"/>
        <v>0</v>
      </c>
      <c r="H268" s="35">
        <f t="shared" si="125"/>
        <v>0</v>
      </c>
      <c r="I268" s="36"/>
      <c r="J268" s="36"/>
      <c r="K268" s="36"/>
      <c r="L268" s="36"/>
      <c r="M268" s="36"/>
      <c r="N268" s="36"/>
      <c r="O268" s="36"/>
      <c r="P268" s="36"/>
      <c r="Q268" s="36"/>
      <c r="R268" s="36"/>
      <c r="S268" s="36"/>
      <c r="T268" s="36"/>
      <c r="U268" s="36"/>
      <c r="V268" s="36"/>
      <c r="W268" s="36"/>
      <c r="X268" s="36"/>
      <c r="Y268" s="36"/>
      <c r="Z268" s="36"/>
      <c r="AA268" s="36"/>
      <c r="AB268" s="36"/>
      <c r="AC268" s="32">
        <f t="shared" si="126"/>
        <v>0</v>
      </c>
      <c r="AD268" s="37"/>
      <c r="AE268" s="37"/>
      <c r="AF268" s="37"/>
      <c r="AG268" s="37"/>
      <c r="AH268" s="37"/>
      <c r="AI268" s="37"/>
      <c r="AJ268" s="37"/>
      <c r="AK268" s="37"/>
      <c r="AL268" s="37"/>
      <c r="AM268" s="37"/>
      <c r="AN268" s="37"/>
      <c r="AO268" s="37"/>
      <c r="AP268" s="37"/>
      <c r="AQ268" s="37"/>
      <c r="AR268" s="37"/>
      <c r="AS268" s="37"/>
      <c r="AT268" s="38"/>
      <c r="AU268" s="1630"/>
      <c r="AV268" s="1342">
        <f t="shared" si="127"/>
        <v>0</v>
      </c>
      <c r="AW268" s="1342">
        <f t="shared" si="128"/>
        <v>0</v>
      </c>
      <c r="AX268" s="1342">
        <f t="shared" si="129"/>
        <v>0</v>
      </c>
      <c r="AY268" s="39">
        <f t="shared" si="130"/>
        <v>0</v>
      </c>
      <c r="AZ268" s="32">
        <f t="shared" si="131"/>
        <v>0</v>
      </c>
      <c r="BA268" s="32">
        <f t="shared" si="132"/>
        <v>0</v>
      </c>
      <c r="BB268" s="32">
        <f t="shared" si="133"/>
        <v>0</v>
      </c>
      <c r="BC268" s="32">
        <f t="shared" si="134"/>
        <v>0</v>
      </c>
      <c r="BD268" s="32">
        <f t="shared" si="135"/>
        <v>0</v>
      </c>
      <c r="BE268" s="32">
        <f t="shared" si="136"/>
        <v>0</v>
      </c>
      <c r="BF268" s="32">
        <f t="shared" si="137"/>
        <v>0</v>
      </c>
      <c r="BG268" s="32">
        <f t="shared" si="138"/>
        <v>0</v>
      </c>
      <c r="BH268" s="32">
        <f t="shared" si="139"/>
        <v>0</v>
      </c>
      <c r="BI268" s="32">
        <f t="shared" si="140"/>
        <v>0</v>
      </c>
      <c r="BJ268" s="32">
        <f t="shared" si="141"/>
        <v>0</v>
      </c>
      <c r="BK268" s="32">
        <f t="shared" si="142"/>
        <v>0</v>
      </c>
      <c r="BL268" s="32">
        <f t="shared" si="143"/>
        <v>0</v>
      </c>
      <c r="BM268" s="32">
        <f t="shared" si="144"/>
        <v>0</v>
      </c>
      <c r="BN268" s="32">
        <f t="shared" si="145"/>
        <v>0</v>
      </c>
      <c r="BO268" s="32">
        <f t="shared" si="146"/>
        <v>0</v>
      </c>
      <c r="BP268" s="32">
        <f t="shared" si="147"/>
        <v>0</v>
      </c>
      <c r="BQ268" s="32">
        <f t="shared" si="148"/>
        <v>0</v>
      </c>
      <c r="BR268" s="32">
        <f t="shared" si="149"/>
        <v>0</v>
      </c>
      <c r="BS268" s="32">
        <f t="shared" si="150"/>
        <v>0</v>
      </c>
      <c r="BT268" s="40">
        <f t="shared" si="151"/>
        <v>0</v>
      </c>
    </row>
    <row r="269" spans="1:72">
      <c r="A269" s="6"/>
      <c r="B269" s="31"/>
      <c r="C269" s="31"/>
      <c r="D269" s="1629"/>
      <c r="E269" s="32">
        <f t="shared" si="123"/>
        <v>0</v>
      </c>
      <c r="F269" s="33"/>
      <c r="G269" s="34">
        <f t="shared" si="124"/>
        <v>0</v>
      </c>
      <c r="H269" s="35">
        <f t="shared" si="125"/>
        <v>0</v>
      </c>
      <c r="I269" s="36"/>
      <c r="J269" s="36"/>
      <c r="K269" s="36"/>
      <c r="L269" s="36"/>
      <c r="M269" s="36"/>
      <c r="N269" s="36"/>
      <c r="O269" s="36"/>
      <c r="P269" s="36"/>
      <c r="Q269" s="36"/>
      <c r="R269" s="36"/>
      <c r="S269" s="36"/>
      <c r="T269" s="36"/>
      <c r="U269" s="36"/>
      <c r="V269" s="36"/>
      <c r="W269" s="36"/>
      <c r="X269" s="36"/>
      <c r="Y269" s="36"/>
      <c r="Z269" s="36"/>
      <c r="AA269" s="36"/>
      <c r="AB269" s="36"/>
      <c r="AC269" s="32">
        <f t="shared" si="126"/>
        <v>0</v>
      </c>
      <c r="AD269" s="37"/>
      <c r="AE269" s="37"/>
      <c r="AF269" s="37"/>
      <c r="AG269" s="37"/>
      <c r="AH269" s="37"/>
      <c r="AI269" s="37"/>
      <c r="AJ269" s="37"/>
      <c r="AK269" s="37"/>
      <c r="AL269" s="37"/>
      <c r="AM269" s="37"/>
      <c r="AN269" s="37"/>
      <c r="AO269" s="37"/>
      <c r="AP269" s="37"/>
      <c r="AQ269" s="37"/>
      <c r="AR269" s="37"/>
      <c r="AS269" s="37"/>
      <c r="AT269" s="38"/>
      <c r="AU269" s="1630"/>
      <c r="AV269" s="1342">
        <f t="shared" si="127"/>
        <v>0</v>
      </c>
      <c r="AW269" s="1342">
        <f t="shared" si="128"/>
        <v>0</v>
      </c>
      <c r="AX269" s="1342">
        <f t="shared" si="129"/>
        <v>0</v>
      </c>
      <c r="AY269" s="39">
        <f t="shared" si="130"/>
        <v>0</v>
      </c>
      <c r="AZ269" s="32">
        <f t="shared" si="131"/>
        <v>0</v>
      </c>
      <c r="BA269" s="32">
        <f t="shared" si="132"/>
        <v>0</v>
      </c>
      <c r="BB269" s="32">
        <f t="shared" si="133"/>
        <v>0</v>
      </c>
      <c r="BC269" s="32">
        <f t="shared" si="134"/>
        <v>0</v>
      </c>
      <c r="BD269" s="32">
        <f t="shared" si="135"/>
        <v>0</v>
      </c>
      <c r="BE269" s="32">
        <f t="shared" si="136"/>
        <v>0</v>
      </c>
      <c r="BF269" s="32">
        <f t="shared" si="137"/>
        <v>0</v>
      </c>
      <c r="BG269" s="32">
        <f t="shared" si="138"/>
        <v>0</v>
      </c>
      <c r="BH269" s="32">
        <f t="shared" si="139"/>
        <v>0</v>
      </c>
      <c r="BI269" s="32">
        <f t="shared" si="140"/>
        <v>0</v>
      </c>
      <c r="BJ269" s="32">
        <f t="shared" si="141"/>
        <v>0</v>
      </c>
      <c r="BK269" s="32">
        <f t="shared" si="142"/>
        <v>0</v>
      </c>
      <c r="BL269" s="32">
        <f t="shared" si="143"/>
        <v>0</v>
      </c>
      <c r="BM269" s="32">
        <f t="shared" si="144"/>
        <v>0</v>
      </c>
      <c r="BN269" s="32">
        <f t="shared" si="145"/>
        <v>0</v>
      </c>
      <c r="BO269" s="32">
        <f t="shared" si="146"/>
        <v>0</v>
      </c>
      <c r="BP269" s="32">
        <f t="shared" si="147"/>
        <v>0</v>
      </c>
      <c r="BQ269" s="32">
        <f t="shared" si="148"/>
        <v>0</v>
      </c>
      <c r="BR269" s="32">
        <f t="shared" si="149"/>
        <v>0</v>
      </c>
      <c r="BS269" s="32">
        <f t="shared" si="150"/>
        <v>0</v>
      </c>
      <c r="BT269" s="40">
        <f t="shared" si="151"/>
        <v>0</v>
      </c>
    </row>
    <row r="270" spans="1:72">
      <c r="A270" s="6"/>
      <c r="B270" s="31"/>
      <c r="C270" s="31"/>
      <c r="D270" s="1629"/>
      <c r="E270" s="32">
        <f t="shared" si="123"/>
        <v>0</v>
      </c>
      <c r="F270" s="33"/>
      <c r="G270" s="34">
        <f t="shared" si="124"/>
        <v>0</v>
      </c>
      <c r="H270" s="35">
        <f t="shared" si="125"/>
        <v>0</v>
      </c>
      <c r="I270" s="36"/>
      <c r="J270" s="36"/>
      <c r="K270" s="36"/>
      <c r="L270" s="36"/>
      <c r="M270" s="36"/>
      <c r="N270" s="36"/>
      <c r="O270" s="36"/>
      <c r="P270" s="36"/>
      <c r="Q270" s="36"/>
      <c r="R270" s="36"/>
      <c r="S270" s="36"/>
      <c r="T270" s="36"/>
      <c r="U270" s="36"/>
      <c r="V270" s="36"/>
      <c r="W270" s="36"/>
      <c r="X270" s="36"/>
      <c r="Y270" s="36"/>
      <c r="Z270" s="36"/>
      <c r="AA270" s="36"/>
      <c r="AB270" s="36"/>
      <c r="AC270" s="32">
        <f t="shared" si="126"/>
        <v>0</v>
      </c>
      <c r="AD270" s="37"/>
      <c r="AE270" s="37"/>
      <c r="AF270" s="37"/>
      <c r="AG270" s="37"/>
      <c r="AH270" s="37"/>
      <c r="AI270" s="37"/>
      <c r="AJ270" s="37"/>
      <c r="AK270" s="37"/>
      <c r="AL270" s="37"/>
      <c r="AM270" s="37"/>
      <c r="AN270" s="37"/>
      <c r="AO270" s="37"/>
      <c r="AP270" s="37"/>
      <c r="AQ270" s="37"/>
      <c r="AR270" s="37"/>
      <c r="AS270" s="37"/>
      <c r="AT270" s="38"/>
      <c r="AU270" s="1630"/>
      <c r="AV270" s="1342">
        <f t="shared" si="127"/>
        <v>0</v>
      </c>
      <c r="AW270" s="1342">
        <f t="shared" si="128"/>
        <v>0</v>
      </c>
      <c r="AX270" s="1342">
        <f t="shared" si="129"/>
        <v>0</v>
      </c>
      <c r="AY270" s="39">
        <f t="shared" si="130"/>
        <v>0</v>
      </c>
      <c r="AZ270" s="32">
        <f t="shared" si="131"/>
        <v>0</v>
      </c>
      <c r="BA270" s="32">
        <f t="shared" si="132"/>
        <v>0</v>
      </c>
      <c r="BB270" s="32">
        <f t="shared" si="133"/>
        <v>0</v>
      </c>
      <c r="BC270" s="32">
        <f t="shared" si="134"/>
        <v>0</v>
      </c>
      <c r="BD270" s="32">
        <f t="shared" si="135"/>
        <v>0</v>
      </c>
      <c r="BE270" s="32">
        <f t="shared" si="136"/>
        <v>0</v>
      </c>
      <c r="BF270" s="32">
        <f t="shared" si="137"/>
        <v>0</v>
      </c>
      <c r="BG270" s="32">
        <f t="shared" si="138"/>
        <v>0</v>
      </c>
      <c r="BH270" s="32">
        <f t="shared" si="139"/>
        <v>0</v>
      </c>
      <c r="BI270" s="32">
        <f t="shared" si="140"/>
        <v>0</v>
      </c>
      <c r="BJ270" s="32">
        <f t="shared" si="141"/>
        <v>0</v>
      </c>
      <c r="BK270" s="32">
        <f t="shared" si="142"/>
        <v>0</v>
      </c>
      <c r="BL270" s="32">
        <f t="shared" si="143"/>
        <v>0</v>
      </c>
      <c r="BM270" s="32">
        <f t="shared" si="144"/>
        <v>0</v>
      </c>
      <c r="BN270" s="32">
        <f t="shared" si="145"/>
        <v>0</v>
      </c>
      <c r="BO270" s="32">
        <f t="shared" si="146"/>
        <v>0</v>
      </c>
      <c r="BP270" s="32">
        <f t="shared" si="147"/>
        <v>0</v>
      </c>
      <c r="BQ270" s="32">
        <f t="shared" si="148"/>
        <v>0</v>
      </c>
      <c r="BR270" s="32">
        <f t="shared" si="149"/>
        <v>0</v>
      </c>
      <c r="BS270" s="32">
        <f t="shared" si="150"/>
        <v>0</v>
      </c>
      <c r="BT270" s="40">
        <f t="shared" si="151"/>
        <v>0</v>
      </c>
    </row>
    <row r="271" spans="1:72">
      <c r="A271" s="6"/>
      <c r="B271" s="31"/>
      <c r="C271" s="31"/>
      <c r="D271" s="1629"/>
      <c r="E271" s="32">
        <f t="shared" si="123"/>
        <v>0</v>
      </c>
      <c r="F271" s="33"/>
      <c r="G271" s="34">
        <f t="shared" si="124"/>
        <v>0</v>
      </c>
      <c r="H271" s="35">
        <f t="shared" si="125"/>
        <v>0</v>
      </c>
      <c r="I271" s="36"/>
      <c r="J271" s="36"/>
      <c r="K271" s="36"/>
      <c r="L271" s="36"/>
      <c r="M271" s="36"/>
      <c r="N271" s="36"/>
      <c r="O271" s="36"/>
      <c r="P271" s="36"/>
      <c r="Q271" s="36"/>
      <c r="R271" s="36"/>
      <c r="S271" s="36"/>
      <c r="T271" s="36"/>
      <c r="U271" s="36"/>
      <c r="V271" s="36"/>
      <c r="W271" s="36"/>
      <c r="X271" s="36"/>
      <c r="Y271" s="36"/>
      <c r="Z271" s="36"/>
      <c r="AA271" s="36"/>
      <c r="AB271" s="36"/>
      <c r="AC271" s="32">
        <f t="shared" si="126"/>
        <v>0</v>
      </c>
      <c r="AD271" s="37"/>
      <c r="AE271" s="37"/>
      <c r="AF271" s="37"/>
      <c r="AG271" s="37"/>
      <c r="AH271" s="37"/>
      <c r="AI271" s="37"/>
      <c r="AJ271" s="37"/>
      <c r="AK271" s="37"/>
      <c r="AL271" s="37"/>
      <c r="AM271" s="37"/>
      <c r="AN271" s="37"/>
      <c r="AO271" s="37"/>
      <c r="AP271" s="37"/>
      <c r="AQ271" s="37"/>
      <c r="AR271" s="37"/>
      <c r="AS271" s="37"/>
      <c r="AT271" s="38"/>
      <c r="AU271" s="1630"/>
      <c r="AV271" s="1342">
        <f t="shared" si="127"/>
        <v>0</v>
      </c>
      <c r="AW271" s="1342">
        <f t="shared" si="128"/>
        <v>0</v>
      </c>
      <c r="AX271" s="1342">
        <f t="shared" si="129"/>
        <v>0</v>
      </c>
      <c r="AY271" s="39">
        <f t="shared" si="130"/>
        <v>0</v>
      </c>
      <c r="AZ271" s="32">
        <f t="shared" si="131"/>
        <v>0</v>
      </c>
      <c r="BA271" s="32">
        <f t="shared" si="132"/>
        <v>0</v>
      </c>
      <c r="BB271" s="32">
        <f t="shared" si="133"/>
        <v>0</v>
      </c>
      <c r="BC271" s="32">
        <f t="shared" si="134"/>
        <v>0</v>
      </c>
      <c r="BD271" s="32">
        <f t="shared" si="135"/>
        <v>0</v>
      </c>
      <c r="BE271" s="32">
        <f t="shared" si="136"/>
        <v>0</v>
      </c>
      <c r="BF271" s="32">
        <f t="shared" si="137"/>
        <v>0</v>
      </c>
      <c r="BG271" s="32">
        <f t="shared" si="138"/>
        <v>0</v>
      </c>
      <c r="BH271" s="32">
        <f t="shared" si="139"/>
        <v>0</v>
      </c>
      <c r="BI271" s="32">
        <f t="shared" si="140"/>
        <v>0</v>
      </c>
      <c r="BJ271" s="32">
        <f t="shared" si="141"/>
        <v>0</v>
      </c>
      <c r="BK271" s="32">
        <f t="shared" si="142"/>
        <v>0</v>
      </c>
      <c r="BL271" s="32">
        <f t="shared" si="143"/>
        <v>0</v>
      </c>
      <c r="BM271" s="32">
        <f t="shared" si="144"/>
        <v>0</v>
      </c>
      <c r="BN271" s="32">
        <f t="shared" si="145"/>
        <v>0</v>
      </c>
      <c r="BO271" s="32">
        <f t="shared" si="146"/>
        <v>0</v>
      </c>
      <c r="BP271" s="32">
        <f t="shared" si="147"/>
        <v>0</v>
      </c>
      <c r="BQ271" s="32">
        <f t="shared" si="148"/>
        <v>0</v>
      </c>
      <c r="BR271" s="32">
        <f t="shared" si="149"/>
        <v>0</v>
      </c>
      <c r="BS271" s="32">
        <f t="shared" si="150"/>
        <v>0</v>
      </c>
      <c r="BT271" s="40">
        <f t="shared" si="151"/>
        <v>0</v>
      </c>
    </row>
    <row r="272" spans="1:72">
      <c r="A272" s="6"/>
      <c r="B272" s="31"/>
      <c r="C272" s="31"/>
      <c r="D272" s="1629"/>
      <c r="E272" s="32">
        <f t="shared" si="123"/>
        <v>0</v>
      </c>
      <c r="F272" s="33"/>
      <c r="G272" s="34">
        <f t="shared" si="124"/>
        <v>0</v>
      </c>
      <c r="H272" s="35">
        <f t="shared" si="125"/>
        <v>0</v>
      </c>
      <c r="I272" s="36"/>
      <c r="J272" s="36"/>
      <c r="K272" s="36"/>
      <c r="L272" s="36"/>
      <c r="M272" s="36"/>
      <c r="N272" s="36"/>
      <c r="O272" s="36"/>
      <c r="P272" s="36"/>
      <c r="Q272" s="36"/>
      <c r="R272" s="36"/>
      <c r="S272" s="36"/>
      <c r="T272" s="36"/>
      <c r="U272" s="36"/>
      <c r="V272" s="36"/>
      <c r="W272" s="36"/>
      <c r="X272" s="36"/>
      <c r="Y272" s="36"/>
      <c r="Z272" s="36"/>
      <c r="AA272" s="36"/>
      <c r="AB272" s="36"/>
      <c r="AC272" s="32">
        <f t="shared" si="126"/>
        <v>0</v>
      </c>
      <c r="AD272" s="37"/>
      <c r="AE272" s="37"/>
      <c r="AF272" s="37"/>
      <c r="AG272" s="37"/>
      <c r="AH272" s="37"/>
      <c r="AI272" s="37"/>
      <c r="AJ272" s="37"/>
      <c r="AK272" s="37"/>
      <c r="AL272" s="37"/>
      <c r="AM272" s="37"/>
      <c r="AN272" s="37"/>
      <c r="AO272" s="37"/>
      <c r="AP272" s="37"/>
      <c r="AQ272" s="37"/>
      <c r="AR272" s="37"/>
      <c r="AS272" s="37"/>
      <c r="AT272" s="38"/>
      <c r="AU272" s="1630"/>
      <c r="AV272" s="1342">
        <f t="shared" si="127"/>
        <v>0</v>
      </c>
      <c r="AW272" s="1342">
        <f t="shared" si="128"/>
        <v>0</v>
      </c>
      <c r="AX272" s="1342">
        <f t="shared" si="129"/>
        <v>0</v>
      </c>
      <c r="AY272" s="39">
        <f t="shared" si="130"/>
        <v>0</v>
      </c>
      <c r="AZ272" s="32">
        <f t="shared" si="131"/>
        <v>0</v>
      </c>
      <c r="BA272" s="32">
        <f t="shared" si="132"/>
        <v>0</v>
      </c>
      <c r="BB272" s="32">
        <f t="shared" si="133"/>
        <v>0</v>
      </c>
      <c r="BC272" s="32">
        <f t="shared" si="134"/>
        <v>0</v>
      </c>
      <c r="BD272" s="32">
        <f t="shared" si="135"/>
        <v>0</v>
      </c>
      <c r="BE272" s="32">
        <f t="shared" si="136"/>
        <v>0</v>
      </c>
      <c r="BF272" s="32">
        <f t="shared" si="137"/>
        <v>0</v>
      </c>
      <c r="BG272" s="32">
        <f t="shared" si="138"/>
        <v>0</v>
      </c>
      <c r="BH272" s="32">
        <f t="shared" si="139"/>
        <v>0</v>
      </c>
      <c r="BI272" s="32">
        <f t="shared" si="140"/>
        <v>0</v>
      </c>
      <c r="BJ272" s="32">
        <f t="shared" si="141"/>
        <v>0</v>
      </c>
      <c r="BK272" s="32">
        <f t="shared" si="142"/>
        <v>0</v>
      </c>
      <c r="BL272" s="32">
        <f t="shared" si="143"/>
        <v>0</v>
      </c>
      <c r="BM272" s="32">
        <f t="shared" si="144"/>
        <v>0</v>
      </c>
      <c r="BN272" s="32">
        <f t="shared" si="145"/>
        <v>0</v>
      </c>
      <c r="BO272" s="32">
        <f t="shared" si="146"/>
        <v>0</v>
      </c>
      <c r="BP272" s="32">
        <f t="shared" si="147"/>
        <v>0</v>
      </c>
      <c r="BQ272" s="32">
        <f t="shared" si="148"/>
        <v>0</v>
      </c>
      <c r="BR272" s="32">
        <f t="shared" si="149"/>
        <v>0</v>
      </c>
      <c r="BS272" s="32">
        <f t="shared" si="150"/>
        <v>0</v>
      </c>
      <c r="BT272" s="40">
        <f t="shared" si="151"/>
        <v>0</v>
      </c>
    </row>
    <row r="273" spans="1:72">
      <c r="A273" s="6"/>
      <c r="B273" s="31"/>
      <c r="C273" s="31"/>
      <c r="D273" s="1629"/>
      <c r="E273" s="32">
        <f t="shared" si="123"/>
        <v>0</v>
      </c>
      <c r="F273" s="33"/>
      <c r="G273" s="34">
        <f t="shared" si="124"/>
        <v>0</v>
      </c>
      <c r="H273" s="35">
        <f t="shared" si="125"/>
        <v>0</v>
      </c>
      <c r="I273" s="36"/>
      <c r="J273" s="36"/>
      <c r="K273" s="36"/>
      <c r="L273" s="36"/>
      <c r="M273" s="36"/>
      <c r="N273" s="36"/>
      <c r="O273" s="36"/>
      <c r="P273" s="36"/>
      <c r="Q273" s="36"/>
      <c r="R273" s="36"/>
      <c r="S273" s="36"/>
      <c r="T273" s="36"/>
      <c r="U273" s="36"/>
      <c r="V273" s="36"/>
      <c r="W273" s="36"/>
      <c r="X273" s="36"/>
      <c r="Y273" s="36"/>
      <c r="Z273" s="36"/>
      <c r="AA273" s="36"/>
      <c r="AB273" s="36"/>
      <c r="AC273" s="32">
        <f t="shared" si="126"/>
        <v>0</v>
      </c>
      <c r="AD273" s="37"/>
      <c r="AE273" s="37"/>
      <c r="AF273" s="37"/>
      <c r="AG273" s="37"/>
      <c r="AH273" s="37"/>
      <c r="AI273" s="37"/>
      <c r="AJ273" s="37"/>
      <c r="AK273" s="37"/>
      <c r="AL273" s="37"/>
      <c r="AM273" s="37"/>
      <c r="AN273" s="37"/>
      <c r="AO273" s="37"/>
      <c r="AP273" s="37"/>
      <c r="AQ273" s="37"/>
      <c r="AR273" s="37"/>
      <c r="AS273" s="37"/>
      <c r="AT273" s="38"/>
      <c r="AU273" s="1630"/>
      <c r="AV273" s="1342">
        <f t="shared" si="127"/>
        <v>0</v>
      </c>
      <c r="AW273" s="1342">
        <f t="shared" si="128"/>
        <v>0</v>
      </c>
      <c r="AX273" s="1342">
        <f t="shared" si="129"/>
        <v>0</v>
      </c>
      <c r="AY273" s="39">
        <f t="shared" si="130"/>
        <v>0</v>
      </c>
      <c r="AZ273" s="32">
        <f t="shared" si="131"/>
        <v>0</v>
      </c>
      <c r="BA273" s="32">
        <f t="shared" si="132"/>
        <v>0</v>
      </c>
      <c r="BB273" s="32">
        <f t="shared" si="133"/>
        <v>0</v>
      </c>
      <c r="BC273" s="32">
        <f t="shared" si="134"/>
        <v>0</v>
      </c>
      <c r="BD273" s="32">
        <f t="shared" si="135"/>
        <v>0</v>
      </c>
      <c r="BE273" s="32">
        <f t="shared" si="136"/>
        <v>0</v>
      </c>
      <c r="BF273" s="32">
        <f t="shared" si="137"/>
        <v>0</v>
      </c>
      <c r="BG273" s="32">
        <f t="shared" si="138"/>
        <v>0</v>
      </c>
      <c r="BH273" s="32">
        <f t="shared" si="139"/>
        <v>0</v>
      </c>
      <c r="BI273" s="32">
        <f t="shared" si="140"/>
        <v>0</v>
      </c>
      <c r="BJ273" s="32">
        <f t="shared" si="141"/>
        <v>0</v>
      </c>
      <c r="BK273" s="32">
        <f t="shared" si="142"/>
        <v>0</v>
      </c>
      <c r="BL273" s="32">
        <f t="shared" si="143"/>
        <v>0</v>
      </c>
      <c r="BM273" s="32">
        <f t="shared" si="144"/>
        <v>0</v>
      </c>
      <c r="BN273" s="32">
        <f t="shared" si="145"/>
        <v>0</v>
      </c>
      <c r="BO273" s="32">
        <f t="shared" si="146"/>
        <v>0</v>
      </c>
      <c r="BP273" s="32">
        <f t="shared" si="147"/>
        <v>0</v>
      </c>
      <c r="BQ273" s="32">
        <f t="shared" si="148"/>
        <v>0</v>
      </c>
      <c r="BR273" s="32">
        <f t="shared" si="149"/>
        <v>0</v>
      </c>
      <c r="BS273" s="32">
        <f t="shared" si="150"/>
        <v>0</v>
      </c>
      <c r="BT273" s="40">
        <f t="shared" si="151"/>
        <v>0</v>
      </c>
    </row>
    <row r="274" spans="1:72">
      <c r="A274" s="6"/>
      <c r="B274" s="31"/>
      <c r="C274" s="31"/>
      <c r="D274" s="1629"/>
      <c r="E274" s="32">
        <f t="shared" si="123"/>
        <v>0</v>
      </c>
      <c r="F274" s="33"/>
      <c r="G274" s="34">
        <f t="shared" si="124"/>
        <v>0</v>
      </c>
      <c r="H274" s="35">
        <f t="shared" si="125"/>
        <v>0</v>
      </c>
      <c r="I274" s="36"/>
      <c r="J274" s="36"/>
      <c r="K274" s="36"/>
      <c r="L274" s="36"/>
      <c r="M274" s="36"/>
      <c r="N274" s="36"/>
      <c r="O274" s="36"/>
      <c r="P274" s="36"/>
      <c r="Q274" s="36"/>
      <c r="R274" s="36"/>
      <c r="S274" s="36"/>
      <c r="T274" s="36"/>
      <c r="U274" s="36"/>
      <c r="V274" s="36"/>
      <c r="W274" s="36"/>
      <c r="X274" s="36"/>
      <c r="Y274" s="36"/>
      <c r="Z274" s="36"/>
      <c r="AA274" s="36"/>
      <c r="AB274" s="36"/>
      <c r="AC274" s="32">
        <f t="shared" si="126"/>
        <v>0</v>
      </c>
      <c r="AD274" s="37"/>
      <c r="AE274" s="37"/>
      <c r="AF274" s="37"/>
      <c r="AG274" s="37"/>
      <c r="AH274" s="37"/>
      <c r="AI274" s="37"/>
      <c r="AJ274" s="37"/>
      <c r="AK274" s="37"/>
      <c r="AL274" s="37"/>
      <c r="AM274" s="37"/>
      <c r="AN274" s="37"/>
      <c r="AO274" s="37"/>
      <c r="AP274" s="37"/>
      <c r="AQ274" s="37"/>
      <c r="AR274" s="37"/>
      <c r="AS274" s="37"/>
      <c r="AT274" s="38"/>
      <c r="AU274" s="1630"/>
      <c r="AV274" s="1342">
        <f t="shared" si="127"/>
        <v>0</v>
      </c>
      <c r="AW274" s="1342">
        <f t="shared" si="128"/>
        <v>0</v>
      </c>
      <c r="AX274" s="1342">
        <f t="shared" si="129"/>
        <v>0</v>
      </c>
      <c r="AY274" s="39">
        <f t="shared" si="130"/>
        <v>0</v>
      </c>
      <c r="AZ274" s="32">
        <f t="shared" si="131"/>
        <v>0</v>
      </c>
      <c r="BA274" s="32">
        <f t="shared" si="132"/>
        <v>0</v>
      </c>
      <c r="BB274" s="32">
        <f t="shared" si="133"/>
        <v>0</v>
      </c>
      <c r="BC274" s="32">
        <f t="shared" si="134"/>
        <v>0</v>
      </c>
      <c r="BD274" s="32">
        <f t="shared" si="135"/>
        <v>0</v>
      </c>
      <c r="BE274" s="32">
        <f t="shared" si="136"/>
        <v>0</v>
      </c>
      <c r="BF274" s="32">
        <f t="shared" si="137"/>
        <v>0</v>
      </c>
      <c r="BG274" s="32">
        <f t="shared" si="138"/>
        <v>0</v>
      </c>
      <c r="BH274" s="32">
        <f t="shared" si="139"/>
        <v>0</v>
      </c>
      <c r="BI274" s="32">
        <f t="shared" si="140"/>
        <v>0</v>
      </c>
      <c r="BJ274" s="32">
        <f t="shared" si="141"/>
        <v>0</v>
      </c>
      <c r="BK274" s="32">
        <f t="shared" si="142"/>
        <v>0</v>
      </c>
      <c r="BL274" s="32">
        <f t="shared" si="143"/>
        <v>0</v>
      </c>
      <c r="BM274" s="32">
        <f t="shared" si="144"/>
        <v>0</v>
      </c>
      <c r="BN274" s="32">
        <f t="shared" si="145"/>
        <v>0</v>
      </c>
      <c r="BO274" s="32">
        <f t="shared" si="146"/>
        <v>0</v>
      </c>
      <c r="BP274" s="32">
        <f t="shared" si="147"/>
        <v>0</v>
      </c>
      <c r="BQ274" s="32">
        <f t="shared" si="148"/>
        <v>0</v>
      </c>
      <c r="BR274" s="32">
        <f t="shared" si="149"/>
        <v>0</v>
      </c>
      <c r="BS274" s="32">
        <f t="shared" si="150"/>
        <v>0</v>
      </c>
      <c r="BT274" s="40">
        <f t="shared" si="151"/>
        <v>0</v>
      </c>
    </row>
    <row r="275" spans="1:72">
      <c r="A275" s="6"/>
      <c r="B275" s="31"/>
      <c r="C275" s="31"/>
      <c r="D275" s="1629"/>
      <c r="E275" s="32">
        <f t="shared" si="123"/>
        <v>0</v>
      </c>
      <c r="F275" s="33"/>
      <c r="G275" s="34">
        <f t="shared" si="124"/>
        <v>0</v>
      </c>
      <c r="H275" s="35">
        <f t="shared" si="125"/>
        <v>0</v>
      </c>
      <c r="I275" s="36"/>
      <c r="J275" s="36"/>
      <c r="K275" s="36"/>
      <c r="L275" s="36"/>
      <c r="M275" s="36"/>
      <c r="N275" s="36"/>
      <c r="O275" s="36"/>
      <c r="P275" s="36"/>
      <c r="Q275" s="36"/>
      <c r="R275" s="36"/>
      <c r="S275" s="36"/>
      <c r="T275" s="36"/>
      <c r="U275" s="36"/>
      <c r="V275" s="36"/>
      <c r="W275" s="36"/>
      <c r="X275" s="36"/>
      <c r="Y275" s="36"/>
      <c r="Z275" s="36"/>
      <c r="AA275" s="36"/>
      <c r="AB275" s="36"/>
      <c r="AC275" s="32">
        <f t="shared" si="126"/>
        <v>0</v>
      </c>
      <c r="AD275" s="37"/>
      <c r="AE275" s="37"/>
      <c r="AF275" s="37"/>
      <c r="AG275" s="37"/>
      <c r="AH275" s="37"/>
      <c r="AI275" s="37"/>
      <c r="AJ275" s="37"/>
      <c r="AK275" s="37"/>
      <c r="AL275" s="37"/>
      <c r="AM275" s="37"/>
      <c r="AN275" s="37"/>
      <c r="AO275" s="37"/>
      <c r="AP275" s="37"/>
      <c r="AQ275" s="37"/>
      <c r="AR275" s="37"/>
      <c r="AS275" s="37"/>
      <c r="AT275" s="38"/>
      <c r="AU275" s="1630"/>
      <c r="AV275" s="1342">
        <f t="shared" si="127"/>
        <v>0</v>
      </c>
      <c r="AW275" s="1342">
        <f t="shared" si="128"/>
        <v>0</v>
      </c>
      <c r="AX275" s="1342">
        <f t="shared" si="129"/>
        <v>0</v>
      </c>
      <c r="AY275" s="39">
        <f t="shared" si="130"/>
        <v>0</v>
      </c>
      <c r="AZ275" s="32">
        <f t="shared" si="131"/>
        <v>0</v>
      </c>
      <c r="BA275" s="32">
        <f t="shared" si="132"/>
        <v>0</v>
      </c>
      <c r="BB275" s="32">
        <f t="shared" si="133"/>
        <v>0</v>
      </c>
      <c r="BC275" s="32">
        <f t="shared" si="134"/>
        <v>0</v>
      </c>
      <c r="BD275" s="32">
        <f t="shared" si="135"/>
        <v>0</v>
      </c>
      <c r="BE275" s="32">
        <f t="shared" si="136"/>
        <v>0</v>
      </c>
      <c r="BF275" s="32">
        <f t="shared" si="137"/>
        <v>0</v>
      </c>
      <c r="BG275" s="32">
        <f t="shared" si="138"/>
        <v>0</v>
      </c>
      <c r="BH275" s="32">
        <f t="shared" si="139"/>
        <v>0</v>
      </c>
      <c r="BI275" s="32">
        <f t="shared" si="140"/>
        <v>0</v>
      </c>
      <c r="BJ275" s="32">
        <f t="shared" si="141"/>
        <v>0</v>
      </c>
      <c r="BK275" s="32">
        <f t="shared" si="142"/>
        <v>0</v>
      </c>
      <c r="BL275" s="32">
        <f t="shared" si="143"/>
        <v>0</v>
      </c>
      <c r="BM275" s="32">
        <f t="shared" si="144"/>
        <v>0</v>
      </c>
      <c r="BN275" s="32">
        <f t="shared" si="145"/>
        <v>0</v>
      </c>
      <c r="BO275" s="32">
        <f t="shared" si="146"/>
        <v>0</v>
      </c>
      <c r="BP275" s="32">
        <f t="shared" si="147"/>
        <v>0</v>
      </c>
      <c r="BQ275" s="32">
        <f t="shared" si="148"/>
        <v>0</v>
      </c>
      <c r="BR275" s="32">
        <f t="shared" si="149"/>
        <v>0</v>
      </c>
      <c r="BS275" s="32">
        <f t="shared" si="150"/>
        <v>0</v>
      </c>
      <c r="BT275" s="40">
        <f t="shared" si="151"/>
        <v>0</v>
      </c>
    </row>
    <row r="276" spans="1:72">
      <c r="A276" s="6"/>
      <c r="B276" s="31"/>
      <c r="C276" s="31"/>
      <c r="D276" s="1629"/>
      <c r="E276" s="32">
        <f t="shared" si="123"/>
        <v>0</v>
      </c>
      <c r="F276" s="33"/>
      <c r="G276" s="34">
        <f t="shared" si="124"/>
        <v>0</v>
      </c>
      <c r="H276" s="35">
        <f t="shared" si="125"/>
        <v>0</v>
      </c>
      <c r="I276" s="36"/>
      <c r="J276" s="36"/>
      <c r="K276" s="36"/>
      <c r="L276" s="36"/>
      <c r="M276" s="36"/>
      <c r="N276" s="36"/>
      <c r="O276" s="36"/>
      <c r="P276" s="36"/>
      <c r="Q276" s="36"/>
      <c r="R276" s="36"/>
      <c r="S276" s="36"/>
      <c r="T276" s="36"/>
      <c r="U276" s="36"/>
      <c r="V276" s="36"/>
      <c r="W276" s="36"/>
      <c r="X276" s="36"/>
      <c r="Y276" s="36"/>
      <c r="Z276" s="36"/>
      <c r="AA276" s="36"/>
      <c r="AB276" s="36"/>
      <c r="AC276" s="32">
        <f t="shared" si="126"/>
        <v>0</v>
      </c>
      <c r="AD276" s="37"/>
      <c r="AE276" s="37"/>
      <c r="AF276" s="37"/>
      <c r="AG276" s="37"/>
      <c r="AH276" s="37"/>
      <c r="AI276" s="37"/>
      <c r="AJ276" s="37"/>
      <c r="AK276" s="37"/>
      <c r="AL276" s="37"/>
      <c r="AM276" s="37"/>
      <c r="AN276" s="37"/>
      <c r="AO276" s="37"/>
      <c r="AP276" s="37"/>
      <c r="AQ276" s="37"/>
      <c r="AR276" s="37"/>
      <c r="AS276" s="37"/>
      <c r="AT276" s="38"/>
      <c r="AU276" s="1630"/>
      <c r="AV276" s="1342">
        <f t="shared" si="127"/>
        <v>0</v>
      </c>
      <c r="AW276" s="1342">
        <f t="shared" si="128"/>
        <v>0</v>
      </c>
      <c r="AX276" s="1342">
        <f t="shared" si="129"/>
        <v>0</v>
      </c>
      <c r="AY276" s="39">
        <f t="shared" si="130"/>
        <v>0</v>
      </c>
      <c r="AZ276" s="32">
        <f t="shared" si="131"/>
        <v>0</v>
      </c>
      <c r="BA276" s="32">
        <f t="shared" si="132"/>
        <v>0</v>
      </c>
      <c r="BB276" s="32">
        <f t="shared" si="133"/>
        <v>0</v>
      </c>
      <c r="BC276" s="32">
        <f t="shared" si="134"/>
        <v>0</v>
      </c>
      <c r="BD276" s="32">
        <f t="shared" si="135"/>
        <v>0</v>
      </c>
      <c r="BE276" s="32">
        <f t="shared" si="136"/>
        <v>0</v>
      </c>
      <c r="BF276" s="32">
        <f t="shared" si="137"/>
        <v>0</v>
      </c>
      <c r="BG276" s="32">
        <f t="shared" si="138"/>
        <v>0</v>
      </c>
      <c r="BH276" s="32">
        <f t="shared" si="139"/>
        <v>0</v>
      </c>
      <c r="BI276" s="32">
        <f t="shared" si="140"/>
        <v>0</v>
      </c>
      <c r="BJ276" s="32">
        <f t="shared" si="141"/>
        <v>0</v>
      </c>
      <c r="BK276" s="32">
        <f t="shared" si="142"/>
        <v>0</v>
      </c>
      <c r="BL276" s="32">
        <f t="shared" si="143"/>
        <v>0</v>
      </c>
      <c r="BM276" s="32">
        <f t="shared" si="144"/>
        <v>0</v>
      </c>
      <c r="BN276" s="32">
        <f t="shared" si="145"/>
        <v>0</v>
      </c>
      <c r="BO276" s="32">
        <f t="shared" si="146"/>
        <v>0</v>
      </c>
      <c r="BP276" s="32">
        <f t="shared" si="147"/>
        <v>0</v>
      </c>
      <c r="BQ276" s="32">
        <f t="shared" si="148"/>
        <v>0</v>
      </c>
      <c r="BR276" s="32">
        <f t="shared" si="149"/>
        <v>0</v>
      </c>
      <c r="BS276" s="32">
        <f t="shared" si="150"/>
        <v>0</v>
      </c>
      <c r="BT276" s="40">
        <f t="shared" si="151"/>
        <v>0</v>
      </c>
    </row>
    <row r="277" spans="1:72">
      <c r="A277" s="6"/>
      <c r="B277" s="31"/>
      <c r="C277" s="31"/>
      <c r="D277" s="1629"/>
      <c r="E277" s="32">
        <f t="shared" si="123"/>
        <v>0</v>
      </c>
      <c r="F277" s="33"/>
      <c r="G277" s="34">
        <f t="shared" si="124"/>
        <v>0</v>
      </c>
      <c r="H277" s="35">
        <f t="shared" si="125"/>
        <v>0</v>
      </c>
      <c r="I277" s="36"/>
      <c r="J277" s="36"/>
      <c r="K277" s="36"/>
      <c r="L277" s="36"/>
      <c r="M277" s="36"/>
      <c r="N277" s="36"/>
      <c r="O277" s="36"/>
      <c r="P277" s="36"/>
      <c r="Q277" s="36"/>
      <c r="R277" s="36"/>
      <c r="S277" s="36"/>
      <c r="T277" s="36"/>
      <c r="U277" s="36"/>
      <c r="V277" s="36"/>
      <c r="W277" s="36"/>
      <c r="X277" s="36"/>
      <c r="Y277" s="36"/>
      <c r="Z277" s="36"/>
      <c r="AA277" s="36"/>
      <c r="AB277" s="36"/>
      <c r="AC277" s="32">
        <f t="shared" si="126"/>
        <v>0</v>
      </c>
      <c r="AD277" s="37"/>
      <c r="AE277" s="37"/>
      <c r="AF277" s="37"/>
      <c r="AG277" s="37"/>
      <c r="AH277" s="37"/>
      <c r="AI277" s="37"/>
      <c r="AJ277" s="37"/>
      <c r="AK277" s="37"/>
      <c r="AL277" s="37"/>
      <c r="AM277" s="37"/>
      <c r="AN277" s="37"/>
      <c r="AO277" s="37"/>
      <c r="AP277" s="37"/>
      <c r="AQ277" s="37"/>
      <c r="AR277" s="37"/>
      <c r="AS277" s="37"/>
      <c r="AT277" s="38"/>
      <c r="AU277" s="1630"/>
      <c r="AV277" s="1342">
        <f t="shared" si="127"/>
        <v>0</v>
      </c>
      <c r="AW277" s="1342">
        <f t="shared" si="128"/>
        <v>0</v>
      </c>
      <c r="AX277" s="1342">
        <f t="shared" si="129"/>
        <v>0</v>
      </c>
      <c r="AY277" s="39">
        <f t="shared" si="130"/>
        <v>0</v>
      </c>
      <c r="AZ277" s="32">
        <f t="shared" si="131"/>
        <v>0</v>
      </c>
      <c r="BA277" s="32">
        <f t="shared" si="132"/>
        <v>0</v>
      </c>
      <c r="BB277" s="32">
        <f t="shared" si="133"/>
        <v>0</v>
      </c>
      <c r="BC277" s="32">
        <f t="shared" si="134"/>
        <v>0</v>
      </c>
      <c r="BD277" s="32">
        <f t="shared" si="135"/>
        <v>0</v>
      </c>
      <c r="BE277" s="32">
        <f t="shared" si="136"/>
        <v>0</v>
      </c>
      <c r="BF277" s="32">
        <f t="shared" si="137"/>
        <v>0</v>
      </c>
      <c r="BG277" s="32">
        <f t="shared" si="138"/>
        <v>0</v>
      </c>
      <c r="BH277" s="32">
        <f t="shared" si="139"/>
        <v>0</v>
      </c>
      <c r="BI277" s="32">
        <f t="shared" si="140"/>
        <v>0</v>
      </c>
      <c r="BJ277" s="32">
        <f t="shared" si="141"/>
        <v>0</v>
      </c>
      <c r="BK277" s="32">
        <f t="shared" si="142"/>
        <v>0</v>
      </c>
      <c r="BL277" s="32">
        <f t="shared" si="143"/>
        <v>0</v>
      </c>
      <c r="BM277" s="32">
        <f t="shared" si="144"/>
        <v>0</v>
      </c>
      <c r="BN277" s="32">
        <f t="shared" si="145"/>
        <v>0</v>
      </c>
      <c r="BO277" s="32">
        <f t="shared" si="146"/>
        <v>0</v>
      </c>
      <c r="BP277" s="32">
        <f t="shared" si="147"/>
        <v>0</v>
      </c>
      <c r="BQ277" s="32">
        <f t="shared" si="148"/>
        <v>0</v>
      </c>
      <c r="BR277" s="32">
        <f t="shared" si="149"/>
        <v>0</v>
      </c>
      <c r="BS277" s="32">
        <f t="shared" si="150"/>
        <v>0</v>
      </c>
      <c r="BT277" s="40">
        <f t="shared" si="151"/>
        <v>0</v>
      </c>
    </row>
    <row r="278" spans="1:72">
      <c r="A278" s="6"/>
      <c r="B278" s="31"/>
      <c r="C278" s="31"/>
      <c r="D278" s="1629"/>
      <c r="E278" s="32">
        <f t="shared" si="123"/>
        <v>0</v>
      </c>
      <c r="F278" s="33"/>
      <c r="G278" s="34">
        <f t="shared" si="124"/>
        <v>0</v>
      </c>
      <c r="H278" s="35">
        <f t="shared" si="125"/>
        <v>0</v>
      </c>
      <c r="I278" s="36"/>
      <c r="J278" s="36"/>
      <c r="K278" s="36"/>
      <c r="L278" s="36"/>
      <c r="M278" s="36"/>
      <c r="N278" s="36"/>
      <c r="O278" s="36"/>
      <c r="P278" s="36"/>
      <c r="Q278" s="36"/>
      <c r="R278" s="36"/>
      <c r="S278" s="36"/>
      <c r="T278" s="36"/>
      <c r="U278" s="36"/>
      <c r="V278" s="36"/>
      <c r="W278" s="36"/>
      <c r="X278" s="36"/>
      <c r="Y278" s="36"/>
      <c r="Z278" s="36"/>
      <c r="AA278" s="36"/>
      <c r="AB278" s="36"/>
      <c r="AC278" s="32">
        <f t="shared" si="126"/>
        <v>0</v>
      </c>
      <c r="AD278" s="37"/>
      <c r="AE278" s="37"/>
      <c r="AF278" s="37"/>
      <c r="AG278" s="37"/>
      <c r="AH278" s="37"/>
      <c r="AI278" s="37"/>
      <c r="AJ278" s="37"/>
      <c r="AK278" s="37"/>
      <c r="AL278" s="37"/>
      <c r="AM278" s="37"/>
      <c r="AN278" s="37"/>
      <c r="AO278" s="37"/>
      <c r="AP278" s="37"/>
      <c r="AQ278" s="37"/>
      <c r="AR278" s="37"/>
      <c r="AS278" s="37"/>
      <c r="AT278" s="38"/>
      <c r="AU278" s="1630"/>
      <c r="AV278" s="1342">
        <f t="shared" si="127"/>
        <v>0</v>
      </c>
      <c r="AW278" s="1342">
        <f t="shared" si="128"/>
        <v>0</v>
      </c>
      <c r="AX278" s="1342">
        <f t="shared" si="129"/>
        <v>0</v>
      </c>
      <c r="AY278" s="39">
        <f t="shared" si="130"/>
        <v>0</v>
      </c>
      <c r="AZ278" s="32">
        <f t="shared" si="131"/>
        <v>0</v>
      </c>
      <c r="BA278" s="32">
        <f t="shared" si="132"/>
        <v>0</v>
      </c>
      <c r="BB278" s="32">
        <f t="shared" si="133"/>
        <v>0</v>
      </c>
      <c r="BC278" s="32">
        <f t="shared" si="134"/>
        <v>0</v>
      </c>
      <c r="BD278" s="32">
        <f t="shared" si="135"/>
        <v>0</v>
      </c>
      <c r="BE278" s="32">
        <f t="shared" si="136"/>
        <v>0</v>
      </c>
      <c r="BF278" s="32">
        <f t="shared" si="137"/>
        <v>0</v>
      </c>
      <c r="BG278" s="32">
        <f t="shared" si="138"/>
        <v>0</v>
      </c>
      <c r="BH278" s="32">
        <f t="shared" si="139"/>
        <v>0</v>
      </c>
      <c r="BI278" s="32">
        <f t="shared" si="140"/>
        <v>0</v>
      </c>
      <c r="BJ278" s="32">
        <f t="shared" si="141"/>
        <v>0</v>
      </c>
      <c r="BK278" s="32">
        <f t="shared" si="142"/>
        <v>0</v>
      </c>
      <c r="BL278" s="32">
        <f t="shared" si="143"/>
        <v>0</v>
      </c>
      <c r="BM278" s="32">
        <f t="shared" si="144"/>
        <v>0</v>
      </c>
      <c r="BN278" s="32">
        <f t="shared" si="145"/>
        <v>0</v>
      </c>
      <c r="BO278" s="32">
        <f t="shared" si="146"/>
        <v>0</v>
      </c>
      <c r="BP278" s="32">
        <f t="shared" si="147"/>
        <v>0</v>
      </c>
      <c r="BQ278" s="32">
        <f t="shared" si="148"/>
        <v>0</v>
      </c>
      <c r="BR278" s="32">
        <f t="shared" si="149"/>
        <v>0</v>
      </c>
      <c r="BS278" s="32">
        <f t="shared" si="150"/>
        <v>0</v>
      </c>
      <c r="BT278" s="40">
        <f t="shared" si="151"/>
        <v>0</v>
      </c>
    </row>
    <row r="279" spans="1:72">
      <c r="A279" s="6"/>
      <c r="B279" s="31"/>
      <c r="C279" s="31"/>
      <c r="D279" s="1629"/>
      <c r="E279" s="32">
        <f t="shared" si="123"/>
        <v>0</v>
      </c>
      <c r="F279" s="33"/>
      <c r="G279" s="34">
        <f t="shared" si="124"/>
        <v>0</v>
      </c>
      <c r="H279" s="35">
        <f t="shared" si="125"/>
        <v>0</v>
      </c>
      <c r="I279" s="36"/>
      <c r="J279" s="36"/>
      <c r="K279" s="36"/>
      <c r="L279" s="36"/>
      <c r="M279" s="36"/>
      <c r="N279" s="36"/>
      <c r="O279" s="36"/>
      <c r="P279" s="36"/>
      <c r="Q279" s="36"/>
      <c r="R279" s="36"/>
      <c r="S279" s="36"/>
      <c r="T279" s="36"/>
      <c r="U279" s="36"/>
      <c r="V279" s="36"/>
      <c r="W279" s="36"/>
      <c r="X279" s="36"/>
      <c r="Y279" s="36"/>
      <c r="Z279" s="36"/>
      <c r="AA279" s="36"/>
      <c r="AB279" s="36"/>
      <c r="AC279" s="32">
        <f t="shared" si="126"/>
        <v>0</v>
      </c>
      <c r="AD279" s="37"/>
      <c r="AE279" s="37"/>
      <c r="AF279" s="37"/>
      <c r="AG279" s="37"/>
      <c r="AH279" s="37"/>
      <c r="AI279" s="37"/>
      <c r="AJ279" s="37"/>
      <c r="AK279" s="37"/>
      <c r="AL279" s="37"/>
      <c r="AM279" s="37"/>
      <c r="AN279" s="37"/>
      <c r="AO279" s="37"/>
      <c r="AP279" s="37"/>
      <c r="AQ279" s="37"/>
      <c r="AR279" s="37"/>
      <c r="AS279" s="37"/>
      <c r="AT279" s="38"/>
      <c r="AU279" s="1630"/>
      <c r="AV279" s="1342">
        <f t="shared" si="127"/>
        <v>0</v>
      </c>
      <c r="AW279" s="1342">
        <f t="shared" si="128"/>
        <v>0</v>
      </c>
      <c r="AX279" s="1342">
        <f t="shared" si="129"/>
        <v>0</v>
      </c>
      <c r="AY279" s="39">
        <f t="shared" si="130"/>
        <v>0</v>
      </c>
      <c r="AZ279" s="32">
        <f t="shared" si="131"/>
        <v>0</v>
      </c>
      <c r="BA279" s="32">
        <f t="shared" si="132"/>
        <v>0</v>
      </c>
      <c r="BB279" s="32">
        <f t="shared" si="133"/>
        <v>0</v>
      </c>
      <c r="BC279" s="32">
        <f t="shared" si="134"/>
        <v>0</v>
      </c>
      <c r="BD279" s="32">
        <f t="shared" si="135"/>
        <v>0</v>
      </c>
      <c r="BE279" s="32">
        <f t="shared" si="136"/>
        <v>0</v>
      </c>
      <c r="BF279" s="32">
        <f t="shared" si="137"/>
        <v>0</v>
      </c>
      <c r="BG279" s="32">
        <f t="shared" si="138"/>
        <v>0</v>
      </c>
      <c r="BH279" s="32">
        <f t="shared" si="139"/>
        <v>0</v>
      </c>
      <c r="BI279" s="32">
        <f t="shared" si="140"/>
        <v>0</v>
      </c>
      <c r="BJ279" s="32">
        <f t="shared" si="141"/>
        <v>0</v>
      </c>
      <c r="BK279" s="32">
        <f t="shared" si="142"/>
        <v>0</v>
      </c>
      <c r="BL279" s="32">
        <f t="shared" si="143"/>
        <v>0</v>
      </c>
      <c r="BM279" s="32">
        <f t="shared" si="144"/>
        <v>0</v>
      </c>
      <c r="BN279" s="32">
        <f t="shared" si="145"/>
        <v>0</v>
      </c>
      <c r="BO279" s="32">
        <f t="shared" si="146"/>
        <v>0</v>
      </c>
      <c r="BP279" s="32">
        <f t="shared" si="147"/>
        <v>0</v>
      </c>
      <c r="BQ279" s="32">
        <f t="shared" si="148"/>
        <v>0</v>
      </c>
      <c r="BR279" s="32">
        <f t="shared" si="149"/>
        <v>0</v>
      </c>
      <c r="BS279" s="32">
        <f t="shared" si="150"/>
        <v>0</v>
      </c>
      <c r="BT279" s="40">
        <f t="shared" si="151"/>
        <v>0</v>
      </c>
    </row>
    <row r="280" spans="1:72">
      <c r="A280" s="6"/>
      <c r="B280" s="31"/>
      <c r="C280" s="31"/>
      <c r="D280" s="1629"/>
      <c r="E280" s="32">
        <f t="shared" si="123"/>
        <v>0</v>
      </c>
      <c r="F280" s="33"/>
      <c r="G280" s="34">
        <f t="shared" si="124"/>
        <v>0</v>
      </c>
      <c r="H280" s="35">
        <f t="shared" si="125"/>
        <v>0</v>
      </c>
      <c r="I280" s="36"/>
      <c r="J280" s="36"/>
      <c r="K280" s="36"/>
      <c r="L280" s="36"/>
      <c r="M280" s="36"/>
      <c r="N280" s="36"/>
      <c r="O280" s="36"/>
      <c r="P280" s="36"/>
      <c r="Q280" s="36"/>
      <c r="R280" s="36"/>
      <c r="S280" s="36"/>
      <c r="T280" s="36"/>
      <c r="U280" s="36"/>
      <c r="V280" s="36"/>
      <c r="W280" s="36"/>
      <c r="X280" s="36"/>
      <c r="Y280" s="36"/>
      <c r="Z280" s="36"/>
      <c r="AA280" s="36"/>
      <c r="AB280" s="36"/>
      <c r="AC280" s="32">
        <f t="shared" si="126"/>
        <v>0</v>
      </c>
      <c r="AD280" s="37"/>
      <c r="AE280" s="37"/>
      <c r="AF280" s="37"/>
      <c r="AG280" s="37"/>
      <c r="AH280" s="37"/>
      <c r="AI280" s="37"/>
      <c r="AJ280" s="37"/>
      <c r="AK280" s="37"/>
      <c r="AL280" s="37"/>
      <c r="AM280" s="37"/>
      <c r="AN280" s="37"/>
      <c r="AO280" s="37"/>
      <c r="AP280" s="37"/>
      <c r="AQ280" s="37"/>
      <c r="AR280" s="37"/>
      <c r="AS280" s="37"/>
      <c r="AT280" s="38"/>
      <c r="AU280" s="1630"/>
      <c r="AV280" s="1342">
        <f t="shared" si="127"/>
        <v>0</v>
      </c>
      <c r="AW280" s="1342">
        <f t="shared" si="128"/>
        <v>0</v>
      </c>
      <c r="AX280" s="1342">
        <f t="shared" si="129"/>
        <v>0</v>
      </c>
      <c r="AY280" s="39">
        <f t="shared" si="130"/>
        <v>0</v>
      </c>
      <c r="AZ280" s="32">
        <f t="shared" si="131"/>
        <v>0</v>
      </c>
      <c r="BA280" s="32">
        <f t="shared" si="132"/>
        <v>0</v>
      </c>
      <c r="BB280" s="32">
        <f t="shared" si="133"/>
        <v>0</v>
      </c>
      <c r="BC280" s="32">
        <f t="shared" si="134"/>
        <v>0</v>
      </c>
      <c r="BD280" s="32">
        <f t="shared" si="135"/>
        <v>0</v>
      </c>
      <c r="BE280" s="32">
        <f t="shared" si="136"/>
        <v>0</v>
      </c>
      <c r="BF280" s="32">
        <f t="shared" si="137"/>
        <v>0</v>
      </c>
      <c r="BG280" s="32">
        <f t="shared" si="138"/>
        <v>0</v>
      </c>
      <c r="BH280" s="32">
        <f t="shared" si="139"/>
        <v>0</v>
      </c>
      <c r="BI280" s="32">
        <f t="shared" si="140"/>
        <v>0</v>
      </c>
      <c r="BJ280" s="32">
        <f t="shared" si="141"/>
        <v>0</v>
      </c>
      <c r="BK280" s="32">
        <f t="shared" si="142"/>
        <v>0</v>
      </c>
      <c r="BL280" s="32">
        <f t="shared" si="143"/>
        <v>0</v>
      </c>
      <c r="BM280" s="32">
        <f t="shared" si="144"/>
        <v>0</v>
      </c>
      <c r="BN280" s="32">
        <f t="shared" si="145"/>
        <v>0</v>
      </c>
      <c r="BO280" s="32">
        <f t="shared" si="146"/>
        <v>0</v>
      </c>
      <c r="BP280" s="32">
        <f t="shared" si="147"/>
        <v>0</v>
      </c>
      <c r="BQ280" s="32">
        <f t="shared" si="148"/>
        <v>0</v>
      </c>
      <c r="BR280" s="32">
        <f t="shared" si="149"/>
        <v>0</v>
      </c>
      <c r="BS280" s="32">
        <f t="shared" si="150"/>
        <v>0</v>
      </c>
      <c r="BT280" s="40">
        <f t="shared" si="151"/>
        <v>0</v>
      </c>
    </row>
    <row r="281" spans="1:72">
      <c r="A281" s="6"/>
      <c r="B281" s="31"/>
      <c r="C281" s="31"/>
      <c r="D281" s="1629"/>
      <c r="E281" s="32">
        <f t="shared" si="123"/>
        <v>0</v>
      </c>
      <c r="F281" s="33"/>
      <c r="G281" s="34">
        <f t="shared" si="124"/>
        <v>0</v>
      </c>
      <c r="H281" s="35">
        <f t="shared" si="125"/>
        <v>0</v>
      </c>
      <c r="I281" s="36"/>
      <c r="J281" s="36"/>
      <c r="K281" s="36"/>
      <c r="L281" s="36"/>
      <c r="M281" s="36"/>
      <c r="N281" s="36"/>
      <c r="O281" s="36"/>
      <c r="P281" s="36"/>
      <c r="Q281" s="36"/>
      <c r="R281" s="36"/>
      <c r="S281" s="36"/>
      <c r="T281" s="36"/>
      <c r="U281" s="36"/>
      <c r="V281" s="36"/>
      <c r="W281" s="36"/>
      <c r="X281" s="36"/>
      <c r="Y281" s="36"/>
      <c r="Z281" s="36"/>
      <c r="AA281" s="36"/>
      <c r="AB281" s="36"/>
      <c r="AC281" s="32">
        <f t="shared" si="126"/>
        <v>0</v>
      </c>
      <c r="AD281" s="37"/>
      <c r="AE281" s="37"/>
      <c r="AF281" s="37"/>
      <c r="AG281" s="37"/>
      <c r="AH281" s="37"/>
      <c r="AI281" s="37"/>
      <c r="AJ281" s="37"/>
      <c r="AK281" s="37"/>
      <c r="AL281" s="37"/>
      <c r="AM281" s="37"/>
      <c r="AN281" s="37"/>
      <c r="AO281" s="37"/>
      <c r="AP281" s="37"/>
      <c r="AQ281" s="37"/>
      <c r="AR281" s="37"/>
      <c r="AS281" s="37"/>
      <c r="AT281" s="38"/>
      <c r="AU281" s="1630"/>
      <c r="AV281" s="1342">
        <f t="shared" si="127"/>
        <v>0</v>
      </c>
      <c r="AW281" s="1342">
        <f t="shared" si="128"/>
        <v>0</v>
      </c>
      <c r="AX281" s="1342">
        <f t="shared" si="129"/>
        <v>0</v>
      </c>
      <c r="AY281" s="39">
        <f t="shared" si="130"/>
        <v>0</v>
      </c>
      <c r="AZ281" s="32">
        <f t="shared" si="131"/>
        <v>0</v>
      </c>
      <c r="BA281" s="32">
        <f t="shared" si="132"/>
        <v>0</v>
      </c>
      <c r="BB281" s="32">
        <f t="shared" si="133"/>
        <v>0</v>
      </c>
      <c r="BC281" s="32">
        <f t="shared" si="134"/>
        <v>0</v>
      </c>
      <c r="BD281" s="32">
        <f t="shared" si="135"/>
        <v>0</v>
      </c>
      <c r="BE281" s="32">
        <f t="shared" si="136"/>
        <v>0</v>
      </c>
      <c r="BF281" s="32">
        <f t="shared" si="137"/>
        <v>0</v>
      </c>
      <c r="BG281" s="32">
        <f t="shared" si="138"/>
        <v>0</v>
      </c>
      <c r="BH281" s="32">
        <f t="shared" si="139"/>
        <v>0</v>
      </c>
      <c r="BI281" s="32">
        <f t="shared" si="140"/>
        <v>0</v>
      </c>
      <c r="BJ281" s="32">
        <f t="shared" si="141"/>
        <v>0</v>
      </c>
      <c r="BK281" s="32">
        <f t="shared" si="142"/>
        <v>0</v>
      </c>
      <c r="BL281" s="32">
        <f t="shared" si="143"/>
        <v>0</v>
      </c>
      <c r="BM281" s="32">
        <f t="shared" si="144"/>
        <v>0</v>
      </c>
      <c r="BN281" s="32">
        <f t="shared" si="145"/>
        <v>0</v>
      </c>
      <c r="BO281" s="32">
        <f t="shared" si="146"/>
        <v>0</v>
      </c>
      <c r="BP281" s="32">
        <f t="shared" si="147"/>
        <v>0</v>
      </c>
      <c r="BQ281" s="32">
        <f t="shared" si="148"/>
        <v>0</v>
      </c>
      <c r="BR281" s="32">
        <f t="shared" si="149"/>
        <v>0</v>
      </c>
      <c r="BS281" s="32">
        <f t="shared" si="150"/>
        <v>0</v>
      </c>
      <c r="BT281" s="40">
        <f t="shared" si="151"/>
        <v>0</v>
      </c>
    </row>
    <row r="282" spans="1:72">
      <c r="A282" s="6"/>
      <c r="B282" s="31"/>
      <c r="C282" s="31"/>
      <c r="D282" s="1629"/>
      <c r="E282" s="32">
        <f t="shared" si="123"/>
        <v>0</v>
      </c>
      <c r="F282" s="33"/>
      <c r="G282" s="34">
        <f t="shared" si="124"/>
        <v>0</v>
      </c>
      <c r="H282" s="35">
        <f t="shared" si="125"/>
        <v>0</v>
      </c>
      <c r="I282" s="36"/>
      <c r="J282" s="36"/>
      <c r="K282" s="36"/>
      <c r="L282" s="36"/>
      <c r="M282" s="36"/>
      <c r="N282" s="36"/>
      <c r="O282" s="36"/>
      <c r="P282" s="36"/>
      <c r="Q282" s="36"/>
      <c r="R282" s="36"/>
      <c r="S282" s="36"/>
      <c r="T282" s="36"/>
      <c r="U282" s="36"/>
      <c r="V282" s="36"/>
      <c r="W282" s="36"/>
      <c r="X282" s="36"/>
      <c r="Y282" s="36"/>
      <c r="Z282" s="36"/>
      <c r="AA282" s="36"/>
      <c r="AB282" s="36"/>
      <c r="AC282" s="32">
        <f t="shared" si="126"/>
        <v>0</v>
      </c>
      <c r="AD282" s="37"/>
      <c r="AE282" s="37"/>
      <c r="AF282" s="37"/>
      <c r="AG282" s="37"/>
      <c r="AH282" s="37"/>
      <c r="AI282" s="37"/>
      <c r="AJ282" s="37"/>
      <c r="AK282" s="37"/>
      <c r="AL282" s="37"/>
      <c r="AM282" s="37"/>
      <c r="AN282" s="37"/>
      <c r="AO282" s="37"/>
      <c r="AP282" s="37"/>
      <c r="AQ282" s="37"/>
      <c r="AR282" s="37"/>
      <c r="AS282" s="37"/>
      <c r="AT282" s="38"/>
      <c r="AU282" s="1630"/>
      <c r="AV282" s="1342">
        <f t="shared" si="127"/>
        <v>0</v>
      </c>
      <c r="AW282" s="1342">
        <f t="shared" si="128"/>
        <v>0</v>
      </c>
      <c r="AX282" s="1342">
        <f t="shared" si="129"/>
        <v>0</v>
      </c>
      <c r="AY282" s="39">
        <f t="shared" si="130"/>
        <v>0</v>
      </c>
      <c r="AZ282" s="32">
        <f t="shared" si="131"/>
        <v>0</v>
      </c>
      <c r="BA282" s="32">
        <f t="shared" si="132"/>
        <v>0</v>
      </c>
      <c r="BB282" s="32">
        <f t="shared" si="133"/>
        <v>0</v>
      </c>
      <c r="BC282" s="32">
        <f t="shared" si="134"/>
        <v>0</v>
      </c>
      <c r="BD282" s="32">
        <f t="shared" si="135"/>
        <v>0</v>
      </c>
      <c r="BE282" s="32">
        <f t="shared" si="136"/>
        <v>0</v>
      </c>
      <c r="BF282" s="32">
        <f t="shared" si="137"/>
        <v>0</v>
      </c>
      <c r="BG282" s="32">
        <f t="shared" si="138"/>
        <v>0</v>
      </c>
      <c r="BH282" s="32">
        <f t="shared" si="139"/>
        <v>0</v>
      </c>
      <c r="BI282" s="32">
        <f t="shared" si="140"/>
        <v>0</v>
      </c>
      <c r="BJ282" s="32">
        <f t="shared" si="141"/>
        <v>0</v>
      </c>
      <c r="BK282" s="32">
        <f t="shared" si="142"/>
        <v>0</v>
      </c>
      <c r="BL282" s="32">
        <f t="shared" si="143"/>
        <v>0</v>
      </c>
      <c r="BM282" s="32">
        <f t="shared" si="144"/>
        <v>0</v>
      </c>
      <c r="BN282" s="32">
        <f t="shared" si="145"/>
        <v>0</v>
      </c>
      <c r="BO282" s="32">
        <f t="shared" si="146"/>
        <v>0</v>
      </c>
      <c r="BP282" s="32">
        <f t="shared" si="147"/>
        <v>0</v>
      </c>
      <c r="BQ282" s="32">
        <f t="shared" si="148"/>
        <v>0</v>
      </c>
      <c r="BR282" s="32">
        <f t="shared" si="149"/>
        <v>0</v>
      </c>
      <c r="BS282" s="32">
        <f t="shared" si="150"/>
        <v>0</v>
      </c>
      <c r="BT282" s="40">
        <f t="shared" si="151"/>
        <v>0</v>
      </c>
    </row>
    <row r="283" spans="1:72">
      <c r="A283" s="6"/>
      <c r="B283" s="31"/>
      <c r="C283" s="31"/>
      <c r="D283" s="1629"/>
      <c r="E283" s="32">
        <f t="shared" si="123"/>
        <v>0</v>
      </c>
      <c r="F283" s="33"/>
      <c r="G283" s="34">
        <f t="shared" si="124"/>
        <v>0</v>
      </c>
      <c r="H283" s="35">
        <f t="shared" si="125"/>
        <v>0</v>
      </c>
      <c r="I283" s="36"/>
      <c r="J283" s="36"/>
      <c r="K283" s="36"/>
      <c r="L283" s="36"/>
      <c r="M283" s="36"/>
      <c r="N283" s="36"/>
      <c r="O283" s="36"/>
      <c r="P283" s="36"/>
      <c r="Q283" s="36"/>
      <c r="R283" s="36"/>
      <c r="S283" s="36"/>
      <c r="T283" s="36"/>
      <c r="U283" s="36"/>
      <c r="V283" s="36"/>
      <c r="W283" s="36"/>
      <c r="X283" s="36"/>
      <c r="Y283" s="36"/>
      <c r="Z283" s="36"/>
      <c r="AA283" s="36"/>
      <c r="AB283" s="36"/>
      <c r="AC283" s="32">
        <f t="shared" si="126"/>
        <v>0</v>
      </c>
      <c r="AD283" s="37"/>
      <c r="AE283" s="37"/>
      <c r="AF283" s="37"/>
      <c r="AG283" s="37"/>
      <c r="AH283" s="37"/>
      <c r="AI283" s="37"/>
      <c r="AJ283" s="37"/>
      <c r="AK283" s="37"/>
      <c r="AL283" s="37"/>
      <c r="AM283" s="37"/>
      <c r="AN283" s="37"/>
      <c r="AO283" s="37"/>
      <c r="AP283" s="37"/>
      <c r="AQ283" s="37"/>
      <c r="AR283" s="37"/>
      <c r="AS283" s="37"/>
      <c r="AT283" s="38"/>
      <c r="AU283" s="1630"/>
      <c r="AV283" s="1342">
        <f t="shared" si="127"/>
        <v>0</v>
      </c>
      <c r="AW283" s="1342">
        <f t="shared" si="128"/>
        <v>0</v>
      </c>
      <c r="AX283" s="1342">
        <f t="shared" si="129"/>
        <v>0</v>
      </c>
      <c r="AY283" s="39">
        <f t="shared" si="130"/>
        <v>0</v>
      </c>
      <c r="AZ283" s="32">
        <f t="shared" si="131"/>
        <v>0</v>
      </c>
      <c r="BA283" s="32">
        <f t="shared" si="132"/>
        <v>0</v>
      </c>
      <c r="BB283" s="32">
        <f t="shared" si="133"/>
        <v>0</v>
      </c>
      <c r="BC283" s="32">
        <f t="shared" si="134"/>
        <v>0</v>
      </c>
      <c r="BD283" s="32">
        <f t="shared" si="135"/>
        <v>0</v>
      </c>
      <c r="BE283" s="32">
        <f t="shared" si="136"/>
        <v>0</v>
      </c>
      <c r="BF283" s="32">
        <f t="shared" si="137"/>
        <v>0</v>
      </c>
      <c r="BG283" s="32">
        <f t="shared" si="138"/>
        <v>0</v>
      </c>
      <c r="BH283" s="32">
        <f t="shared" si="139"/>
        <v>0</v>
      </c>
      <c r="BI283" s="32">
        <f t="shared" si="140"/>
        <v>0</v>
      </c>
      <c r="BJ283" s="32">
        <f t="shared" si="141"/>
        <v>0</v>
      </c>
      <c r="BK283" s="32">
        <f t="shared" si="142"/>
        <v>0</v>
      </c>
      <c r="BL283" s="32">
        <f t="shared" si="143"/>
        <v>0</v>
      </c>
      <c r="BM283" s="32">
        <f t="shared" si="144"/>
        <v>0</v>
      </c>
      <c r="BN283" s="32">
        <f t="shared" si="145"/>
        <v>0</v>
      </c>
      <c r="BO283" s="32">
        <f t="shared" si="146"/>
        <v>0</v>
      </c>
      <c r="BP283" s="32">
        <f t="shared" si="147"/>
        <v>0</v>
      </c>
      <c r="BQ283" s="32">
        <f t="shared" si="148"/>
        <v>0</v>
      </c>
      <c r="BR283" s="32">
        <f t="shared" si="149"/>
        <v>0</v>
      </c>
      <c r="BS283" s="32">
        <f t="shared" si="150"/>
        <v>0</v>
      </c>
      <c r="BT283" s="40">
        <f t="shared" si="151"/>
        <v>0</v>
      </c>
    </row>
    <row r="284" spans="1:72">
      <c r="A284" s="6"/>
      <c r="B284" s="31"/>
      <c r="C284" s="31"/>
      <c r="D284" s="1629"/>
      <c r="E284" s="32">
        <f t="shared" si="123"/>
        <v>0</v>
      </c>
      <c r="F284" s="33"/>
      <c r="G284" s="34">
        <f t="shared" si="124"/>
        <v>0</v>
      </c>
      <c r="H284" s="35">
        <f t="shared" si="125"/>
        <v>0</v>
      </c>
      <c r="I284" s="36"/>
      <c r="J284" s="36"/>
      <c r="K284" s="36"/>
      <c r="L284" s="36"/>
      <c r="M284" s="36"/>
      <c r="N284" s="36"/>
      <c r="O284" s="36"/>
      <c r="P284" s="36"/>
      <c r="Q284" s="36"/>
      <c r="R284" s="36"/>
      <c r="S284" s="36"/>
      <c r="T284" s="36"/>
      <c r="U284" s="36"/>
      <c r="V284" s="36"/>
      <c r="W284" s="36"/>
      <c r="X284" s="36"/>
      <c r="Y284" s="36"/>
      <c r="Z284" s="36"/>
      <c r="AA284" s="36"/>
      <c r="AB284" s="36"/>
      <c r="AC284" s="32">
        <f t="shared" si="126"/>
        <v>0</v>
      </c>
      <c r="AD284" s="37"/>
      <c r="AE284" s="37"/>
      <c r="AF284" s="37"/>
      <c r="AG284" s="37"/>
      <c r="AH284" s="37"/>
      <c r="AI284" s="37"/>
      <c r="AJ284" s="37"/>
      <c r="AK284" s="37"/>
      <c r="AL284" s="37"/>
      <c r="AM284" s="37"/>
      <c r="AN284" s="37"/>
      <c r="AO284" s="37"/>
      <c r="AP284" s="37"/>
      <c r="AQ284" s="37"/>
      <c r="AR284" s="37"/>
      <c r="AS284" s="37"/>
      <c r="AT284" s="38"/>
      <c r="AU284" s="1630"/>
      <c r="AV284" s="1342">
        <f t="shared" si="127"/>
        <v>0</v>
      </c>
      <c r="AW284" s="1342">
        <f t="shared" si="128"/>
        <v>0</v>
      </c>
      <c r="AX284" s="1342">
        <f t="shared" si="129"/>
        <v>0</v>
      </c>
      <c r="AY284" s="39">
        <f t="shared" si="130"/>
        <v>0</v>
      </c>
      <c r="AZ284" s="32">
        <f t="shared" si="131"/>
        <v>0</v>
      </c>
      <c r="BA284" s="32">
        <f t="shared" si="132"/>
        <v>0</v>
      </c>
      <c r="BB284" s="32">
        <f t="shared" si="133"/>
        <v>0</v>
      </c>
      <c r="BC284" s="32">
        <f t="shared" si="134"/>
        <v>0</v>
      </c>
      <c r="BD284" s="32">
        <f t="shared" si="135"/>
        <v>0</v>
      </c>
      <c r="BE284" s="32">
        <f t="shared" si="136"/>
        <v>0</v>
      </c>
      <c r="BF284" s="32">
        <f t="shared" si="137"/>
        <v>0</v>
      </c>
      <c r="BG284" s="32">
        <f t="shared" si="138"/>
        <v>0</v>
      </c>
      <c r="BH284" s="32">
        <f t="shared" si="139"/>
        <v>0</v>
      </c>
      <c r="BI284" s="32">
        <f t="shared" si="140"/>
        <v>0</v>
      </c>
      <c r="BJ284" s="32">
        <f t="shared" si="141"/>
        <v>0</v>
      </c>
      <c r="BK284" s="32">
        <f t="shared" si="142"/>
        <v>0</v>
      </c>
      <c r="BL284" s="32">
        <f t="shared" si="143"/>
        <v>0</v>
      </c>
      <c r="BM284" s="32">
        <f t="shared" si="144"/>
        <v>0</v>
      </c>
      <c r="BN284" s="32">
        <f t="shared" si="145"/>
        <v>0</v>
      </c>
      <c r="BO284" s="32">
        <f t="shared" si="146"/>
        <v>0</v>
      </c>
      <c r="BP284" s="32">
        <f t="shared" si="147"/>
        <v>0</v>
      </c>
      <c r="BQ284" s="32">
        <f t="shared" si="148"/>
        <v>0</v>
      </c>
      <c r="BR284" s="32">
        <f t="shared" si="149"/>
        <v>0</v>
      </c>
      <c r="BS284" s="32">
        <f t="shared" si="150"/>
        <v>0</v>
      </c>
      <c r="BT284" s="40">
        <f t="shared" si="151"/>
        <v>0</v>
      </c>
    </row>
    <row r="285" spans="1:72">
      <c r="A285" s="6"/>
      <c r="B285" s="31"/>
      <c r="C285" s="31"/>
      <c r="D285" s="1629"/>
      <c r="E285" s="32">
        <f t="shared" si="123"/>
        <v>0</v>
      </c>
      <c r="F285" s="33"/>
      <c r="G285" s="34">
        <f t="shared" si="124"/>
        <v>0</v>
      </c>
      <c r="H285" s="35">
        <f t="shared" si="125"/>
        <v>0</v>
      </c>
      <c r="I285" s="36"/>
      <c r="J285" s="36"/>
      <c r="K285" s="36"/>
      <c r="L285" s="36"/>
      <c r="M285" s="36"/>
      <c r="N285" s="36"/>
      <c r="O285" s="36"/>
      <c r="P285" s="36"/>
      <c r="Q285" s="36"/>
      <c r="R285" s="36"/>
      <c r="S285" s="36"/>
      <c r="T285" s="36"/>
      <c r="U285" s="36"/>
      <c r="V285" s="36"/>
      <c r="W285" s="36"/>
      <c r="X285" s="36"/>
      <c r="Y285" s="36"/>
      <c r="Z285" s="36"/>
      <c r="AA285" s="36"/>
      <c r="AB285" s="36"/>
      <c r="AC285" s="32">
        <f t="shared" si="126"/>
        <v>0</v>
      </c>
      <c r="AD285" s="37"/>
      <c r="AE285" s="37"/>
      <c r="AF285" s="37"/>
      <c r="AG285" s="37"/>
      <c r="AH285" s="37"/>
      <c r="AI285" s="37"/>
      <c r="AJ285" s="37"/>
      <c r="AK285" s="37"/>
      <c r="AL285" s="37"/>
      <c r="AM285" s="37"/>
      <c r="AN285" s="37"/>
      <c r="AO285" s="37"/>
      <c r="AP285" s="37"/>
      <c r="AQ285" s="37"/>
      <c r="AR285" s="37"/>
      <c r="AS285" s="37"/>
      <c r="AT285" s="38"/>
      <c r="AU285" s="1630"/>
      <c r="AV285" s="1342">
        <f t="shared" si="127"/>
        <v>0</v>
      </c>
      <c r="AW285" s="1342">
        <f t="shared" si="128"/>
        <v>0</v>
      </c>
      <c r="AX285" s="1342">
        <f t="shared" si="129"/>
        <v>0</v>
      </c>
      <c r="AY285" s="39">
        <f t="shared" si="130"/>
        <v>0</v>
      </c>
      <c r="AZ285" s="32">
        <f t="shared" si="131"/>
        <v>0</v>
      </c>
      <c r="BA285" s="32">
        <f t="shared" si="132"/>
        <v>0</v>
      </c>
      <c r="BB285" s="32">
        <f t="shared" si="133"/>
        <v>0</v>
      </c>
      <c r="BC285" s="32">
        <f t="shared" si="134"/>
        <v>0</v>
      </c>
      <c r="BD285" s="32">
        <f t="shared" si="135"/>
        <v>0</v>
      </c>
      <c r="BE285" s="32">
        <f t="shared" si="136"/>
        <v>0</v>
      </c>
      <c r="BF285" s="32">
        <f t="shared" si="137"/>
        <v>0</v>
      </c>
      <c r="BG285" s="32">
        <f t="shared" si="138"/>
        <v>0</v>
      </c>
      <c r="BH285" s="32">
        <f t="shared" si="139"/>
        <v>0</v>
      </c>
      <c r="BI285" s="32">
        <f t="shared" si="140"/>
        <v>0</v>
      </c>
      <c r="BJ285" s="32">
        <f t="shared" si="141"/>
        <v>0</v>
      </c>
      <c r="BK285" s="32">
        <f t="shared" si="142"/>
        <v>0</v>
      </c>
      <c r="BL285" s="32">
        <f t="shared" si="143"/>
        <v>0</v>
      </c>
      <c r="BM285" s="32">
        <f t="shared" si="144"/>
        <v>0</v>
      </c>
      <c r="BN285" s="32">
        <f t="shared" si="145"/>
        <v>0</v>
      </c>
      <c r="BO285" s="32">
        <f t="shared" si="146"/>
        <v>0</v>
      </c>
      <c r="BP285" s="32">
        <f t="shared" si="147"/>
        <v>0</v>
      </c>
      <c r="BQ285" s="32">
        <f t="shared" si="148"/>
        <v>0</v>
      </c>
      <c r="BR285" s="32">
        <f t="shared" si="149"/>
        <v>0</v>
      </c>
      <c r="BS285" s="32">
        <f t="shared" si="150"/>
        <v>0</v>
      </c>
      <c r="BT285" s="40">
        <f t="shared" si="151"/>
        <v>0</v>
      </c>
    </row>
    <row r="286" spans="1:72">
      <c r="A286" s="6"/>
      <c r="B286" s="31"/>
      <c r="C286" s="31"/>
      <c r="D286" s="1629"/>
      <c r="E286" s="32">
        <f t="shared" si="123"/>
        <v>0</v>
      </c>
      <c r="F286" s="33"/>
      <c r="G286" s="34">
        <f t="shared" si="124"/>
        <v>0</v>
      </c>
      <c r="H286" s="35">
        <f t="shared" si="125"/>
        <v>0</v>
      </c>
      <c r="I286" s="36"/>
      <c r="J286" s="36"/>
      <c r="K286" s="36"/>
      <c r="L286" s="36"/>
      <c r="M286" s="36"/>
      <c r="N286" s="36"/>
      <c r="O286" s="36"/>
      <c r="P286" s="36"/>
      <c r="Q286" s="36"/>
      <c r="R286" s="36"/>
      <c r="S286" s="36"/>
      <c r="T286" s="36"/>
      <c r="U286" s="36"/>
      <c r="V286" s="36"/>
      <c r="W286" s="36"/>
      <c r="X286" s="36"/>
      <c r="Y286" s="36"/>
      <c r="Z286" s="36"/>
      <c r="AA286" s="36"/>
      <c r="AB286" s="36"/>
      <c r="AC286" s="32">
        <f t="shared" si="126"/>
        <v>0</v>
      </c>
      <c r="AD286" s="37"/>
      <c r="AE286" s="37"/>
      <c r="AF286" s="37"/>
      <c r="AG286" s="37"/>
      <c r="AH286" s="37"/>
      <c r="AI286" s="37"/>
      <c r="AJ286" s="37"/>
      <c r="AK286" s="37"/>
      <c r="AL286" s="37"/>
      <c r="AM286" s="37"/>
      <c r="AN286" s="37"/>
      <c r="AO286" s="37"/>
      <c r="AP286" s="37"/>
      <c r="AQ286" s="37"/>
      <c r="AR286" s="37"/>
      <c r="AS286" s="37"/>
      <c r="AT286" s="38"/>
      <c r="AU286" s="1630"/>
      <c r="AV286" s="1342">
        <f t="shared" si="127"/>
        <v>0</v>
      </c>
      <c r="AW286" s="1342">
        <f t="shared" si="128"/>
        <v>0</v>
      </c>
      <c r="AX286" s="1342">
        <f t="shared" si="129"/>
        <v>0</v>
      </c>
      <c r="AY286" s="39">
        <f t="shared" si="130"/>
        <v>0</v>
      </c>
      <c r="AZ286" s="32">
        <f t="shared" si="131"/>
        <v>0</v>
      </c>
      <c r="BA286" s="32">
        <f t="shared" si="132"/>
        <v>0</v>
      </c>
      <c r="BB286" s="32">
        <f t="shared" si="133"/>
        <v>0</v>
      </c>
      <c r="BC286" s="32">
        <f t="shared" si="134"/>
        <v>0</v>
      </c>
      <c r="BD286" s="32">
        <f t="shared" si="135"/>
        <v>0</v>
      </c>
      <c r="BE286" s="32">
        <f t="shared" si="136"/>
        <v>0</v>
      </c>
      <c r="BF286" s="32">
        <f t="shared" si="137"/>
        <v>0</v>
      </c>
      <c r="BG286" s="32">
        <f t="shared" si="138"/>
        <v>0</v>
      </c>
      <c r="BH286" s="32">
        <f t="shared" si="139"/>
        <v>0</v>
      </c>
      <c r="BI286" s="32">
        <f t="shared" si="140"/>
        <v>0</v>
      </c>
      <c r="BJ286" s="32">
        <f t="shared" si="141"/>
        <v>0</v>
      </c>
      <c r="BK286" s="32">
        <f t="shared" si="142"/>
        <v>0</v>
      </c>
      <c r="BL286" s="32">
        <f t="shared" si="143"/>
        <v>0</v>
      </c>
      <c r="BM286" s="32">
        <f t="shared" si="144"/>
        <v>0</v>
      </c>
      <c r="BN286" s="32">
        <f t="shared" si="145"/>
        <v>0</v>
      </c>
      <c r="BO286" s="32">
        <f t="shared" si="146"/>
        <v>0</v>
      </c>
      <c r="BP286" s="32">
        <f t="shared" si="147"/>
        <v>0</v>
      </c>
      <c r="BQ286" s="32">
        <f t="shared" si="148"/>
        <v>0</v>
      </c>
      <c r="BR286" s="32">
        <f t="shared" si="149"/>
        <v>0</v>
      </c>
      <c r="BS286" s="32">
        <f t="shared" si="150"/>
        <v>0</v>
      </c>
      <c r="BT286" s="40">
        <f t="shared" si="151"/>
        <v>0</v>
      </c>
    </row>
    <row r="287" spans="1:72">
      <c r="A287" s="6"/>
      <c r="B287" s="31"/>
      <c r="C287" s="31"/>
      <c r="D287" s="1629"/>
      <c r="E287" s="32">
        <f t="shared" si="123"/>
        <v>0</v>
      </c>
      <c r="F287" s="33"/>
      <c r="G287" s="34">
        <f t="shared" si="124"/>
        <v>0</v>
      </c>
      <c r="H287" s="35">
        <f t="shared" si="125"/>
        <v>0</v>
      </c>
      <c r="I287" s="36"/>
      <c r="J287" s="36"/>
      <c r="K287" s="36"/>
      <c r="L287" s="36"/>
      <c r="M287" s="36"/>
      <c r="N287" s="36"/>
      <c r="O287" s="36"/>
      <c r="P287" s="36"/>
      <c r="Q287" s="36"/>
      <c r="R287" s="36"/>
      <c r="S287" s="36"/>
      <c r="T287" s="36"/>
      <c r="U287" s="36"/>
      <c r="V287" s="36"/>
      <c r="W287" s="36"/>
      <c r="X287" s="36"/>
      <c r="Y287" s="36"/>
      <c r="Z287" s="36"/>
      <c r="AA287" s="36"/>
      <c r="AB287" s="36"/>
      <c r="AC287" s="32">
        <f t="shared" si="126"/>
        <v>0</v>
      </c>
      <c r="AD287" s="37"/>
      <c r="AE287" s="37"/>
      <c r="AF287" s="37"/>
      <c r="AG287" s="37"/>
      <c r="AH287" s="37"/>
      <c r="AI287" s="37"/>
      <c r="AJ287" s="37"/>
      <c r="AK287" s="37"/>
      <c r="AL287" s="37"/>
      <c r="AM287" s="37"/>
      <c r="AN287" s="37"/>
      <c r="AO287" s="37"/>
      <c r="AP287" s="37"/>
      <c r="AQ287" s="37"/>
      <c r="AR287" s="37"/>
      <c r="AS287" s="37"/>
      <c r="AT287" s="38"/>
      <c r="AU287" s="1630"/>
      <c r="AV287" s="1342">
        <f t="shared" si="127"/>
        <v>0</v>
      </c>
      <c r="AW287" s="1342">
        <f t="shared" si="128"/>
        <v>0</v>
      </c>
      <c r="AX287" s="1342">
        <f t="shared" si="129"/>
        <v>0</v>
      </c>
      <c r="AY287" s="39">
        <f t="shared" si="130"/>
        <v>0</v>
      </c>
      <c r="AZ287" s="32">
        <f t="shared" si="131"/>
        <v>0</v>
      </c>
      <c r="BA287" s="32">
        <f t="shared" si="132"/>
        <v>0</v>
      </c>
      <c r="BB287" s="32">
        <f t="shared" si="133"/>
        <v>0</v>
      </c>
      <c r="BC287" s="32">
        <f t="shared" si="134"/>
        <v>0</v>
      </c>
      <c r="BD287" s="32">
        <f t="shared" si="135"/>
        <v>0</v>
      </c>
      <c r="BE287" s="32">
        <f t="shared" si="136"/>
        <v>0</v>
      </c>
      <c r="BF287" s="32">
        <f t="shared" si="137"/>
        <v>0</v>
      </c>
      <c r="BG287" s="32">
        <f t="shared" si="138"/>
        <v>0</v>
      </c>
      <c r="BH287" s="32">
        <f t="shared" si="139"/>
        <v>0</v>
      </c>
      <c r="BI287" s="32">
        <f t="shared" si="140"/>
        <v>0</v>
      </c>
      <c r="BJ287" s="32">
        <f t="shared" si="141"/>
        <v>0</v>
      </c>
      <c r="BK287" s="32">
        <f t="shared" si="142"/>
        <v>0</v>
      </c>
      <c r="BL287" s="32">
        <f t="shared" si="143"/>
        <v>0</v>
      </c>
      <c r="BM287" s="32">
        <f t="shared" si="144"/>
        <v>0</v>
      </c>
      <c r="BN287" s="32">
        <f t="shared" si="145"/>
        <v>0</v>
      </c>
      <c r="BO287" s="32">
        <f t="shared" si="146"/>
        <v>0</v>
      </c>
      <c r="BP287" s="32">
        <f t="shared" si="147"/>
        <v>0</v>
      </c>
      <c r="BQ287" s="32">
        <f t="shared" si="148"/>
        <v>0</v>
      </c>
      <c r="BR287" s="32">
        <f t="shared" si="149"/>
        <v>0</v>
      </c>
      <c r="BS287" s="32">
        <f t="shared" si="150"/>
        <v>0</v>
      </c>
      <c r="BT287" s="40">
        <f t="shared" si="151"/>
        <v>0</v>
      </c>
    </row>
    <row r="288" spans="1:72">
      <c r="A288" s="6"/>
      <c r="B288" s="31"/>
      <c r="C288" s="31"/>
      <c r="D288" s="1629"/>
      <c r="E288" s="32">
        <f t="shared" si="123"/>
        <v>0</v>
      </c>
      <c r="F288" s="33"/>
      <c r="G288" s="34">
        <f t="shared" si="124"/>
        <v>0</v>
      </c>
      <c r="H288" s="35">
        <f t="shared" si="125"/>
        <v>0</v>
      </c>
      <c r="I288" s="36"/>
      <c r="J288" s="36"/>
      <c r="K288" s="36"/>
      <c r="L288" s="36"/>
      <c r="M288" s="36"/>
      <c r="N288" s="36"/>
      <c r="O288" s="36"/>
      <c r="P288" s="36"/>
      <c r="Q288" s="36"/>
      <c r="R288" s="36"/>
      <c r="S288" s="36"/>
      <c r="T288" s="36"/>
      <c r="U288" s="36"/>
      <c r="V288" s="36"/>
      <c r="W288" s="36"/>
      <c r="X288" s="36"/>
      <c r="Y288" s="36"/>
      <c r="Z288" s="36"/>
      <c r="AA288" s="36"/>
      <c r="AB288" s="36"/>
      <c r="AC288" s="32">
        <f t="shared" si="126"/>
        <v>0</v>
      </c>
      <c r="AD288" s="37"/>
      <c r="AE288" s="37"/>
      <c r="AF288" s="37"/>
      <c r="AG288" s="37"/>
      <c r="AH288" s="37"/>
      <c r="AI288" s="37"/>
      <c r="AJ288" s="37"/>
      <c r="AK288" s="37"/>
      <c r="AL288" s="37"/>
      <c r="AM288" s="37"/>
      <c r="AN288" s="37"/>
      <c r="AO288" s="37"/>
      <c r="AP288" s="37"/>
      <c r="AQ288" s="37"/>
      <c r="AR288" s="37"/>
      <c r="AS288" s="37"/>
      <c r="AT288" s="38"/>
      <c r="AU288" s="1630"/>
      <c r="AV288" s="1342">
        <f t="shared" si="127"/>
        <v>0</v>
      </c>
      <c r="AW288" s="1342">
        <f t="shared" si="128"/>
        <v>0</v>
      </c>
      <c r="AX288" s="1342">
        <f t="shared" si="129"/>
        <v>0</v>
      </c>
      <c r="AY288" s="39">
        <f t="shared" si="130"/>
        <v>0</v>
      </c>
      <c r="AZ288" s="32">
        <f t="shared" si="131"/>
        <v>0</v>
      </c>
      <c r="BA288" s="32">
        <f t="shared" si="132"/>
        <v>0</v>
      </c>
      <c r="BB288" s="32">
        <f t="shared" si="133"/>
        <v>0</v>
      </c>
      <c r="BC288" s="32">
        <f t="shared" si="134"/>
        <v>0</v>
      </c>
      <c r="BD288" s="32">
        <f t="shared" si="135"/>
        <v>0</v>
      </c>
      <c r="BE288" s="32">
        <f t="shared" si="136"/>
        <v>0</v>
      </c>
      <c r="BF288" s="32">
        <f t="shared" si="137"/>
        <v>0</v>
      </c>
      <c r="BG288" s="32">
        <f t="shared" si="138"/>
        <v>0</v>
      </c>
      <c r="BH288" s="32">
        <f t="shared" si="139"/>
        <v>0</v>
      </c>
      <c r="BI288" s="32">
        <f t="shared" si="140"/>
        <v>0</v>
      </c>
      <c r="BJ288" s="32">
        <f t="shared" si="141"/>
        <v>0</v>
      </c>
      <c r="BK288" s="32">
        <f t="shared" si="142"/>
        <v>0</v>
      </c>
      <c r="BL288" s="32">
        <f t="shared" si="143"/>
        <v>0</v>
      </c>
      <c r="BM288" s="32">
        <f t="shared" si="144"/>
        <v>0</v>
      </c>
      <c r="BN288" s="32">
        <f t="shared" si="145"/>
        <v>0</v>
      </c>
      <c r="BO288" s="32">
        <f t="shared" si="146"/>
        <v>0</v>
      </c>
      <c r="BP288" s="32">
        <f t="shared" si="147"/>
        <v>0</v>
      </c>
      <c r="BQ288" s="32">
        <f t="shared" si="148"/>
        <v>0</v>
      </c>
      <c r="BR288" s="32">
        <f t="shared" si="149"/>
        <v>0</v>
      </c>
      <c r="BS288" s="32">
        <f t="shared" si="150"/>
        <v>0</v>
      </c>
      <c r="BT288" s="40">
        <f t="shared" si="151"/>
        <v>0</v>
      </c>
    </row>
    <row r="289" spans="1:72">
      <c r="A289" s="6"/>
      <c r="B289" s="31"/>
      <c r="C289" s="31"/>
      <c r="D289" s="1629"/>
      <c r="E289" s="32">
        <f t="shared" si="123"/>
        <v>0</v>
      </c>
      <c r="F289" s="33"/>
      <c r="G289" s="34">
        <f t="shared" si="124"/>
        <v>0</v>
      </c>
      <c r="H289" s="35">
        <f t="shared" si="125"/>
        <v>0</v>
      </c>
      <c r="I289" s="36"/>
      <c r="J289" s="36"/>
      <c r="K289" s="36"/>
      <c r="L289" s="36"/>
      <c r="M289" s="36"/>
      <c r="N289" s="36"/>
      <c r="O289" s="36"/>
      <c r="P289" s="36"/>
      <c r="Q289" s="36"/>
      <c r="R289" s="36"/>
      <c r="S289" s="36"/>
      <c r="T289" s="36"/>
      <c r="U289" s="36"/>
      <c r="V289" s="36"/>
      <c r="W289" s="36"/>
      <c r="X289" s="36"/>
      <c r="Y289" s="36"/>
      <c r="Z289" s="36"/>
      <c r="AA289" s="36"/>
      <c r="AB289" s="36"/>
      <c r="AC289" s="32">
        <f t="shared" si="126"/>
        <v>0</v>
      </c>
      <c r="AD289" s="37"/>
      <c r="AE289" s="37"/>
      <c r="AF289" s="37"/>
      <c r="AG289" s="37"/>
      <c r="AH289" s="37"/>
      <c r="AI289" s="37"/>
      <c r="AJ289" s="37"/>
      <c r="AK289" s="37"/>
      <c r="AL289" s="37"/>
      <c r="AM289" s="37"/>
      <c r="AN289" s="37"/>
      <c r="AO289" s="37"/>
      <c r="AP289" s="37"/>
      <c r="AQ289" s="37"/>
      <c r="AR289" s="37"/>
      <c r="AS289" s="37"/>
      <c r="AT289" s="38"/>
      <c r="AU289" s="1630"/>
      <c r="AV289" s="1342">
        <f t="shared" si="127"/>
        <v>0</v>
      </c>
      <c r="AW289" s="1342">
        <f t="shared" si="128"/>
        <v>0</v>
      </c>
      <c r="AX289" s="1342">
        <f t="shared" si="129"/>
        <v>0</v>
      </c>
      <c r="AY289" s="39">
        <f t="shared" si="130"/>
        <v>0</v>
      </c>
      <c r="AZ289" s="32">
        <f t="shared" si="131"/>
        <v>0</v>
      </c>
      <c r="BA289" s="32">
        <f t="shared" si="132"/>
        <v>0</v>
      </c>
      <c r="BB289" s="32">
        <f t="shared" si="133"/>
        <v>0</v>
      </c>
      <c r="BC289" s="32">
        <f t="shared" si="134"/>
        <v>0</v>
      </c>
      <c r="BD289" s="32">
        <f t="shared" si="135"/>
        <v>0</v>
      </c>
      <c r="BE289" s="32">
        <f t="shared" si="136"/>
        <v>0</v>
      </c>
      <c r="BF289" s="32">
        <f t="shared" si="137"/>
        <v>0</v>
      </c>
      <c r="BG289" s="32">
        <f t="shared" si="138"/>
        <v>0</v>
      </c>
      <c r="BH289" s="32">
        <f t="shared" si="139"/>
        <v>0</v>
      </c>
      <c r="BI289" s="32">
        <f t="shared" si="140"/>
        <v>0</v>
      </c>
      <c r="BJ289" s="32">
        <f t="shared" si="141"/>
        <v>0</v>
      </c>
      <c r="BK289" s="32">
        <f t="shared" si="142"/>
        <v>0</v>
      </c>
      <c r="BL289" s="32">
        <f t="shared" si="143"/>
        <v>0</v>
      </c>
      <c r="BM289" s="32">
        <f t="shared" si="144"/>
        <v>0</v>
      </c>
      <c r="BN289" s="32">
        <f t="shared" si="145"/>
        <v>0</v>
      </c>
      <c r="BO289" s="32">
        <f t="shared" si="146"/>
        <v>0</v>
      </c>
      <c r="BP289" s="32">
        <f t="shared" si="147"/>
        <v>0</v>
      </c>
      <c r="BQ289" s="32">
        <f t="shared" si="148"/>
        <v>0</v>
      </c>
      <c r="BR289" s="32">
        <f t="shared" si="149"/>
        <v>0</v>
      </c>
      <c r="BS289" s="32">
        <f t="shared" si="150"/>
        <v>0</v>
      </c>
      <c r="BT289" s="40">
        <f t="shared" si="151"/>
        <v>0</v>
      </c>
    </row>
    <row r="290" spans="1:72">
      <c r="A290" s="6"/>
      <c r="B290" s="31"/>
      <c r="C290" s="31"/>
      <c r="D290" s="1629"/>
      <c r="E290" s="32">
        <f t="shared" si="123"/>
        <v>0</v>
      </c>
      <c r="F290" s="33"/>
      <c r="G290" s="34">
        <f t="shared" si="124"/>
        <v>0</v>
      </c>
      <c r="H290" s="35">
        <f t="shared" si="125"/>
        <v>0</v>
      </c>
      <c r="I290" s="36"/>
      <c r="J290" s="36"/>
      <c r="K290" s="36"/>
      <c r="L290" s="36"/>
      <c r="M290" s="36"/>
      <c r="N290" s="36"/>
      <c r="O290" s="36"/>
      <c r="P290" s="36"/>
      <c r="Q290" s="36"/>
      <c r="R290" s="36"/>
      <c r="S290" s="36"/>
      <c r="T290" s="36"/>
      <c r="U290" s="36"/>
      <c r="V290" s="36"/>
      <c r="W290" s="36"/>
      <c r="X290" s="36"/>
      <c r="Y290" s="36"/>
      <c r="Z290" s="36"/>
      <c r="AA290" s="36"/>
      <c r="AB290" s="36"/>
      <c r="AC290" s="32">
        <f t="shared" si="126"/>
        <v>0</v>
      </c>
      <c r="AD290" s="37"/>
      <c r="AE290" s="37"/>
      <c r="AF290" s="37"/>
      <c r="AG290" s="37"/>
      <c r="AH290" s="37"/>
      <c r="AI290" s="37"/>
      <c r="AJ290" s="37"/>
      <c r="AK290" s="37"/>
      <c r="AL290" s="37"/>
      <c r="AM290" s="37"/>
      <c r="AN290" s="37"/>
      <c r="AO290" s="37"/>
      <c r="AP290" s="37"/>
      <c r="AQ290" s="37"/>
      <c r="AR290" s="37"/>
      <c r="AS290" s="37"/>
      <c r="AT290" s="38"/>
      <c r="AU290" s="1630"/>
      <c r="AV290" s="1342">
        <f t="shared" si="127"/>
        <v>0</v>
      </c>
      <c r="AW290" s="1342">
        <f t="shared" si="128"/>
        <v>0</v>
      </c>
      <c r="AX290" s="1342">
        <f t="shared" si="129"/>
        <v>0</v>
      </c>
      <c r="AY290" s="39">
        <f t="shared" si="130"/>
        <v>0</v>
      </c>
      <c r="AZ290" s="32">
        <f t="shared" si="131"/>
        <v>0</v>
      </c>
      <c r="BA290" s="32">
        <f t="shared" si="132"/>
        <v>0</v>
      </c>
      <c r="BB290" s="32">
        <f t="shared" si="133"/>
        <v>0</v>
      </c>
      <c r="BC290" s="32">
        <f t="shared" si="134"/>
        <v>0</v>
      </c>
      <c r="BD290" s="32">
        <f t="shared" si="135"/>
        <v>0</v>
      </c>
      <c r="BE290" s="32">
        <f t="shared" si="136"/>
        <v>0</v>
      </c>
      <c r="BF290" s="32">
        <f t="shared" si="137"/>
        <v>0</v>
      </c>
      <c r="BG290" s="32">
        <f t="shared" si="138"/>
        <v>0</v>
      </c>
      <c r="BH290" s="32">
        <f t="shared" si="139"/>
        <v>0</v>
      </c>
      <c r="BI290" s="32">
        <f t="shared" si="140"/>
        <v>0</v>
      </c>
      <c r="BJ290" s="32">
        <f t="shared" si="141"/>
        <v>0</v>
      </c>
      <c r="BK290" s="32">
        <f t="shared" si="142"/>
        <v>0</v>
      </c>
      <c r="BL290" s="32">
        <f t="shared" si="143"/>
        <v>0</v>
      </c>
      <c r="BM290" s="32">
        <f t="shared" si="144"/>
        <v>0</v>
      </c>
      <c r="BN290" s="32">
        <f t="shared" si="145"/>
        <v>0</v>
      </c>
      <c r="BO290" s="32">
        <f t="shared" si="146"/>
        <v>0</v>
      </c>
      <c r="BP290" s="32">
        <f t="shared" si="147"/>
        <v>0</v>
      </c>
      <c r="BQ290" s="32">
        <f t="shared" si="148"/>
        <v>0</v>
      </c>
      <c r="BR290" s="32">
        <f t="shared" si="149"/>
        <v>0</v>
      </c>
      <c r="BS290" s="32">
        <f t="shared" si="150"/>
        <v>0</v>
      </c>
      <c r="BT290" s="40">
        <f t="shared" si="151"/>
        <v>0</v>
      </c>
    </row>
    <row r="291" spans="1:72">
      <c r="A291" s="6"/>
      <c r="B291" s="31"/>
      <c r="C291" s="31"/>
      <c r="D291" s="1629"/>
      <c r="E291" s="32">
        <f t="shared" si="123"/>
        <v>0</v>
      </c>
      <c r="F291" s="33"/>
      <c r="G291" s="34">
        <f t="shared" si="124"/>
        <v>0</v>
      </c>
      <c r="H291" s="35">
        <f t="shared" si="125"/>
        <v>0</v>
      </c>
      <c r="I291" s="36"/>
      <c r="J291" s="36"/>
      <c r="K291" s="36"/>
      <c r="L291" s="36"/>
      <c r="M291" s="36"/>
      <c r="N291" s="36"/>
      <c r="O291" s="36"/>
      <c r="P291" s="36"/>
      <c r="Q291" s="36"/>
      <c r="R291" s="36"/>
      <c r="S291" s="36"/>
      <c r="T291" s="36"/>
      <c r="U291" s="36"/>
      <c r="V291" s="36"/>
      <c r="W291" s="36"/>
      <c r="X291" s="36"/>
      <c r="Y291" s="36"/>
      <c r="Z291" s="36"/>
      <c r="AA291" s="36"/>
      <c r="AB291" s="36"/>
      <c r="AC291" s="32">
        <f t="shared" si="126"/>
        <v>0</v>
      </c>
      <c r="AD291" s="37"/>
      <c r="AE291" s="37"/>
      <c r="AF291" s="37"/>
      <c r="AG291" s="37"/>
      <c r="AH291" s="37"/>
      <c r="AI291" s="37"/>
      <c r="AJ291" s="37"/>
      <c r="AK291" s="37"/>
      <c r="AL291" s="37"/>
      <c r="AM291" s="37"/>
      <c r="AN291" s="37"/>
      <c r="AO291" s="37"/>
      <c r="AP291" s="37"/>
      <c r="AQ291" s="37"/>
      <c r="AR291" s="37"/>
      <c r="AS291" s="37"/>
      <c r="AT291" s="38"/>
      <c r="AU291" s="1630"/>
      <c r="AV291" s="1342">
        <f t="shared" si="127"/>
        <v>0</v>
      </c>
      <c r="AW291" s="1342">
        <f t="shared" si="128"/>
        <v>0</v>
      </c>
      <c r="AX291" s="1342">
        <f t="shared" si="129"/>
        <v>0</v>
      </c>
      <c r="AY291" s="39">
        <f t="shared" si="130"/>
        <v>0</v>
      </c>
      <c r="AZ291" s="32">
        <f t="shared" si="131"/>
        <v>0</v>
      </c>
      <c r="BA291" s="32">
        <f t="shared" si="132"/>
        <v>0</v>
      </c>
      <c r="BB291" s="32">
        <f t="shared" si="133"/>
        <v>0</v>
      </c>
      <c r="BC291" s="32">
        <f t="shared" si="134"/>
        <v>0</v>
      </c>
      <c r="BD291" s="32">
        <f t="shared" si="135"/>
        <v>0</v>
      </c>
      <c r="BE291" s="32">
        <f t="shared" si="136"/>
        <v>0</v>
      </c>
      <c r="BF291" s="32">
        <f t="shared" si="137"/>
        <v>0</v>
      </c>
      <c r="BG291" s="32">
        <f t="shared" si="138"/>
        <v>0</v>
      </c>
      <c r="BH291" s="32">
        <f t="shared" si="139"/>
        <v>0</v>
      </c>
      <c r="BI291" s="32">
        <f t="shared" si="140"/>
        <v>0</v>
      </c>
      <c r="BJ291" s="32">
        <f t="shared" si="141"/>
        <v>0</v>
      </c>
      <c r="BK291" s="32">
        <f t="shared" si="142"/>
        <v>0</v>
      </c>
      <c r="BL291" s="32">
        <f t="shared" si="143"/>
        <v>0</v>
      </c>
      <c r="BM291" s="32">
        <f t="shared" si="144"/>
        <v>0</v>
      </c>
      <c r="BN291" s="32">
        <f t="shared" si="145"/>
        <v>0</v>
      </c>
      <c r="BO291" s="32">
        <f t="shared" si="146"/>
        <v>0</v>
      </c>
      <c r="BP291" s="32">
        <f t="shared" si="147"/>
        <v>0</v>
      </c>
      <c r="BQ291" s="32">
        <f t="shared" si="148"/>
        <v>0</v>
      </c>
      <c r="BR291" s="32">
        <f t="shared" si="149"/>
        <v>0</v>
      </c>
      <c r="BS291" s="32">
        <f t="shared" si="150"/>
        <v>0</v>
      </c>
      <c r="BT291" s="40">
        <f t="shared" si="151"/>
        <v>0</v>
      </c>
    </row>
    <row r="292" spans="1:72">
      <c r="A292" s="6"/>
      <c r="B292" s="31"/>
      <c r="C292" s="31"/>
      <c r="D292" s="1629"/>
      <c r="E292" s="32">
        <f t="shared" si="123"/>
        <v>0</v>
      </c>
      <c r="F292" s="33"/>
      <c r="G292" s="34">
        <f t="shared" si="124"/>
        <v>0</v>
      </c>
      <c r="H292" s="35">
        <f t="shared" si="125"/>
        <v>0</v>
      </c>
      <c r="I292" s="36"/>
      <c r="J292" s="36"/>
      <c r="K292" s="36"/>
      <c r="L292" s="36"/>
      <c r="M292" s="36"/>
      <c r="N292" s="36"/>
      <c r="O292" s="36"/>
      <c r="P292" s="36"/>
      <c r="Q292" s="36"/>
      <c r="R292" s="36"/>
      <c r="S292" s="36"/>
      <c r="T292" s="36"/>
      <c r="U292" s="36"/>
      <c r="V292" s="36"/>
      <c r="W292" s="36"/>
      <c r="X292" s="36"/>
      <c r="Y292" s="36"/>
      <c r="Z292" s="36"/>
      <c r="AA292" s="36"/>
      <c r="AB292" s="36"/>
      <c r="AC292" s="32">
        <f t="shared" si="126"/>
        <v>0</v>
      </c>
      <c r="AD292" s="37"/>
      <c r="AE292" s="37"/>
      <c r="AF292" s="37"/>
      <c r="AG292" s="37"/>
      <c r="AH292" s="37"/>
      <c r="AI292" s="37"/>
      <c r="AJ292" s="37"/>
      <c r="AK292" s="37"/>
      <c r="AL292" s="37"/>
      <c r="AM292" s="37"/>
      <c r="AN292" s="37"/>
      <c r="AO292" s="37"/>
      <c r="AP292" s="37"/>
      <c r="AQ292" s="37"/>
      <c r="AR292" s="37"/>
      <c r="AS292" s="37"/>
      <c r="AT292" s="38"/>
      <c r="AU292" s="1630"/>
      <c r="AV292" s="1342">
        <f t="shared" si="127"/>
        <v>0</v>
      </c>
      <c r="AW292" s="1342">
        <f t="shared" si="128"/>
        <v>0</v>
      </c>
      <c r="AX292" s="1342">
        <f t="shared" si="129"/>
        <v>0</v>
      </c>
      <c r="AY292" s="39">
        <f t="shared" si="130"/>
        <v>0</v>
      </c>
      <c r="AZ292" s="32">
        <f t="shared" si="131"/>
        <v>0</v>
      </c>
      <c r="BA292" s="32">
        <f t="shared" si="132"/>
        <v>0</v>
      </c>
      <c r="BB292" s="32">
        <f t="shared" si="133"/>
        <v>0</v>
      </c>
      <c r="BC292" s="32">
        <f t="shared" si="134"/>
        <v>0</v>
      </c>
      <c r="BD292" s="32">
        <f t="shared" si="135"/>
        <v>0</v>
      </c>
      <c r="BE292" s="32">
        <f t="shared" si="136"/>
        <v>0</v>
      </c>
      <c r="BF292" s="32">
        <f t="shared" si="137"/>
        <v>0</v>
      </c>
      <c r="BG292" s="32">
        <f t="shared" si="138"/>
        <v>0</v>
      </c>
      <c r="BH292" s="32">
        <f t="shared" si="139"/>
        <v>0</v>
      </c>
      <c r="BI292" s="32">
        <f t="shared" si="140"/>
        <v>0</v>
      </c>
      <c r="BJ292" s="32">
        <f t="shared" si="141"/>
        <v>0</v>
      </c>
      <c r="BK292" s="32">
        <f t="shared" si="142"/>
        <v>0</v>
      </c>
      <c r="BL292" s="32">
        <f t="shared" si="143"/>
        <v>0</v>
      </c>
      <c r="BM292" s="32">
        <f t="shared" si="144"/>
        <v>0</v>
      </c>
      <c r="BN292" s="32">
        <f t="shared" si="145"/>
        <v>0</v>
      </c>
      <c r="BO292" s="32">
        <f t="shared" si="146"/>
        <v>0</v>
      </c>
      <c r="BP292" s="32">
        <f t="shared" si="147"/>
        <v>0</v>
      </c>
      <c r="BQ292" s="32">
        <f t="shared" si="148"/>
        <v>0</v>
      </c>
      <c r="BR292" s="32">
        <f t="shared" si="149"/>
        <v>0</v>
      </c>
      <c r="BS292" s="32">
        <f t="shared" si="150"/>
        <v>0</v>
      </c>
      <c r="BT292" s="40">
        <f t="shared" si="151"/>
        <v>0</v>
      </c>
    </row>
    <row r="293" spans="1:72">
      <c r="A293" s="6"/>
      <c r="B293" s="31"/>
      <c r="C293" s="31"/>
      <c r="D293" s="1629"/>
      <c r="E293" s="32">
        <f t="shared" si="123"/>
        <v>0</v>
      </c>
      <c r="F293" s="33"/>
      <c r="G293" s="34">
        <f t="shared" si="124"/>
        <v>0</v>
      </c>
      <c r="H293" s="35">
        <f t="shared" si="125"/>
        <v>0</v>
      </c>
      <c r="I293" s="36"/>
      <c r="J293" s="36"/>
      <c r="K293" s="36"/>
      <c r="L293" s="36"/>
      <c r="M293" s="36"/>
      <c r="N293" s="36"/>
      <c r="O293" s="36"/>
      <c r="P293" s="36"/>
      <c r="Q293" s="36"/>
      <c r="R293" s="36"/>
      <c r="S293" s="36"/>
      <c r="T293" s="36"/>
      <c r="U293" s="36"/>
      <c r="V293" s="36"/>
      <c r="W293" s="36"/>
      <c r="X293" s="36"/>
      <c r="Y293" s="36"/>
      <c r="Z293" s="36"/>
      <c r="AA293" s="36"/>
      <c r="AB293" s="36"/>
      <c r="AC293" s="32">
        <f t="shared" si="126"/>
        <v>0</v>
      </c>
      <c r="AD293" s="37"/>
      <c r="AE293" s="37"/>
      <c r="AF293" s="37"/>
      <c r="AG293" s="37"/>
      <c r="AH293" s="37"/>
      <c r="AI293" s="37"/>
      <c r="AJ293" s="37"/>
      <c r="AK293" s="37"/>
      <c r="AL293" s="37"/>
      <c r="AM293" s="37"/>
      <c r="AN293" s="37"/>
      <c r="AO293" s="37"/>
      <c r="AP293" s="37"/>
      <c r="AQ293" s="37"/>
      <c r="AR293" s="37"/>
      <c r="AS293" s="37"/>
      <c r="AT293" s="38"/>
      <c r="AU293" s="1630"/>
      <c r="AV293" s="1342">
        <f t="shared" si="127"/>
        <v>0</v>
      </c>
      <c r="AW293" s="1342">
        <f t="shared" si="128"/>
        <v>0</v>
      </c>
      <c r="AX293" s="1342">
        <f t="shared" si="129"/>
        <v>0</v>
      </c>
      <c r="AY293" s="39">
        <f t="shared" si="130"/>
        <v>0</v>
      </c>
      <c r="AZ293" s="32">
        <f t="shared" si="131"/>
        <v>0</v>
      </c>
      <c r="BA293" s="32">
        <f t="shared" si="132"/>
        <v>0</v>
      </c>
      <c r="BB293" s="32">
        <f t="shared" si="133"/>
        <v>0</v>
      </c>
      <c r="BC293" s="32">
        <f t="shared" si="134"/>
        <v>0</v>
      </c>
      <c r="BD293" s="32">
        <f t="shared" si="135"/>
        <v>0</v>
      </c>
      <c r="BE293" s="32">
        <f t="shared" si="136"/>
        <v>0</v>
      </c>
      <c r="BF293" s="32">
        <f t="shared" si="137"/>
        <v>0</v>
      </c>
      <c r="BG293" s="32">
        <f t="shared" si="138"/>
        <v>0</v>
      </c>
      <c r="BH293" s="32">
        <f t="shared" si="139"/>
        <v>0</v>
      </c>
      <c r="BI293" s="32">
        <f t="shared" si="140"/>
        <v>0</v>
      </c>
      <c r="BJ293" s="32">
        <f t="shared" si="141"/>
        <v>0</v>
      </c>
      <c r="BK293" s="32">
        <f t="shared" si="142"/>
        <v>0</v>
      </c>
      <c r="BL293" s="32">
        <f t="shared" si="143"/>
        <v>0</v>
      </c>
      <c r="BM293" s="32">
        <f t="shared" si="144"/>
        <v>0</v>
      </c>
      <c r="BN293" s="32">
        <f t="shared" si="145"/>
        <v>0</v>
      </c>
      <c r="BO293" s="32">
        <f t="shared" si="146"/>
        <v>0</v>
      </c>
      <c r="BP293" s="32">
        <f t="shared" si="147"/>
        <v>0</v>
      </c>
      <c r="BQ293" s="32">
        <f t="shared" si="148"/>
        <v>0</v>
      </c>
      <c r="BR293" s="32">
        <f t="shared" si="149"/>
        <v>0</v>
      </c>
      <c r="BS293" s="32">
        <f t="shared" si="150"/>
        <v>0</v>
      </c>
      <c r="BT293" s="40">
        <f t="shared" si="151"/>
        <v>0</v>
      </c>
    </row>
    <row r="294" spans="1:72">
      <c r="A294" s="6"/>
      <c r="B294" s="31"/>
      <c r="C294" s="31"/>
      <c r="D294" s="1629"/>
      <c r="E294" s="32">
        <f t="shared" si="123"/>
        <v>0</v>
      </c>
      <c r="F294" s="33"/>
      <c r="G294" s="34">
        <f t="shared" si="124"/>
        <v>0</v>
      </c>
      <c r="H294" s="35">
        <f t="shared" si="125"/>
        <v>0</v>
      </c>
      <c r="I294" s="36"/>
      <c r="J294" s="36"/>
      <c r="K294" s="36"/>
      <c r="L294" s="36"/>
      <c r="M294" s="36"/>
      <c r="N294" s="36"/>
      <c r="O294" s="36"/>
      <c r="P294" s="36"/>
      <c r="Q294" s="36"/>
      <c r="R294" s="36"/>
      <c r="S294" s="36"/>
      <c r="T294" s="36"/>
      <c r="U294" s="36"/>
      <c r="V294" s="36"/>
      <c r="W294" s="36"/>
      <c r="X294" s="36"/>
      <c r="Y294" s="36"/>
      <c r="Z294" s="36"/>
      <c r="AA294" s="36"/>
      <c r="AB294" s="36"/>
      <c r="AC294" s="32">
        <f t="shared" si="126"/>
        <v>0</v>
      </c>
      <c r="AD294" s="37"/>
      <c r="AE294" s="37"/>
      <c r="AF294" s="37"/>
      <c r="AG294" s="37"/>
      <c r="AH294" s="37"/>
      <c r="AI294" s="37"/>
      <c r="AJ294" s="37"/>
      <c r="AK294" s="37"/>
      <c r="AL294" s="37"/>
      <c r="AM294" s="37"/>
      <c r="AN294" s="37"/>
      <c r="AO294" s="37"/>
      <c r="AP294" s="37"/>
      <c r="AQ294" s="37"/>
      <c r="AR294" s="37"/>
      <c r="AS294" s="37"/>
      <c r="AT294" s="38"/>
      <c r="AU294" s="1630"/>
      <c r="AV294" s="1342">
        <f t="shared" si="127"/>
        <v>0</v>
      </c>
      <c r="AW294" s="1342">
        <f t="shared" si="128"/>
        <v>0</v>
      </c>
      <c r="AX294" s="1342">
        <f t="shared" si="129"/>
        <v>0</v>
      </c>
      <c r="AY294" s="39">
        <f t="shared" si="130"/>
        <v>0</v>
      </c>
      <c r="AZ294" s="32">
        <f t="shared" si="131"/>
        <v>0</v>
      </c>
      <c r="BA294" s="32">
        <f t="shared" si="132"/>
        <v>0</v>
      </c>
      <c r="BB294" s="32">
        <f t="shared" si="133"/>
        <v>0</v>
      </c>
      <c r="BC294" s="32">
        <f t="shared" si="134"/>
        <v>0</v>
      </c>
      <c r="BD294" s="32">
        <f t="shared" si="135"/>
        <v>0</v>
      </c>
      <c r="BE294" s="32">
        <f t="shared" si="136"/>
        <v>0</v>
      </c>
      <c r="BF294" s="32">
        <f t="shared" si="137"/>
        <v>0</v>
      </c>
      <c r="BG294" s="32">
        <f t="shared" si="138"/>
        <v>0</v>
      </c>
      <c r="BH294" s="32">
        <f t="shared" si="139"/>
        <v>0</v>
      </c>
      <c r="BI294" s="32">
        <f t="shared" si="140"/>
        <v>0</v>
      </c>
      <c r="BJ294" s="32">
        <f t="shared" si="141"/>
        <v>0</v>
      </c>
      <c r="BK294" s="32">
        <f t="shared" si="142"/>
        <v>0</v>
      </c>
      <c r="BL294" s="32">
        <f t="shared" si="143"/>
        <v>0</v>
      </c>
      <c r="BM294" s="32">
        <f t="shared" si="144"/>
        <v>0</v>
      </c>
      <c r="BN294" s="32">
        <f t="shared" si="145"/>
        <v>0</v>
      </c>
      <c r="BO294" s="32">
        <f t="shared" si="146"/>
        <v>0</v>
      </c>
      <c r="BP294" s="32">
        <f t="shared" si="147"/>
        <v>0</v>
      </c>
      <c r="BQ294" s="32">
        <f t="shared" si="148"/>
        <v>0</v>
      </c>
      <c r="BR294" s="32">
        <f t="shared" si="149"/>
        <v>0</v>
      </c>
      <c r="BS294" s="32">
        <f t="shared" si="150"/>
        <v>0</v>
      </c>
      <c r="BT294" s="40">
        <f t="shared" si="151"/>
        <v>0</v>
      </c>
    </row>
    <row r="295" spans="1:72">
      <c r="A295" s="6"/>
      <c r="B295" s="31"/>
      <c r="C295" s="31"/>
      <c r="D295" s="1629"/>
      <c r="E295" s="32">
        <f t="shared" si="123"/>
        <v>0</v>
      </c>
      <c r="F295" s="33"/>
      <c r="G295" s="34">
        <f t="shared" si="124"/>
        <v>0</v>
      </c>
      <c r="H295" s="35">
        <f t="shared" si="125"/>
        <v>0</v>
      </c>
      <c r="I295" s="36"/>
      <c r="J295" s="36"/>
      <c r="K295" s="36"/>
      <c r="L295" s="36"/>
      <c r="M295" s="36"/>
      <c r="N295" s="36"/>
      <c r="O295" s="36"/>
      <c r="P295" s="36"/>
      <c r="Q295" s="36"/>
      <c r="R295" s="36"/>
      <c r="S295" s="36"/>
      <c r="T295" s="36"/>
      <c r="U295" s="36"/>
      <c r="V295" s="36"/>
      <c r="W295" s="36"/>
      <c r="X295" s="36"/>
      <c r="Y295" s="36"/>
      <c r="Z295" s="36"/>
      <c r="AA295" s="36"/>
      <c r="AB295" s="36"/>
      <c r="AC295" s="32">
        <f t="shared" si="126"/>
        <v>0</v>
      </c>
      <c r="AD295" s="37"/>
      <c r="AE295" s="37"/>
      <c r="AF295" s="37"/>
      <c r="AG295" s="37"/>
      <c r="AH295" s="37"/>
      <c r="AI295" s="37"/>
      <c r="AJ295" s="37"/>
      <c r="AK295" s="37"/>
      <c r="AL295" s="37"/>
      <c r="AM295" s="37"/>
      <c r="AN295" s="37"/>
      <c r="AO295" s="37"/>
      <c r="AP295" s="37"/>
      <c r="AQ295" s="37"/>
      <c r="AR295" s="37"/>
      <c r="AS295" s="37"/>
      <c r="AT295" s="38"/>
      <c r="AU295" s="1630"/>
      <c r="AV295" s="1342">
        <f t="shared" si="127"/>
        <v>0</v>
      </c>
      <c r="AW295" s="1342">
        <f t="shared" si="128"/>
        <v>0</v>
      </c>
      <c r="AX295" s="1342">
        <f t="shared" si="129"/>
        <v>0</v>
      </c>
      <c r="AY295" s="39">
        <f t="shared" si="130"/>
        <v>0</v>
      </c>
      <c r="AZ295" s="32">
        <f t="shared" si="131"/>
        <v>0</v>
      </c>
      <c r="BA295" s="32">
        <f t="shared" si="132"/>
        <v>0</v>
      </c>
      <c r="BB295" s="32">
        <f t="shared" si="133"/>
        <v>0</v>
      </c>
      <c r="BC295" s="32">
        <f t="shared" si="134"/>
        <v>0</v>
      </c>
      <c r="BD295" s="32">
        <f t="shared" si="135"/>
        <v>0</v>
      </c>
      <c r="BE295" s="32">
        <f t="shared" si="136"/>
        <v>0</v>
      </c>
      <c r="BF295" s="32">
        <f t="shared" si="137"/>
        <v>0</v>
      </c>
      <c r="BG295" s="32">
        <f t="shared" si="138"/>
        <v>0</v>
      </c>
      <c r="BH295" s="32">
        <f t="shared" si="139"/>
        <v>0</v>
      </c>
      <c r="BI295" s="32">
        <f t="shared" si="140"/>
        <v>0</v>
      </c>
      <c r="BJ295" s="32">
        <f t="shared" si="141"/>
        <v>0</v>
      </c>
      <c r="BK295" s="32">
        <f t="shared" si="142"/>
        <v>0</v>
      </c>
      <c r="BL295" s="32">
        <f t="shared" si="143"/>
        <v>0</v>
      </c>
      <c r="BM295" s="32">
        <f t="shared" si="144"/>
        <v>0</v>
      </c>
      <c r="BN295" s="32">
        <f t="shared" si="145"/>
        <v>0</v>
      </c>
      <c r="BO295" s="32">
        <f t="shared" si="146"/>
        <v>0</v>
      </c>
      <c r="BP295" s="32">
        <f t="shared" si="147"/>
        <v>0</v>
      </c>
      <c r="BQ295" s="32">
        <f t="shared" si="148"/>
        <v>0</v>
      </c>
      <c r="BR295" s="32">
        <f t="shared" si="149"/>
        <v>0</v>
      </c>
      <c r="BS295" s="32">
        <f t="shared" si="150"/>
        <v>0</v>
      </c>
      <c r="BT295" s="40">
        <f t="shared" si="151"/>
        <v>0</v>
      </c>
    </row>
    <row r="296" spans="1:72">
      <c r="A296" s="6"/>
      <c r="B296" s="31"/>
      <c r="C296" s="31"/>
      <c r="D296" s="1629"/>
      <c r="E296" s="32">
        <f t="shared" si="123"/>
        <v>0</v>
      </c>
      <c r="F296" s="33"/>
      <c r="G296" s="34">
        <f t="shared" si="124"/>
        <v>0</v>
      </c>
      <c r="H296" s="35">
        <f t="shared" si="125"/>
        <v>0</v>
      </c>
      <c r="I296" s="36"/>
      <c r="J296" s="36"/>
      <c r="K296" s="36"/>
      <c r="L296" s="36"/>
      <c r="M296" s="36"/>
      <c r="N296" s="36"/>
      <c r="O296" s="36"/>
      <c r="P296" s="36"/>
      <c r="Q296" s="36"/>
      <c r="R296" s="36"/>
      <c r="S296" s="36"/>
      <c r="T296" s="36"/>
      <c r="U296" s="36"/>
      <c r="V296" s="36"/>
      <c r="W296" s="36"/>
      <c r="X296" s="36"/>
      <c r="Y296" s="36"/>
      <c r="Z296" s="36"/>
      <c r="AA296" s="36"/>
      <c r="AB296" s="36"/>
      <c r="AC296" s="32">
        <f t="shared" si="126"/>
        <v>0</v>
      </c>
      <c r="AD296" s="37"/>
      <c r="AE296" s="37"/>
      <c r="AF296" s="37"/>
      <c r="AG296" s="37"/>
      <c r="AH296" s="37"/>
      <c r="AI296" s="37"/>
      <c r="AJ296" s="37"/>
      <c r="AK296" s="37"/>
      <c r="AL296" s="37"/>
      <c r="AM296" s="37"/>
      <c r="AN296" s="37"/>
      <c r="AO296" s="37"/>
      <c r="AP296" s="37"/>
      <c r="AQ296" s="37"/>
      <c r="AR296" s="37"/>
      <c r="AS296" s="37"/>
      <c r="AT296" s="38"/>
      <c r="AU296" s="1630"/>
      <c r="AV296" s="1342">
        <f t="shared" si="127"/>
        <v>0</v>
      </c>
      <c r="AW296" s="1342">
        <f t="shared" si="128"/>
        <v>0</v>
      </c>
      <c r="AX296" s="1342">
        <f t="shared" si="129"/>
        <v>0</v>
      </c>
      <c r="AY296" s="39">
        <f t="shared" si="130"/>
        <v>0</v>
      </c>
      <c r="AZ296" s="32">
        <f t="shared" si="131"/>
        <v>0</v>
      </c>
      <c r="BA296" s="32">
        <f t="shared" si="132"/>
        <v>0</v>
      </c>
      <c r="BB296" s="32">
        <f t="shared" si="133"/>
        <v>0</v>
      </c>
      <c r="BC296" s="32">
        <f t="shared" si="134"/>
        <v>0</v>
      </c>
      <c r="BD296" s="32">
        <f t="shared" si="135"/>
        <v>0</v>
      </c>
      <c r="BE296" s="32">
        <f t="shared" si="136"/>
        <v>0</v>
      </c>
      <c r="BF296" s="32">
        <f t="shared" si="137"/>
        <v>0</v>
      </c>
      <c r="BG296" s="32">
        <f t="shared" si="138"/>
        <v>0</v>
      </c>
      <c r="BH296" s="32">
        <f t="shared" si="139"/>
        <v>0</v>
      </c>
      <c r="BI296" s="32">
        <f t="shared" si="140"/>
        <v>0</v>
      </c>
      <c r="BJ296" s="32">
        <f t="shared" si="141"/>
        <v>0</v>
      </c>
      <c r="BK296" s="32">
        <f t="shared" si="142"/>
        <v>0</v>
      </c>
      <c r="BL296" s="32">
        <f t="shared" si="143"/>
        <v>0</v>
      </c>
      <c r="BM296" s="32">
        <f t="shared" si="144"/>
        <v>0</v>
      </c>
      <c r="BN296" s="32">
        <f t="shared" si="145"/>
        <v>0</v>
      </c>
      <c r="BO296" s="32">
        <f t="shared" si="146"/>
        <v>0</v>
      </c>
      <c r="BP296" s="32">
        <f t="shared" si="147"/>
        <v>0</v>
      </c>
      <c r="BQ296" s="32">
        <f t="shared" si="148"/>
        <v>0</v>
      </c>
      <c r="BR296" s="32">
        <f t="shared" si="149"/>
        <v>0</v>
      </c>
      <c r="BS296" s="32">
        <f t="shared" si="150"/>
        <v>0</v>
      </c>
      <c r="BT296" s="40">
        <f t="shared" si="151"/>
        <v>0</v>
      </c>
    </row>
    <row r="297" spans="1:72">
      <c r="A297" s="6"/>
      <c r="B297" s="31"/>
      <c r="C297" s="31"/>
      <c r="D297" s="1629"/>
      <c r="E297" s="32">
        <f t="shared" si="123"/>
        <v>0</v>
      </c>
      <c r="F297" s="33"/>
      <c r="G297" s="34">
        <f t="shared" si="124"/>
        <v>0</v>
      </c>
      <c r="H297" s="35">
        <f t="shared" si="125"/>
        <v>0</v>
      </c>
      <c r="I297" s="36"/>
      <c r="J297" s="36"/>
      <c r="K297" s="36"/>
      <c r="L297" s="36"/>
      <c r="M297" s="36"/>
      <c r="N297" s="36"/>
      <c r="O297" s="36"/>
      <c r="P297" s="36"/>
      <c r="Q297" s="36"/>
      <c r="R297" s="36"/>
      <c r="S297" s="36"/>
      <c r="T297" s="36"/>
      <c r="U297" s="36"/>
      <c r="V297" s="36"/>
      <c r="W297" s="36"/>
      <c r="X297" s="36"/>
      <c r="Y297" s="36"/>
      <c r="Z297" s="36"/>
      <c r="AA297" s="36"/>
      <c r="AB297" s="36"/>
      <c r="AC297" s="32">
        <f t="shared" si="126"/>
        <v>0</v>
      </c>
      <c r="AD297" s="37"/>
      <c r="AE297" s="37"/>
      <c r="AF297" s="37"/>
      <c r="AG297" s="37"/>
      <c r="AH297" s="37"/>
      <c r="AI297" s="37"/>
      <c r="AJ297" s="37"/>
      <c r="AK297" s="37"/>
      <c r="AL297" s="37"/>
      <c r="AM297" s="37"/>
      <c r="AN297" s="37"/>
      <c r="AO297" s="37"/>
      <c r="AP297" s="37"/>
      <c r="AQ297" s="37"/>
      <c r="AR297" s="37"/>
      <c r="AS297" s="37"/>
      <c r="AT297" s="38"/>
      <c r="AU297" s="1630"/>
      <c r="AV297" s="1342">
        <f t="shared" si="127"/>
        <v>0</v>
      </c>
      <c r="AW297" s="1342">
        <f t="shared" si="128"/>
        <v>0</v>
      </c>
      <c r="AX297" s="1342">
        <f t="shared" si="129"/>
        <v>0</v>
      </c>
      <c r="AY297" s="39">
        <f t="shared" si="130"/>
        <v>0</v>
      </c>
      <c r="AZ297" s="32">
        <f t="shared" si="131"/>
        <v>0</v>
      </c>
      <c r="BA297" s="32">
        <f t="shared" si="132"/>
        <v>0</v>
      </c>
      <c r="BB297" s="32">
        <f t="shared" si="133"/>
        <v>0</v>
      </c>
      <c r="BC297" s="32">
        <f t="shared" si="134"/>
        <v>0</v>
      </c>
      <c r="BD297" s="32">
        <f t="shared" si="135"/>
        <v>0</v>
      </c>
      <c r="BE297" s="32">
        <f t="shared" si="136"/>
        <v>0</v>
      </c>
      <c r="BF297" s="32">
        <f t="shared" si="137"/>
        <v>0</v>
      </c>
      <c r="BG297" s="32">
        <f t="shared" si="138"/>
        <v>0</v>
      </c>
      <c r="BH297" s="32">
        <f t="shared" si="139"/>
        <v>0</v>
      </c>
      <c r="BI297" s="32">
        <f t="shared" si="140"/>
        <v>0</v>
      </c>
      <c r="BJ297" s="32">
        <f t="shared" si="141"/>
        <v>0</v>
      </c>
      <c r="BK297" s="32">
        <f t="shared" si="142"/>
        <v>0</v>
      </c>
      <c r="BL297" s="32">
        <f t="shared" si="143"/>
        <v>0</v>
      </c>
      <c r="BM297" s="32">
        <f t="shared" si="144"/>
        <v>0</v>
      </c>
      <c r="BN297" s="32">
        <f t="shared" si="145"/>
        <v>0</v>
      </c>
      <c r="BO297" s="32">
        <f t="shared" si="146"/>
        <v>0</v>
      </c>
      <c r="BP297" s="32">
        <f t="shared" si="147"/>
        <v>0</v>
      </c>
      <c r="BQ297" s="32">
        <f t="shared" si="148"/>
        <v>0</v>
      </c>
      <c r="BR297" s="32">
        <f t="shared" si="149"/>
        <v>0</v>
      </c>
      <c r="BS297" s="32">
        <f t="shared" si="150"/>
        <v>0</v>
      </c>
      <c r="BT297" s="40">
        <f t="shared" si="151"/>
        <v>0</v>
      </c>
    </row>
    <row r="298" spans="1:72">
      <c r="A298" s="6"/>
      <c r="B298" s="31"/>
      <c r="C298" s="31"/>
      <c r="D298" s="1629"/>
      <c r="E298" s="32">
        <f t="shared" si="123"/>
        <v>0</v>
      </c>
      <c r="F298" s="33"/>
      <c r="G298" s="34">
        <f t="shared" si="124"/>
        <v>0</v>
      </c>
      <c r="H298" s="35">
        <f t="shared" si="125"/>
        <v>0</v>
      </c>
      <c r="I298" s="36"/>
      <c r="J298" s="36"/>
      <c r="K298" s="36"/>
      <c r="L298" s="36"/>
      <c r="M298" s="36"/>
      <c r="N298" s="36"/>
      <c r="O298" s="36"/>
      <c r="P298" s="36"/>
      <c r="Q298" s="36"/>
      <c r="R298" s="36"/>
      <c r="S298" s="36"/>
      <c r="T298" s="36"/>
      <c r="U298" s="36"/>
      <c r="V298" s="36"/>
      <c r="W298" s="36"/>
      <c r="X298" s="36"/>
      <c r="Y298" s="36"/>
      <c r="Z298" s="36"/>
      <c r="AA298" s="36"/>
      <c r="AB298" s="36"/>
      <c r="AC298" s="32">
        <f t="shared" si="126"/>
        <v>0</v>
      </c>
      <c r="AD298" s="37"/>
      <c r="AE298" s="37"/>
      <c r="AF298" s="37"/>
      <c r="AG298" s="37"/>
      <c r="AH298" s="37"/>
      <c r="AI298" s="37"/>
      <c r="AJ298" s="37"/>
      <c r="AK298" s="37"/>
      <c r="AL298" s="37"/>
      <c r="AM298" s="37"/>
      <c r="AN298" s="37"/>
      <c r="AO298" s="37"/>
      <c r="AP298" s="37"/>
      <c r="AQ298" s="37"/>
      <c r="AR298" s="37"/>
      <c r="AS298" s="37"/>
      <c r="AT298" s="38"/>
      <c r="AU298" s="1630"/>
      <c r="AV298" s="1342">
        <f t="shared" si="127"/>
        <v>0</v>
      </c>
      <c r="AW298" s="1342">
        <f t="shared" si="128"/>
        <v>0</v>
      </c>
      <c r="AX298" s="1342">
        <f t="shared" si="129"/>
        <v>0</v>
      </c>
      <c r="AY298" s="39">
        <f t="shared" si="130"/>
        <v>0</v>
      </c>
      <c r="AZ298" s="32">
        <f t="shared" si="131"/>
        <v>0</v>
      </c>
      <c r="BA298" s="32">
        <f t="shared" si="132"/>
        <v>0</v>
      </c>
      <c r="BB298" s="32">
        <f t="shared" si="133"/>
        <v>0</v>
      </c>
      <c r="BC298" s="32">
        <f t="shared" si="134"/>
        <v>0</v>
      </c>
      <c r="BD298" s="32">
        <f t="shared" si="135"/>
        <v>0</v>
      </c>
      <c r="BE298" s="32">
        <f t="shared" si="136"/>
        <v>0</v>
      </c>
      <c r="BF298" s="32">
        <f t="shared" si="137"/>
        <v>0</v>
      </c>
      <c r="BG298" s="32">
        <f t="shared" si="138"/>
        <v>0</v>
      </c>
      <c r="BH298" s="32">
        <f t="shared" si="139"/>
        <v>0</v>
      </c>
      <c r="BI298" s="32">
        <f t="shared" si="140"/>
        <v>0</v>
      </c>
      <c r="BJ298" s="32">
        <f t="shared" si="141"/>
        <v>0</v>
      </c>
      <c r="BK298" s="32">
        <f t="shared" si="142"/>
        <v>0</v>
      </c>
      <c r="BL298" s="32">
        <f t="shared" si="143"/>
        <v>0</v>
      </c>
      <c r="BM298" s="32">
        <f t="shared" si="144"/>
        <v>0</v>
      </c>
      <c r="BN298" s="32">
        <f t="shared" si="145"/>
        <v>0</v>
      </c>
      <c r="BO298" s="32">
        <f t="shared" si="146"/>
        <v>0</v>
      </c>
      <c r="BP298" s="32">
        <f t="shared" si="147"/>
        <v>0</v>
      </c>
      <c r="BQ298" s="32">
        <f t="shared" si="148"/>
        <v>0</v>
      </c>
      <c r="BR298" s="32">
        <f t="shared" si="149"/>
        <v>0</v>
      </c>
      <c r="BS298" s="32">
        <f t="shared" si="150"/>
        <v>0</v>
      </c>
      <c r="BT298" s="40">
        <f t="shared" si="151"/>
        <v>0</v>
      </c>
    </row>
    <row r="299" spans="1:72">
      <c r="A299" s="6"/>
      <c r="B299" s="31"/>
      <c r="C299" s="31"/>
      <c r="D299" s="1629"/>
      <c r="E299" s="32">
        <f t="shared" si="123"/>
        <v>0</v>
      </c>
      <c r="F299" s="33"/>
      <c r="G299" s="34">
        <f t="shared" si="124"/>
        <v>0</v>
      </c>
      <c r="H299" s="35">
        <f t="shared" si="125"/>
        <v>0</v>
      </c>
      <c r="I299" s="36"/>
      <c r="J299" s="36"/>
      <c r="K299" s="36"/>
      <c r="L299" s="36"/>
      <c r="M299" s="36"/>
      <c r="N299" s="36"/>
      <c r="O299" s="36"/>
      <c r="P299" s="36"/>
      <c r="Q299" s="36"/>
      <c r="R299" s="36"/>
      <c r="S299" s="36"/>
      <c r="T299" s="36"/>
      <c r="U299" s="36"/>
      <c r="V299" s="36"/>
      <c r="W299" s="36"/>
      <c r="X299" s="36"/>
      <c r="Y299" s="36"/>
      <c r="Z299" s="36"/>
      <c r="AA299" s="36"/>
      <c r="AB299" s="36"/>
      <c r="AC299" s="32">
        <f t="shared" si="126"/>
        <v>0</v>
      </c>
      <c r="AD299" s="37"/>
      <c r="AE299" s="37"/>
      <c r="AF299" s="37"/>
      <c r="AG299" s="37"/>
      <c r="AH299" s="37"/>
      <c r="AI299" s="37"/>
      <c r="AJ299" s="37"/>
      <c r="AK299" s="37"/>
      <c r="AL299" s="37"/>
      <c r="AM299" s="37"/>
      <c r="AN299" s="37"/>
      <c r="AO299" s="37"/>
      <c r="AP299" s="37"/>
      <c r="AQ299" s="37"/>
      <c r="AR299" s="37"/>
      <c r="AS299" s="37"/>
      <c r="AT299" s="38"/>
      <c r="AU299" s="1630"/>
      <c r="AV299" s="1342">
        <f t="shared" si="127"/>
        <v>0</v>
      </c>
      <c r="AW299" s="1342">
        <f t="shared" si="128"/>
        <v>0</v>
      </c>
      <c r="AX299" s="1342">
        <f t="shared" si="129"/>
        <v>0</v>
      </c>
      <c r="AY299" s="39">
        <f t="shared" si="130"/>
        <v>0</v>
      </c>
      <c r="AZ299" s="32">
        <f t="shared" si="131"/>
        <v>0</v>
      </c>
      <c r="BA299" s="32">
        <f t="shared" si="132"/>
        <v>0</v>
      </c>
      <c r="BB299" s="32">
        <f t="shared" si="133"/>
        <v>0</v>
      </c>
      <c r="BC299" s="32">
        <f t="shared" si="134"/>
        <v>0</v>
      </c>
      <c r="BD299" s="32">
        <f t="shared" si="135"/>
        <v>0</v>
      </c>
      <c r="BE299" s="32">
        <f t="shared" si="136"/>
        <v>0</v>
      </c>
      <c r="BF299" s="32">
        <f t="shared" si="137"/>
        <v>0</v>
      </c>
      <c r="BG299" s="32">
        <f t="shared" si="138"/>
        <v>0</v>
      </c>
      <c r="BH299" s="32">
        <f t="shared" si="139"/>
        <v>0</v>
      </c>
      <c r="BI299" s="32">
        <f t="shared" si="140"/>
        <v>0</v>
      </c>
      <c r="BJ299" s="32">
        <f t="shared" si="141"/>
        <v>0</v>
      </c>
      <c r="BK299" s="32">
        <f t="shared" si="142"/>
        <v>0</v>
      </c>
      <c r="BL299" s="32">
        <f t="shared" si="143"/>
        <v>0</v>
      </c>
      <c r="BM299" s="32">
        <f t="shared" si="144"/>
        <v>0</v>
      </c>
      <c r="BN299" s="32">
        <f t="shared" si="145"/>
        <v>0</v>
      </c>
      <c r="BO299" s="32">
        <f t="shared" si="146"/>
        <v>0</v>
      </c>
      <c r="BP299" s="32">
        <f t="shared" si="147"/>
        <v>0</v>
      </c>
      <c r="BQ299" s="32">
        <f t="shared" si="148"/>
        <v>0</v>
      </c>
      <c r="BR299" s="32">
        <f t="shared" si="149"/>
        <v>0</v>
      </c>
      <c r="BS299" s="32">
        <f t="shared" si="150"/>
        <v>0</v>
      </c>
      <c r="BT299" s="40">
        <f t="shared" si="151"/>
        <v>0</v>
      </c>
    </row>
    <row r="300" spans="1:72">
      <c r="A300" s="6"/>
      <c r="B300" s="6"/>
      <c r="C300" s="6"/>
      <c r="D300" s="1629"/>
      <c r="E300" s="32">
        <f t="shared" si="123"/>
        <v>0</v>
      </c>
      <c r="F300" s="41"/>
      <c r="G300" s="34">
        <f t="shared" ref="G300:G331" si="152">H300+AC300+AT300</f>
        <v>0</v>
      </c>
      <c r="H300" s="35">
        <f t="shared" ref="H300:H331" si="153">SUMIF(I$12:AB$12,"总值",I300:AB300)</f>
        <v>0</v>
      </c>
      <c r="I300" s="7"/>
      <c r="J300" s="7"/>
      <c r="K300" s="36"/>
      <c r="L300" s="36"/>
      <c r="M300" s="36"/>
      <c r="N300" s="36"/>
      <c r="O300" s="36"/>
      <c r="P300" s="36"/>
      <c r="Q300" s="36"/>
      <c r="R300" s="36"/>
      <c r="S300" s="36"/>
      <c r="T300" s="36"/>
      <c r="U300" s="36"/>
      <c r="V300" s="36"/>
      <c r="W300" s="36"/>
      <c r="X300" s="36"/>
      <c r="Y300" s="36"/>
      <c r="Z300" s="36"/>
      <c r="AA300" s="36"/>
      <c r="AB300" s="36"/>
      <c r="AC300" s="32">
        <f t="shared" ref="AC300:AC331" si="154">SUMIF(AD$12:AS$12,"总值",AD300:AS300)</f>
        <v>0</v>
      </c>
      <c r="AD300" s="37"/>
      <c r="AE300" s="37"/>
      <c r="AF300" s="37"/>
      <c r="AG300" s="37"/>
      <c r="AH300" s="37"/>
      <c r="AI300" s="37"/>
      <c r="AJ300" s="37"/>
      <c r="AK300" s="37"/>
      <c r="AL300" s="37"/>
      <c r="AM300" s="37"/>
      <c r="AN300" s="37"/>
      <c r="AO300" s="37"/>
      <c r="AP300" s="37"/>
      <c r="AQ300" s="37"/>
      <c r="AR300" s="37"/>
      <c r="AS300" s="37"/>
      <c r="AT300" s="37"/>
      <c r="AU300" s="1570"/>
      <c r="AV300" s="1342">
        <f t="shared" si="127"/>
        <v>0</v>
      </c>
      <c r="AW300" s="1342">
        <f t="shared" si="128"/>
        <v>0</v>
      </c>
      <c r="AX300" s="1342">
        <f t="shared" si="129"/>
        <v>0</v>
      </c>
      <c r="AY300" s="39">
        <f t="shared" ref="AY300:AY331" si="155">ROUND($AY$6*AZ300/$AZ$5,2)</f>
        <v>0</v>
      </c>
      <c r="AZ300" s="32">
        <f t="shared" ref="AZ300:AZ331" si="156">BA300+BL300</f>
        <v>0</v>
      </c>
      <c r="BA300" s="32">
        <f t="shared" ref="BA300:BA331" si="157">SUM(BB300:BK300)</f>
        <v>0</v>
      </c>
      <c r="BB300" s="32">
        <f t="shared" ref="BB300:BB331" si="158">IF($D300="是",I300-J300,0)</f>
        <v>0</v>
      </c>
      <c r="BC300" s="32">
        <f t="shared" ref="BC300:BC331" si="159">IF($D300="是",K300-L300,0)</f>
        <v>0</v>
      </c>
      <c r="BD300" s="32">
        <f t="shared" ref="BD300:BD331" si="160">IF($D300="是",M300-N300,0)</f>
        <v>0</v>
      </c>
      <c r="BE300" s="32">
        <f t="shared" ref="BE300:BE331" si="161">IF($D300="是",O300-P300,0)</f>
        <v>0</v>
      </c>
      <c r="BF300" s="32">
        <f t="shared" ref="BF300:BF331" si="162">IF($D300="是",Q300-R300,0)</f>
        <v>0</v>
      </c>
      <c r="BG300" s="32">
        <f t="shared" ref="BG300:BG331" si="163">IF($D300="是",S300-T300,0)</f>
        <v>0</v>
      </c>
      <c r="BH300" s="32">
        <f t="shared" ref="BH300:BH331" si="164">IF($D300="是",U300-V300,0)</f>
        <v>0</v>
      </c>
      <c r="BI300" s="32">
        <f t="shared" ref="BI300:BI331" si="165">IF($D300="是",W300-X300,0)</f>
        <v>0</v>
      </c>
      <c r="BJ300" s="32">
        <f t="shared" ref="BJ300:BJ331" si="166">IF($D300="是",Y300-Z300,0)</f>
        <v>0</v>
      </c>
      <c r="BK300" s="32">
        <f t="shared" ref="BK300:BK331" si="167">IF($D300="是",AA300-AB300,0)</f>
        <v>0</v>
      </c>
      <c r="BL300" s="32">
        <f t="shared" ref="BL300:BL331" si="168">SUM(BM300:BT300)</f>
        <v>0</v>
      </c>
      <c r="BM300" s="32">
        <f t="shared" ref="BM300:BM331" si="169">IF($D300="是",AD300-AE300,0)</f>
        <v>0</v>
      </c>
      <c r="BN300" s="32">
        <f t="shared" ref="BN300:BN331" si="170">IF($D300="是",AF300-AG300,0)</f>
        <v>0</v>
      </c>
      <c r="BO300" s="32">
        <f t="shared" ref="BO300:BO331" si="171">IF($D300="是",AH300-AI300,0)</f>
        <v>0</v>
      </c>
      <c r="BP300" s="32">
        <f t="shared" ref="BP300:BP331" si="172">IF($D300="是",AJ300-AK300,0)</f>
        <v>0</v>
      </c>
      <c r="BQ300" s="32">
        <f t="shared" ref="BQ300:BQ331" si="173">IF($D300="是",AL300-AM300,0)</f>
        <v>0</v>
      </c>
      <c r="BR300" s="32">
        <f t="shared" ref="BR300:BR331" si="174">IF($D300="是",AN300-AO300,0)</f>
        <v>0</v>
      </c>
      <c r="BS300" s="32">
        <f t="shared" ref="BS300:BS331" si="175">IF($D300="是",AP300-AQ300,0)</f>
        <v>0</v>
      </c>
      <c r="BT300" s="40">
        <f t="shared" ref="BT300:BT331" si="176">IF($D300="是",AR300-AS300,0)</f>
        <v>0</v>
      </c>
    </row>
    <row r="301" spans="1:72">
      <c r="A301" s="6"/>
      <c r="B301" s="6"/>
      <c r="C301" s="6"/>
      <c r="D301" s="1629"/>
      <c r="E301" s="32">
        <f t="shared" si="123"/>
        <v>0</v>
      </c>
      <c r="F301" s="41"/>
      <c r="G301" s="34">
        <f t="shared" si="152"/>
        <v>0</v>
      </c>
      <c r="H301" s="35">
        <f t="shared" si="153"/>
        <v>0</v>
      </c>
      <c r="I301" s="36"/>
      <c r="J301" s="36"/>
      <c r="K301" s="36"/>
      <c r="L301" s="36"/>
      <c r="M301" s="36"/>
      <c r="N301" s="36"/>
      <c r="O301" s="36"/>
      <c r="P301" s="36"/>
      <c r="Q301" s="36"/>
      <c r="R301" s="36"/>
      <c r="S301" s="36"/>
      <c r="T301" s="36"/>
      <c r="U301" s="36"/>
      <c r="V301" s="36"/>
      <c r="W301" s="36"/>
      <c r="X301" s="36"/>
      <c r="Y301" s="36"/>
      <c r="Z301" s="36"/>
      <c r="AA301" s="36"/>
      <c r="AB301" s="36"/>
      <c r="AC301" s="32">
        <f t="shared" si="154"/>
        <v>0</v>
      </c>
      <c r="AD301" s="37"/>
      <c r="AE301" s="37"/>
      <c r="AF301" s="37"/>
      <c r="AG301" s="37"/>
      <c r="AH301" s="37"/>
      <c r="AI301" s="37"/>
      <c r="AJ301" s="37"/>
      <c r="AK301" s="37"/>
      <c r="AL301" s="37"/>
      <c r="AM301" s="37"/>
      <c r="AN301" s="37"/>
      <c r="AO301" s="37"/>
      <c r="AP301" s="37"/>
      <c r="AQ301" s="37"/>
      <c r="AR301" s="37"/>
      <c r="AS301" s="37"/>
      <c r="AT301" s="37"/>
      <c r="AU301" s="1570"/>
      <c r="AV301" s="1342">
        <f t="shared" si="127"/>
        <v>0</v>
      </c>
      <c r="AW301" s="1342">
        <f t="shared" si="128"/>
        <v>0</v>
      </c>
      <c r="AX301" s="1342">
        <f t="shared" si="129"/>
        <v>0</v>
      </c>
      <c r="AY301" s="39">
        <f t="shared" si="155"/>
        <v>0</v>
      </c>
      <c r="AZ301" s="32">
        <f t="shared" si="156"/>
        <v>0</v>
      </c>
      <c r="BA301" s="32">
        <f t="shared" si="157"/>
        <v>0</v>
      </c>
      <c r="BB301" s="32">
        <f t="shared" si="158"/>
        <v>0</v>
      </c>
      <c r="BC301" s="32">
        <f t="shared" si="159"/>
        <v>0</v>
      </c>
      <c r="BD301" s="32">
        <f t="shared" si="160"/>
        <v>0</v>
      </c>
      <c r="BE301" s="32">
        <f t="shared" si="161"/>
        <v>0</v>
      </c>
      <c r="BF301" s="32">
        <f t="shared" si="162"/>
        <v>0</v>
      </c>
      <c r="BG301" s="32">
        <f t="shared" si="163"/>
        <v>0</v>
      </c>
      <c r="BH301" s="32">
        <f t="shared" si="164"/>
        <v>0</v>
      </c>
      <c r="BI301" s="32">
        <f t="shared" si="165"/>
        <v>0</v>
      </c>
      <c r="BJ301" s="32">
        <f t="shared" si="166"/>
        <v>0</v>
      </c>
      <c r="BK301" s="32">
        <f t="shared" si="167"/>
        <v>0</v>
      </c>
      <c r="BL301" s="32">
        <f t="shared" si="168"/>
        <v>0</v>
      </c>
      <c r="BM301" s="32">
        <f t="shared" si="169"/>
        <v>0</v>
      </c>
      <c r="BN301" s="32">
        <f t="shared" si="170"/>
        <v>0</v>
      </c>
      <c r="BO301" s="32">
        <f t="shared" si="171"/>
        <v>0</v>
      </c>
      <c r="BP301" s="32">
        <f t="shared" si="172"/>
        <v>0</v>
      </c>
      <c r="BQ301" s="32">
        <f t="shared" si="173"/>
        <v>0</v>
      </c>
      <c r="BR301" s="32">
        <f t="shared" si="174"/>
        <v>0</v>
      </c>
      <c r="BS301" s="32">
        <f t="shared" si="175"/>
        <v>0</v>
      </c>
      <c r="BT301" s="40">
        <f t="shared" si="176"/>
        <v>0</v>
      </c>
    </row>
    <row r="302" spans="1:72">
      <c r="A302" s="6"/>
      <c r="B302" s="6"/>
      <c r="C302" s="6"/>
      <c r="D302" s="1629"/>
      <c r="E302" s="32">
        <f t="shared" si="123"/>
        <v>0</v>
      </c>
      <c r="F302" s="41"/>
      <c r="G302" s="34">
        <f t="shared" si="152"/>
        <v>0</v>
      </c>
      <c r="H302" s="35">
        <f t="shared" si="153"/>
        <v>0</v>
      </c>
      <c r="I302" s="36"/>
      <c r="J302" s="36"/>
      <c r="K302" s="36"/>
      <c r="L302" s="36"/>
      <c r="M302" s="36"/>
      <c r="N302" s="36"/>
      <c r="O302" s="36"/>
      <c r="P302" s="36"/>
      <c r="Q302" s="36"/>
      <c r="R302" s="36"/>
      <c r="S302" s="36"/>
      <c r="T302" s="36"/>
      <c r="U302" s="36"/>
      <c r="V302" s="36"/>
      <c r="W302" s="36"/>
      <c r="X302" s="36"/>
      <c r="Y302" s="36"/>
      <c r="Z302" s="36"/>
      <c r="AA302" s="36"/>
      <c r="AB302" s="36"/>
      <c r="AC302" s="32">
        <f t="shared" si="154"/>
        <v>0</v>
      </c>
      <c r="AD302" s="37"/>
      <c r="AE302" s="37"/>
      <c r="AF302" s="37"/>
      <c r="AG302" s="37"/>
      <c r="AH302" s="37"/>
      <c r="AI302" s="37"/>
      <c r="AJ302" s="37"/>
      <c r="AK302" s="37"/>
      <c r="AL302" s="37"/>
      <c r="AM302" s="37"/>
      <c r="AN302" s="37"/>
      <c r="AO302" s="37"/>
      <c r="AP302" s="37"/>
      <c r="AQ302" s="37"/>
      <c r="AR302" s="37"/>
      <c r="AS302" s="37"/>
      <c r="AT302" s="37"/>
      <c r="AU302" s="1570"/>
      <c r="AV302" s="1342">
        <f t="shared" si="127"/>
        <v>0</v>
      </c>
      <c r="AW302" s="1342">
        <f t="shared" si="128"/>
        <v>0</v>
      </c>
      <c r="AX302" s="1342">
        <f t="shared" si="129"/>
        <v>0</v>
      </c>
      <c r="AY302" s="39">
        <f t="shared" si="155"/>
        <v>0</v>
      </c>
      <c r="AZ302" s="32">
        <f t="shared" si="156"/>
        <v>0</v>
      </c>
      <c r="BA302" s="32">
        <f t="shared" si="157"/>
        <v>0</v>
      </c>
      <c r="BB302" s="32">
        <f t="shared" si="158"/>
        <v>0</v>
      </c>
      <c r="BC302" s="32">
        <f t="shared" si="159"/>
        <v>0</v>
      </c>
      <c r="BD302" s="32">
        <f t="shared" si="160"/>
        <v>0</v>
      </c>
      <c r="BE302" s="32">
        <f t="shared" si="161"/>
        <v>0</v>
      </c>
      <c r="BF302" s="32">
        <f t="shared" si="162"/>
        <v>0</v>
      </c>
      <c r="BG302" s="32">
        <f t="shared" si="163"/>
        <v>0</v>
      </c>
      <c r="BH302" s="32">
        <f t="shared" si="164"/>
        <v>0</v>
      </c>
      <c r="BI302" s="32">
        <f t="shared" si="165"/>
        <v>0</v>
      </c>
      <c r="BJ302" s="32">
        <f t="shared" si="166"/>
        <v>0</v>
      </c>
      <c r="BK302" s="32">
        <f t="shared" si="167"/>
        <v>0</v>
      </c>
      <c r="BL302" s="32">
        <f t="shared" si="168"/>
        <v>0</v>
      </c>
      <c r="BM302" s="32">
        <f t="shared" si="169"/>
        <v>0</v>
      </c>
      <c r="BN302" s="32">
        <f t="shared" si="170"/>
        <v>0</v>
      </c>
      <c r="BO302" s="32">
        <f t="shared" si="171"/>
        <v>0</v>
      </c>
      <c r="BP302" s="32">
        <f t="shared" si="172"/>
        <v>0</v>
      </c>
      <c r="BQ302" s="32">
        <f t="shared" si="173"/>
        <v>0</v>
      </c>
      <c r="BR302" s="32">
        <f t="shared" si="174"/>
        <v>0</v>
      </c>
      <c r="BS302" s="32">
        <f t="shared" si="175"/>
        <v>0</v>
      </c>
      <c r="BT302" s="40">
        <f t="shared" si="176"/>
        <v>0</v>
      </c>
    </row>
    <row r="303" spans="1:72">
      <c r="A303" s="6"/>
      <c r="B303" s="31"/>
      <c r="C303" s="31"/>
      <c r="D303" s="1629"/>
      <c r="E303" s="32">
        <f t="shared" ref="E303:E334" si="177">IF($C$3="是",ROUND($A$3*G303/$B$3,2),ROUND($A$3*(G303-AT303)/$B$3,2))</f>
        <v>0</v>
      </c>
      <c r="F303" s="33"/>
      <c r="G303" s="34">
        <f t="shared" si="152"/>
        <v>0</v>
      </c>
      <c r="H303" s="35">
        <f t="shared" si="153"/>
        <v>0</v>
      </c>
      <c r="I303" s="36"/>
      <c r="J303" s="36"/>
      <c r="K303" s="36"/>
      <c r="L303" s="36"/>
      <c r="M303" s="36"/>
      <c r="N303" s="36"/>
      <c r="O303" s="36"/>
      <c r="P303" s="36"/>
      <c r="Q303" s="36"/>
      <c r="R303" s="36"/>
      <c r="S303" s="36"/>
      <c r="T303" s="36"/>
      <c r="U303" s="36"/>
      <c r="V303" s="36"/>
      <c r="W303" s="36"/>
      <c r="X303" s="36"/>
      <c r="Y303" s="36"/>
      <c r="Z303" s="36"/>
      <c r="AA303" s="36"/>
      <c r="AB303" s="36"/>
      <c r="AC303" s="32">
        <f t="shared" si="154"/>
        <v>0</v>
      </c>
      <c r="AD303" s="37"/>
      <c r="AE303" s="37"/>
      <c r="AF303" s="37"/>
      <c r="AG303" s="37"/>
      <c r="AH303" s="37"/>
      <c r="AI303" s="37"/>
      <c r="AJ303" s="37"/>
      <c r="AK303" s="37"/>
      <c r="AL303" s="37"/>
      <c r="AM303" s="37"/>
      <c r="AN303" s="37"/>
      <c r="AO303" s="37"/>
      <c r="AP303" s="37"/>
      <c r="AQ303" s="37"/>
      <c r="AR303" s="37"/>
      <c r="AS303" s="37"/>
      <c r="AT303" s="38"/>
      <c r="AU303" s="1630"/>
      <c r="AV303" s="1342">
        <f t="shared" ref="AV303:AV334" si="178">A303</f>
        <v>0</v>
      </c>
      <c r="AW303" s="1342">
        <f t="shared" ref="AW303:AW334" si="179">B303</f>
        <v>0</v>
      </c>
      <c r="AX303" s="1342">
        <f t="shared" ref="AX303:AX334" si="180">C303</f>
        <v>0</v>
      </c>
      <c r="AY303" s="39">
        <f t="shared" si="155"/>
        <v>0</v>
      </c>
      <c r="AZ303" s="32">
        <f t="shared" si="156"/>
        <v>0</v>
      </c>
      <c r="BA303" s="32">
        <f t="shared" si="157"/>
        <v>0</v>
      </c>
      <c r="BB303" s="32">
        <f t="shared" si="158"/>
        <v>0</v>
      </c>
      <c r="BC303" s="32">
        <f t="shared" si="159"/>
        <v>0</v>
      </c>
      <c r="BD303" s="32">
        <f t="shared" si="160"/>
        <v>0</v>
      </c>
      <c r="BE303" s="32">
        <f t="shared" si="161"/>
        <v>0</v>
      </c>
      <c r="BF303" s="32">
        <f t="shared" si="162"/>
        <v>0</v>
      </c>
      <c r="BG303" s="32">
        <f t="shared" si="163"/>
        <v>0</v>
      </c>
      <c r="BH303" s="32">
        <f t="shared" si="164"/>
        <v>0</v>
      </c>
      <c r="BI303" s="32">
        <f t="shared" si="165"/>
        <v>0</v>
      </c>
      <c r="BJ303" s="32">
        <f t="shared" si="166"/>
        <v>0</v>
      </c>
      <c r="BK303" s="32">
        <f t="shared" si="167"/>
        <v>0</v>
      </c>
      <c r="BL303" s="32">
        <f t="shared" si="168"/>
        <v>0</v>
      </c>
      <c r="BM303" s="32">
        <f t="shared" si="169"/>
        <v>0</v>
      </c>
      <c r="BN303" s="32">
        <f t="shared" si="170"/>
        <v>0</v>
      </c>
      <c r="BO303" s="32">
        <f t="shared" si="171"/>
        <v>0</v>
      </c>
      <c r="BP303" s="32">
        <f t="shared" si="172"/>
        <v>0</v>
      </c>
      <c r="BQ303" s="32">
        <f t="shared" si="173"/>
        <v>0</v>
      </c>
      <c r="BR303" s="32">
        <f t="shared" si="174"/>
        <v>0</v>
      </c>
      <c r="BS303" s="32">
        <f t="shared" si="175"/>
        <v>0</v>
      </c>
      <c r="BT303" s="40">
        <f t="shared" si="176"/>
        <v>0</v>
      </c>
    </row>
    <row r="304" spans="1:72">
      <c r="A304" s="6"/>
      <c r="B304" s="31"/>
      <c r="C304" s="31"/>
      <c r="D304" s="1629"/>
      <c r="E304" s="32">
        <f t="shared" si="177"/>
        <v>0</v>
      </c>
      <c r="F304" s="33"/>
      <c r="G304" s="34">
        <f t="shared" si="152"/>
        <v>0</v>
      </c>
      <c r="H304" s="35">
        <f t="shared" si="153"/>
        <v>0</v>
      </c>
      <c r="I304" s="36"/>
      <c r="J304" s="36"/>
      <c r="K304" s="36"/>
      <c r="L304" s="36"/>
      <c r="M304" s="36"/>
      <c r="N304" s="36"/>
      <c r="O304" s="36"/>
      <c r="P304" s="36"/>
      <c r="Q304" s="36"/>
      <c r="R304" s="36"/>
      <c r="S304" s="36"/>
      <c r="T304" s="36"/>
      <c r="U304" s="36"/>
      <c r="V304" s="36"/>
      <c r="W304" s="36"/>
      <c r="X304" s="36"/>
      <c r="Y304" s="36"/>
      <c r="Z304" s="36"/>
      <c r="AA304" s="36"/>
      <c r="AB304" s="36"/>
      <c r="AC304" s="32">
        <f t="shared" si="154"/>
        <v>0</v>
      </c>
      <c r="AD304" s="37"/>
      <c r="AE304" s="37"/>
      <c r="AF304" s="37"/>
      <c r="AG304" s="37"/>
      <c r="AH304" s="37"/>
      <c r="AI304" s="37"/>
      <c r="AJ304" s="37"/>
      <c r="AK304" s="37"/>
      <c r="AL304" s="37"/>
      <c r="AM304" s="37"/>
      <c r="AN304" s="37"/>
      <c r="AO304" s="37"/>
      <c r="AP304" s="37"/>
      <c r="AQ304" s="37"/>
      <c r="AR304" s="37"/>
      <c r="AS304" s="37"/>
      <c r="AT304" s="38"/>
      <c r="AU304" s="1630"/>
      <c r="AV304" s="1342">
        <f t="shared" si="178"/>
        <v>0</v>
      </c>
      <c r="AW304" s="1342">
        <f t="shared" si="179"/>
        <v>0</v>
      </c>
      <c r="AX304" s="1342">
        <f t="shared" si="180"/>
        <v>0</v>
      </c>
      <c r="AY304" s="39">
        <f t="shared" si="155"/>
        <v>0</v>
      </c>
      <c r="AZ304" s="32">
        <f t="shared" si="156"/>
        <v>0</v>
      </c>
      <c r="BA304" s="32">
        <f t="shared" si="157"/>
        <v>0</v>
      </c>
      <c r="BB304" s="32">
        <f t="shared" si="158"/>
        <v>0</v>
      </c>
      <c r="BC304" s="32">
        <f t="shared" si="159"/>
        <v>0</v>
      </c>
      <c r="BD304" s="32">
        <f t="shared" si="160"/>
        <v>0</v>
      </c>
      <c r="BE304" s="32">
        <f t="shared" si="161"/>
        <v>0</v>
      </c>
      <c r="BF304" s="32">
        <f t="shared" si="162"/>
        <v>0</v>
      </c>
      <c r="BG304" s="32">
        <f t="shared" si="163"/>
        <v>0</v>
      </c>
      <c r="BH304" s="32">
        <f t="shared" si="164"/>
        <v>0</v>
      </c>
      <c r="BI304" s="32">
        <f t="shared" si="165"/>
        <v>0</v>
      </c>
      <c r="BJ304" s="32">
        <f t="shared" si="166"/>
        <v>0</v>
      </c>
      <c r="BK304" s="32">
        <f t="shared" si="167"/>
        <v>0</v>
      </c>
      <c r="BL304" s="32">
        <f t="shared" si="168"/>
        <v>0</v>
      </c>
      <c r="BM304" s="32">
        <f t="shared" si="169"/>
        <v>0</v>
      </c>
      <c r="BN304" s="32">
        <f t="shared" si="170"/>
        <v>0</v>
      </c>
      <c r="BO304" s="32">
        <f t="shared" si="171"/>
        <v>0</v>
      </c>
      <c r="BP304" s="32">
        <f t="shared" si="172"/>
        <v>0</v>
      </c>
      <c r="BQ304" s="32">
        <f t="shared" si="173"/>
        <v>0</v>
      </c>
      <c r="BR304" s="32">
        <f t="shared" si="174"/>
        <v>0</v>
      </c>
      <c r="BS304" s="32">
        <f t="shared" si="175"/>
        <v>0</v>
      </c>
      <c r="BT304" s="40">
        <f t="shared" si="176"/>
        <v>0</v>
      </c>
    </row>
    <row r="305" spans="1:72">
      <c r="A305" s="6"/>
      <c r="B305" s="31"/>
      <c r="C305" s="31"/>
      <c r="D305" s="1629"/>
      <c r="E305" s="32">
        <f t="shared" si="177"/>
        <v>0</v>
      </c>
      <c r="F305" s="33"/>
      <c r="G305" s="34">
        <f t="shared" si="152"/>
        <v>0</v>
      </c>
      <c r="H305" s="35">
        <f t="shared" si="153"/>
        <v>0</v>
      </c>
      <c r="I305" s="36"/>
      <c r="J305" s="36"/>
      <c r="K305" s="36"/>
      <c r="L305" s="36"/>
      <c r="M305" s="36"/>
      <c r="N305" s="36"/>
      <c r="O305" s="36"/>
      <c r="P305" s="36"/>
      <c r="Q305" s="36"/>
      <c r="R305" s="36"/>
      <c r="S305" s="36"/>
      <c r="T305" s="36"/>
      <c r="U305" s="36"/>
      <c r="V305" s="36"/>
      <c r="W305" s="36"/>
      <c r="X305" s="36"/>
      <c r="Y305" s="36"/>
      <c r="Z305" s="36"/>
      <c r="AA305" s="36"/>
      <c r="AB305" s="36"/>
      <c r="AC305" s="32">
        <f t="shared" si="154"/>
        <v>0</v>
      </c>
      <c r="AD305" s="37"/>
      <c r="AE305" s="37"/>
      <c r="AF305" s="37"/>
      <c r="AG305" s="37"/>
      <c r="AH305" s="37"/>
      <c r="AI305" s="37"/>
      <c r="AJ305" s="37"/>
      <c r="AK305" s="37"/>
      <c r="AL305" s="37"/>
      <c r="AM305" s="37"/>
      <c r="AN305" s="37"/>
      <c r="AO305" s="37"/>
      <c r="AP305" s="37"/>
      <c r="AQ305" s="37"/>
      <c r="AR305" s="37"/>
      <c r="AS305" s="37"/>
      <c r="AT305" s="38"/>
      <c r="AU305" s="1630"/>
      <c r="AV305" s="1342">
        <f t="shared" si="178"/>
        <v>0</v>
      </c>
      <c r="AW305" s="1342">
        <f t="shared" si="179"/>
        <v>0</v>
      </c>
      <c r="AX305" s="1342">
        <f t="shared" si="180"/>
        <v>0</v>
      </c>
      <c r="AY305" s="39">
        <f t="shared" si="155"/>
        <v>0</v>
      </c>
      <c r="AZ305" s="32">
        <f t="shared" si="156"/>
        <v>0</v>
      </c>
      <c r="BA305" s="32">
        <f t="shared" si="157"/>
        <v>0</v>
      </c>
      <c r="BB305" s="32">
        <f t="shared" si="158"/>
        <v>0</v>
      </c>
      <c r="BC305" s="32">
        <f t="shared" si="159"/>
        <v>0</v>
      </c>
      <c r="BD305" s="32">
        <f t="shared" si="160"/>
        <v>0</v>
      </c>
      <c r="BE305" s="32">
        <f t="shared" si="161"/>
        <v>0</v>
      </c>
      <c r="BF305" s="32">
        <f t="shared" si="162"/>
        <v>0</v>
      </c>
      <c r="BG305" s="32">
        <f t="shared" si="163"/>
        <v>0</v>
      </c>
      <c r="BH305" s="32">
        <f t="shared" si="164"/>
        <v>0</v>
      </c>
      <c r="BI305" s="32">
        <f t="shared" si="165"/>
        <v>0</v>
      </c>
      <c r="BJ305" s="32">
        <f t="shared" si="166"/>
        <v>0</v>
      </c>
      <c r="BK305" s="32">
        <f t="shared" si="167"/>
        <v>0</v>
      </c>
      <c r="BL305" s="32">
        <f t="shared" si="168"/>
        <v>0</v>
      </c>
      <c r="BM305" s="32">
        <f t="shared" si="169"/>
        <v>0</v>
      </c>
      <c r="BN305" s="32">
        <f t="shared" si="170"/>
        <v>0</v>
      </c>
      <c r="BO305" s="32">
        <f t="shared" si="171"/>
        <v>0</v>
      </c>
      <c r="BP305" s="32">
        <f t="shared" si="172"/>
        <v>0</v>
      </c>
      <c r="BQ305" s="32">
        <f t="shared" si="173"/>
        <v>0</v>
      </c>
      <c r="BR305" s="32">
        <f t="shared" si="174"/>
        <v>0</v>
      </c>
      <c r="BS305" s="32">
        <f t="shared" si="175"/>
        <v>0</v>
      </c>
      <c r="BT305" s="40">
        <f t="shared" si="176"/>
        <v>0</v>
      </c>
    </row>
    <row r="306" spans="1:72">
      <c r="A306" s="6"/>
      <c r="B306" s="31"/>
      <c r="C306" s="31"/>
      <c r="D306" s="1629"/>
      <c r="E306" s="32">
        <f t="shared" si="177"/>
        <v>0</v>
      </c>
      <c r="F306" s="33"/>
      <c r="G306" s="34">
        <f t="shared" si="152"/>
        <v>0</v>
      </c>
      <c r="H306" s="35">
        <f t="shared" si="153"/>
        <v>0</v>
      </c>
      <c r="I306" s="36"/>
      <c r="J306" s="36"/>
      <c r="K306" s="36"/>
      <c r="L306" s="36"/>
      <c r="M306" s="36"/>
      <c r="N306" s="36"/>
      <c r="O306" s="36"/>
      <c r="P306" s="36"/>
      <c r="Q306" s="36"/>
      <c r="R306" s="36"/>
      <c r="S306" s="36"/>
      <c r="T306" s="36"/>
      <c r="U306" s="36"/>
      <c r="V306" s="36"/>
      <c r="W306" s="36"/>
      <c r="X306" s="36"/>
      <c r="Y306" s="36"/>
      <c r="Z306" s="36"/>
      <c r="AA306" s="36"/>
      <c r="AB306" s="36"/>
      <c r="AC306" s="32">
        <f t="shared" si="154"/>
        <v>0</v>
      </c>
      <c r="AD306" s="37"/>
      <c r="AE306" s="37"/>
      <c r="AF306" s="37"/>
      <c r="AG306" s="37"/>
      <c r="AH306" s="37"/>
      <c r="AI306" s="37"/>
      <c r="AJ306" s="37"/>
      <c r="AK306" s="37"/>
      <c r="AL306" s="37"/>
      <c r="AM306" s="37"/>
      <c r="AN306" s="37"/>
      <c r="AO306" s="37"/>
      <c r="AP306" s="37"/>
      <c r="AQ306" s="37"/>
      <c r="AR306" s="37"/>
      <c r="AS306" s="37"/>
      <c r="AT306" s="38"/>
      <c r="AU306" s="1630"/>
      <c r="AV306" s="1342">
        <f t="shared" si="178"/>
        <v>0</v>
      </c>
      <c r="AW306" s="1342">
        <f t="shared" si="179"/>
        <v>0</v>
      </c>
      <c r="AX306" s="1342">
        <f t="shared" si="180"/>
        <v>0</v>
      </c>
      <c r="AY306" s="39">
        <f t="shared" si="155"/>
        <v>0</v>
      </c>
      <c r="AZ306" s="32">
        <f t="shared" si="156"/>
        <v>0</v>
      </c>
      <c r="BA306" s="32">
        <f t="shared" si="157"/>
        <v>0</v>
      </c>
      <c r="BB306" s="32">
        <f t="shared" si="158"/>
        <v>0</v>
      </c>
      <c r="BC306" s="32">
        <f t="shared" si="159"/>
        <v>0</v>
      </c>
      <c r="BD306" s="32">
        <f t="shared" si="160"/>
        <v>0</v>
      </c>
      <c r="BE306" s="32">
        <f t="shared" si="161"/>
        <v>0</v>
      </c>
      <c r="BF306" s="32">
        <f t="shared" si="162"/>
        <v>0</v>
      </c>
      <c r="BG306" s="32">
        <f t="shared" si="163"/>
        <v>0</v>
      </c>
      <c r="BH306" s="32">
        <f t="shared" si="164"/>
        <v>0</v>
      </c>
      <c r="BI306" s="32">
        <f t="shared" si="165"/>
        <v>0</v>
      </c>
      <c r="BJ306" s="32">
        <f t="shared" si="166"/>
        <v>0</v>
      </c>
      <c r="BK306" s="32">
        <f t="shared" si="167"/>
        <v>0</v>
      </c>
      <c r="BL306" s="32">
        <f t="shared" si="168"/>
        <v>0</v>
      </c>
      <c r="BM306" s="32">
        <f t="shared" si="169"/>
        <v>0</v>
      </c>
      <c r="BN306" s="32">
        <f t="shared" si="170"/>
        <v>0</v>
      </c>
      <c r="BO306" s="32">
        <f t="shared" si="171"/>
        <v>0</v>
      </c>
      <c r="BP306" s="32">
        <f t="shared" si="172"/>
        <v>0</v>
      </c>
      <c r="BQ306" s="32">
        <f t="shared" si="173"/>
        <v>0</v>
      </c>
      <c r="BR306" s="32">
        <f t="shared" si="174"/>
        <v>0</v>
      </c>
      <c r="BS306" s="32">
        <f t="shared" si="175"/>
        <v>0</v>
      </c>
      <c r="BT306" s="40">
        <f t="shared" si="176"/>
        <v>0</v>
      </c>
    </row>
    <row r="307" spans="1:72">
      <c r="A307" s="6"/>
      <c r="B307" s="31"/>
      <c r="C307" s="31"/>
      <c r="D307" s="1629"/>
      <c r="E307" s="32">
        <f t="shared" si="177"/>
        <v>0</v>
      </c>
      <c r="F307" s="33"/>
      <c r="G307" s="34">
        <f t="shared" si="152"/>
        <v>0</v>
      </c>
      <c r="H307" s="35">
        <f t="shared" si="153"/>
        <v>0</v>
      </c>
      <c r="I307" s="36"/>
      <c r="J307" s="36"/>
      <c r="K307" s="36"/>
      <c r="L307" s="36"/>
      <c r="M307" s="36"/>
      <c r="N307" s="36"/>
      <c r="O307" s="36"/>
      <c r="P307" s="36"/>
      <c r="Q307" s="36"/>
      <c r="R307" s="36"/>
      <c r="S307" s="36"/>
      <c r="T307" s="36"/>
      <c r="U307" s="36"/>
      <c r="V307" s="36"/>
      <c r="W307" s="36"/>
      <c r="X307" s="36"/>
      <c r="Y307" s="36"/>
      <c r="Z307" s="36"/>
      <c r="AA307" s="36"/>
      <c r="AB307" s="36"/>
      <c r="AC307" s="32">
        <f t="shared" si="154"/>
        <v>0</v>
      </c>
      <c r="AD307" s="37"/>
      <c r="AE307" s="37"/>
      <c r="AF307" s="37"/>
      <c r="AG307" s="37"/>
      <c r="AH307" s="37"/>
      <c r="AI307" s="37"/>
      <c r="AJ307" s="37"/>
      <c r="AK307" s="37"/>
      <c r="AL307" s="37"/>
      <c r="AM307" s="37"/>
      <c r="AN307" s="37"/>
      <c r="AO307" s="37"/>
      <c r="AP307" s="37"/>
      <c r="AQ307" s="37"/>
      <c r="AR307" s="37"/>
      <c r="AS307" s="37"/>
      <c r="AT307" s="38"/>
      <c r="AU307" s="1630"/>
      <c r="AV307" s="1342">
        <f t="shared" si="178"/>
        <v>0</v>
      </c>
      <c r="AW307" s="1342">
        <f t="shared" si="179"/>
        <v>0</v>
      </c>
      <c r="AX307" s="1342">
        <f t="shared" si="180"/>
        <v>0</v>
      </c>
      <c r="AY307" s="39">
        <f t="shared" si="155"/>
        <v>0</v>
      </c>
      <c r="AZ307" s="32">
        <f t="shared" si="156"/>
        <v>0</v>
      </c>
      <c r="BA307" s="32">
        <f t="shared" si="157"/>
        <v>0</v>
      </c>
      <c r="BB307" s="32">
        <f t="shared" si="158"/>
        <v>0</v>
      </c>
      <c r="BC307" s="32">
        <f t="shared" si="159"/>
        <v>0</v>
      </c>
      <c r="BD307" s="32">
        <f t="shared" si="160"/>
        <v>0</v>
      </c>
      <c r="BE307" s="32">
        <f t="shared" si="161"/>
        <v>0</v>
      </c>
      <c r="BF307" s="32">
        <f t="shared" si="162"/>
        <v>0</v>
      </c>
      <c r="BG307" s="32">
        <f t="shared" si="163"/>
        <v>0</v>
      </c>
      <c r="BH307" s="32">
        <f t="shared" si="164"/>
        <v>0</v>
      </c>
      <c r="BI307" s="32">
        <f t="shared" si="165"/>
        <v>0</v>
      </c>
      <c r="BJ307" s="32">
        <f t="shared" si="166"/>
        <v>0</v>
      </c>
      <c r="BK307" s="32">
        <f t="shared" si="167"/>
        <v>0</v>
      </c>
      <c r="BL307" s="32">
        <f t="shared" si="168"/>
        <v>0</v>
      </c>
      <c r="BM307" s="32">
        <f t="shared" si="169"/>
        <v>0</v>
      </c>
      <c r="BN307" s="32">
        <f t="shared" si="170"/>
        <v>0</v>
      </c>
      <c r="BO307" s="32">
        <f t="shared" si="171"/>
        <v>0</v>
      </c>
      <c r="BP307" s="32">
        <f t="shared" si="172"/>
        <v>0</v>
      </c>
      <c r="BQ307" s="32">
        <f t="shared" si="173"/>
        <v>0</v>
      </c>
      <c r="BR307" s="32">
        <f t="shared" si="174"/>
        <v>0</v>
      </c>
      <c r="BS307" s="32">
        <f t="shared" si="175"/>
        <v>0</v>
      </c>
      <c r="BT307" s="40">
        <f t="shared" si="176"/>
        <v>0</v>
      </c>
    </row>
    <row r="308" spans="1:72">
      <c r="A308" s="6"/>
      <c r="B308" s="31"/>
      <c r="C308" s="31"/>
      <c r="D308" s="1629"/>
      <c r="E308" s="32">
        <f t="shared" si="177"/>
        <v>0</v>
      </c>
      <c r="F308" s="33"/>
      <c r="G308" s="34">
        <f t="shared" si="152"/>
        <v>0</v>
      </c>
      <c r="H308" s="35">
        <f t="shared" si="153"/>
        <v>0</v>
      </c>
      <c r="I308" s="36"/>
      <c r="J308" s="36"/>
      <c r="K308" s="36"/>
      <c r="L308" s="36"/>
      <c r="M308" s="36"/>
      <c r="N308" s="36"/>
      <c r="O308" s="36"/>
      <c r="P308" s="36"/>
      <c r="Q308" s="36"/>
      <c r="R308" s="36"/>
      <c r="S308" s="36"/>
      <c r="T308" s="36"/>
      <c r="U308" s="36"/>
      <c r="V308" s="36"/>
      <c r="W308" s="36"/>
      <c r="X308" s="36"/>
      <c r="Y308" s="36"/>
      <c r="Z308" s="36"/>
      <c r="AA308" s="36"/>
      <c r="AB308" s="36"/>
      <c r="AC308" s="32">
        <f t="shared" si="154"/>
        <v>0</v>
      </c>
      <c r="AD308" s="37"/>
      <c r="AE308" s="37"/>
      <c r="AF308" s="37"/>
      <c r="AG308" s="37"/>
      <c r="AH308" s="37"/>
      <c r="AI308" s="37"/>
      <c r="AJ308" s="37"/>
      <c r="AK308" s="37"/>
      <c r="AL308" s="37"/>
      <c r="AM308" s="37"/>
      <c r="AN308" s="37"/>
      <c r="AO308" s="37"/>
      <c r="AP308" s="37"/>
      <c r="AQ308" s="37"/>
      <c r="AR308" s="37"/>
      <c r="AS308" s="37"/>
      <c r="AT308" s="38"/>
      <c r="AU308" s="1630"/>
      <c r="AV308" s="1342">
        <f t="shared" si="178"/>
        <v>0</v>
      </c>
      <c r="AW308" s="1342">
        <f t="shared" si="179"/>
        <v>0</v>
      </c>
      <c r="AX308" s="1342">
        <f t="shared" si="180"/>
        <v>0</v>
      </c>
      <c r="AY308" s="39">
        <f t="shared" si="155"/>
        <v>0</v>
      </c>
      <c r="AZ308" s="32">
        <f t="shared" si="156"/>
        <v>0</v>
      </c>
      <c r="BA308" s="32">
        <f t="shared" si="157"/>
        <v>0</v>
      </c>
      <c r="BB308" s="32">
        <f t="shared" si="158"/>
        <v>0</v>
      </c>
      <c r="BC308" s="32">
        <f t="shared" si="159"/>
        <v>0</v>
      </c>
      <c r="BD308" s="32">
        <f t="shared" si="160"/>
        <v>0</v>
      </c>
      <c r="BE308" s="32">
        <f t="shared" si="161"/>
        <v>0</v>
      </c>
      <c r="BF308" s="32">
        <f t="shared" si="162"/>
        <v>0</v>
      </c>
      <c r="BG308" s="32">
        <f t="shared" si="163"/>
        <v>0</v>
      </c>
      <c r="BH308" s="32">
        <f t="shared" si="164"/>
        <v>0</v>
      </c>
      <c r="BI308" s="32">
        <f t="shared" si="165"/>
        <v>0</v>
      </c>
      <c r="BJ308" s="32">
        <f t="shared" si="166"/>
        <v>0</v>
      </c>
      <c r="BK308" s="32">
        <f t="shared" si="167"/>
        <v>0</v>
      </c>
      <c r="BL308" s="32">
        <f t="shared" si="168"/>
        <v>0</v>
      </c>
      <c r="BM308" s="32">
        <f t="shared" si="169"/>
        <v>0</v>
      </c>
      <c r="BN308" s="32">
        <f t="shared" si="170"/>
        <v>0</v>
      </c>
      <c r="BO308" s="32">
        <f t="shared" si="171"/>
        <v>0</v>
      </c>
      <c r="BP308" s="32">
        <f t="shared" si="172"/>
        <v>0</v>
      </c>
      <c r="BQ308" s="32">
        <f t="shared" si="173"/>
        <v>0</v>
      </c>
      <c r="BR308" s="32">
        <f t="shared" si="174"/>
        <v>0</v>
      </c>
      <c r="BS308" s="32">
        <f t="shared" si="175"/>
        <v>0</v>
      </c>
      <c r="BT308" s="40">
        <f t="shared" si="176"/>
        <v>0</v>
      </c>
    </row>
    <row r="309" spans="1:72">
      <c r="A309" s="6"/>
      <c r="B309" s="31"/>
      <c r="C309" s="31"/>
      <c r="D309" s="1629"/>
      <c r="E309" s="32">
        <f t="shared" si="177"/>
        <v>0</v>
      </c>
      <c r="F309" s="33"/>
      <c r="G309" s="34">
        <f t="shared" si="152"/>
        <v>0</v>
      </c>
      <c r="H309" s="35">
        <f t="shared" si="153"/>
        <v>0</v>
      </c>
      <c r="I309" s="36"/>
      <c r="J309" s="36"/>
      <c r="K309" s="36"/>
      <c r="L309" s="36"/>
      <c r="M309" s="36"/>
      <c r="N309" s="36"/>
      <c r="O309" s="36"/>
      <c r="P309" s="36"/>
      <c r="Q309" s="36"/>
      <c r="R309" s="36"/>
      <c r="S309" s="36"/>
      <c r="T309" s="36"/>
      <c r="U309" s="36"/>
      <c r="V309" s="36"/>
      <c r="W309" s="36"/>
      <c r="X309" s="36"/>
      <c r="Y309" s="36"/>
      <c r="Z309" s="36"/>
      <c r="AA309" s="36"/>
      <c r="AB309" s="36"/>
      <c r="AC309" s="32">
        <f t="shared" si="154"/>
        <v>0</v>
      </c>
      <c r="AD309" s="37"/>
      <c r="AE309" s="37"/>
      <c r="AF309" s="37"/>
      <c r="AG309" s="37"/>
      <c r="AH309" s="37"/>
      <c r="AI309" s="37"/>
      <c r="AJ309" s="37"/>
      <c r="AK309" s="37"/>
      <c r="AL309" s="37"/>
      <c r="AM309" s="37"/>
      <c r="AN309" s="37"/>
      <c r="AO309" s="37"/>
      <c r="AP309" s="37"/>
      <c r="AQ309" s="37"/>
      <c r="AR309" s="37"/>
      <c r="AS309" s="37"/>
      <c r="AT309" s="38"/>
      <c r="AU309" s="1630"/>
      <c r="AV309" s="1342">
        <f t="shared" si="178"/>
        <v>0</v>
      </c>
      <c r="AW309" s="1342">
        <f t="shared" si="179"/>
        <v>0</v>
      </c>
      <c r="AX309" s="1342">
        <f t="shared" si="180"/>
        <v>0</v>
      </c>
      <c r="AY309" s="39">
        <f t="shared" si="155"/>
        <v>0</v>
      </c>
      <c r="AZ309" s="32">
        <f t="shared" si="156"/>
        <v>0</v>
      </c>
      <c r="BA309" s="32">
        <f t="shared" si="157"/>
        <v>0</v>
      </c>
      <c r="BB309" s="32">
        <f t="shared" si="158"/>
        <v>0</v>
      </c>
      <c r="BC309" s="32">
        <f t="shared" si="159"/>
        <v>0</v>
      </c>
      <c r="BD309" s="32">
        <f t="shared" si="160"/>
        <v>0</v>
      </c>
      <c r="BE309" s="32">
        <f t="shared" si="161"/>
        <v>0</v>
      </c>
      <c r="BF309" s="32">
        <f t="shared" si="162"/>
        <v>0</v>
      </c>
      <c r="BG309" s="32">
        <f t="shared" si="163"/>
        <v>0</v>
      </c>
      <c r="BH309" s="32">
        <f t="shared" si="164"/>
        <v>0</v>
      </c>
      <c r="BI309" s="32">
        <f t="shared" si="165"/>
        <v>0</v>
      </c>
      <c r="BJ309" s="32">
        <f t="shared" si="166"/>
        <v>0</v>
      </c>
      <c r="BK309" s="32">
        <f t="shared" si="167"/>
        <v>0</v>
      </c>
      <c r="BL309" s="32">
        <f t="shared" si="168"/>
        <v>0</v>
      </c>
      <c r="BM309" s="32">
        <f t="shared" si="169"/>
        <v>0</v>
      </c>
      <c r="BN309" s="32">
        <f t="shared" si="170"/>
        <v>0</v>
      </c>
      <c r="BO309" s="32">
        <f t="shared" si="171"/>
        <v>0</v>
      </c>
      <c r="BP309" s="32">
        <f t="shared" si="172"/>
        <v>0</v>
      </c>
      <c r="BQ309" s="32">
        <f t="shared" si="173"/>
        <v>0</v>
      </c>
      <c r="BR309" s="32">
        <f t="shared" si="174"/>
        <v>0</v>
      </c>
      <c r="BS309" s="32">
        <f t="shared" si="175"/>
        <v>0</v>
      </c>
      <c r="BT309" s="40">
        <f t="shared" si="176"/>
        <v>0</v>
      </c>
    </row>
    <row r="310" spans="1:72">
      <c r="A310" s="6"/>
      <c r="B310" s="31"/>
      <c r="C310" s="31"/>
      <c r="D310" s="1629"/>
      <c r="E310" s="32">
        <f t="shared" si="177"/>
        <v>0</v>
      </c>
      <c r="F310" s="33"/>
      <c r="G310" s="34">
        <f t="shared" si="152"/>
        <v>0</v>
      </c>
      <c r="H310" s="35">
        <f t="shared" si="153"/>
        <v>0</v>
      </c>
      <c r="I310" s="36"/>
      <c r="J310" s="36"/>
      <c r="K310" s="36"/>
      <c r="L310" s="36"/>
      <c r="M310" s="36"/>
      <c r="N310" s="36"/>
      <c r="O310" s="36"/>
      <c r="P310" s="36"/>
      <c r="Q310" s="36"/>
      <c r="R310" s="36"/>
      <c r="S310" s="36"/>
      <c r="T310" s="36"/>
      <c r="U310" s="36"/>
      <c r="V310" s="36"/>
      <c r="W310" s="36"/>
      <c r="X310" s="36"/>
      <c r="Y310" s="36"/>
      <c r="Z310" s="36"/>
      <c r="AA310" s="36"/>
      <c r="AB310" s="36"/>
      <c r="AC310" s="32">
        <f t="shared" si="154"/>
        <v>0</v>
      </c>
      <c r="AD310" s="37"/>
      <c r="AE310" s="37"/>
      <c r="AF310" s="37"/>
      <c r="AG310" s="37"/>
      <c r="AH310" s="37"/>
      <c r="AI310" s="37"/>
      <c r="AJ310" s="37"/>
      <c r="AK310" s="37"/>
      <c r="AL310" s="37"/>
      <c r="AM310" s="37"/>
      <c r="AN310" s="37"/>
      <c r="AO310" s="37"/>
      <c r="AP310" s="37"/>
      <c r="AQ310" s="37"/>
      <c r="AR310" s="37"/>
      <c r="AS310" s="37"/>
      <c r="AT310" s="38"/>
      <c r="AU310" s="1630"/>
      <c r="AV310" s="1342">
        <f t="shared" si="178"/>
        <v>0</v>
      </c>
      <c r="AW310" s="1342">
        <f t="shared" si="179"/>
        <v>0</v>
      </c>
      <c r="AX310" s="1342">
        <f t="shared" si="180"/>
        <v>0</v>
      </c>
      <c r="AY310" s="39">
        <f t="shared" si="155"/>
        <v>0</v>
      </c>
      <c r="AZ310" s="32">
        <f t="shared" si="156"/>
        <v>0</v>
      </c>
      <c r="BA310" s="32">
        <f t="shared" si="157"/>
        <v>0</v>
      </c>
      <c r="BB310" s="32">
        <f t="shared" si="158"/>
        <v>0</v>
      </c>
      <c r="BC310" s="32">
        <f t="shared" si="159"/>
        <v>0</v>
      </c>
      <c r="BD310" s="32">
        <f t="shared" si="160"/>
        <v>0</v>
      </c>
      <c r="BE310" s="32">
        <f t="shared" si="161"/>
        <v>0</v>
      </c>
      <c r="BF310" s="32">
        <f t="shared" si="162"/>
        <v>0</v>
      </c>
      <c r="BG310" s="32">
        <f t="shared" si="163"/>
        <v>0</v>
      </c>
      <c r="BH310" s="32">
        <f t="shared" si="164"/>
        <v>0</v>
      </c>
      <c r="BI310" s="32">
        <f t="shared" si="165"/>
        <v>0</v>
      </c>
      <c r="BJ310" s="32">
        <f t="shared" si="166"/>
        <v>0</v>
      </c>
      <c r="BK310" s="32">
        <f t="shared" si="167"/>
        <v>0</v>
      </c>
      <c r="BL310" s="32">
        <f t="shared" si="168"/>
        <v>0</v>
      </c>
      <c r="BM310" s="32">
        <f t="shared" si="169"/>
        <v>0</v>
      </c>
      <c r="BN310" s="32">
        <f t="shared" si="170"/>
        <v>0</v>
      </c>
      <c r="BO310" s="32">
        <f t="shared" si="171"/>
        <v>0</v>
      </c>
      <c r="BP310" s="32">
        <f t="shared" si="172"/>
        <v>0</v>
      </c>
      <c r="BQ310" s="32">
        <f t="shared" si="173"/>
        <v>0</v>
      </c>
      <c r="BR310" s="32">
        <f t="shared" si="174"/>
        <v>0</v>
      </c>
      <c r="BS310" s="32">
        <f t="shared" si="175"/>
        <v>0</v>
      </c>
      <c r="BT310" s="40">
        <f t="shared" si="176"/>
        <v>0</v>
      </c>
    </row>
    <row r="311" spans="1:72">
      <c r="A311" s="6"/>
      <c r="B311" s="31"/>
      <c r="C311" s="31"/>
      <c r="D311" s="1629"/>
      <c r="E311" s="32">
        <f t="shared" si="177"/>
        <v>0</v>
      </c>
      <c r="F311" s="33"/>
      <c r="G311" s="34">
        <f t="shared" si="152"/>
        <v>0</v>
      </c>
      <c r="H311" s="35">
        <f t="shared" si="153"/>
        <v>0</v>
      </c>
      <c r="I311" s="36"/>
      <c r="J311" s="36"/>
      <c r="K311" s="36"/>
      <c r="L311" s="36"/>
      <c r="M311" s="36"/>
      <c r="N311" s="36"/>
      <c r="O311" s="36"/>
      <c r="P311" s="36"/>
      <c r="Q311" s="36"/>
      <c r="R311" s="36"/>
      <c r="S311" s="36"/>
      <c r="T311" s="36"/>
      <c r="U311" s="36"/>
      <c r="V311" s="36"/>
      <c r="W311" s="36"/>
      <c r="X311" s="36"/>
      <c r="Y311" s="36"/>
      <c r="Z311" s="36"/>
      <c r="AA311" s="36"/>
      <c r="AB311" s="36"/>
      <c r="AC311" s="32">
        <f t="shared" si="154"/>
        <v>0</v>
      </c>
      <c r="AD311" s="37"/>
      <c r="AE311" s="37"/>
      <c r="AF311" s="37"/>
      <c r="AG311" s="37"/>
      <c r="AH311" s="37"/>
      <c r="AI311" s="37"/>
      <c r="AJ311" s="37"/>
      <c r="AK311" s="37"/>
      <c r="AL311" s="37"/>
      <c r="AM311" s="37"/>
      <c r="AN311" s="37"/>
      <c r="AO311" s="37"/>
      <c r="AP311" s="37"/>
      <c r="AQ311" s="37"/>
      <c r="AR311" s="37"/>
      <c r="AS311" s="37"/>
      <c r="AT311" s="38"/>
      <c r="AU311" s="1630"/>
      <c r="AV311" s="1342">
        <f t="shared" si="178"/>
        <v>0</v>
      </c>
      <c r="AW311" s="1342">
        <f t="shared" si="179"/>
        <v>0</v>
      </c>
      <c r="AX311" s="1342">
        <f t="shared" si="180"/>
        <v>0</v>
      </c>
      <c r="AY311" s="39">
        <f t="shared" si="155"/>
        <v>0</v>
      </c>
      <c r="AZ311" s="32">
        <f t="shared" si="156"/>
        <v>0</v>
      </c>
      <c r="BA311" s="32">
        <f t="shared" si="157"/>
        <v>0</v>
      </c>
      <c r="BB311" s="32">
        <f t="shared" si="158"/>
        <v>0</v>
      </c>
      <c r="BC311" s="32">
        <f t="shared" si="159"/>
        <v>0</v>
      </c>
      <c r="BD311" s="32">
        <f t="shared" si="160"/>
        <v>0</v>
      </c>
      <c r="BE311" s="32">
        <f t="shared" si="161"/>
        <v>0</v>
      </c>
      <c r="BF311" s="32">
        <f t="shared" si="162"/>
        <v>0</v>
      </c>
      <c r="BG311" s="32">
        <f t="shared" si="163"/>
        <v>0</v>
      </c>
      <c r="BH311" s="32">
        <f t="shared" si="164"/>
        <v>0</v>
      </c>
      <c r="BI311" s="32">
        <f t="shared" si="165"/>
        <v>0</v>
      </c>
      <c r="BJ311" s="32">
        <f t="shared" si="166"/>
        <v>0</v>
      </c>
      <c r="BK311" s="32">
        <f t="shared" si="167"/>
        <v>0</v>
      </c>
      <c r="BL311" s="32">
        <f t="shared" si="168"/>
        <v>0</v>
      </c>
      <c r="BM311" s="32">
        <f t="shared" si="169"/>
        <v>0</v>
      </c>
      <c r="BN311" s="32">
        <f t="shared" si="170"/>
        <v>0</v>
      </c>
      <c r="BO311" s="32">
        <f t="shared" si="171"/>
        <v>0</v>
      </c>
      <c r="BP311" s="32">
        <f t="shared" si="172"/>
        <v>0</v>
      </c>
      <c r="BQ311" s="32">
        <f t="shared" si="173"/>
        <v>0</v>
      </c>
      <c r="BR311" s="32">
        <f t="shared" si="174"/>
        <v>0</v>
      </c>
      <c r="BS311" s="32">
        <f t="shared" si="175"/>
        <v>0</v>
      </c>
      <c r="BT311" s="40">
        <f t="shared" si="176"/>
        <v>0</v>
      </c>
    </row>
    <row r="312" spans="1:72">
      <c r="A312" s="6"/>
      <c r="B312" s="31"/>
      <c r="C312" s="31"/>
      <c r="D312" s="1629"/>
      <c r="E312" s="32">
        <f t="shared" si="177"/>
        <v>0</v>
      </c>
      <c r="F312" s="33"/>
      <c r="G312" s="34">
        <f t="shared" si="152"/>
        <v>0</v>
      </c>
      <c r="H312" s="35">
        <f t="shared" si="153"/>
        <v>0</v>
      </c>
      <c r="I312" s="36"/>
      <c r="J312" s="36"/>
      <c r="K312" s="36"/>
      <c r="L312" s="36"/>
      <c r="M312" s="36"/>
      <c r="N312" s="36"/>
      <c r="O312" s="36"/>
      <c r="P312" s="36"/>
      <c r="Q312" s="36"/>
      <c r="R312" s="36"/>
      <c r="S312" s="36"/>
      <c r="T312" s="36"/>
      <c r="U312" s="36"/>
      <c r="V312" s="36"/>
      <c r="W312" s="36"/>
      <c r="X312" s="36"/>
      <c r="Y312" s="36"/>
      <c r="Z312" s="36"/>
      <c r="AA312" s="36"/>
      <c r="AB312" s="36"/>
      <c r="AC312" s="32">
        <f t="shared" si="154"/>
        <v>0</v>
      </c>
      <c r="AD312" s="37"/>
      <c r="AE312" s="37"/>
      <c r="AF312" s="37"/>
      <c r="AG312" s="37"/>
      <c r="AH312" s="37"/>
      <c r="AI312" s="37"/>
      <c r="AJ312" s="37"/>
      <c r="AK312" s="37"/>
      <c r="AL312" s="37"/>
      <c r="AM312" s="37"/>
      <c r="AN312" s="37"/>
      <c r="AO312" s="37"/>
      <c r="AP312" s="37"/>
      <c r="AQ312" s="37"/>
      <c r="AR312" s="37"/>
      <c r="AS312" s="37"/>
      <c r="AT312" s="38"/>
      <c r="AU312" s="1630"/>
      <c r="AV312" s="1342">
        <f t="shared" si="178"/>
        <v>0</v>
      </c>
      <c r="AW312" s="1342">
        <f t="shared" si="179"/>
        <v>0</v>
      </c>
      <c r="AX312" s="1342">
        <f t="shared" si="180"/>
        <v>0</v>
      </c>
      <c r="AY312" s="39">
        <f t="shared" si="155"/>
        <v>0</v>
      </c>
      <c r="AZ312" s="32">
        <f t="shared" si="156"/>
        <v>0</v>
      </c>
      <c r="BA312" s="32">
        <f t="shared" si="157"/>
        <v>0</v>
      </c>
      <c r="BB312" s="32">
        <f t="shared" si="158"/>
        <v>0</v>
      </c>
      <c r="BC312" s="32">
        <f t="shared" si="159"/>
        <v>0</v>
      </c>
      <c r="BD312" s="32">
        <f t="shared" si="160"/>
        <v>0</v>
      </c>
      <c r="BE312" s="32">
        <f t="shared" si="161"/>
        <v>0</v>
      </c>
      <c r="BF312" s="32">
        <f t="shared" si="162"/>
        <v>0</v>
      </c>
      <c r="BG312" s="32">
        <f t="shared" si="163"/>
        <v>0</v>
      </c>
      <c r="BH312" s="32">
        <f t="shared" si="164"/>
        <v>0</v>
      </c>
      <c r="BI312" s="32">
        <f t="shared" si="165"/>
        <v>0</v>
      </c>
      <c r="BJ312" s="32">
        <f t="shared" si="166"/>
        <v>0</v>
      </c>
      <c r="BK312" s="32">
        <f t="shared" si="167"/>
        <v>0</v>
      </c>
      <c r="BL312" s="32">
        <f t="shared" si="168"/>
        <v>0</v>
      </c>
      <c r="BM312" s="32">
        <f t="shared" si="169"/>
        <v>0</v>
      </c>
      <c r="BN312" s="32">
        <f t="shared" si="170"/>
        <v>0</v>
      </c>
      <c r="BO312" s="32">
        <f t="shared" si="171"/>
        <v>0</v>
      </c>
      <c r="BP312" s="32">
        <f t="shared" si="172"/>
        <v>0</v>
      </c>
      <c r="BQ312" s="32">
        <f t="shared" si="173"/>
        <v>0</v>
      </c>
      <c r="BR312" s="32">
        <f t="shared" si="174"/>
        <v>0</v>
      </c>
      <c r="BS312" s="32">
        <f t="shared" si="175"/>
        <v>0</v>
      </c>
      <c r="BT312" s="40">
        <f t="shared" si="176"/>
        <v>0</v>
      </c>
    </row>
    <row r="313" spans="1:72">
      <c r="A313" s="6"/>
      <c r="B313" s="31"/>
      <c r="C313" s="31"/>
      <c r="D313" s="1629"/>
      <c r="E313" s="32">
        <f t="shared" si="177"/>
        <v>0</v>
      </c>
      <c r="F313" s="33"/>
      <c r="G313" s="34">
        <f t="shared" si="152"/>
        <v>0</v>
      </c>
      <c r="H313" s="35">
        <f t="shared" si="153"/>
        <v>0</v>
      </c>
      <c r="I313" s="36"/>
      <c r="J313" s="36"/>
      <c r="K313" s="36"/>
      <c r="L313" s="36"/>
      <c r="M313" s="36"/>
      <c r="N313" s="36"/>
      <c r="O313" s="36"/>
      <c r="P313" s="36"/>
      <c r="Q313" s="36"/>
      <c r="R313" s="36"/>
      <c r="S313" s="36"/>
      <c r="T313" s="36"/>
      <c r="U313" s="36"/>
      <c r="V313" s="36"/>
      <c r="W313" s="36"/>
      <c r="X313" s="36"/>
      <c r="Y313" s="36"/>
      <c r="Z313" s="36"/>
      <c r="AA313" s="36"/>
      <c r="AB313" s="36"/>
      <c r="AC313" s="32">
        <f t="shared" si="154"/>
        <v>0</v>
      </c>
      <c r="AD313" s="37"/>
      <c r="AE313" s="37"/>
      <c r="AF313" s="37"/>
      <c r="AG313" s="37"/>
      <c r="AH313" s="37"/>
      <c r="AI313" s="37"/>
      <c r="AJ313" s="37"/>
      <c r="AK313" s="37"/>
      <c r="AL313" s="37"/>
      <c r="AM313" s="37"/>
      <c r="AN313" s="37"/>
      <c r="AO313" s="37"/>
      <c r="AP313" s="37"/>
      <c r="AQ313" s="37"/>
      <c r="AR313" s="37"/>
      <c r="AS313" s="37"/>
      <c r="AT313" s="38"/>
      <c r="AU313" s="1630"/>
      <c r="AV313" s="1342">
        <f t="shared" si="178"/>
        <v>0</v>
      </c>
      <c r="AW313" s="1342">
        <f t="shared" si="179"/>
        <v>0</v>
      </c>
      <c r="AX313" s="1342">
        <f t="shared" si="180"/>
        <v>0</v>
      </c>
      <c r="AY313" s="39">
        <f t="shared" si="155"/>
        <v>0</v>
      </c>
      <c r="AZ313" s="32">
        <f t="shared" si="156"/>
        <v>0</v>
      </c>
      <c r="BA313" s="32">
        <f t="shared" si="157"/>
        <v>0</v>
      </c>
      <c r="BB313" s="32">
        <f t="shared" si="158"/>
        <v>0</v>
      </c>
      <c r="BC313" s="32">
        <f t="shared" si="159"/>
        <v>0</v>
      </c>
      <c r="BD313" s="32">
        <f t="shared" si="160"/>
        <v>0</v>
      </c>
      <c r="BE313" s="32">
        <f t="shared" si="161"/>
        <v>0</v>
      </c>
      <c r="BF313" s="32">
        <f t="shared" si="162"/>
        <v>0</v>
      </c>
      <c r="BG313" s="32">
        <f t="shared" si="163"/>
        <v>0</v>
      </c>
      <c r="BH313" s="32">
        <f t="shared" si="164"/>
        <v>0</v>
      </c>
      <c r="BI313" s="32">
        <f t="shared" si="165"/>
        <v>0</v>
      </c>
      <c r="BJ313" s="32">
        <f t="shared" si="166"/>
        <v>0</v>
      </c>
      <c r="BK313" s="32">
        <f t="shared" si="167"/>
        <v>0</v>
      </c>
      <c r="BL313" s="32">
        <f t="shared" si="168"/>
        <v>0</v>
      </c>
      <c r="BM313" s="32">
        <f t="shared" si="169"/>
        <v>0</v>
      </c>
      <c r="BN313" s="32">
        <f t="shared" si="170"/>
        <v>0</v>
      </c>
      <c r="BO313" s="32">
        <f t="shared" si="171"/>
        <v>0</v>
      </c>
      <c r="BP313" s="32">
        <f t="shared" si="172"/>
        <v>0</v>
      </c>
      <c r="BQ313" s="32">
        <f t="shared" si="173"/>
        <v>0</v>
      </c>
      <c r="BR313" s="32">
        <f t="shared" si="174"/>
        <v>0</v>
      </c>
      <c r="BS313" s="32">
        <f t="shared" si="175"/>
        <v>0</v>
      </c>
      <c r="BT313" s="40">
        <f t="shared" si="176"/>
        <v>0</v>
      </c>
    </row>
    <row r="314" spans="1:72">
      <c r="A314" s="6"/>
      <c r="B314" s="31"/>
      <c r="C314" s="31"/>
      <c r="D314" s="1629"/>
      <c r="E314" s="32">
        <f t="shared" si="177"/>
        <v>0</v>
      </c>
      <c r="F314" s="33"/>
      <c r="G314" s="34">
        <f t="shared" si="152"/>
        <v>0</v>
      </c>
      <c r="H314" s="35">
        <f t="shared" si="153"/>
        <v>0</v>
      </c>
      <c r="I314" s="36"/>
      <c r="J314" s="36"/>
      <c r="K314" s="36"/>
      <c r="L314" s="36"/>
      <c r="M314" s="36"/>
      <c r="N314" s="36"/>
      <c r="O314" s="36"/>
      <c r="P314" s="36"/>
      <c r="Q314" s="36"/>
      <c r="R314" s="36"/>
      <c r="S314" s="36"/>
      <c r="T314" s="36"/>
      <c r="U314" s="36"/>
      <c r="V314" s="36"/>
      <c r="W314" s="36"/>
      <c r="X314" s="36"/>
      <c r="Y314" s="36"/>
      <c r="Z314" s="36"/>
      <c r="AA314" s="36"/>
      <c r="AB314" s="36"/>
      <c r="AC314" s="32">
        <f t="shared" si="154"/>
        <v>0</v>
      </c>
      <c r="AD314" s="37"/>
      <c r="AE314" s="37"/>
      <c r="AF314" s="37"/>
      <c r="AG314" s="37"/>
      <c r="AH314" s="37"/>
      <c r="AI314" s="37"/>
      <c r="AJ314" s="37"/>
      <c r="AK314" s="37"/>
      <c r="AL314" s="37"/>
      <c r="AM314" s="37"/>
      <c r="AN314" s="37"/>
      <c r="AO314" s="37"/>
      <c r="AP314" s="37"/>
      <c r="AQ314" s="37"/>
      <c r="AR314" s="37"/>
      <c r="AS314" s="37"/>
      <c r="AT314" s="38"/>
      <c r="AU314" s="1630"/>
      <c r="AV314" s="1342">
        <f t="shared" si="178"/>
        <v>0</v>
      </c>
      <c r="AW314" s="1342">
        <f t="shared" si="179"/>
        <v>0</v>
      </c>
      <c r="AX314" s="1342">
        <f t="shared" si="180"/>
        <v>0</v>
      </c>
      <c r="AY314" s="39">
        <f t="shared" si="155"/>
        <v>0</v>
      </c>
      <c r="AZ314" s="32">
        <f t="shared" si="156"/>
        <v>0</v>
      </c>
      <c r="BA314" s="32">
        <f t="shared" si="157"/>
        <v>0</v>
      </c>
      <c r="BB314" s="32">
        <f t="shared" si="158"/>
        <v>0</v>
      </c>
      <c r="BC314" s="32">
        <f t="shared" si="159"/>
        <v>0</v>
      </c>
      <c r="BD314" s="32">
        <f t="shared" si="160"/>
        <v>0</v>
      </c>
      <c r="BE314" s="32">
        <f t="shared" si="161"/>
        <v>0</v>
      </c>
      <c r="BF314" s="32">
        <f t="shared" si="162"/>
        <v>0</v>
      </c>
      <c r="BG314" s="32">
        <f t="shared" si="163"/>
        <v>0</v>
      </c>
      <c r="BH314" s="32">
        <f t="shared" si="164"/>
        <v>0</v>
      </c>
      <c r="BI314" s="32">
        <f t="shared" si="165"/>
        <v>0</v>
      </c>
      <c r="BJ314" s="32">
        <f t="shared" si="166"/>
        <v>0</v>
      </c>
      <c r="BK314" s="32">
        <f t="shared" si="167"/>
        <v>0</v>
      </c>
      <c r="BL314" s="32">
        <f t="shared" si="168"/>
        <v>0</v>
      </c>
      <c r="BM314" s="32">
        <f t="shared" si="169"/>
        <v>0</v>
      </c>
      <c r="BN314" s="32">
        <f t="shared" si="170"/>
        <v>0</v>
      </c>
      <c r="BO314" s="32">
        <f t="shared" si="171"/>
        <v>0</v>
      </c>
      <c r="BP314" s="32">
        <f t="shared" si="172"/>
        <v>0</v>
      </c>
      <c r="BQ314" s="32">
        <f t="shared" si="173"/>
        <v>0</v>
      </c>
      <c r="BR314" s="32">
        <f t="shared" si="174"/>
        <v>0</v>
      </c>
      <c r="BS314" s="32">
        <f t="shared" si="175"/>
        <v>0</v>
      </c>
      <c r="BT314" s="40">
        <f t="shared" si="176"/>
        <v>0</v>
      </c>
    </row>
    <row r="315" spans="1:72">
      <c r="A315" s="6"/>
      <c r="B315" s="31"/>
      <c r="C315" s="31"/>
      <c r="D315" s="1629"/>
      <c r="E315" s="32">
        <f t="shared" si="177"/>
        <v>0</v>
      </c>
      <c r="F315" s="33"/>
      <c r="G315" s="34">
        <f t="shared" si="152"/>
        <v>0</v>
      </c>
      <c r="H315" s="35">
        <f t="shared" si="153"/>
        <v>0</v>
      </c>
      <c r="I315" s="36"/>
      <c r="J315" s="36"/>
      <c r="K315" s="36"/>
      <c r="L315" s="36"/>
      <c r="M315" s="36"/>
      <c r="N315" s="36"/>
      <c r="O315" s="36"/>
      <c r="P315" s="36"/>
      <c r="Q315" s="36"/>
      <c r="R315" s="36"/>
      <c r="S315" s="36"/>
      <c r="T315" s="36"/>
      <c r="U315" s="36"/>
      <c r="V315" s="36"/>
      <c r="W315" s="36"/>
      <c r="X315" s="36"/>
      <c r="Y315" s="36"/>
      <c r="Z315" s="36"/>
      <c r="AA315" s="36"/>
      <c r="AB315" s="36"/>
      <c r="AC315" s="32">
        <f t="shared" si="154"/>
        <v>0</v>
      </c>
      <c r="AD315" s="37"/>
      <c r="AE315" s="37"/>
      <c r="AF315" s="37"/>
      <c r="AG315" s="37"/>
      <c r="AH315" s="37"/>
      <c r="AI315" s="37"/>
      <c r="AJ315" s="37"/>
      <c r="AK315" s="37"/>
      <c r="AL315" s="37"/>
      <c r="AM315" s="37"/>
      <c r="AN315" s="37"/>
      <c r="AO315" s="37"/>
      <c r="AP315" s="37"/>
      <c r="AQ315" s="37"/>
      <c r="AR315" s="37"/>
      <c r="AS315" s="37"/>
      <c r="AT315" s="38"/>
      <c r="AU315" s="1630"/>
      <c r="AV315" s="1342">
        <f t="shared" si="178"/>
        <v>0</v>
      </c>
      <c r="AW315" s="1342">
        <f t="shared" si="179"/>
        <v>0</v>
      </c>
      <c r="AX315" s="1342">
        <f t="shared" si="180"/>
        <v>0</v>
      </c>
      <c r="AY315" s="39">
        <f t="shared" si="155"/>
        <v>0</v>
      </c>
      <c r="AZ315" s="32">
        <f t="shared" si="156"/>
        <v>0</v>
      </c>
      <c r="BA315" s="32">
        <f t="shared" si="157"/>
        <v>0</v>
      </c>
      <c r="BB315" s="32">
        <f t="shared" si="158"/>
        <v>0</v>
      </c>
      <c r="BC315" s="32">
        <f t="shared" si="159"/>
        <v>0</v>
      </c>
      <c r="BD315" s="32">
        <f t="shared" si="160"/>
        <v>0</v>
      </c>
      <c r="BE315" s="32">
        <f t="shared" si="161"/>
        <v>0</v>
      </c>
      <c r="BF315" s="32">
        <f t="shared" si="162"/>
        <v>0</v>
      </c>
      <c r="BG315" s="32">
        <f t="shared" si="163"/>
        <v>0</v>
      </c>
      <c r="BH315" s="32">
        <f t="shared" si="164"/>
        <v>0</v>
      </c>
      <c r="BI315" s="32">
        <f t="shared" si="165"/>
        <v>0</v>
      </c>
      <c r="BJ315" s="32">
        <f t="shared" si="166"/>
        <v>0</v>
      </c>
      <c r="BK315" s="32">
        <f t="shared" si="167"/>
        <v>0</v>
      </c>
      <c r="BL315" s="32">
        <f t="shared" si="168"/>
        <v>0</v>
      </c>
      <c r="BM315" s="32">
        <f t="shared" si="169"/>
        <v>0</v>
      </c>
      <c r="BN315" s="32">
        <f t="shared" si="170"/>
        <v>0</v>
      </c>
      <c r="BO315" s="32">
        <f t="shared" si="171"/>
        <v>0</v>
      </c>
      <c r="BP315" s="32">
        <f t="shared" si="172"/>
        <v>0</v>
      </c>
      <c r="BQ315" s="32">
        <f t="shared" si="173"/>
        <v>0</v>
      </c>
      <c r="BR315" s="32">
        <f t="shared" si="174"/>
        <v>0</v>
      </c>
      <c r="BS315" s="32">
        <f t="shared" si="175"/>
        <v>0</v>
      </c>
      <c r="BT315" s="40">
        <f t="shared" si="176"/>
        <v>0</v>
      </c>
    </row>
    <row r="316" spans="1:72">
      <c r="A316" s="6"/>
      <c r="B316" s="31"/>
      <c r="C316" s="31"/>
      <c r="D316" s="1629"/>
      <c r="E316" s="32">
        <f t="shared" si="177"/>
        <v>0</v>
      </c>
      <c r="F316" s="33"/>
      <c r="G316" s="34">
        <f t="shared" si="152"/>
        <v>0</v>
      </c>
      <c r="H316" s="35">
        <f t="shared" si="153"/>
        <v>0</v>
      </c>
      <c r="I316" s="36"/>
      <c r="J316" s="36"/>
      <c r="K316" s="36"/>
      <c r="L316" s="36"/>
      <c r="M316" s="36"/>
      <c r="N316" s="36"/>
      <c r="O316" s="36"/>
      <c r="P316" s="36"/>
      <c r="Q316" s="36"/>
      <c r="R316" s="36"/>
      <c r="S316" s="36"/>
      <c r="T316" s="36"/>
      <c r="U316" s="36"/>
      <c r="V316" s="36"/>
      <c r="W316" s="36"/>
      <c r="X316" s="36"/>
      <c r="Y316" s="36"/>
      <c r="Z316" s="36"/>
      <c r="AA316" s="36"/>
      <c r="AB316" s="36"/>
      <c r="AC316" s="32">
        <f t="shared" si="154"/>
        <v>0</v>
      </c>
      <c r="AD316" s="37"/>
      <c r="AE316" s="37"/>
      <c r="AF316" s="37"/>
      <c r="AG316" s="37"/>
      <c r="AH316" s="37"/>
      <c r="AI316" s="37"/>
      <c r="AJ316" s="37"/>
      <c r="AK316" s="37"/>
      <c r="AL316" s="37"/>
      <c r="AM316" s="37"/>
      <c r="AN316" s="37"/>
      <c r="AO316" s="37"/>
      <c r="AP316" s="37"/>
      <c r="AQ316" s="37"/>
      <c r="AR316" s="37"/>
      <c r="AS316" s="37"/>
      <c r="AT316" s="38"/>
      <c r="AU316" s="1630"/>
      <c r="AV316" s="1342">
        <f t="shared" si="178"/>
        <v>0</v>
      </c>
      <c r="AW316" s="1342">
        <f t="shared" si="179"/>
        <v>0</v>
      </c>
      <c r="AX316" s="1342">
        <f t="shared" si="180"/>
        <v>0</v>
      </c>
      <c r="AY316" s="39">
        <f t="shared" si="155"/>
        <v>0</v>
      </c>
      <c r="AZ316" s="32">
        <f t="shared" si="156"/>
        <v>0</v>
      </c>
      <c r="BA316" s="32">
        <f t="shared" si="157"/>
        <v>0</v>
      </c>
      <c r="BB316" s="32">
        <f t="shared" si="158"/>
        <v>0</v>
      </c>
      <c r="BC316" s="32">
        <f t="shared" si="159"/>
        <v>0</v>
      </c>
      <c r="BD316" s="32">
        <f t="shared" si="160"/>
        <v>0</v>
      </c>
      <c r="BE316" s="32">
        <f t="shared" si="161"/>
        <v>0</v>
      </c>
      <c r="BF316" s="32">
        <f t="shared" si="162"/>
        <v>0</v>
      </c>
      <c r="BG316" s="32">
        <f t="shared" si="163"/>
        <v>0</v>
      </c>
      <c r="BH316" s="32">
        <f t="shared" si="164"/>
        <v>0</v>
      </c>
      <c r="BI316" s="32">
        <f t="shared" si="165"/>
        <v>0</v>
      </c>
      <c r="BJ316" s="32">
        <f t="shared" si="166"/>
        <v>0</v>
      </c>
      <c r="BK316" s="32">
        <f t="shared" si="167"/>
        <v>0</v>
      </c>
      <c r="BL316" s="32">
        <f t="shared" si="168"/>
        <v>0</v>
      </c>
      <c r="BM316" s="32">
        <f t="shared" si="169"/>
        <v>0</v>
      </c>
      <c r="BN316" s="32">
        <f t="shared" si="170"/>
        <v>0</v>
      </c>
      <c r="BO316" s="32">
        <f t="shared" si="171"/>
        <v>0</v>
      </c>
      <c r="BP316" s="32">
        <f t="shared" si="172"/>
        <v>0</v>
      </c>
      <c r="BQ316" s="32">
        <f t="shared" si="173"/>
        <v>0</v>
      </c>
      <c r="BR316" s="32">
        <f t="shared" si="174"/>
        <v>0</v>
      </c>
      <c r="BS316" s="32">
        <f t="shared" si="175"/>
        <v>0</v>
      </c>
      <c r="BT316" s="40">
        <f t="shared" si="176"/>
        <v>0</v>
      </c>
    </row>
    <row r="317" spans="1:72">
      <c r="A317" s="6"/>
      <c r="B317" s="31"/>
      <c r="C317" s="31"/>
      <c r="D317" s="1629"/>
      <c r="E317" s="32">
        <f t="shared" si="177"/>
        <v>0</v>
      </c>
      <c r="F317" s="33"/>
      <c r="G317" s="34">
        <f t="shared" si="152"/>
        <v>0</v>
      </c>
      <c r="H317" s="35">
        <f t="shared" si="153"/>
        <v>0</v>
      </c>
      <c r="I317" s="36"/>
      <c r="J317" s="36"/>
      <c r="K317" s="36"/>
      <c r="L317" s="36"/>
      <c r="M317" s="36"/>
      <c r="N317" s="36"/>
      <c r="O317" s="36"/>
      <c r="P317" s="36"/>
      <c r="Q317" s="36"/>
      <c r="R317" s="36"/>
      <c r="S317" s="36"/>
      <c r="T317" s="36"/>
      <c r="U317" s="36"/>
      <c r="V317" s="36"/>
      <c r="W317" s="36"/>
      <c r="X317" s="36"/>
      <c r="Y317" s="36"/>
      <c r="Z317" s="36"/>
      <c r="AA317" s="36"/>
      <c r="AB317" s="36"/>
      <c r="AC317" s="32">
        <f t="shared" si="154"/>
        <v>0</v>
      </c>
      <c r="AD317" s="37"/>
      <c r="AE317" s="37"/>
      <c r="AF317" s="37"/>
      <c r="AG317" s="37"/>
      <c r="AH317" s="37"/>
      <c r="AI317" s="37"/>
      <c r="AJ317" s="37"/>
      <c r="AK317" s="37"/>
      <c r="AL317" s="37"/>
      <c r="AM317" s="37"/>
      <c r="AN317" s="37"/>
      <c r="AO317" s="37"/>
      <c r="AP317" s="37"/>
      <c r="AQ317" s="37"/>
      <c r="AR317" s="37"/>
      <c r="AS317" s="37"/>
      <c r="AT317" s="38"/>
      <c r="AU317" s="1630"/>
      <c r="AV317" s="1342">
        <f t="shared" si="178"/>
        <v>0</v>
      </c>
      <c r="AW317" s="1342">
        <f t="shared" si="179"/>
        <v>0</v>
      </c>
      <c r="AX317" s="1342">
        <f t="shared" si="180"/>
        <v>0</v>
      </c>
      <c r="AY317" s="39">
        <f t="shared" si="155"/>
        <v>0</v>
      </c>
      <c r="AZ317" s="32">
        <f t="shared" si="156"/>
        <v>0</v>
      </c>
      <c r="BA317" s="32">
        <f t="shared" si="157"/>
        <v>0</v>
      </c>
      <c r="BB317" s="32">
        <f t="shared" si="158"/>
        <v>0</v>
      </c>
      <c r="BC317" s="32">
        <f t="shared" si="159"/>
        <v>0</v>
      </c>
      <c r="BD317" s="32">
        <f t="shared" si="160"/>
        <v>0</v>
      </c>
      <c r="BE317" s="32">
        <f t="shared" si="161"/>
        <v>0</v>
      </c>
      <c r="BF317" s="32">
        <f t="shared" si="162"/>
        <v>0</v>
      </c>
      <c r="BG317" s="32">
        <f t="shared" si="163"/>
        <v>0</v>
      </c>
      <c r="BH317" s="32">
        <f t="shared" si="164"/>
        <v>0</v>
      </c>
      <c r="BI317" s="32">
        <f t="shared" si="165"/>
        <v>0</v>
      </c>
      <c r="BJ317" s="32">
        <f t="shared" si="166"/>
        <v>0</v>
      </c>
      <c r="BK317" s="32">
        <f t="shared" si="167"/>
        <v>0</v>
      </c>
      <c r="BL317" s="32">
        <f t="shared" si="168"/>
        <v>0</v>
      </c>
      <c r="BM317" s="32">
        <f t="shared" si="169"/>
        <v>0</v>
      </c>
      <c r="BN317" s="32">
        <f t="shared" si="170"/>
        <v>0</v>
      </c>
      <c r="BO317" s="32">
        <f t="shared" si="171"/>
        <v>0</v>
      </c>
      <c r="BP317" s="32">
        <f t="shared" si="172"/>
        <v>0</v>
      </c>
      <c r="BQ317" s="32">
        <f t="shared" si="173"/>
        <v>0</v>
      </c>
      <c r="BR317" s="32">
        <f t="shared" si="174"/>
        <v>0</v>
      </c>
      <c r="BS317" s="32">
        <f t="shared" si="175"/>
        <v>0</v>
      </c>
      <c r="BT317" s="40">
        <f t="shared" si="176"/>
        <v>0</v>
      </c>
    </row>
    <row r="318" spans="1:72">
      <c r="A318" s="6"/>
      <c r="B318" s="31"/>
      <c r="C318" s="31"/>
      <c r="D318" s="1629"/>
      <c r="E318" s="32">
        <f t="shared" si="177"/>
        <v>0</v>
      </c>
      <c r="F318" s="33"/>
      <c r="G318" s="34">
        <f t="shared" si="152"/>
        <v>0</v>
      </c>
      <c r="H318" s="35">
        <f t="shared" si="153"/>
        <v>0</v>
      </c>
      <c r="I318" s="36"/>
      <c r="J318" s="36"/>
      <c r="K318" s="36"/>
      <c r="L318" s="36"/>
      <c r="M318" s="36"/>
      <c r="N318" s="36"/>
      <c r="O318" s="36"/>
      <c r="P318" s="36"/>
      <c r="Q318" s="36"/>
      <c r="R318" s="36"/>
      <c r="S318" s="36"/>
      <c r="T318" s="36"/>
      <c r="U318" s="36"/>
      <c r="V318" s="36"/>
      <c r="W318" s="36"/>
      <c r="X318" s="36"/>
      <c r="Y318" s="36"/>
      <c r="Z318" s="36"/>
      <c r="AA318" s="36"/>
      <c r="AB318" s="36"/>
      <c r="AC318" s="32">
        <f t="shared" si="154"/>
        <v>0</v>
      </c>
      <c r="AD318" s="37"/>
      <c r="AE318" s="37"/>
      <c r="AF318" s="37"/>
      <c r="AG318" s="37"/>
      <c r="AH318" s="37"/>
      <c r="AI318" s="37"/>
      <c r="AJ318" s="37"/>
      <c r="AK318" s="37"/>
      <c r="AL318" s="37"/>
      <c r="AM318" s="37"/>
      <c r="AN318" s="37"/>
      <c r="AO318" s="37"/>
      <c r="AP318" s="37"/>
      <c r="AQ318" s="37"/>
      <c r="AR318" s="37"/>
      <c r="AS318" s="37"/>
      <c r="AT318" s="38"/>
      <c r="AU318" s="1630"/>
      <c r="AV318" s="1342">
        <f t="shared" si="178"/>
        <v>0</v>
      </c>
      <c r="AW318" s="1342">
        <f t="shared" si="179"/>
        <v>0</v>
      </c>
      <c r="AX318" s="1342">
        <f t="shared" si="180"/>
        <v>0</v>
      </c>
      <c r="AY318" s="39">
        <f t="shared" si="155"/>
        <v>0</v>
      </c>
      <c r="AZ318" s="32">
        <f t="shared" si="156"/>
        <v>0</v>
      </c>
      <c r="BA318" s="32">
        <f t="shared" si="157"/>
        <v>0</v>
      </c>
      <c r="BB318" s="32">
        <f t="shared" si="158"/>
        <v>0</v>
      </c>
      <c r="BC318" s="32">
        <f t="shared" si="159"/>
        <v>0</v>
      </c>
      <c r="BD318" s="32">
        <f t="shared" si="160"/>
        <v>0</v>
      </c>
      <c r="BE318" s="32">
        <f t="shared" si="161"/>
        <v>0</v>
      </c>
      <c r="BF318" s="32">
        <f t="shared" si="162"/>
        <v>0</v>
      </c>
      <c r="BG318" s="32">
        <f t="shared" si="163"/>
        <v>0</v>
      </c>
      <c r="BH318" s="32">
        <f t="shared" si="164"/>
        <v>0</v>
      </c>
      <c r="BI318" s="32">
        <f t="shared" si="165"/>
        <v>0</v>
      </c>
      <c r="BJ318" s="32">
        <f t="shared" si="166"/>
        <v>0</v>
      </c>
      <c r="BK318" s="32">
        <f t="shared" si="167"/>
        <v>0</v>
      </c>
      <c r="BL318" s="32">
        <f t="shared" si="168"/>
        <v>0</v>
      </c>
      <c r="BM318" s="32">
        <f t="shared" si="169"/>
        <v>0</v>
      </c>
      <c r="BN318" s="32">
        <f t="shared" si="170"/>
        <v>0</v>
      </c>
      <c r="BO318" s="32">
        <f t="shared" si="171"/>
        <v>0</v>
      </c>
      <c r="BP318" s="32">
        <f t="shared" si="172"/>
        <v>0</v>
      </c>
      <c r="BQ318" s="32">
        <f t="shared" si="173"/>
        <v>0</v>
      </c>
      <c r="BR318" s="32">
        <f t="shared" si="174"/>
        <v>0</v>
      </c>
      <c r="BS318" s="32">
        <f t="shared" si="175"/>
        <v>0</v>
      </c>
      <c r="BT318" s="40">
        <f t="shared" si="176"/>
        <v>0</v>
      </c>
    </row>
    <row r="319" spans="1:72">
      <c r="A319" s="6"/>
      <c r="B319" s="31"/>
      <c r="C319" s="31"/>
      <c r="D319" s="1629"/>
      <c r="E319" s="32">
        <f t="shared" si="177"/>
        <v>0</v>
      </c>
      <c r="F319" s="33"/>
      <c r="G319" s="34">
        <f t="shared" si="152"/>
        <v>0</v>
      </c>
      <c r="H319" s="35">
        <f t="shared" si="153"/>
        <v>0</v>
      </c>
      <c r="I319" s="36"/>
      <c r="J319" s="36"/>
      <c r="K319" s="36"/>
      <c r="L319" s="36"/>
      <c r="M319" s="36"/>
      <c r="N319" s="36"/>
      <c r="O319" s="36"/>
      <c r="P319" s="36"/>
      <c r="Q319" s="36"/>
      <c r="R319" s="36"/>
      <c r="S319" s="36"/>
      <c r="T319" s="36"/>
      <c r="U319" s="36"/>
      <c r="V319" s="36"/>
      <c r="W319" s="36"/>
      <c r="X319" s="36"/>
      <c r="Y319" s="36"/>
      <c r="Z319" s="36"/>
      <c r="AA319" s="36"/>
      <c r="AB319" s="36"/>
      <c r="AC319" s="32">
        <f t="shared" si="154"/>
        <v>0</v>
      </c>
      <c r="AD319" s="37"/>
      <c r="AE319" s="37"/>
      <c r="AF319" s="37"/>
      <c r="AG319" s="37"/>
      <c r="AH319" s="37"/>
      <c r="AI319" s="37"/>
      <c r="AJ319" s="37"/>
      <c r="AK319" s="37"/>
      <c r="AL319" s="37"/>
      <c r="AM319" s="37"/>
      <c r="AN319" s="37"/>
      <c r="AO319" s="37"/>
      <c r="AP319" s="37"/>
      <c r="AQ319" s="37"/>
      <c r="AR319" s="37"/>
      <c r="AS319" s="37"/>
      <c r="AT319" s="38"/>
      <c r="AU319" s="1630"/>
      <c r="AV319" s="1342">
        <f t="shared" si="178"/>
        <v>0</v>
      </c>
      <c r="AW319" s="1342">
        <f t="shared" si="179"/>
        <v>0</v>
      </c>
      <c r="AX319" s="1342">
        <f t="shared" si="180"/>
        <v>0</v>
      </c>
      <c r="AY319" s="39">
        <f t="shared" si="155"/>
        <v>0</v>
      </c>
      <c r="AZ319" s="32">
        <f t="shared" si="156"/>
        <v>0</v>
      </c>
      <c r="BA319" s="32">
        <f t="shared" si="157"/>
        <v>0</v>
      </c>
      <c r="BB319" s="32">
        <f t="shared" si="158"/>
        <v>0</v>
      </c>
      <c r="BC319" s="32">
        <f t="shared" si="159"/>
        <v>0</v>
      </c>
      <c r="BD319" s="32">
        <f t="shared" si="160"/>
        <v>0</v>
      </c>
      <c r="BE319" s="32">
        <f t="shared" si="161"/>
        <v>0</v>
      </c>
      <c r="BF319" s="32">
        <f t="shared" si="162"/>
        <v>0</v>
      </c>
      <c r="BG319" s="32">
        <f t="shared" si="163"/>
        <v>0</v>
      </c>
      <c r="BH319" s="32">
        <f t="shared" si="164"/>
        <v>0</v>
      </c>
      <c r="BI319" s="32">
        <f t="shared" si="165"/>
        <v>0</v>
      </c>
      <c r="BJ319" s="32">
        <f t="shared" si="166"/>
        <v>0</v>
      </c>
      <c r="BK319" s="32">
        <f t="shared" si="167"/>
        <v>0</v>
      </c>
      <c r="BL319" s="32">
        <f t="shared" si="168"/>
        <v>0</v>
      </c>
      <c r="BM319" s="32">
        <f t="shared" si="169"/>
        <v>0</v>
      </c>
      <c r="BN319" s="32">
        <f t="shared" si="170"/>
        <v>0</v>
      </c>
      <c r="BO319" s="32">
        <f t="shared" si="171"/>
        <v>0</v>
      </c>
      <c r="BP319" s="32">
        <f t="shared" si="172"/>
        <v>0</v>
      </c>
      <c r="BQ319" s="32">
        <f t="shared" si="173"/>
        <v>0</v>
      </c>
      <c r="BR319" s="32">
        <f t="shared" si="174"/>
        <v>0</v>
      </c>
      <c r="BS319" s="32">
        <f t="shared" si="175"/>
        <v>0</v>
      </c>
      <c r="BT319" s="40">
        <f t="shared" si="176"/>
        <v>0</v>
      </c>
    </row>
    <row r="320" spans="1:72">
      <c r="A320" s="6"/>
      <c r="B320" s="31"/>
      <c r="C320" s="31"/>
      <c r="D320" s="1629"/>
      <c r="E320" s="32">
        <f t="shared" si="177"/>
        <v>0</v>
      </c>
      <c r="F320" s="33"/>
      <c r="G320" s="34">
        <f t="shared" si="152"/>
        <v>0</v>
      </c>
      <c r="H320" s="35">
        <f t="shared" si="153"/>
        <v>0</v>
      </c>
      <c r="I320" s="36"/>
      <c r="J320" s="36"/>
      <c r="K320" s="36"/>
      <c r="L320" s="36"/>
      <c r="M320" s="36"/>
      <c r="N320" s="36"/>
      <c r="O320" s="36"/>
      <c r="P320" s="36"/>
      <c r="Q320" s="36"/>
      <c r="R320" s="36"/>
      <c r="S320" s="36"/>
      <c r="T320" s="36"/>
      <c r="U320" s="36"/>
      <c r="V320" s="36"/>
      <c r="W320" s="36"/>
      <c r="X320" s="36"/>
      <c r="Y320" s="36"/>
      <c r="Z320" s="36"/>
      <c r="AA320" s="36"/>
      <c r="AB320" s="36"/>
      <c r="AC320" s="32">
        <f t="shared" si="154"/>
        <v>0</v>
      </c>
      <c r="AD320" s="37"/>
      <c r="AE320" s="37"/>
      <c r="AF320" s="37"/>
      <c r="AG320" s="37"/>
      <c r="AH320" s="37"/>
      <c r="AI320" s="37"/>
      <c r="AJ320" s="37"/>
      <c r="AK320" s="37"/>
      <c r="AL320" s="37"/>
      <c r="AM320" s="37"/>
      <c r="AN320" s="37"/>
      <c r="AO320" s="37"/>
      <c r="AP320" s="37"/>
      <c r="AQ320" s="37"/>
      <c r="AR320" s="37"/>
      <c r="AS320" s="37"/>
      <c r="AT320" s="38"/>
      <c r="AU320" s="1630"/>
      <c r="AV320" s="1342">
        <f t="shared" si="178"/>
        <v>0</v>
      </c>
      <c r="AW320" s="1342">
        <f t="shared" si="179"/>
        <v>0</v>
      </c>
      <c r="AX320" s="1342">
        <f t="shared" si="180"/>
        <v>0</v>
      </c>
      <c r="AY320" s="39">
        <f t="shared" si="155"/>
        <v>0</v>
      </c>
      <c r="AZ320" s="32">
        <f t="shared" si="156"/>
        <v>0</v>
      </c>
      <c r="BA320" s="32">
        <f t="shared" si="157"/>
        <v>0</v>
      </c>
      <c r="BB320" s="32">
        <f t="shared" si="158"/>
        <v>0</v>
      </c>
      <c r="BC320" s="32">
        <f t="shared" si="159"/>
        <v>0</v>
      </c>
      <c r="BD320" s="32">
        <f t="shared" si="160"/>
        <v>0</v>
      </c>
      <c r="BE320" s="32">
        <f t="shared" si="161"/>
        <v>0</v>
      </c>
      <c r="BF320" s="32">
        <f t="shared" si="162"/>
        <v>0</v>
      </c>
      <c r="BG320" s="32">
        <f t="shared" si="163"/>
        <v>0</v>
      </c>
      <c r="BH320" s="32">
        <f t="shared" si="164"/>
        <v>0</v>
      </c>
      <c r="BI320" s="32">
        <f t="shared" si="165"/>
        <v>0</v>
      </c>
      <c r="BJ320" s="32">
        <f t="shared" si="166"/>
        <v>0</v>
      </c>
      <c r="BK320" s="32">
        <f t="shared" si="167"/>
        <v>0</v>
      </c>
      <c r="BL320" s="32">
        <f t="shared" si="168"/>
        <v>0</v>
      </c>
      <c r="BM320" s="32">
        <f t="shared" si="169"/>
        <v>0</v>
      </c>
      <c r="BN320" s="32">
        <f t="shared" si="170"/>
        <v>0</v>
      </c>
      <c r="BO320" s="32">
        <f t="shared" si="171"/>
        <v>0</v>
      </c>
      <c r="BP320" s="32">
        <f t="shared" si="172"/>
        <v>0</v>
      </c>
      <c r="BQ320" s="32">
        <f t="shared" si="173"/>
        <v>0</v>
      </c>
      <c r="BR320" s="32">
        <f t="shared" si="174"/>
        <v>0</v>
      </c>
      <c r="BS320" s="32">
        <f t="shared" si="175"/>
        <v>0</v>
      </c>
      <c r="BT320" s="40">
        <f t="shared" si="176"/>
        <v>0</v>
      </c>
    </row>
    <row r="321" spans="1:72">
      <c r="A321" s="6"/>
      <c r="B321" s="31"/>
      <c r="C321" s="31"/>
      <c r="D321" s="1629"/>
      <c r="E321" s="32">
        <f t="shared" si="177"/>
        <v>0</v>
      </c>
      <c r="F321" s="33"/>
      <c r="G321" s="34">
        <f t="shared" si="152"/>
        <v>0</v>
      </c>
      <c r="H321" s="35">
        <f t="shared" si="153"/>
        <v>0</v>
      </c>
      <c r="I321" s="36"/>
      <c r="J321" s="36"/>
      <c r="K321" s="36"/>
      <c r="L321" s="36"/>
      <c r="M321" s="36"/>
      <c r="N321" s="36"/>
      <c r="O321" s="36"/>
      <c r="P321" s="36"/>
      <c r="Q321" s="36"/>
      <c r="R321" s="36"/>
      <c r="S321" s="36"/>
      <c r="T321" s="36"/>
      <c r="U321" s="36"/>
      <c r="V321" s="36"/>
      <c r="W321" s="36"/>
      <c r="X321" s="36"/>
      <c r="Y321" s="36"/>
      <c r="Z321" s="36"/>
      <c r="AA321" s="36"/>
      <c r="AB321" s="36"/>
      <c r="AC321" s="32">
        <f t="shared" si="154"/>
        <v>0</v>
      </c>
      <c r="AD321" s="37"/>
      <c r="AE321" s="37"/>
      <c r="AF321" s="37"/>
      <c r="AG321" s="37"/>
      <c r="AH321" s="37"/>
      <c r="AI321" s="37"/>
      <c r="AJ321" s="37"/>
      <c r="AK321" s="37"/>
      <c r="AL321" s="37"/>
      <c r="AM321" s="37"/>
      <c r="AN321" s="37"/>
      <c r="AO321" s="37"/>
      <c r="AP321" s="37"/>
      <c r="AQ321" s="37"/>
      <c r="AR321" s="37"/>
      <c r="AS321" s="37"/>
      <c r="AT321" s="38"/>
      <c r="AU321" s="1630"/>
      <c r="AV321" s="1342">
        <f t="shared" si="178"/>
        <v>0</v>
      </c>
      <c r="AW321" s="1342">
        <f t="shared" si="179"/>
        <v>0</v>
      </c>
      <c r="AX321" s="1342">
        <f t="shared" si="180"/>
        <v>0</v>
      </c>
      <c r="AY321" s="39">
        <f t="shared" si="155"/>
        <v>0</v>
      </c>
      <c r="AZ321" s="32">
        <f t="shared" si="156"/>
        <v>0</v>
      </c>
      <c r="BA321" s="32">
        <f t="shared" si="157"/>
        <v>0</v>
      </c>
      <c r="BB321" s="32">
        <f t="shared" si="158"/>
        <v>0</v>
      </c>
      <c r="BC321" s="32">
        <f t="shared" si="159"/>
        <v>0</v>
      </c>
      <c r="BD321" s="32">
        <f t="shared" si="160"/>
        <v>0</v>
      </c>
      <c r="BE321" s="32">
        <f t="shared" si="161"/>
        <v>0</v>
      </c>
      <c r="BF321" s="32">
        <f t="shared" si="162"/>
        <v>0</v>
      </c>
      <c r="BG321" s="32">
        <f t="shared" si="163"/>
        <v>0</v>
      </c>
      <c r="BH321" s="32">
        <f t="shared" si="164"/>
        <v>0</v>
      </c>
      <c r="BI321" s="32">
        <f t="shared" si="165"/>
        <v>0</v>
      </c>
      <c r="BJ321" s="32">
        <f t="shared" si="166"/>
        <v>0</v>
      </c>
      <c r="BK321" s="32">
        <f t="shared" si="167"/>
        <v>0</v>
      </c>
      <c r="BL321" s="32">
        <f t="shared" si="168"/>
        <v>0</v>
      </c>
      <c r="BM321" s="32">
        <f t="shared" si="169"/>
        <v>0</v>
      </c>
      <c r="BN321" s="32">
        <f t="shared" si="170"/>
        <v>0</v>
      </c>
      <c r="BO321" s="32">
        <f t="shared" si="171"/>
        <v>0</v>
      </c>
      <c r="BP321" s="32">
        <f t="shared" si="172"/>
        <v>0</v>
      </c>
      <c r="BQ321" s="32">
        <f t="shared" si="173"/>
        <v>0</v>
      </c>
      <c r="BR321" s="32">
        <f t="shared" si="174"/>
        <v>0</v>
      </c>
      <c r="BS321" s="32">
        <f t="shared" si="175"/>
        <v>0</v>
      </c>
      <c r="BT321" s="40">
        <f t="shared" si="176"/>
        <v>0</v>
      </c>
    </row>
    <row r="322" spans="1:72">
      <c r="A322" s="6"/>
      <c r="B322" s="31"/>
      <c r="C322" s="31"/>
      <c r="D322" s="1629"/>
      <c r="E322" s="32">
        <f t="shared" si="177"/>
        <v>0</v>
      </c>
      <c r="F322" s="33"/>
      <c r="G322" s="34">
        <f t="shared" si="152"/>
        <v>0</v>
      </c>
      <c r="H322" s="35">
        <f t="shared" si="153"/>
        <v>0</v>
      </c>
      <c r="I322" s="36"/>
      <c r="J322" s="36"/>
      <c r="K322" s="36"/>
      <c r="L322" s="36"/>
      <c r="M322" s="36"/>
      <c r="N322" s="36"/>
      <c r="O322" s="36"/>
      <c r="P322" s="36"/>
      <c r="Q322" s="36"/>
      <c r="R322" s="36"/>
      <c r="S322" s="36"/>
      <c r="T322" s="36"/>
      <c r="U322" s="36"/>
      <c r="V322" s="36"/>
      <c r="W322" s="36"/>
      <c r="X322" s="36"/>
      <c r="Y322" s="36"/>
      <c r="Z322" s="36"/>
      <c r="AA322" s="36"/>
      <c r="AB322" s="36"/>
      <c r="AC322" s="32">
        <f t="shared" si="154"/>
        <v>0</v>
      </c>
      <c r="AD322" s="37"/>
      <c r="AE322" s="37"/>
      <c r="AF322" s="37"/>
      <c r="AG322" s="37"/>
      <c r="AH322" s="37"/>
      <c r="AI322" s="37"/>
      <c r="AJ322" s="37"/>
      <c r="AK322" s="37"/>
      <c r="AL322" s="37"/>
      <c r="AM322" s="37"/>
      <c r="AN322" s="37"/>
      <c r="AO322" s="37"/>
      <c r="AP322" s="37"/>
      <c r="AQ322" s="37"/>
      <c r="AR322" s="37"/>
      <c r="AS322" s="37"/>
      <c r="AT322" s="38"/>
      <c r="AU322" s="1630"/>
      <c r="AV322" s="1342">
        <f t="shared" si="178"/>
        <v>0</v>
      </c>
      <c r="AW322" s="1342">
        <f t="shared" si="179"/>
        <v>0</v>
      </c>
      <c r="AX322" s="1342">
        <f t="shared" si="180"/>
        <v>0</v>
      </c>
      <c r="AY322" s="39">
        <f t="shared" si="155"/>
        <v>0</v>
      </c>
      <c r="AZ322" s="32">
        <f t="shared" si="156"/>
        <v>0</v>
      </c>
      <c r="BA322" s="32">
        <f t="shared" si="157"/>
        <v>0</v>
      </c>
      <c r="BB322" s="32">
        <f t="shared" si="158"/>
        <v>0</v>
      </c>
      <c r="BC322" s="32">
        <f t="shared" si="159"/>
        <v>0</v>
      </c>
      <c r="BD322" s="32">
        <f t="shared" si="160"/>
        <v>0</v>
      </c>
      <c r="BE322" s="32">
        <f t="shared" si="161"/>
        <v>0</v>
      </c>
      <c r="BF322" s="32">
        <f t="shared" si="162"/>
        <v>0</v>
      </c>
      <c r="BG322" s="32">
        <f t="shared" si="163"/>
        <v>0</v>
      </c>
      <c r="BH322" s="32">
        <f t="shared" si="164"/>
        <v>0</v>
      </c>
      <c r="BI322" s="32">
        <f t="shared" si="165"/>
        <v>0</v>
      </c>
      <c r="BJ322" s="32">
        <f t="shared" si="166"/>
        <v>0</v>
      </c>
      <c r="BK322" s="32">
        <f t="shared" si="167"/>
        <v>0</v>
      </c>
      <c r="BL322" s="32">
        <f t="shared" si="168"/>
        <v>0</v>
      </c>
      <c r="BM322" s="32">
        <f t="shared" si="169"/>
        <v>0</v>
      </c>
      <c r="BN322" s="32">
        <f t="shared" si="170"/>
        <v>0</v>
      </c>
      <c r="BO322" s="32">
        <f t="shared" si="171"/>
        <v>0</v>
      </c>
      <c r="BP322" s="32">
        <f t="shared" si="172"/>
        <v>0</v>
      </c>
      <c r="BQ322" s="32">
        <f t="shared" si="173"/>
        <v>0</v>
      </c>
      <c r="BR322" s="32">
        <f t="shared" si="174"/>
        <v>0</v>
      </c>
      <c r="BS322" s="32">
        <f t="shared" si="175"/>
        <v>0</v>
      </c>
      <c r="BT322" s="40">
        <f t="shared" si="176"/>
        <v>0</v>
      </c>
    </row>
    <row r="323" spans="1:72">
      <c r="A323" s="6"/>
      <c r="B323" s="31"/>
      <c r="C323" s="31"/>
      <c r="D323" s="1629"/>
      <c r="E323" s="32">
        <f t="shared" si="177"/>
        <v>0</v>
      </c>
      <c r="F323" s="33"/>
      <c r="G323" s="34">
        <f t="shared" si="152"/>
        <v>0</v>
      </c>
      <c r="H323" s="35">
        <f t="shared" si="153"/>
        <v>0</v>
      </c>
      <c r="I323" s="36"/>
      <c r="J323" s="36"/>
      <c r="K323" s="36"/>
      <c r="L323" s="36"/>
      <c r="M323" s="36"/>
      <c r="N323" s="36"/>
      <c r="O323" s="36"/>
      <c r="P323" s="36"/>
      <c r="Q323" s="36"/>
      <c r="R323" s="36"/>
      <c r="S323" s="36"/>
      <c r="T323" s="36"/>
      <c r="U323" s="36"/>
      <c r="V323" s="36"/>
      <c r="W323" s="36"/>
      <c r="X323" s="36"/>
      <c r="Y323" s="36"/>
      <c r="Z323" s="36"/>
      <c r="AA323" s="36"/>
      <c r="AB323" s="36"/>
      <c r="AC323" s="32">
        <f t="shared" si="154"/>
        <v>0</v>
      </c>
      <c r="AD323" s="37"/>
      <c r="AE323" s="37"/>
      <c r="AF323" s="37"/>
      <c r="AG323" s="37"/>
      <c r="AH323" s="37"/>
      <c r="AI323" s="37"/>
      <c r="AJ323" s="37"/>
      <c r="AK323" s="37"/>
      <c r="AL323" s="37"/>
      <c r="AM323" s="37"/>
      <c r="AN323" s="37"/>
      <c r="AO323" s="37"/>
      <c r="AP323" s="37"/>
      <c r="AQ323" s="37"/>
      <c r="AR323" s="37"/>
      <c r="AS323" s="37"/>
      <c r="AT323" s="38"/>
      <c r="AU323" s="1630"/>
      <c r="AV323" s="1342">
        <f t="shared" si="178"/>
        <v>0</v>
      </c>
      <c r="AW323" s="1342">
        <f t="shared" si="179"/>
        <v>0</v>
      </c>
      <c r="AX323" s="1342">
        <f t="shared" si="180"/>
        <v>0</v>
      </c>
      <c r="AY323" s="39">
        <f t="shared" si="155"/>
        <v>0</v>
      </c>
      <c r="AZ323" s="32">
        <f t="shared" si="156"/>
        <v>0</v>
      </c>
      <c r="BA323" s="32">
        <f t="shared" si="157"/>
        <v>0</v>
      </c>
      <c r="BB323" s="32">
        <f t="shared" si="158"/>
        <v>0</v>
      </c>
      <c r="BC323" s="32">
        <f t="shared" si="159"/>
        <v>0</v>
      </c>
      <c r="BD323" s="32">
        <f t="shared" si="160"/>
        <v>0</v>
      </c>
      <c r="BE323" s="32">
        <f t="shared" si="161"/>
        <v>0</v>
      </c>
      <c r="BF323" s="32">
        <f t="shared" si="162"/>
        <v>0</v>
      </c>
      <c r="BG323" s="32">
        <f t="shared" si="163"/>
        <v>0</v>
      </c>
      <c r="BH323" s="32">
        <f t="shared" si="164"/>
        <v>0</v>
      </c>
      <c r="BI323" s="32">
        <f t="shared" si="165"/>
        <v>0</v>
      </c>
      <c r="BJ323" s="32">
        <f t="shared" si="166"/>
        <v>0</v>
      </c>
      <c r="BK323" s="32">
        <f t="shared" si="167"/>
        <v>0</v>
      </c>
      <c r="BL323" s="32">
        <f t="shared" si="168"/>
        <v>0</v>
      </c>
      <c r="BM323" s="32">
        <f t="shared" si="169"/>
        <v>0</v>
      </c>
      <c r="BN323" s="32">
        <f t="shared" si="170"/>
        <v>0</v>
      </c>
      <c r="BO323" s="32">
        <f t="shared" si="171"/>
        <v>0</v>
      </c>
      <c r="BP323" s="32">
        <f t="shared" si="172"/>
        <v>0</v>
      </c>
      <c r="BQ323" s="32">
        <f t="shared" si="173"/>
        <v>0</v>
      </c>
      <c r="BR323" s="32">
        <f t="shared" si="174"/>
        <v>0</v>
      </c>
      <c r="BS323" s="32">
        <f t="shared" si="175"/>
        <v>0</v>
      </c>
      <c r="BT323" s="40">
        <f t="shared" si="176"/>
        <v>0</v>
      </c>
    </row>
    <row r="324" spans="1:72">
      <c r="A324" s="6"/>
      <c r="B324" s="31"/>
      <c r="C324" s="31"/>
      <c r="D324" s="1629"/>
      <c r="E324" s="32">
        <f t="shared" si="177"/>
        <v>0</v>
      </c>
      <c r="F324" s="33"/>
      <c r="G324" s="34">
        <f t="shared" si="152"/>
        <v>0</v>
      </c>
      <c r="H324" s="35">
        <f t="shared" si="153"/>
        <v>0</v>
      </c>
      <c r="I324" s="36"/>
      <c r="J324" s="36"/>
      <c r="K324" s="36"/>
      <c r="L324" s="36"/>
      <c r="M324" s="36"/>
      <c r="N324" s="36"/>
      <c r="O324" s="36"/>
      <c r="P324" s="36"/>
      <c r="Q324" s="36"/>
      <c r="R324" s="36"/>
      <c r="S324" s="36"/>
      <c r="T324" s="36"/>
      <c r="U324" s="36"/>
      <c r="V324" s="36"/>
      <c r="W324" s="36"/>
      <c r="X324" s="36"/>
      <c r="Y324" s="36"/>
      <c r="Z324" s="36"/>
      <c r="AA324" s="36"/>
      <c r="AB324" s="36"/>
      <c r="AC324" s="32">
        <f t="shared" si="154"/>
        <v>0</v>
      </c>
      <c r="AD324" s="37"/>
      <c r="AE324" s="37"/>
      <c r="AF324" s="37"/>
      <c r="AG324" s="37"/>
      <c r="AH324" s="37"/>
      <c r="AI324" s="37"/>
      <c r="AJ324" s="37"/>
      <c r="AK324" s="37"/>
      <c r="AL324" s="37"/>
      <c r="AM324" s="37"/>
      <c r="AN324" s="37"/>
      <c r="AO324" s="37"/>
      <c r="AP324" s="37"/>
      <c r="AQ324" s="37"/>
      <c r="AR324" s="37"/>
      <c r="AS324" s="37"/>
      <c r="AT324" s="38"/>
      <c r="AU324" s="1630"/>
      <c r="AV324" s="1342">
        <f t="shared" si="178"/>
        <v>0</v>
      </c>
      <c r="AW324" s="1342">
        <f t="shared" si="179"/>
        <v>0</v>
      </c>
      <c r="AX324" s="1342">
        <f t="shared" si="180"/>
        <v>0</v>
      </c>
      <c r="AY324" s="39">
        <f t="shared" si="155"/>
        <v>0</v>
      </c>
      <c r="AZ324" s="32">
        <f t="shared" si="156"/>
        <v>0</v>
      </c>
      <c r="BA324" s="32">
        <f t="shared" si="157"/>
        <v>0</v>
      </c>
      <c r="BB324" s="32">
        <f t="shared" si="158"/>
        <v>0</v>
      </c>
      <c r="BC324" s="32">
        <f t="shared" si="159"/>
        <v>0</v>
      </c>
      <c r="BD324" s="32">
        <f t="shared" si="160"/>
        <v>0</v>
      </c>
      <c r="BE324" s="32">
        <f t="shared" si="161"/>
        <v>0</v>
      </c>
      <c r="BF324" s="32">
        <f t="shared" si="162"/>
        <v>0</v>
      </c>
      <c r="BG324" s="32">
        <f t="shared" si="163"/>
        <v>0</v>
      </c>
      <c r="BH324" s="32">
        <f t="shared" si="164"/>
        <v>0</v>
      </c>
      <c r="BI324" s="32">
        <f t="shared" si="165"/>
        <v>0</v>
      </c>
      <c r="BJ324" s="32">
        <f t="shared" si="166"/>
        <v>0</v>
      </c>
      <c r="BK324" s="32">
        <f t="shared" si="167"/>
        <v>0</v>
      </c>
      <c r="BL324" s="32">
        <f t="shared" si="168"/>
        <v>0</v>
      </c>
      <c r="BM324" s="32">
        <f t="shared" si="169"/>
        <v>0</v>
      </c>
      <c r="BN324" s="32">
        <f t="shared" si="170"/>
        <v>0</v>
      </c>
      <c r="BO324" s="32">
        <f t="shared" si="171"/>
        <v>0</v>
      </c>
      <c r="BP324" s="32">
        <f t="shared" si="172"/>
        <v>0</v>
      </c>
      <c r="BQ324" s="32">
        <f t="shared" si="173"/>
        <v>0</v>
      </c>
      <c r="BR324" s="32">
        <f t="shared" si="174"/>
        <v>0</v>
      </c>
      <c r="BS324" s="32">
        <f t="shared" si="175"/>
        <v>0</v>
      </c>
      <c r="BT324" s="40">
        <f t="shared" si="176"/>
        <v>0</v>
      </c>
    </row>
    <row r="325" spans="1:72">
      <c r="A325" s="6"/>
      <c r="B325" s="31"/>
      <c r="C325" s="31"/>
      <c r="D325" s="1629"/>
      <c r="E325" s="32">
        <f t="shared" si="177"/>
        <v>0</v>
      </c>
      <c r="F325" s="33"/>
      <c r="G325" s="34">
        <f t="shared" si="152"/>
        <v>0</v>
      </c>
      <c r="H325" s="35">
        <f t="shared" si="153"/>
        <v>0</v>
      </c>
      <c r="I325" s="36"/>
      <c r="J325" s="36"/>
      <c r="K325" s="36"/>
      <c r="L325" s="36"/>
      <c r="M325" s="36"/>
      <c r="N325" s="36"/>
      <c r="O325" s="36"/>
      <c r="P325" s="36"/>
      <c r="Q325" s="36"/>
      <c r="R325" s="36"/>
      <c r="S325" s="36"/>
      <c r="T325" s="36"/>
      <c r="U325" s="36"/>
      <c r="V325" s="36"/>
      <c r="W325" s="36"/>
      <c r="X325" s="36"/>
      <c r="Y325" s="36"/>
      <c r="Z325" s="36"/>
      <c r="AA325" s="36"/>
      <c r="AB325" s="36"/>
      <c r="AC325" s="32">
        <f t="shared" si="154"/>
        <v>0</v>
      </c>
      <c r="AD325" s="37"/>
      <c r="AE325" s="37"/>
      <c r="AF325" s="37"/>
      <c r="AG325" s="37"/>
      <c r="AH325" s="37"/>
      <c r="AI325" s="37"/>
      <c r="AJ325" s="37"/>
      <c r="AK325" s="37"/>
      <c r="AL325" s="37"/>
      <c r="AM325" s="37"/>
      <c r="AN325" s="37"/>
      <c r="AO325" s="37"/>
      <c r="AP325" s="37"/>
      <c r="AQ325" s="37"/>
      <c r="AR325" s="37"/>
      <c r="AS325" s="37"/>
      <c r="AT325" s="38"/>
      <c r="AU325" s="1630"/>
      <c r="AV325" s="1342">
        <f t="shared" si="178"/>
        <v>0</v>
      </c>
      <c r="AW325" s="1342">
        <f t="shared" si="179"/>
        <v>0</v>
      </c>
      <c r="AX325" s="1342">
        <f t="shared" si="180"/>
        <v>0</v>
      </c>
      <c r="AY325" s="39">
        <f t="shared" si="155"/>
        <v>0</v>
      </c>
      <c r="AZ325" s="32">
        <f t="shared" si="156"/>
        <v>0</v>
      </c>
      <c r="BA325" s="32">
        <f t="shared" si="157"/>
        <v>0</v>
      </c>
      <c r="BB325" s="32">
        <f t="shared" si="158"/>
        <v>0</v>
      </c>
      <c r="BC325" s="32">
        <f t="shared" si="159"/>
        <v>0</v>
      </c>
      <c r="BD325" s="32">
        <f t="shared" si="160"/>
        <v>0</v>
      </c>
      <c r="BE325" s="32">
        <f t="shared" si="161"/>
        <v>0</v>
      </c>
      <c r="BF325" s="32">
        <f t="shared" si="162"/>
        <v>0</v>
      </c>
      <c r="BG325" s="32">
        <f t="shared" si="163"/>
        <v>0</v>
      </c>
      <c r="BH325" s="32">
        <f t="shared" si="164"/>
        <v>0</v>
      </c>
      <c r="BI325" s="32">
        <f t="shared" si="165"/>
        <v>0</v>
      </c>
      <c r="BJ325" s="32">
        <f t="shared" si="166"/>
        <v>0</v>
      </c>
      <c r="BK325" s="32">
        <f t="shared" si="167"/>
        <v>0</v>
      </c>
      <c r="BL325" s="32">
        <f t="shared" si="168"/>
        <v>0</v>
      </c>
      <c r="BM325" s="32">
        <f t="shared" si="169"/>
        <v>0</v>
      </c>
      <c r="BN325" s="32">
        <f t="shared" si="170"/>
        <v>0</v>
      </c>
      <c r="BO325" s="32">
        <f t="shared" si="171"/>
        <v>0</v>
      </c>
      <c r="BP325" s="32">
        <f t="shared" si="172"/>
        <v>0</v>
      </c>
      <c r="BQ325" s="32">
        <f t="shared" si="173"/>
        <v>0</v>
      </c>
      <c r="BR325" s="32">
        <f t="shared" si="174"/>
        <v>0</v>
      </c>
      <c r="BS325" s="32">
        <f t="shared" si="175"/>
        <v>0</v>
      </c>
      <c r="BT325" s="40">
        <f t="shared" si="176"/>
        <v>0</v>
      </c>
    </row>
    <row r="326" spans="1:72">
      <c r="A326" s="6"/>
      <c r="B326" s="31"/>
      <c r="C326" s="31"/>
      <c r="D326" s="1629"/>
      <c r="E326" s="32">
        <f t="shared" si="177"/>
        <v>0</v>
      </c>
      <c r="F326" s="33"/>
      <c r="G326" s="34">
        <f t="shared" si="152"/>
        <v>0</v>
      </c>
      <c r="H326" s="35">
        <f t="shared" si="153"/>
        <v>0</v>
      </c>
      <c r="I326" s="36"/>
      <c r="J326" s="36"/>
      <c r="K326" s="36"/>
      <c r="L326" s="36"/>
      <c r="M326" s="36"/>
      <c r="N326" s="36"/>
      <c r="O326" s="36"/>
      <c r="P326" s="36"/>
      <c r="Q326" s="36"/>
      <c r="R326" s="36"/>
      <c r="S326" s="36"/>
      <c r="T326" s="36"/>
      <c r="U326" s="36"/>
      <c r="V326" s="36"/>
      <c r="W326" s="36"/>
      <c r="X326" s="36"/>
      <c r="Y326" s="36"/>
      <c r="Z326" s="36"/>
      <c r="AA326" s="36"/>
      <c r="AB326" s="36"/>
      <c r="AC326" s="32">
        <f t="shared" si="154"/>
        <v>0</v>
      </c>
      <c r="AD326" s="37"/>
      <c r="AE326" s="37"/>
      <c r="AF326" s="37"/>
      <c r="AG326" s="37"/>
      <c r="AH326" s="37"/>
      <c r="AI326" s="37"/>
      <c r="AJ326" s="37"/>
      <c r="AK326" s="37"/>
      <c r="AL326" s="37"/>
      <c r="AM326" s="37"/>
      <c r="AN326" s="37"/>
      <c r="AO326" s="37"/>
      <c r="AP326" s="37"/>
      <c r="AQ326" s="37"/>
      <c r="AR326" s="37"/>
      <c r="AS326" s="37"/>
      <c r="AT326" s="38"/>
      <c r="AU326" s="1630"/>
      <c r="AV326" s="1342">
        <f t="shared" si="178"/>
        <v>0</v>
      </c>
      <c r="AW326" s="1342">
        <f t="shared" si="179"/>
        <v>0</v>
      </c>
      <c r="AX326" s="1342">
        <f t="shared" si="180"/>
        <v>0</v>
      </c>
      <c r="AY326" s="39">
        <f t="shared" si="155"/>
        <v>0</v>
      </c>
      <c r="AZ326" s="32">
        <f t="shared" si="156"/>
        <v>0</v>
      </c>
      <c r="BA326" s="32">
        <f t="shared" si="157"/>
        <v>0</v>
      </c>
      <c r="BB326" s="32">
        <f t="shared" si="158"/>
        <v>0</v>
      </c>
      <c r="BC326" s="32">
        <f t="shared" si="159"/>
        <v>0</v>
      </c>
      <c r="BD326" s="32">
        <f t="shared" si="160"/>
        <v>0</v>
      </c>
      <c r="BE326" s="32">
        <f t="shared" si="161"/>
        <v>0</v>
      </c>
      <c r="BF326" s="32">
        <f t="shared" si="162"/>
        <v>0</v>
      </c>
      <c r="BG326" s="32">
        <f t="shared" si="163"/>
        <v>0</v>
      </c>
      <c r="BH326" s="32">
        <f t="shared" si="164"/>
        <v>0</v>
      </c>
      <c r="BI326" s="32">
        <f t="shared" si="165"/>
        <v>0</v>
      </c>
      <c r="BJ326" s="32">
        <f t="shared" si="166"/>
        <v>0</v>
      </c>
      <c r="BK326" s="32">
        <f t="shared" si="167"/>
        <v>0</v>
      </c>
      <c r="BL326" s="32">
        <f t="shared" si="168"/>
        <v>0</v>
      </c>
      <c r="BM326" s="32">
        <f t="shared" si="169"/>
        <v>0</v>
      </c>
      <c r="BN326" s="32">
        <f t="shared" si="170"/>
        <v>0</v>
      </c>
      <c r="BO326" s="32">
        <f t="shared" si="171"/>
        <v>0</v>
      </c>
      <c r="BP326" s="32">
        <f t="shared" si="172"/>
        <v>0</v>
      </c>
      <c r="BQ326" s="32">
        <f t="shared" si="173"/>
        <v>0</v>
      </c>
      <c r="BR326" s="32">
        <f t="shared" si="174"/>
        <v>0</v>
      </c>
      <c r="BS326" s="32">
        <f t="shared" si="175"/>
        <v>0</v>
      </c>
      <c r="BT326" s="40">
        <f t="shared" si="176"/>
        <v>0</v>
      </c>
    </row>
    <row r="327" spans="1:72">
      <c r="A327" s="6"/>
      <c r="B327" s="31"/>
      <c r="C327" s="31"/>
      <c r="D327" s="1629"/>
      <c r="E327" s="32">
        <f t="shared" si="177"/>
        <v>0</v>
      </c>
      <c r="F327" s="33"/>
      <c r="G327" s="34">
        <f t="shared" si="152"/>
        <v>0</v>
      </c>
      <c r="H327" s="35">
        <f t="shared" si="153"/>
        <v>0</v>
      </c>
      <c r="I327" s="36"/>
      <c r="J327" s="36"/>
      <c r="K327" s="36"/>
      <c r="L327" s="36"/>
      <c r="M327" s="36"/>
      <c r="N327" s="36"/>
      <c r="O327" s="36"/>
      <c r="P327" s="36"/>
      <c r="Q327" s="36"/>
      <c r="R327" s="36"/>
      <c r="S327" s="36"/>
      <c r="T327" s="36"/>
      <c r="U327" s="36"/>
      <c r="V327" s="36"/>
      <c r="W327" s="36"/>
      <c r="X327" s="36"/>
      <c r="Y327" s="36"/>
      <c r="Z327" s="36"/>
      <c r="AA327" s="36"/>
      <c r="AB327" s="36"/>
      <c r="AC327" s="32">
        <f t="shared" si="154"/>
        <v>0</v>
      </c>
      <c r="AD327" s="37"/>
      <c r="AE327" s="37"/>
      <c r="AF327" s="37"/>
      <c r="AG327" s="37"/>
      <c r="AH327" s="37"/>
      <c r="AI327" s="37"/>
      <c r="AJ327" s="37"/>
      <c r="AK327" s="37"/>
      <c r="AL327" s="37"/>
      <c r="AM327" s="37"/>
      <c r="AN327" s="37"/>
      <c r="AO327" s="37"/>
      <c r="AP327" s="37"/>
      <c r="AQ327" s="37"/>
      <c r="AR327" s="37"/>
      <c r="AS327" s="37"/>
      <c r="AT327" s="38"/>
      <c r="AU327" s="1630"/>
      <c r="AV327" s="1342">
        <f t="shared" si="178"/>
        <v>0</v>
      </c>
      <c r="AW327" s="1342">
        <f t="shared" si="179"/>
        <v>0</v>
      </c>
      <c r="AX327" s="1342">
        <f t="shared" si="180"/>
        <v>0</v>
      </c>
      <c r="AY327" s="39">
        <f t="shared" si="155"/>
        <v>0</v>
      </c>
      <c r="AZ327" s="32">
        <f t="shared" si="156"/>
        <v>0</v>
      </c>
      <c r="BA327" s="32">
        <f t="shared" si="157"/>
        <v>0</v>
      </c>
      <c r="BB327" s="32">
        <f t="shared" si="158"/>
        <v>0</v>
      </c>
      <c r="BC327" s="32">
        <f t="shared" si="159"/>
        <v>0</v>
      </c>
      <c r="BD327" s="32">
        <f t="shared" si="160"/>
        <v>0</v>
      </c>
      <c r="BE327" s="32">
        <f t="shared" si="161"/>
        <v>0</v>
      </c>
      <c r="BF327" s="32">
        <f t="shared" si="162"/>
        <v>0</v>
      </c>
      <c r="BG327" s="32">
        <f t="shared" si="163"/>
        <v>0</v>
      </c>
      <c r="BH327" s="32">
        <f t="shared" si="164"/>
        <v>0</v>
      </c>
      <c r="BI327" s="32">
        <f t="shared" si="165"/>
        <v>0</v>
      </c>
      <c r="BJ327" s="32">
        <f t="shared" si="166"/>
        <v>0</v>
      </c>
      <c r="BK327" s="32">
        <f t="shared" si="167"/>
        <v>0</v>
      </c>
      <c r="BL327" s="32">
        <f t="shared" si="168"/>
        <v>0</v>
      </c>
      <c r="BM327" s="32">
        <f t="shared" si="169"/>
        <v>0</v>
      </c>
      <c r="BN327" s="32">
        <f t="shared" si="170"/>
        <v>0</v>
      </c>
      <c r="BO327" s="32">
        <f t="shared" si="171"/>
        <v>0</v>
      </c>
      <c r="BP327" s="32">
        <f t="shared" si="172"/>
        <v>0</v>
      </c>
      <c r="BQ327" s="32">
        <f t="shared" si="173"/>
        <v>0</v>
      </c>
      <c r="BR327" s="32">
        <f t="shared" si="174"/>
        <v>0</v>
      </c>
      <c r="BS327" s="32">
        <f t="shared" si="175"/>
        <v>0</v>
      </c>
      <c r="BT327" s="40">
        <f t="shared" si="176"/>
        <v>0</v>
      </c>
    </row>
    <row r="328" spans="1:72">
      <c r="A328" s="6"/>
      <c r="B328" s="31"/>
      <c r="C328" s="31"/>
      <c r="D328" s="1629"/>
      <c r="E328" s="32">
        <f t="shared" si="177"/>
        <v>0</v>
      </c>
      <c r="F328" s="33"/>
      <c r="G328" s="34">
        <f t="shared" si="152"/>
        <v>0</v>
      </c>
      <c r="H328" s="35">
        <f t="shared" si="153"/>
        <v>0</v>
      </c>
      <c r="I328" s="36"/>
      <c r="J328" s="36"/>
      <c r="K328" s="36"/>
      <c r="L328" s="36"/>
      <c r="M328" s="36"/>
      <c r="N328" s="36"/>
      <c r="O328" s="36"/>
      <c r="P328" s="36"/>
      <c r="Q328" s="36"/>
      <c r="R328" s="36"/>
      <c r="S328" s="36"/>
      <c r="T328" s="36"/>
      <c r="U328" s="36"/>
      <c r="V328" s="36"/>
      <c r="W328" s="36"/>
      <c r="X328" s="36"/>
      <c r="Y328" s="36"/>
      <c r="Z328" s="36"/>
      <c r="AA328" s="36"/>
      <c r="AB328" s="36"/>
      <c r="AC328" s="32">
        <f t="shared" si="154"/>
        <v>0</v>
      </c>
      <c r="AD328" s="37"/>
      <c r="AE328" s="37"/>
      <c r="AF328" s="37"/>
      <c r="AG328" s="37"/>
      <c r="AH328" s="37"/>
      <c r="AI328" s="37"/>
      <c r="AJ328" s="37"/>
      <c r="AK328" s="37"/>
      <c r="AL328" s="37"/>
      <c r="AM328" s="37"/>
      <c r="AN328" s="37"/>
      <c r="AO328" s="37"/>
      <c r="AP328" s="37"/>
      <c r="AQ328" s="37"/>
      <c r="AR328" s="37"/>
      <c r="AS328" s="37"/>
      <c r="AT328" s="38"/>
      <c r="AU328" s="1630"/>
      <c r="AV328" s="1342">
        <f t="shared" si="178"/>
        <v>0</v>
      </c>
      <c r="AW328" s="1342">
        <f t="shared" si="179"/>
        <v>0</v>
      </c>
      <c r="AX328" s="1342">
        <f t="shared" si="180"/>
        <v>0</v>
      </c>
      <c r="AY328" s="39">
        <f t="shared" si="155"/>
        <v>0</v>
      </c>
      <c r="AZ328" s="32">
        <f t="shared" si="156"/>
        <v>0</v>
      </c>
      <c r="BA328" s="32">
        <f t="shared" si="157"/>
        <v>0</v>
      </c>
      <c r="BB328" s="32">
        <f t="shared" si="158"/>
        <v>0</v>
      </c>
      <c r="BC328" s="32">
        <f t="shared" si="159"/>
        <v>0</v>
      </c>
      <c r="BD328" s="32">
        <f t="shared" si="160"/>
        <v>0</v>
      </c>
      <c r="BE328" s="32">
        <f t="shared" si="161"/>
        <v>0</v>
      </c>
      <c r="BF328" s="32">
        <f t="shared" si="162"/>
        <v>0</v>
      </c>
      <c r="BG328" s="32">
        <f t="shared" si="163"/>
        <v>0</v>
      </c>
      <c r="BH328" s="32">
        <f t="shared" si="164"/>
        <v>0</v>
      </c>
      <c r="BI328" s="32">
        <f t="shared" si="165"/>
        <v>0</v>
      </c>
      <c r="BJ328" s="32">
        <f t="shared" si="166"/>
        <v>0</v>
      </c>
      <c r="BK328" s="32">
        <f t="shared" si="167"/>
        <v>0</v>
      </c>
      <c r="BL328" s="32">
        <f t="shared" si="168"/>
        <v>0</v>
      </c>
      <c r="BM328" s="32">
        <f t="shared" si="169"/>
        <v>0</v>
      </c>
      <c r="BN328" s="32">
        <f t="shared" si="170"/>
        <v>0</v>
      </c>
      <c r="BO328" s="32">
        <f t="shared" si="171"/>
        <v>0</v>
      </c>
      <c r="BP328" s="32">
        <f t="shared" si="172"/>
        <v>0</v>
      </c>
      <c r="BQ328" s="32">
        <f t="shared" si="173"/>
        <v>0</v>
      </c>
      <c r="BR328" s="32">
        <f t="shared" si="174"/>
        <v>0</v>
      </c>
      <c r="BS328" s="32">
        <f t="shared" si="175"/>
        <v>0</v>
      </c>
      <c r="BT328" s="40">
        <f t="shared" si="176"/>
        <v>0</v>
      </c>
    </row>
    <row r="329" spans="1:72">
      <c r="A329" s="6"/>
      <c r="B329" s="31"/>
      <c r="C329" s="31"/>
      <c r="D329" s="1629"/>
      <c r="E329" s="32">
        <f t="shared" si="177"/>
        <v>0</v>
      </c>
      <c r="F329" s="33"/>
      <c r="G329" s="34">
        <f t="shared" si="152"/>
        <v>0</v>
      </c>
      <c r="H329" s="35">
        <f t="shared" si="153"/>
        <v>0</v>
      </c>
      <c r="I329" s="36"/>
      <c r="J329" s="36"/>
      <c r="K329" s="36"/>
      <c r="L329" s="36"/>
      <c r="M329" s="36"/>
      <c r="N329" s="36"/>
      <c r="O329" s="36"/>
      <c r="P329" s="36"/>
      <c r="Q329" s="36"/>
      <c r="R329" s="36"/>
      <c r="S329" s="36"/>
      <c r="T329" s="36"/>
      <c r="U329" s="36"/>
      <c r="V329" s="36"/>
      <c r="W329" s="36"/>
      <c r="X329" s="36"/>
      <c r="Y329" s="36"/>
      <c r="Z329" s="36"/>
      <c r="AA329" s="36"/>
      <c r="AB329" s="36"/>
      <c r="AC329" s="32">
        <f t="shared" si="154"/>
        <v>0</v>
      </c>
      <c r="AD329" s="37"/>
      <c r="AE329" s="37"/>
      <c r="AF329" s="37"/>
      <c r="AG329" s="37"/>
      <c r="AH329" s="37"/>
      <c r="AI329" s="37"/>
      <c r="AJ329" s="37"/>
      <c r="AK329" s="37"/>
      <c r="AL329" s="37"/>
      <c r="AM329" s="37"/>
      <c r="AN329" s="37"/>
      <c r="AO329" s="37"/>
      <c r="AP329" s="37"/>
      <c r="AQ329" s="37"/>
      <c r="AR329" s="37"/>
      <c r="AS329" s="37"/>
      <c r="AT329" s="38"/>
      <c r="AU329" s="1630"/>
      <c r="AV329" s="1342">
        <f t="shared" si="178"/>
        <v>0</v>
      </c>
      <c r="AW329" s="1342">
        <f t="shared" si="179"/>
        <v>0</v>
      </c>
      <c r="AX329" s="1342">
        <f t="shared" si="180"/>
        <v>0</v>
      </c>
      <c r="AY329" s="39">
        <f t="shared" si="155"/>
        <v>0</v>
      </c>
      <c r="AZ329" s="32">
        <f t="shared" si="156"/>
        <v>0</v>
      </c>
      <c r="BA329" s="32">
        <f t="shared" si="157"/>
        <v>0</v>
      </c>
      <c r="BB329" s="32">
        <f t="shared" si="158"/>
        <v>0</v>
      </c>
      <c r="BC329" s="32">
        <f t="shared" si="159"/>
        <v>0</v>
      </c>
      <c r="BD329" s="32">
        <f t="shared" si="160"/>
        <v>0</v>
      </c>
      <c r="BE329" s="32">
        <f t="shared" si="161"/>
        <v>0</v>
      </c>
      <c r="BF329" s="32">
        <f t="shared" si="162"/>
        <v>0</v>
      </c>
      <c r="BG329" s="32">
        <f t="shared" si="163"/>
        <v>0</v>
      </c>
      <c r="BH329" s="32">
        <f t="shared" si="164"/>
        <v>0</v>
      </c>
      <c r="BI329" s="32">
        <f t="shared" si="165"/>
        <v>0</v>
      </c>
      <c r="BJ329" s="32">
        <f t="shared" si="166"/>
        <v>0</v>
      </c>
      <c r="BK329" s="32">
        <f t="shared" si="167"/>
        <v>0</v>
      </c>
      <c r="BL329" s="32">
        <f t="shared" si="168"/>
        <v>0</v>
      </c>
      <c r="BM329" s="32">
        <f t="shared" si="169"/>
        <v>0</v>
      </c>
      <c r="BN329" s="32">
        <f t="shared" si="170"/>
        <v>0</v>
      </c>
      <c r="BO329" s="32">
        <f t="shared" si="171"/>
        <v>0</v>
      </c>
      <c r="BP329" s="32">
        <f t="shared" si="172"/>
        <v>0</v>
      </c>
      <c r="BQ329" s="32">
        <f t="shared" si="173"/>
        <v>0</v>
      </c>
      <c r="BR329" s="32">
        <f t="shared" si="174"/>
        <v>0</v>
      </c>
      <c r="BS329" s="32">
        <f t="shared" si="175"/>
        <v>0</v>
      </c>
      <c r="BT329" s="40">
        <f t="shared" si="176"/>
        <v>0</v>
      </c>
    </row>
    <row r="330" spans="1:72">
      <c r="A330" s="6"/>
      <c r="B330" s="31"/>
      <c r="C330" s="31"/>
      <c r="D330" s="1629"/>
      <c r="E330" s="32">
        <f t="shared" si="177"/>
        <v>0</v>
      </c>
      <c r="F330" s="33"/>
      <c r="G330" s="34">
        <f t="shared" si="152"/>
        <v>0</v>
      </c>
      <c r="H330" s="35">
        <f t="shared" si="153"/>
        <v>0</v>
      </c>
      <c r="I330" s="36"/>
      <c r="J330" s="36"/>
      <c r="K330" s="36"/>
      <c r="L330" s="36"/>
      <c r="M330" s="36"/>
      <c r="N330" s="36"/>
      <c r="O330" s="36"/>
      <c r="P330" s="36"/>
      <c r="Q330" s="36"/>
      <c r="R330" s="36"/>
      <c r="S330" s="36"/>
      <c r="T330" s="36"/>
      <c r="U330" s="36"/>
      <c r="V330" s="36"/>
      <c r="W330" s="36"/>
      <c r="X330" s="36"/>
      <c r="Y330" s="36"/>
      <c r="Z330" s="36"/>
      <c r="AA330" s="36"/>
      <c r="AB330" s="36"/>
      <c r="AC330" s="32">
        <f t="shared" si="154"/>
        <v>0</v>
      </c>
      <c r="AD330" s="37"/>
      <c r="AE330" s="37"/>
      <c r="AF330" s="37"/>
      <c r="AG330" s="37"/>
      <c r="AH330" s="37"/>
      <c r="AI330" s="37"/>
      <c r="AJ330" s="37"/>
      <c r="AK330" s="37"/>
      <c r="AL330" s="37"/>
      <c r="AM330" s="37"/>
      <c r="AN330" s="37"/>
      <c r="AO330" s="37"/>
      <c r="AP330" s="37"/>
      <c r="AQ330" s="37"/>
      <c r="AR330" s="37"/>
      <c r="AS330" s="37"/>
      <c r="AT330" s="38"/>
      <c r="AU330" s="1630"/>
      <c r="AV330" s="1342">
        <f t="shared" si="178"/>
        <v>0</v>
      </c>
      <c r="AW330" s="1342">
        <f t="shared" si="179"/>
        <v>0</v>
      </c>
      <c r="AX330" s="1342">
        <f t="shared" si="180"/>
        <v>0</v>
      </c>
      <c r="AY330" s="39">
        <f t="shared" si="155"/>
        <v>0</v>
      </c>
      <c r="AZ330" s="32">
        <f t="shared" si="156"/>
        <v>0</v>
      </c>
      <c r="BA330" s="32">
        <f t="shared" si="157"/>
        <v>0</v>
      </c>
      <c r="BB330" s="32">
        <f t="shared" si="158"/>
        <v>0</v>
      </c>
      <c r="BC330" s="32">
        <f t="shared" si="159"/>
        <v>0</v>
      </c>
      <c r="BD330" s="32">
        <f t="shared" si="160"/>
        <v>0</v>
      </c>
      <c r="BE330" s="32">
        <f t="shared" si="161"/>
        <v>0</v>
      </c>
      <c r="BF330" s="32">
        <f t="shared" si="162"/>
        <v>0</v>
      </c>
      <c r="BG330" s="32">
        <f t="shared" si="163"/>
        <v>0</v>
      </c>
      <c r="BH330" s="32">
        <f t="shared" si="164"/>
        <v>0</v>
      </c>
      <c r="BI330" s="32">
        <f t="shared" si="165"/>
        <v>0</v>
      </c>
      <c r="BJ330" s="32">
        <f t="shared" si="166"/>
        <v>0</v>
      </c>
      <c r="BK330" s="32">
        <f t="shared" si="167"/>
        <v>0</v>
      </c>
      <c r="BL330" s="32">
        <f t="shared" si="168"/>
        <v>0</v>
      </c>
      <c r="BM330" s="32">
        <f t="shared" si="169"/>
        <v>0</v>
      </c>
      <c r="BN330" s="32">
        <f t="shared" si="170"/>
        <v>0</v>
      </c>
      <c r="BO330" s="32">
        <f t="shared" si="171"/>
        <v>0</v>
      </c>
      <c r="BP330" s="32">
        <f t="shared" si="172"/>
        <v>0</v>
      </c>
      <c r="BQ330" s="32">
        <f t="shared" si="173"/>
        <v>0</v>
      </c>
      <c r="BR330" s="32">
        <f t="shared" si="174"/>
        <v>0</v>
      </c>
      <c r="BS330" s="32">
        <f t="shared" si="175"/>
        <v>0</v>
      </c>
      <c r="BT330" s="40">
        <f t="shared" si="176"/>
        <v>0</v>
      </c>
    </row>
    <row r="331" spans="1:72">
      <c r="A331" s="6"/>
      <c r="B331" s="31"/>
      <c r="C331" s="31"/>
      <c r="D331" s="1629"/>
      <c r="E331" s="32">
        <f t="shared" si="177"/>
        <v>0</v>
      </c>
      <c r="F331" s="33"/>
      <c r="G331" s="34">
        <f t="shared" si="152"/>
        <v>0</v>
      </c>
      <c r="H331" s="35">
        <f t="shared" si="153"/>
        <v>0</v>
      </c>
      <c r="I331" s="36"/>
      <c r="J331" s="36"/>
      <c r="K331" s="36"/>
      <c r="L331" s="36"/>
      <c r="M331" s="36"/>
      <c r="N331" s="36"/>
      <c r="O331" s="36"/>
      <c r="P331" s="36"/>
      <c r="Q331" s="36"/>
      <c r="R331" s="36"/>
      <c r="S331" s="36"/>
      <c r="T331" s="36"/>
      <c r="U331" s="36"/>
      <c r="V331" s="36"/>
      <c r="W331" s="36"/>
      <c r="X331" s="36"/>
      <c r="Y331" s="36"/>
      <c r="Z331" s="36"/>
      <c r="AA331" s="36"/>
      <c r="AB331" s="36"/>
      <c r="AC331" s="32">
        <f t="shared" si="154"/>
        <v>0</v>
      </c>
      <c r="AD331" s="37"/>
      <c r="AE331" s="37"/>
      <c r="AF331" s="37"/>
      <c r="AG331" s="37"/>
      <c r="AH331" s="37"/>
      <c r="AI331" s="37"/>
      <c r="AJ331" s="37"/>
      <c r="AK331" s="37"/>
      <c r="AL331" s="37"/>
      <c r="AM331" s="37"/>
      <c r="AN331" s="37"/>
      <c r="AO331" s="37"/>
      <c r="AP331" s="37"/>
      <c r="AQ331" s="37"/>
      <c r="AR331" s="37"/>
      <c r="AS331" s="37"/>
      <c r="AT331" s="38"/>
      <c r="AU331" s="1630"/>
      <c r="AV331" s="1342">
        <f t="shared" si="178"/>
        <v>0</v>
      </c>
      <c r="AW331" s="1342">
        <f t="shared" si="179"/>
        <v>0</v>
      </c>
      <c r="AX331" s="1342">
        <f t="shared" si="180"/>
        <v>0</v>
      </c>
      <c r="AY331" s="39">
        <f t="shared" si="155"/>
        <v>0</v>
      </c>
      <c r="AZ331" s="32">
        <f t="shared" si="156"/>
        <v>0</v>
      </c>
      <c r="BA331" s="32">
        <f t="shared" si="157"/>
        <v>0</v>
      </c>
      <c r="BB331" s="32">
        <f t="shared" si="158"/>
        <v>0</v>
      </c>
      <c r="BC331" s="32">
        <f t="shared" si="159"/>
        <v>0</v>
      </c>
      <c r="BD331" s="32">
        <f t="shared" si="160"/>
        <v>0</v>
      </c>
      <c r="BE331" s="32">
        <f t="shared" si="161"/>
        <v>0</v>
      </c>
      <c r="BF331" s="32">
        <f t="shared" si="162"/>
        <v>0</v>
      </c>
      <c r="BG331" s="32">
        <f t="shared" si="163"/>
        <v>0</v>
      </c>
      <c r="BH331" s="32">
        <f t="shared" si="164"/>
        <v>0</v>
      </c>
      <c r="BI331" s="32">
        <f t="shared" si="165"/>
        <v>0</v>
      </c>
      <c r="BJ331" s="32">
        <f t="shared" si="166"/>
        <v>0</v>
      </c>
      <c r="BK331" s="32">
        <f t="shared" si="167"/>
        <v>0</v>
      </c>
      <c r="BL331" s="32">
        <f t="shared" si="168"/>
        <v>0</v>
      </c>
      <c r="BM331" s="32">
        <f t="shared" si="169"/>
        <v>0</v>
      </c>
      <c r="BN331" s="32">
        <f t="shared" si="170"/>
        <v>0</v>
      </c>
      <c r="BO331" s="32">
        <f t="shared" si="171"/>
        <v>0</v>
      </c>
      <c r="BP331" s="32">
        <f t="shared" si="172"/>
        <v>0</v>
      </c>
      <c r="BQ331" s="32">
        <f t="shared" si="173"/>
        <v>0</v>
      </c>
      <c r="BR331" s="32">
        <f t="shared" si="174"/>
        <v>0</v>
      </c>
      <c r="BS331" s="32">
        <f t="shared" si="175"/>
        <v>0</v>
      </c>
      <c r="BT331" s="40">
        <f t="shared" si="176"/>
        <v>0</v>
      </c>
    </row>
    <row r="332" spans="1:72">
      <c r="A332" s="6"/>
      <c r="B332" s="31"/>
      <c r="C332" s="31"/>
      <c r="D332" s="1629"/>
      <c r="E332" s="32">
        <f t="shared" si="177"/>
        <v>0</v>
      </c>
      <c r="F332" s="33"/>
      <c r="G332" s="34">
        <f t="shared" ref="G332:G363" si="181">H332+AC332+AT332</f>
        <v>0</v>
      </c>
      <c r="H332" s="35">
        <f t="shared" ref="H332:H363" si="182">SUMIF(I$12:AB$12,"总值",I332:AB332)</f>
        <v>0</v>
      </c>
      <c r="I332" s="36"/>
      <c r="J332" s="36"/>
      <c r="K332" s="36"/>
      <c r="L332" s="36"/>
      <c r="M332" s="36"/>
      <c r="N332" s="36"/>
      <c r="O332" s="36"/>
      <c r="P332" s="36"/>
      <c r="Q332" s="36"/>
      <c r="R332" s="36"/>
      <c r="S332" s="36"/>
      <c r="T332" s="36"/>
      <c r="U332" s="36"/>
      <c r="V332" s="36"/>
      <c r="W332" s="36"/>
      <c r="X332" s="36"/>
      <c r="Y332" s="36"/>
      <c r="Z332" s="36"/>
      <c r="AA332" s="36"/>
      <c r="AB332" s="36"/>
      <c r="AC332" s="32">
        <f t="shared" ref="AC332:AC363" si="183">SUMIF(AD$12:AS$12,"总值",AD332:AS332)</f>
        <v>0</v>
      </c>
      <c r="AD332" s="37"/>
      <c r="AE332" s="37"/>
      <c r="AF332" s="37"/>
      <c r="AG332" s="37"/>
      <c r="AH332" s="37"/>
      <c r="AI332" s="37"/>
      <c r="AJ332" s="37"/>
      <c r="AK332" s="37"/>
      <c r="AL332" s="37"/>
      <c r="AM332" s="37"/>
      <c r="AN332" s="37"/>
      <c r="AO332" s="37"/>
      <c r="AP332" s="37"/>
      <c r="AQ332" s="37"/>
      <c r="AR332" s="37"/>
      <c r="AS332" s="37"/>
      <c r="AT332" s="38"/>
      <c r="AU332" s="1630"/>
      <c r="AV332" s="1342">
        <f t="shared" si="178"/>
        <v>0</v>
      </c>
      <c r="AW332" s="1342">
        <f t="shared" si="179"/>
        <v>0</v>
      </c>
      <c r="AX332" s="1342">
        <f t="shared" si="180"/>
        <v>0</v>
      </c>
      <c r="AY332" s="39">
        <f t="shared" ref="AY332:AY363" si="184">ROUND($AY$6*AZ332/$AZ$5,2)</f>
        <v>0</v>
      </c>
      <c r="AZ332" s="32">
        <f t="shared" ref="AZ332:AZ363" si="185">BA332+BL332</f>
        <v>0</v>
      </c>
      <c r="BA332" s="32">
        <f t="shared" ref="BA332:BA363" si="186">SUM(BB332:BK332)</f>
        <v>0</v>
      </c>
      <c r="BB332" s="32">
        <f t="shared" ref="BB332:BB363" si="187">IF($D332="是",I332-J332,0)</f>
        <v>0</v>
      </c>
      <c r="BC332" s="32">
        <f t="shared" ref="BC332:BC363" si="188">IF($D332="是",K332-L332,0)</f>
        <v>0</v>
      </c>
      <c r="BD332" s="32">
        <f t="shared" ref="BD332:BD363" si="189">IF($D332="是",M332-N332,0)</f>
        <v>0</v>
      </c>
      <c r="BE332" s="32">
        <f t="shared" ref="BE332:BE363" si="190">IF($D332="是",O332-P332,0)</f>
        <v>0</v>
      </c>
      <c r="BF332" s="32">
        <f t="shared" ref="BF332:BF363" si="191">IF($D332="是",Q332-R332,0)</f>
        <v>0</v>
      </c>
      <c r="BG332" s="32">
        <f t="shared" ref="BG332:BG363" si="192">IF($D332="是",S332-T332,0)</f>
        <v>0</v>
      </c>
      <c r="BH332" s="32">
        <f t="shared" ref="BH332:BH363" si="193">IF($D332="是",U332-V332,0)</f>
        <v>0</v>
      </c>
      <c r="BI332" s="32">
        <f t="shared" ref="BI332:BI363" si="194">IF($D332="是",W332-X332,0)</f>
        <v>0</v>
      </c>
      <c r="BJ332" s="32">
        <f t="shared" ref="BJ332:BJ363" si="195">IF($D332="是",Y332-Z332,0)</f>
        <v>0</v>
      </c>
      <c r="BK332" s="32">
        <f t="shared" ref="BK332:BK363" si="196">IF($D332="是",AA332-AB332,0)</f>
        <v>0</v>
      </c>
      <c r="BL332" s="32">
        <f t="shared" ref="BL332:BL363" si="197">SUM(BM332:BT332)</f>
        <v>0</v>
      </c>
      <c r="BM332" s="32">
        <f t="shared" ref="BM332:BM363" si="198">IF($D332="是",AD332-AE332,0)</f>
        <v>0</v>
      </c>
      <c r="BN332" s="32">
        <f t="shared" ref="BN332:BN363" si="199">IF($D332="是",AF332-AG332,0)</f>
        <v>0</v>
      </c>
      <c r="BO332" s="32">
        <f t="shared" ref="BO332:BO363" si="200">IF($D332="是",AH332-AI332,0)</f>
        <v>0</v>
      </c>
      <c r="BP332" s="32">
        <f t="shared" ref="BP332:BP363" si="201">IF($D332="是",AJ332-AK332,0)</f>
        <v>0</v>
      </c>
      <c r="BQ332" s="32">
        <f t="shared" ref="BQ332:BQ363" si="202">IF($D332="是",AL332-AM332,0)</f>
        <v>0</v>
      </c>
      <c r="BR332" s="32">
        <f t="shared" ref="BR332:BR363" si="203">IF($D332="是",AN332-AO332,0)</f>
        <v>0</v>
      </c>
      <c r="BS332" s="32">
        <f t="shared" ref="BS332:BS363" si="204">IF($D332="是",AP332-AQ332,0)</f>
        <v>0</v>
      </c>
      <c r="BT332" s="40">
        <f t="shared" ref="BT332:BT363" si="205">IF($D332="是",AR332-AS332,0)</f>
        <v>0</v>
      </c>
    </row>
    <row r="333" spans="1:72">
      <c r="A333" s="6"/>
      <c r="B333" s="31"/>
      <c r="C333" s="31"/>
      <c r="D333" s="1629"/>
      <c r="E333" s="32">
        <f t="shared" si="177"/>
        <v>0</v>
      </c>
      <c r="F333" s="33"/>
      <c r="G333" s="34">
        <f t="shared" si="181"/>
        <v>0</v>
      </c>
      <c r="H333" s="35">
        <f t="shared" si="182"/>
        <v>0</v>
      </c>
      <c r="I333" s="36"/>
      <c r="J333" s="36"/>
      <c r="K333" s="36"/>
      <c r="L333" s="36"/>
      <c r="M333" s="36"/>
      <c r="N333" s="36"/>
      <c r="O333" s="36"/>
      <c r="P333" s="36"/>
      <c r="Q333" s="36"/>
      <c r="R333" s="36"/>
      <c r="S333" s="36"/>
      <c r="T333" s="36"/>
      <c r="U333" s="36"/>
      <c r="V333" s="36"/>
      <c r="W333" s="36"/>
      <c r="X333" s="36"/>
      <c r="Y333" s="36"/>
      <c r="Z333" s="36"/>
      <c r="AA333" s="36"/>
      <c r="AB333" s="36"/>
      <c r="AC333" s="32">
        <f t="shared" si="183"/>
        <v>0</v>
      </c>
      <c r="AD333" s="37"/>
      <c r="AE333" s="37"/>
      <c r="AF333" s="37"/>
      <c r="AG333" s="37"/>
      <c r="AH333" s="37"/>
      <c r="AI333" s="37"/>
      <c r="AJ333" s="37"/>
      <c r="AK333" s="37"/>
      <c r="AL333" s="37"/>
      <c r="AM333" s="37"/>
      <c r="AN333" s="37"/>
      <c r="AO333" s="37"/>
      <c r="AP333" s="37"/>
      <c r="AQ333" s="37"/>
      <c r="AR333" s="37"/>
      <c r="AS333" s="37"/>
      <c r="AT333" s="38"/>
      <c r="AU333" s="1630"/>
      <c r="AV333" s="1342">
        <f t="shared" si="178"/>
        <v>0</v>
      </c>
      <c r="AW333" s="1342">
        <f t="shared" si="179"/>
        <v>0</v>
      </c>
      <c r="AX333" s="1342">
        <f t="shared" si="180"/>
        <v>0</v>
      </c>
      <c r="AY333" s="39">
        <f t="shared" si="184"/>
        <v>0</v>
      </c>
      <c r="AZ333" s="32">
        <f t="shared" si="185"/>
        <v>0</v>
      </c>
      <c r="BA333" s="32">
        <f t="shared" si="186"/>
        <v>0</v>
      </c>
      <c r="BB333" s="32">
        <f t="shared" si="187"/>
        <v>0</v>
      </c>
      <c r="BC333" s="32">
        <f t="shared" si="188"/>
        <v>0</v>
      </c>
      <c r="BD333" s="32">
        <f t="shared" si="189"/>
        <v>0</v>
      </c>
      <c r="BE333" s="32">
        <f t="shared" si="190"/>
        <v>0</v>
      </c>
      <c r="BF333" s="32">
        <f t="shared" si="191"/>
        <v>0</v>
      </c>
      <c r="BG333" s="32">
        <f t="shared" si="192"/>
        <v>0</v>
      </c>
      <c r="BH333" s="32">
        <f t="shared" si="193"/>
        <v>0</v>
      </c>
      <c r="BI333" s="32">
        <f t="shared" si="194"/>
        <v>0</v>
      </c>
      <c r="BJ333" s="32">
        <f t="shared" si="195"/>
        <v>0</v>
      </c>
      <c r="BK333" s="32">
        <f t="shared" si="196"/>
        <v>0</v>
      </c>
      <c r="BL333" s="32">
        <f t="shared" si="197"/>
        <v>0</v>
      </c>
      <c r="BM333" s="32">
        <f t="shared" si="198"/>
        <v>0</v>
      </c>
      <c r="BN333" s="32">
        <f t="shared" si="199"/>
        <v>0</v>
      </c>
      <c r="BO333" s="32">
        <f t="shared" si="200"/>
        <v>0</v>
      </c>
      <c r="BP333" s="32">
        <f t="shared" si="201"/>
        <v>0</v>
      </c>
      <c r="BQ333" s="32">
        <f t="shared" si="202"/>
        <v>0</v>
      </c>
      <c r="BR333" s="32">
        <f t="shared" si="203"/>
        <v>0</v>
      </c>
      <c r="BS333" s="32">
        <f t="shared" si="204"/>
        <v>0</v>
      </c>
      <c r="BT333" s="40">
        <f t="shared" si="205"/>
        <v>0</v>
      </c>
    </row>
    <row r="334" spans="1:72">
      <c r="A334" s="6"/>
      <c r="B334" s="31"/>
      <c r="C334" s="31"/>
      <c r="D334" s="1629"/>
      <c r="E334" s="32">
        <f t="shared" si="177"/>
        <v>0</v>
      </c>
      <c r="F334" s="33"/>
      <c r="G334" s="34">
        <f t="shared" si="181"/>
        <v>0</v>
      </c>
      <c r="H334" s="35">
        <f t="shared" si="182"/>
        <v>0</v>
      </c>
      <c r="I334" s="36"/>
      <c r="J334" s="36"/>
      <c r="K334" s="36"/>
      <c r="L334" s="36"/>
      <c r="M334" s="36"/>
      <c r="N334" s="36"/>
      <c r="O334" s="36"/>
      <c r="P334" s="36"/>
      <c r="Q334" s="36"/>
      <c r="R334" s="36"/>
      <c r="S334" s="36"/>
      <c r="T334" s="36"/>
      <c r="U334" s="36"/>
      <c r="V334" s="36"/>
      <c r="W334" s="36"/>
      <c r="X334" s="36"/>
      <c r="Y334" s="36"/>
      <c r="Z334" s="36"/>
      <c r="AA334" s="36"/>
      <c r="AB334" s="36"/>
      <c r="AC334" s="32">
        <f t="shared" si="183"/>
        <v>0</v>
      </c>
      <c r="AD334" s="37"/>
      <c r="AE334" s="37"/>
      <c r="AF334" s="37"/>
      <c r="AG334" s="37"/>
      <c r="AH334" s="37"/>
      <c r="AI334" s="37"/>
      <c r="AJ334" s="37"/>
      <c r="AK334" s="37"/>
      <c r="AL334" s="37"/>
      <c r="AM334" s="37"/>
      <c r="AN334" s="37"/>
      <c r="AO334" s="37"/>
      <c r="AP334" s="37"/>
      <c r="AQ334" s="37"/>
      <c r="AR334" s="37"/>
      <c r="AS334" s="37"/>
      <c r="AT334" s="38"/>
      <c r="AU334" s="1630"/>
      <c r="AV334" s="1342">
        <f t="shared" si="178"/>
        <v>0</v>
      </c>
      <c r="AW334" s="1342">
        <f t="shared" si="179"/>
        <v>0</v>
      </c>
      <c r="AX334" s="1342">
        <f t="shared" si="180"/>
        <v>0</v>
      </c>
      <c r="AY334" s="39">
        <f t="shared" si="184"/>
        <v>0</v>
      </c>
      <c r="AZ334" s="32">
        <f t="shared" si="185"/>
        <v>0</v>
      </c>
      <c r="BA334" s="32">
        <f t="shared" si="186"/>
        <v>0</v>
      </c>
      <c r="BB334" s="32">
        <f t="shared" si="187"/>
        <v>0</v>
      </c>
      <c r="BC334" s="32">
        <f t="shared" si="188"/>
        <v>0</v>
      </c>
      <c r="BD334" s="32">
        <f t="shared" si="189"/>
        <v>0</v>
      </c>
      <c r="BE334" s="32">
        <f t="shared" si="190"/>
        <v>0</v>
      </c>
      <c r="BF334" s="32">
        <f t="shared" si="191"/>
        <v>0</v>
      </c>
      <c r="BG334" s="32">
        <f t="shared" si="192"/>
        <v>0</v>
      </c>
      <c r="BH334" s="32">
        <f t="shared" si="193"/>
        <v>0</v>
      </c>
      <c r="BI334" s="32">
        <f t="shared" si="194"/>
        <v>0</v>
      </c>
      <c r="BJ334" s="32">
        <f t="shared" si="195"/>
        <v>0</v>
      </c>
      <c r="BK334" s="32">
        <f t="shared" si="196"/>
        <v>0</v>
      </c>
      <c r="BL334" s="32">
        <f t="shared" si="197"/>
        <v>0</v>
      </c>
      <c r="BM334" s="32">
        <f t="shared" si="198"/>
        <v>0</v>
      </c>
      <c r="BN334" s="32">
        <f t="shared" si="199"/>
        <v>0</v>
      </c>
      <c r="BO334" s="32">
        <f t="shared" si="200"/>
        <v>0</v>
      </c>
      <c r="BP334" s="32">
        <f t="shared" si="201"/>
        <v>0</v>
      </c>
      <c r="BQ334" s="32">
        <f t="shared" si="202"/>
        <v>0</v>
      </c>
      <c r="BR334" s="32">
        <f t="shared" si="203"/>
        <v>0</v>
      </c>
      <c r="BS334" s="32">
        <f t="shared" si="204"/>
        <v>0</v>
      </c>
      <c r="BT334" s="40">
        <f t="shared" si="205"/>
        <v>0</v>
      </c>
    </row>
    <row r="335" spans="1:72">
      <c r="A335" s="6"/>
      <c r="B335" s="31"/>
      <c r="C335" s="31"/>
      <c r="D335" s="1629"/>
      <c r="E335" s="32">
        <f t="shared" ref="E335:E366" si="206">IF($C$3="是",ROUND($A$3*G335/$B$3,2),ROUND($A$3*(G335-AT335)/$B$3,2))</f>
        <v>0</v>
      </c>
      <c r="F335" s="33"/>
      <c r="G335" s="34">
        <f t="shared" si="181"/>
        <v>0</v>
      </c>
      <c r="H335" s="35">
        <f t="shared" si="182"/>
        <v>0</v>
      </c>
      <c r="I335" s="36"/>
      <c r="J335" s="36"/>
      <c r="K335" s="36"/>
      <c r="L335" s="36"/>
      <c r="M335" s="36"/>
      <c r="N335" s="36"/>
      <c r="O335" s="36"/>
      <c r="P335" s="36"/>
      <c r="Q335" s="36"/>
      <c r="R335" s="36"/>
      <c r="S335" s="36"/>
      <c r="T335" s="36"/>
      <c r="U335" s="36"/>
      <c r="V335" s="36"/>
      <c r="W335" s="36"/>
      <c r="X335" s="36"/>
      <c r="Y335" s="36"/>
      <c r="Z335" s="36"/>
      <c r="AA335" s="36"/>
      <c r="AB335" s="36"/>
      <c r="AC335" s="32">
        <f t="shared" si="183"/>
        <v>0</v>
      </c>
      <c r="AD335" s="37"/>
      <c r="AE335" s="37"/>
      <c r="AF335" s="37"/>
      <c r="AG335" s="37"/>
      <c r="AH335" s="37"/>
      <c r="AI335" s="37"/>
      <c r="AJ335" s="37"/>
      <c r="AK335" s="37"/>
      <c r="AL335" s="37"/>
      <c r="AM335" s="37"/>
      <c r="AN335" s="37"/>
      <c r="AO335" s="37"/>
      <c r="AP335" s="37"/>
      <c r="AQ335" s="37"/>
      <c r="AR335" s="37"/>
      <c r="AS335" s="37"/>
      <c r="AT335" s="38"/>
      <c r="AU335" s="1630"/>
      <c r="AV335" s="1342">
        <f t="shared" ref="AV335:AV366" si="207">A335</f>
        <v>0</v>
      </c>
      <c r="AW335" s="1342">
        <f t="shared" ref="AW335:AW366" si="208">B335</f>
        <v>0</v>
      </c>
      <c r="AX335" s="1342">
        <f t="shared" ref="AX335:AX366" si="209">C335</f>
        <v>0</v>
      </c>
      <c r="AY335" s="39">
        <f t="shared" si="184"/>
        <v>0</v>
      </c>
      <c r="AZ335" s="32">
        <f t="shared" si="185"/>
        <v>0</v>
      </c>
      <c r="BA335" s="32">
        <f t="shared" si="186"/>
        <v>0</v>
      </c>
      <c r="BB335" s="32">
        <f t="shared" si="187"/>
        <v>0</v>
      </c>
      <c r="BC335" s="32">
        <f t="shared" si="188"/>
        <v>0</v>
      </c>
      <c r="BD335" s="32">
        <f t="shared" si="189"/>
        <v>0</v>
      </c>
      <c r="BE335" s="32">
        <f t="shared" si="190"/>
        <v>0</v>
      </c>
      <c r="BF335" s="32">
        <f t="shared" si="191"/>
        <v>0</v>
      </c>
      <c r="BG335" s="32">
        <f t="shared" si="192"/>
        <v>0</v>
      </c>
      <c r="BH335" s="32">
        <f t="shared" si="193"/>
        <v>0</v>
      </c>
      <c r="BI335" s="32">
        <f t="shared" si="194"/>
        <v>0</v>
      </c>
      <c r="BJ335" s="32">
        <f t="shared" si="195"/>
        <v>0</v>
      </c>
      <c r="BK335" s="32">
        <f t="shared" si="196"/>
        <v>0</v>
      </c>
      <c r="BL335" s="32">
        <f t="shared" si="197"/>
        <v>0</v>
      </c>
      <c r="BM335" s="32">
        <f t="shared" si="198"/>
        <v>0</v>
      </c>
      <c r="BN335" s="32">
        <f t="shared" si="199"/>
        <v>0</v>
      </c>
      <c r="BO335" s="32">
        <f t="shared" si="200"/>
        <v>0</v>
      </c>
      <c r="BP335" s="32">
        <f t="shared" si="201"/>
        <v>0</v>
      </c>
      <c r="BQ335" s="32">
        <f t="shared" si="202"/>
        <v>0</v>
      </c>
      <c r="BR335" s="32">
        <f t="shared" si="203"/>
        <v>0</v>
      </c>
      <c r="BS335" s="32">
        <f t="shared" si="204"/>
        <v>0</v>
      </c>
      <c r="BT335" s="40">
        <f t="shared" si="205"/>
        <v>0</v>
      </c>
    </row>
    <row r="336" spans="1:72">
      <c r="A336" s="6"/>
      <c r="B336" s="31"/>
      <c r="C336" s="31"/>
      <c r="D336" s="1629"/>
      <c r="E336" s="32">
        <f t="shared" si="206"/>
        <v>0</v>
      </c>
      <c r="F336" s="33"/>
      <c r="G336" s="34">
        <f t="shared" si="181"/>
        <v>0</v>
      </c>
      <c r="H336" s="35">
        <f t="shared" si="182"/>
        <v>0</v>
      </c>
      <c r="I336" s="36"/>
      <c r="J336" s="36"/>
      <c r="K336" s="36"/>
      <c r="L336" s="36"/>
      <c r="M336" s="36"/>
      <c r="N336" s="36"/>
      <c r="O336" s="36"/>
      <c r="P336" s="36"/>
      <c r="Q336" s="36"/>
      <c r="R336" s="36"/>
      <c r="S336" s="36"/>
      <c r="T336" s="36"/>
      <c r="U336" s="36"/>
      <c r="V336" s="36"/>
      <c r="W336" s="36"/>
      <c r="X336" s="36"/>
      <c r="Y336" s="36"/>
      <c r="Z336" s="36"/>
      <c r="AA336" s="36"/>
      <c r="AB336" s="36"/>
      <c r="AC336" s="32">
        <f t="shared" si="183"/>
        <v>0</v>
      </c>
      <c r="AD336" s="37"/>
      <c r="AE336" s="37"/>
      <c r="AF336" s="37"/>
      <c r="AG336" s="37"/>
      <c r="AH336" s="37"/>
      <c r="AI336" s="37"/>
      <c r="AJ336" s="37"/>
      <c r="AK336" s="37"/>
      <c r="AL336" s="37"/>
      <c r="AM336" s="37"/>
      <c r="AN336" s="37"/>
      <c r="AO336" s="37"/>
      <c r="AP336" s="37"/>
      <c r="AQ336" s="37"/>
      <c r="AR336" s="37"/>
      <c r="AS336" s="37"/>
      <c r="AT336" s="38"/>
      <c r="AU336" s="1630"/>
      <c r="AV336" s="1342">
        <f t="shared" si="207"/>
        <v>0</v>
      </c>
      <c r="AW336" s="1342">
        <f t="shared" si="208"/>
        <v>0</v>
      </c>
      <c r="AX336" s="1342">
        <f t="shared" si="209"/>
        <v>0</v>
      </c>
      <c r="AY336" s="39">
        <f t="shared" si="184"/>
        <v>0</v>
      </c>
      <c r="AZ336" s="32">
        <f t="shared" si="185"/>
        <v>0</v>
      </c>
      <c r="BA336" s="32">
        <f t="shared" si="186"/>
        <v>0</v>
      </c>
      <c r="BB336" s="32">
        <f t="shared" si="187"/>
        <v>0</v>
      </c>
      <c r="BC336" s="32">
        <f t="shared" si="188"/>
        <v>0</v>
      </c>
      <c r="BD336" s="32">
        <f t="shared" si="189"/>
        <v>0</v>
      </c>
      <c r="BE336" s="32">
        <f t="shared" si="190"/>
        <v>0</v>
      </c>
      <c r="BF336" s="32">
        <f t="shared" si="191"/>
        <v>0</v>
      </c>
      <c r="BG336" s="32">
        <f t="shared" si="192"/>
        <v>0</v>
      </c>
      <c r="BH336" s="32">
        <f t="shared" si="193"/>
        <v>0</v>
      </c>
      <c r="BI336" s="32">
        <f t="shared" si="194"/>
        <v>0</v>
      </c>
      <c r="BJ336" s="32">
        <f t="shared" si="195"/>
        <v>0</v>
      </c>
      <c r="BK336" s="32">
        <f t="shared" si="196"/>
        <v>0</v>
      </c>
      <c r="BL336" s="32">
        <f t="shared" si="197"/>
        <v>0</v>
      </c>
      <c r="BM336" s="32">
        <f t="shared" si="198"/>
        <v>0</v>
      </c>
      <c r="BN336" s="32">
        <f t="shared" si="199"/>
        <v>0</v>
      </c>
      <c r="BO336" s="32">
        <f t="shared" si="200"/>
        <v>0</v>
      </c>
      <c r="BP336" s="32">
        <f t="shared" si="201"/>
        <v>0</v>
      </c>
      <c r="BQ336" s="32">
        <f t="shared" si="202"/>
        <v>0</v>
      </c>
      <c r="BR336" s="32">
        <f t="shared" si="203"/>
        <v>0</v>
      </c>
      <c r="BS336" s="32">
        <f t="shared" si="204"/>
        <v>0</v>
      </c>
      <c r="BT336" s="40">
        <f t="shared" si="205"/>
        <v>0</v>
      </c>
    </row>
    <row r="337" spans="1:72">
      <c r="A337" s="6"/>
      <c r="B337" s="31"/>
      <c r="C337" s="31"/>
      <c r="D337" s="1629"/>
      <c r="E337" s="32">
        <f t="shared" si="206"/>
        <v>0</v>
      </c>
      <c r="F337" s="33"/>
      <c r="G337" s="34">
        <f t="shared" si="181"/>
        <v>0</v>
      </c>
      <c r="H337" s="35">
        <f t="shared" si="182"/>
        <v>0</v>
      </c>
      <c r="I337" s="36"/>
      <c r="J337" s="36"/>
      <c r="K337" s="36"/>
      <c r="L337" s="36"/>
      <c r="M337" s="36"/>
      <c r="N337" s="36"/>
      <c r="O337" s="36"/>
      <c r="P337" s="36"/>
      <c r="Q337" s="36"/>
      <c r="R337" s="36"/>
      <c r="S337" s="36"/>
      <c r="T337" s="36"/>
      <c r="U337" s="36"/>
      <c r="V337" s="36"/>
      <c r="W337" s="36"/>
      <c r="X337" s="36"/>
      <c r="Y337" s="36"/>
      <c r="Z337" s="36"/>
      <c r="AA337" s="36"/>
      <c r="AB337" s="36"/>
      <c r="AC337" s="32">
        <f t="shared" si="183"/>
        <v>0</v>
      </c>
      <c r="AD337" s="37"/>
      <c r="AE337" s="37"/>
      <c r="AF337" s="37"/>
      <c r="AG337" s="37"/>
      <c r="AH337" s="37"/>
      <c r="AI337" s="37"/>
      <c r="AJ337" s="37"/>
      <c r="AK337" s="37"/>
      <c r="AL337" s="37"/>
      <c r="AM337" s="37"/>
      <c r="AN337" s="37"/>
      <c r="AO337" s="37"/>
      <c r="AP337" s="37"/>
      <c r="AQ337" s="37"/>
      <c r="AR337" s="37"/>
      <c r="AS337" s="37"/>
      <c r="AT337" s="38"/>
      <c r="AU337" s="1630"/>
      <c r="AV337" s="1342">
        <f t="shared" si="207"/>
        <v>0</v>
      </c>
      <c r="AW337" s="1342">
        <f t="shared" si="208"/>
        <v>0</v>
      </c>
      <c r="AX337" s="1342">
        <f t="shared" si="209"/>
        <v>0</v>
      </c>
      <c r="AY337" s="39">
        <f t="shared" si="184"/>
        <v>0</v>
      </c>
      <c r="AZ337" s="32">
        <f t="shared" si="185"/>
        <v>0</v>
      </c>
      <c r="BA337" s="32">
        <f t="shared" si="186"/>
        <v>0</v>
      </c>
      <c r="BB337" s="32">
        <f t="shared" si="187"/>
        <v>0</v>
      </c>
      <c r="BC337" s="32">
        <f t="shared" si="188"/>
        <v>0</v>
      </c>
      <c r="BD337" s="32">
        <f t="shared" si="189"/>
        <v>0</v>
      </c>
      <c r="BE337" s="32">
        <f t="shared" si="190"/>
        <v>0</v>
      </c>
      <c r="BF337" s="32">
        <f t="shared" si="191"/>
        <v>0</v>
      </c>
      <c r="BG337" s="32">
        <f t="shared" si="192"/>
        <v>0</v>
      </c>
      <c r="BH337" s="32">
        <f t="shared" si="193"/>
        <v>0</v>
      </c>
      <c r="BI337" s="32">
        <f t="shared" si="194"/>
        <v>0</v>
      </c>
      <c r="BJ337" s="32">
        <f t="shared" si="195"/>
        <v>0</v>
      </c>
      <c r="BK337" s="32">
        <f t="shared" si="196"/>
        <v>0</v>
      </c>
      <c r="BL337" s="32">
        <f t="shared" si="197"/>
        <v>0</v>
      </c>
      <c r="BM337" s="32">
        <f t="shared" si="198"/>
        <v>0</v>
      </c>
      <c r="BN337" s="32">
        <f t="shared" si="199"/>
        <v>0</v>
      </c>
      <c r="BO337" s="32">
        <f t="shared" si="200"/>
        <v>0</v>
      </c>
      <c r="BP337" s="32">
        <f t="shared" si="201"/>
        <v>0</v>
      </c>
      <c r="BQ337" s="32">
        <f t="shared" si="202"/>
        <v>0</v>
      </c>
      <c r="BR337" s="32">
        <f t="shared" si="203"/>
        <v>0</v>
      </c>
      <c r="BS337" s="32">
        <f t="shared" si="204"/>
        <v>0</v>
      </c>
      <c r="BT337" s="40">
        <f t="shared" si="205"/>
        <v>0</v>
      </c>
    </row>
    <row r="338" spans="1:72">
      <c r="A338" s="6"/>
      <c r="B338" s="31"/>
      <c r="C338" s="31"/>
      <c r="D338" s="1629"/>
      <c r="E338" s="32">
        <f t="shared" si="206"/>
        <v>0</v>
      </c>
      <c r="F338" s="33"/>
      <c r="G338" s="34">
        <f t="shared" si="181"/>
        <v>0</v>
      </c>
      <c r="H338" s="35">
        <f t="shared" si="182"/>
        <v>0</v>
      </c>
      <c r="I338" s="36"/>
      <c r="J338" s="36"/>
      <c r="K338" s="36"/>
      <c r="L338" s="36"/>
      <c r="M338" s="36"/>
      <c r="N338" s="36"/>
      <c r="O338" s="36"/>
      <c r="P338" s="36"/>
      <c r="Q338" s="36"/>
      <c r="R338" s="36"/>
      <c r="S338" s="36"/>
      <c r="T338" s="36"/>
      <c r="U338" s="36"/>
      <c r="V338" s="36"/>
      <c r="W338" s="36"/>
      <c r="X338" s="36"/>
      <c r="Y338" s="36"/>
      <c r="Z338" s="36"/>
      <c r="AA338" s="36"/>
      <c r="AB338" s="36"/>
      <c r="AC338" s="32">
        <f t="shared" si="183"/>
        <v>0</v>
      </c>
      <c r="AD338" s="37"/>
      <c r="AE338" s="37"/>
      <c r="AF338" s="37"/>
      <c r="AG338" s="37"/>
      <c r="AH338" s="37"/>
      <c r="AI338" s="37"/>
      <c r="AJ338" s="37"/>
      <c r="AK338" s="37"/>
      <c r="AL338" s="37"/>
      <c r="AM338" s="37"/>
      <c r="AN338" s="37"/>
      <c r="AO338" s="37"/>
      <c r="AP338" s="37"/>
      <c r="AQ338" s="37"/>
      <c r="AR338" s="37"/>
      <c r="AS338" s="37"/>
      <c r="AT338" s="38"/>
      <c r="AU338" s="1630"/>
      <c r="AV338" s="1342">
        <f t="shared" si="207"/>
        <v>0</v>
      </c>
      <c r="AW338" s="1342">
        <f t="shared" si="208"/>
        <v>0</v>
      </c>
      <c r="AX338" s="1342">
        <f t="shared" si="209"/>
        <v>0</v>
      </c>
      <c r="AY338" s="39">
        <f t="shared" si="184"/>
        <v>0</v>
      </c>
      <c r="AZ338" s="32">
        <f t="shared" si="185"/>
        <v>0</v>
      </c>
      <c r="BA338" s="32">
        <f t="shared" si="186"/>
        <v>0</v>
      </c>
      <c r="BB338" s="32">
        <f t="shared" si="187"/>
        <v>0</v>
      </c>
      <c r="BC338" s="32">
        <f t="shared" si="188"/>
        <v>0</v>
      </c>
      <c r="BD338" s="32">
        <f t="shared" si="189"/>
        <v>0</v>
      </c>
      <c r="BE338" s="32">
        <f t="shared" si="190"/>
        <v>0</v>
      </c>
      <c r="BF338" s="32">
        <f t="shared" si="191"/>
        <v>0</v>
      </c>
      <c r="BG338" s="32">
        <f t="shared" si="192"/>
        <v>0</v>
      </c>
      <c r="BH338" s="32">
        <f t="shared" si="193"/>
        <v>0</v>
      </c>
      <c r="BI338" s="32">
        <f t="shared" si="194"/>
        <v>0</v>
      </c>
      <c r="BJ338" s="32">
        <f t="shared" si="195"/>
        <v>0</v>
      </c>
      <c r="BK338" s="32">
        <f t="shared" si="196"/>
        <v>0</v>
      </c>
      <c r="BL338" s="32">
        <f t="shared" si="197"/>
        <v>0</v>
      </c>
      <c r="BM338" s="32">
        <f t="shared" si="198"/>
        <v>0</v>
      </c>
      <c r="BN338" s="32">
        <f t="shared" si="199"/>
        <v>0</v>
      </c>
      <c r="BO338" s="32">
        <f t="shared" si="200"/>
        <v>0</v>
      </c>
      <c r="BP338" s="32">
        <f t="shared" si="201"/>
        <v>0</v>
      </c>
      <c r="BQ338" s="32">
        <f t="shared" si="202"/>
        <v>0</v>
      </c>
      <c r="BR338" s="32">
        <f t="shared" si="203"/>
        <v>0</v>
      </c>
      <c r="BS338" s="32">
        <f t="shared" si="204"/>
        <v>0</v>
      </c>
      <c r="BT338" s="40">
        <f t="shared" si="205"/>
        <v>0</v>
      </c>
    </row>
    <row r="339" spans="1:72">
      <c r="A339" s="6"/>
      <c r="B339" s="31"/>
      <c r="C339" s="31"/>
      <c r="D339" s="1629"/>
      <c r="E339" s="32">
        <f t="shared" si="206"/>
        <v>0</v>
      </c>
      <c r="F339" s="33"/>
      <c r="G339" s="34">
        <f t="shared" si="181"/>
        <v>0</v>
      </c>
      <c r="H339" s="35">
        <f t="shared" si="182"/>
        <v>0</v>
      </c>
      <c r="I339" s="36"/>
      <c r="J339" s="36"/>
      <c r="K339" s="36"/>
      <c r="L339" s="36"/>
      <c r="M339" s="36"/>
      <c r="N339" s="36"/>
      <c r="O339" s="36"/>
      <c r="P339" s="36"/>
      <c r="Q339" s="36"/>
      <c r="R339" s="36"/>
      <c r="S339" s="36"/>
      <c r="T339" s="36"/>
      <c r="U339" s="36"/>
      <c r="V339" s="36"/>
      <c r="W339" s="36"/>
      <c r="X339" s="36"/>
      <c r="Y339" s="36"/>
      <c r="Z339" s="36"/>
      <c r="AA339" s="36"/>
      <c r="AB339" s="36"/>
      <c r="AC339" s="32">
        <f t="shared" si="183"/>
        <v>0</v>
      </c>
      <c r="AD339" s="37"/>
      <c r="AE339" s="37"/>
      <c r="AF339" s="37"/>
      <c r="AG339" s="37"/>
      <c r="AH339" s="37"/>
      <c r="AI339" s="37"/>
      <c r="AJ339" s="37"/>
      <c r="AK339" s="37"/>
      <c r="AL339" s="37"/>
      <c r="AM339" s="37"/>
      <c r="AN339" s="37"/>
      <c r="AO339" s="37"/>
      <c r="AP339" s="37"/>
      <c r="AQ339" s="37"/>
      <c r="AR339" s="37"/>
      <c r="AS339" s="37"/>
      <c r="AT339" s="38"/>
      <c r="AU339" s="1630"/>
      <c r="AV339" s="1342">
        <f t="shared" si="207"/>
        <v>0</v>
      </c>
      <c r="AW339" s="1342">
        <f t="shared" si="208"/>
        <v>0</v>
      </c>
      <c r="AX339" s="1342">
        <f t="shared" si="209"/>
        <v>0</v>
      </c>
      <c r="AY339" s="39">
        <f t="shared" si="184"/>
        <v>0</v>
      </c>
      <c r="AZ339" s="32">
        <f t="shared" si="185"/>
        <v>0</v>
      </c>
      <c r="BA339" s="32">
        <f t="shared" si="186"/>
        <v>0</v>
      </c>
      <c r="BB339" s="32">
        <f t="shared" si="187"/>
        <v>0</v>
      </c>
      <c r="BC339" s="32">
        <f t="shared" si="188"/>
        <v>0</v>
      </c>
      <c r="BD339" s="32">
        <f t="shared" si="189"/>
        <v>0</v>
      </c>
      <c r="BE339" s="32">
        <f t="shared" si="190"/>
        <v>0</v>
      </c>
      <c r="BF339" s="32">
        <f t="shared" si="191"/>
        <v>0</v>
      </c>
      <c r="BG339" s="32">
        <f t="shared" si="192"/>
        <v>0</v>
      </c>
      <c r="BH339" s="32">
        <f t="shared" si="193"/>
        <v>0</v>
      </c>
      <c r="BI339" s="32">
        <f t="shared" si="194"/>
        <v>0</v>
      </c>
      <c r="BJ339" s="32">
        <f t="shared" si="195"/>
        <v>0</v>
      </c>
      <c r="BK339" s="32">
        <f t="shared" si="196"/>
        <v>0</v>
      </c>
      <c r="BL339" s="32">
        <f t="shared" si="197"/>
        <v>0</v>
      </c>
      <c r="BM339" s="32">
        <f t="shared" si="198"/>
        <v>0</v>
      </c>
      <c r="BN339" s="32">
        <f t="shared" si="199"/>
        <v>0</v>
      </c>
      <c r="BO339" s="32">
        <f t="shared" si="200"/>
        <v>0</v>
      </c>
      <c r="BP339" s="32">
        <f t="shared" si="201"/>
        <v>0</v>
      </c>
      <c r="BQ339" s="32">
        <f t="shared" si="202"/>
        <v>0</v>
      </c>
      <c r="BR339" s="32">
        <f t="shared" si="203"/>
        <v>0</v>
      </c>
      <c r="BS339" s="32">
        <f t="shared" si="204"/>
        <v>0</v>
      </c>
      <c r="BT339" s="40">
        <f t="shared" si="205"/>
        <v>0</v>
      </c>
    </row>
    <row r="340" spans="1:72">
      <c r="A340" s="6"/>
      <c r="B340" s="31"/>
      <c r="C340" s="31"/>
      <c r="D340" s="1629"/>
      <c r="E340" s="32">
        <f t="shared" si="206"/>
        <v>0</v>
      </c>
      <c r="F340" s="33"/>
      <c r="G340" s="34">
        <f t="shared" si="181"/>
        <v>0</v>
      </c>
      <c r="H340" s="35">
        <f t="shared" si="182"/>
        <v>0</v>
      </c>
      <c r="I340" s="36"/>
      <c r="J340" s="36"/>
      <c r="K340" s="36"/>
      <c r="L340" s="36"/>
      <c r="M340" s="36"/>
      <c r="N340" s="36"/>
      <c r="O340" s="36"/>
      <c r="P340" s="36"/>
      <c r="Q340" s="36"/>
      <c r="R340" s="36"/>
      <c r="S340" s="36"/>
      <c r="T340" s="36"/>
      <c r="U340" s="36"/>
      <c r="V340" s="36"/>
      <c r="W340" s="36"/>
      <c r="X340" s="36"/>
      <c r="Y340" s="36"/>
      <c r="Z340" s="36"/>
      <c r="AA340" s="36"/>
      <c r="AB340" s="36"/>
      <c r="AC340" s="32">
        <f t="shared" si="183"/>
        <v>0</v>
      </c>
      <c r="AD340" s="37"/>
      <c r="AE340" s="37"/>
      <c r="AF340" s="37"/>
      <c r="AG340" s="37"/>
      <c r="AH340" s="37"/>
      <c r="AI340" s="37"/>
      <c r="AJ340" s="37"/>
      <c r="AK340" s="37"/>
      <c r="AL340" s="37"/>
      <c r="AM340" s="37"/>
      <c r="AN340" s="37"/>
      <c r="AO340" s="37"/>
      <c r="AP340" s="37"/>
      <c r="AQ340" s="37"/>
      <c r="AR340" s="37"/>
      <c r="AS340" s="37"/>
      <c r="AT340" s="38"/>
      <c r="AU340" s="1630"/>
      <c r="AV340" s="1342">
        <f t="shared" si="207"/>
        <v>0</v>
      </c>
      <c r="AW340" s="1342">
        <f t="shared" si="208"/>
        <v>0</v>
      </c>
      <c r="AX340" s="1342">
        <f t="shared" si="209"/>
        <v>0</v>
      </c>
      <c r="AY340" s="39">
        <f t="shared" si="184"/>
        <v>0</v>
      </c>
      <c r="AZ340" s="32">
        <f t="shared" si="185"/>
        <v>0</v>
      </c>
      <c r="BA340" s="32">
        <f t="shared" si="186"/>
        <v>0</v>
      </c>
      <c r="BB340" s="32">
        <f t="shared" si="187"/>
        <v>0</v>
      </c>
      <c r="BC340" s="32">
        <f t="shared" si="188"/>
        <v>0</v>
      </c>
      <c r="BD340" s="32">
        <f t="shared" si="189"/>
        <v>0</v>
      </c>
      <c r="BE340" s="32">
        <f t="shared" si="190"/>
        <v>0</v>
      </c>
      <c r="BF340" s="32">
        <f t="shared" si="191"/>
        <v>0</v>
      </c>
      <c r="BG340" s="32">
        <f t="shared" si="192"/>
        <v>0</v>
      </c>
      <c r="BH340" s="32">
        <f t="shared" si="193"/>
        <v>0</v>
      </c>
      <c r="BI340" s="32">
        <f t="shared" si="194"/>
        <v>0</v>
      </c>
      <c r="BJ340" s="32">
        <f t="shared" si="195"/>
        <v>0</v>
      </c>
      <c r="BK340" s="32">
        <f t="shared" si="196"/>
        <v>0</v>
      </c>
      <c r="BL340" s="32">
        <f t="shared" si="197"/>
        <v>0</v>
      </c>
      <c r="BM340" s="32">
        <f t="shared" si="198"/>
        <v>0</v>
      </c>
      <c r="BN340" s="32">
        <f t="shared" si="199"/>
        <v>0</v>
      </c>
      <c r="BO340" s="32">
        <f t="shared" si="200"/>
        <v>0</v>
      </c>
      <c r="BP340" s="32">
        <f t="shared" si="201"/>
        <v>0</v>
      </c>
      <c r="BQ340" s="32">
        <f t="shared" si="202"/>
        <v>0</v>
      </c>
      <c r="BR340" s="32">
        <f t="shared" si="203"/>
        <v>0</v>
      </c>
      <c r="BS340" s="32">
        <f t="shared" si="204"/>
        <v>0</v>
      </c>
      <c r="BT340" s="40">
        <f t="shared" si="205"/>
        <v>0</v>
      </c>
    </row>
    <row r="341" spans="1:72">
      <c r="A341" s="6"/>
      <c r="B341" s="31"/>
      <c r="C341" s="31"/>
      <c r="D341" s="1629"/>
      <c r="E341" s="32">
        <f t="shared" si="206"/>
        <v>0</v>
      </c>
      <c r="F341" s="33"/>
      <c r="G341" s="34">
        <f t="shared" si="181"/>
        <v>0</v>
      </c>
      <c r="H341" s="35">
        <f t="shared" si="182"/>
        <v>0</v>
      </c>
      <c r="I341" s="36"/>
      <c r="J341" s="36"/>
      <c r="K341" s="36"/>
      <c r="L341" s="36"/>
      <c r="M341" s="36"/>
      <c r="N341" s="36"/>
      <c r="O341" s="36"/>
      <c r="P341" s="36"/>
      <c r="Q341" s="36"/>
      <c r="R341" s="36"/>
      <c r="S341" s="36"/>
      <c r="T341" s="36"/>
      <c r="U341" s="36"/>
      <c r="V341" s="36"/>
      <c r="W341" s="36"/>
      <c r="X341" s="36"/>
      <c r="Y341" s="36"/>
      <c r="Z341" s="36"/>
      <c r="AA341" s="36"/>
      <c r="AB341" s="36"/>
      <c r="AC341" s="32">
        <f t="shared" si="183"/>
        <v>0</v>
      </c>
      <c r="AD341" s="37"/>
      <c r="AE341" s="37"/>
      <c r="AF341" s="37"/>
      <c r="AG341" s="37"/>
      <c r="AH341" s="37"/>
      <c r="AI341" s="37"/>
      <c r="AJ341" s="37"/>
      <c r="AK341" s="37"/>
      <c r="AL341" s="37"/>
      <c r="AM341" s="37"/>
      <c r="AN341" s="37"/>
      <c r="AO341" s="37"/>
      <c r="AP341" s="37"/>
      <c r="AQ341" s="37"/>
      <c r="AR341" s="37"/>
      <c r="AS341" s="37"/>
      <c r="AT341" s="38"/>
      <c r="AU341" s="1630"/>
      <c r="AV341" s="1342">
        <f t="shared" si="207"/>
        <v>0</v>
      </c>
      <c r="AW341" s="1342">
        <f t="shared" si="208"/>
        <v>0</v>
      </c>
      <c r="AX341" s="1342">
        <f t="shared" si="209"/>
        <v>0</v>
      </c>
      <c r="AY341" s="39">
        <f t="shared" si="184"/>
        <v>0</v>
      </c>
      <c r="AZ341" s="32">
        <f t="shared" si="185"/>
        <v>0</v>
      </c>
      <c r="BA341" s="32">
        <f t="shared" si="186"/>
        <v>0</v>
      </c>
      <c r="BB341" s="32">
        <f t="shared" si="187"/>
        <v>0</v>
      </c>
      <c r="BC341" s="32">
        <f t="shared" si="188"/>
        <v>0</v>
      </c>
      <c r="BD341" s="32">
        <f t="shared" si="189"/>
        <v>0</v>
      </c>
      <c r="BE341" s="32">
        <f t="shared" si="190"/>
        <v>0</v>
      </c>
      <c r="BF341" s="32">
        <f t="shared" si="191"/>
        <v>0</v>
      </c>
      <c r="BG341" s="32">
        <f t="shared" si="192"/>
        <v>0</v>
      </c>
      <c r="BH341" s="32">
        <f t="shared" si="193"/>
        <v>0</v>
      </c>
      <c r="BI341" s="32">
        <f t="shared" si="194"/>
        <v>0</v>
      </c>
      <c r="BJ341" s="32">
        <f t="shared" si="195"/>
        <v>0</v>
      </c>
      <c r="BK341" s="32">
        <f t="shared" si="196"/>
        <v>0</v>
      </c>
      <c r="BL341" s="32">
        <f t="shared" si="197"/>
        <v>0</v>
      </c>
      <c r="BM341" s="32">
        <f t="shared" si="198"/>
        <v>0</v>
      </c>
      <c r="BN341" s="32">
        <f t="shared" si="199"/>
        <v>0</v>
      </c>
      <c r="BO341" s="32">
        <f t="shared" si="200"/>
        <v>0</v>
      </c>
      <c r="BP341" s="32">
        <f t="shared" si="201"/>
        <v>0</v>
      </c>
      <c r="BQ341" s="32">
        <f t="shared" si="202"/>
        <v>0</v>
      </c>
      <c r="BR341" s="32">
        <f t="shared" si="203"/>
        <v>0</v>
      </c>
      <c r="BS341" s="32">
        <f t="shared" si="204"/>
        <v>0</v>
      </c>
      <c r="BT341" s="40">
        <f t="shared" si="205"/>
        <v>0</v>
      </c>
    </row>
    <row r="342" spans="1:72">
      <c r="A342" s="6"/>
      <c r="B342" s="31"/>
      <c r="C342" s="31"/>
      <c r="D342" s="1629"/>
      <c r="E342" s="32">
        <f t="shared" si="206"/>
        <v>0</v>
      </c>
      <c r="F342" s="33"/>
      <c r="G342" s="34">
        <f t="shared" si="181"/>
        <v>0</v>
      </c>
      <c r="H342" s="35">
        <f t="shared" si="182"/>
        <v>0</v>
      </c>
      <c r="I342" s="36"/>
      <c r="J342" s="36"/>
      <c r="K342" s="36"/>
      <c r="L342" s="36"/>
      <c r="M342" s="36"/>
      <c r="N342" s="36"/>
      <c r="O342" s="36"/>
      <c r="P342" s="36"/>
      <c r="Q342" s="36"/>
      <c r="R342" s="36"/>
      <c r="S342" s="36"/>
      <c r="T342" s="36"/>
      <c r="U342" s="36"/>
      <c r="V342" s="36"/>
      <c r="W342" s="36"/>
      <c r="X342" s="36"/>
      <c r="Y342" s="36"/>
      <c r="Z342" s="36"/>
      <c r="AA342" s="36"/>
      <c r="AB342" s="36"/>
      <c r="AC342" s="32">
        <f t="shared" si="183"/>
        <v>0</v>
      </c>
      <c r="AD342" s="37"/>
      <c r="AE342" s="37"/>
      <c r="AF342" s="37"/>
      <c r="AG342" s="37"/>
      <c r="AH342" s="37"/>
      <c r="AI342" s="37"/>
      <c r="AJ342" s="37"/>
      <c r="AK342" s="37"/>
      <c r="AL342" s="37"/>
      <c r="AM342" s="37"/>
      <c r="AN342" s="37"/>
      <c r="AO342" s="37"/>
      <c r="AP342" s="37"/>
      <c r="AQ342" s="37"/>
      <c r="AR342" s="37"/>
      <c r="AS342" s="37"/>
      <c r="AT342" s="38"/>
      <c r="AU342" s="1630"/>
      <c r="AV342" s="1342">
        <f t="shared" si="207"/>
        <v>0</v>
      </c>
      <c r="AW342" s="1342">
        <f t="shared" si="208"/>
        <v>0</v>
      </c>
      <c r="AX342" s="1342">
        <f t="shared" si="209"/>
        <v>0</v>
      </c>
      <c r="AY342" s="39">
        <f t="shared" si="184"/>
        <v>0</v>
      </c>
      <c r="AZ342" s="32">
        <f t="shared" si="185"/>
        <v>0</v>
      </c>
      <c r="BA342" s="32">
        <f t="shared" si="186"/>
        <v>0</v>
      </c>
      <c r="BB342" s="32">
        <f t="shared" si="187"/>
        <v>0</v>
      </c>
      <c r="BC342" s="32">
        <f t="shared" si="188"/>
        <v>0</v>
      </c>
      <c r="BD342" s="32">
        <f t="shared" si="189"/>
        <v>0</v>
      </c>
      <c r="BE342" s="32">
        <f t="shared" si="190"/>
        <v>0</v>
      </c>
      <c r="BF342" s="32">
        <f t="shared" si="191"/>
        <v>0</v>
      </c>
      <c r="BG342" s="32">
        <f t="shared" si="192"/>
        <v>0</v>
      </c>
      <c r="BH342" s="32">
        <f t="shared" si="193"/>
        <v>0</v>
      </c>
      <c r="BI342" s="32">
        <f t="shared" si="194"/>
        <v>0</v>
      </c>
      <c r="BJ342" s="32">
        <f t="shared" si="195"/>
        <v>0</v>
      </c>
      <c r="BK342" s="32">
        <f t="shared" si="196"/>
        <v>0</v>
      </c>
      <c r="BL342" s="32">
        <f t="shared" si="197"/>
        <v>0</v>
      </c>
      <c r="BM342" s="32">
        <f t="shared" si="198"/>
        <v>0</v>
      </c>
      <c r="BN342" s="32">
        <f t="shared" si="199"/>
        <v>0</v>
      </c>
      <c r="BO342" s="32">
        <f t="shared" si="200"/>
        <v>0</v>
      </c>
      <c r="BP342" s="32">
        <f t="shared" si="201"/>
        <v>0</v>
      </c>
      <c r="BQ342" s="32">
        <f t="shared" si="202"/>
        <v>0</v>
      </c>
      <c r="BR342" s="32">
        <f t="shared" si="203"/>
        <v>0</v>
      </c>
      <c r="BS342" s="32">
        <f t="shared" si="204"/>
        <v>0</v>
      </c>
      <c r="BT342" s="40">
        <f t="shared" si="205"/>
        <v>0</v>
      </c>
    </row>
    <row r="343" spans="1:72">
      <c r="A343" s="6"/>
      <c r="B343" s="31"/>
      <c r="C343" s="31"/>
      <c r="D343" s="1629"/>
      <c r="E343" s="32">
        <f t="shared" si="206"/>
        <v>0</v>
      </c>
      <c r="F343" s="33"/>
      <c r="G343" s="34">
        <f t="shared" si="181"/>
        <v>0</v>
      </c>
      <c r="H343" s="35">
        <f t="shared" si="182"/>
        <v>0</v>
      </c>
      <c r="I343" s="36"/>
      <c r="J343" s="36"/>
      <c r="K343" s="36"/>
      <c r="L343" s="36"/>
      <c r="M343" s="36"/>
      <c r="N343" s="36"/>
      <c r="O343" s="36"/>
      <c r="P343" s="36"/>
      <c r="Q343" s="36"/>
      <c r="R343" s="36"/>
      <c r="S343" s="36"/>
      <c r="T343" s="36"/>
      <c r="U343" s="36"/>
      <c r="V343" s="36"/>
      <c r="W343" s="36"/>
      <c r="X343" s="36"/>
      <c r="Y343" s="36"/>
      <c r="Z343" s="36"/>
      <c r="AA343" s="36"/>
      <c r="AB343" s="36"/>
      <c r="AC343" s="32">
        <f t="shared" si="183"/>
        <v>0</v>
      </c>
      <c r="AD343" s="37"/>
      <c r="AE343" s="37"/>
      <c r="AF343" s="37"/>
      <c r="AG343" s="37"/>
      <c r="AH343" s="37"/>
      <c r="AI343" s="37"/>
      <c r="AJ343" s="37"/>
      <c r="AK343" s="37"/>
      <c r="AL343" s="37"/>
      <c r="AM343" s="37"/>
      <c r="AN343" s="37"/>
      <c r="AO343" s="37"/>
      <c r="AP343" s="37"/>
      <c r="AQ343" s="37"/>
      <c r="AR343" s="37"/>
      <c r="AS343" s="37"/>
      <c r="AT343" s="38"/>
      <c r="AU343" s="1630"/>
      <c r="AV343" s="1342">
        <f t="shared" si="207"/>
        <v>0</v>
      </c>
      <c r="AW343" s="1342">
        <f t="shared" si="208"/>
        <v>0</v>
      </c>
      <c r="AX343" s="1342">
        <f t="shared" si="209"/>
        <v>0</v>
      </c>
      <c r="AY343" s="39">
        <f t="shared" si="184"/>
        <v>0</v>
      </c>
      <c r="AZ343" s="32">
        <f t="shared" si="185"/>
        <v>0</v>
      </c>
      <c r="BA343" s="32">
        <f t="shared" si="186"/>
        <v>0</v>
      </c>
      <c r="BB343" s="32">
        <f t="shared" si="187"/>
        <v>0</v>
      </c>
      <c r="BC343" s="32">
        <f t="shared" si="188"/>
        <v>0</v>
      </c>
      <c r="BD343" s="32">
        <f t="shared" si="189"/>
        <v>0</v>
      </c>
      <c r="BE343" s="32">
        <f t="shared" si="190"/>
        <v>0</v>
      </c>
      <c r="BF343" s="32">
        <f t="shared" si="191"/>
        <v>0</v>
      </c>
      <c r="BG343" s="32">
        <f t="shared" si="192"/>
        <v>0</v>
      </c>
      <c r="BH343" s="32">
        <f t="shared" si="193"/>
        <v>0</v>
      </c>
      <c r="BI343" s="32">
        <f t="shared" si="194"/>
        <v>0</v>
      </c>
      <c r="BJ343" s="32">
        <f t="shared" si="195"/>
        <v>0</v>
      </c>
      <c r="BK343" s="32">
        <f t="shared" si="196"/>
        <v>0</v>
      </c>
      <c r="BL343" s="32">
        <f t="shared" si="197"/>
        <v>0</v>
      </c>
      <c r="BM343" s="32">
        <f t="shared" si="198"/>
        <v>0</v>
      </c>
      <c r="BN343" s="32">
        <f t="shared" si="199"/>
        <v>0</v>
      </c>
      <c r="BO343" s="32">
        <f t="shared" si="200"/>
        <v>0</v>
      </c>
      <c r="BP343" s="32">
        <f t="shared" si="201"/>
        <v>0</v>
      </c>
      <c r="BQ343" s="32">
        <f t="shared" si="202"/>
        <v>0</v>
      </c>
      <c r="BR343" s="32">
        <f t="shared" si="203"/>
        <v>0</v>
      </c>
      <c r="BS343" s="32">
        <f t="shared" si="204"/>
        <v>0</v>
      </c>
      <c r="BT343" s="40">
        <f t="shared" si="205"/>
        <v>0</v>
      </c>
    </row>
    <row r="344" spans="1:72">
      <c r="A344" s="6"/>
      <c r="B344" s="31"/>
      <c r="C344" s="31"/>
      <c r="D344" s="1629"/>
      <c r="E344" s="32">
        <f t="shared" si="206"/>
        <v>0</v>
      </c>
      <c r="F344" s="33"/>
      <c r="G344" s="34">
        <f t="shared" si="181"/>
        <v>0</v>
      </c>
      <c r="H344" s="35">
        <f t="shared" si="182"/>
        <v>0</v>
      </c>
      <c r="I344" s="36"/>
      <c r="J344" s="36"/>
      <c r="K344" s="36"/>
      <c r="L344" s="36"/>
      <c r="M344" s="36"/>
      <c r="N344" s="36"/>
      <c r="O344" s="36"/>
      <c r="P344" s="36"/>
      <c r="Q344" s="36"/>
      <c r="R344" s="36"/>
      <c r="S344" s="36"/>
      <c r="T344" s="36"/>
      <c r="U344" s="36"/>
      <c r="V344" s="36"/>
      <c r="W344" s="36"/>
      <c r="X344" s="36"/>
      <c r="Y344" s="36"/>
      <c r="Z344" s="36"/>
      <c r="AA344" s="36"/>
      <c r="AB344" s="36"/>
      <c r="AC344" s="32">
        <f t="shared" si="183"/>
        <v>0</v>
      </c>
      <c r="AD344" s="37"/>
      <c r="AE344" s="37"/>
      <c r="AF344" s="37"/>
      <c r="AG344" s="37"/>
      <c r="AH344" s="37"/>
      <c r="AI344" s="37"/>
      <c r="AJ344" s="37"/>
      <c r="AK344" s="37"/>
      <c r="AL344" s="37"/>
      <c r="AM344" s="37"/>
      <c r="AN344" s="37"/>
      <c r="AO344" s="37"/>
      <c r="AP344" s="37"/>
      <c r="AQ344" s="37"/>
      <c r="AR344" s="37"/>
      <c r="AS344" s="37"/>
      <c r="AT344" s="38"/>
      <c r="AU344" s="1630"/>
      <c r="AV344" s="1342">
        <f t="shared" si="207"/>
        <v>0</v>
      </c>
      <c r="AW344" s="1342">
        <f t="shared" si="208"/>
        <v>0</v>
      </c>
      <c r="AX344" s="1342">
        <f t="shared" si="209"/>
        <v>0</v>
      </c>
      <c r="AY344" s="39">
        <f t="shared" si="184"/>
        <v>0</v>
      </c>
      <c r="AZ344" s="32">
        <f t="shared" si="185"/>
        <v>0</v>
      </c>
      <c r="BA344" s="32">
        <f t="shared" si="186"/>
        <v>0</v>
      </c>
      <c r="BB344" s="32">
        <f t="shared" si="187"/>
        <v>0</v>
      </c>
      <c r="BC344" s="32">
        <f t="shared" si="188"/>
        <v>0</v>
      </c>
      <c r="BD344" s="32">
        <f t="shared" si="189"/>
        <v>0</v>
      </c>
      <c r="BE344" s="32">
        <f t="shared" si="190"/>
        <v>0</v>
      </c>
      <c r="BF344" s="32">
        <f t="shared" si="191"/>
        <v>0</v>
      </c>
      <c r="BG344" s="32">
        <f t="shared" si="192"/>
        <v>0</v>
      </c>
      <c r="BH344" s="32">
        <f t="shared" si="193"/>
        <v>0</v>
      </c>
      <c r="BI344" s="32">
        <f t="shared" si="194"/>
        <v>0</v>
      </c>
      <c r="BJ344" s="32">
        <f t="shared" si="195"/>
        <v>0</v>
      </c>
      <c r="BK344" s="32">
        <f t="shared" si="196"/>
        <v>0</v>
      </c>
      <c r="BL344" s="32">
        <f t="shared" si="197"/>
        <v>0</v>
      </c>
      <c r="BM344" s="32">
        <f t="shared" si="198"/>
        <v>0</v>
      </c>
      <c r="BN344" s="32">
        <f t="shared" si="199"/>
        <v>0</v>
      </c>
      <c r="BO344" s="32">
        <f t="shared" si="200"/>
        <v>0</v>
      </c>
      <c r="BP344" s="32">
        <f t="shared" si="201"/>
        <v>0</v>
      </c>
      <c r="BQ344" s="32">
        <f t="shared" si="202"/>
        <v>0</v>
      </c>
      <c r="BR344" s="32">
        <f t="shared" si="203"/>
        <v>0</v>
      </c>
      <c r="BS344" s="32">
        <f t="shared" si="204"/>
        <v>0</v>
      </c>
      <c r="BT344" s="40">
        <f t="shared" si="205"/>
        <v>0</v>
      </c>
    </row>
    <row r="345" spans="1:72">
      <c r="A345" s="6"/>
      <c r="B345" s="31"/>
      <c r="C345" s="31"/>
      <c r="D345" s="1629"/>
      <c r="E345" s="32">
        <f t="shared" si="206"/>
        <v>0</v>
      </c>
      <c r="F345" s="33"/>
      <c r="G345" s="34">
        <f t="shared" si="181"/>
        <v>0</v>
      </c>
      <c r="H345" s="35">
        <f t="shared" si="182"/>
        <v>0</v>
      </c>
      <c r="I345" s="36"/>
      <c r="J345" s="36"/>
      <c r="K345" s="36"/>
      <c r="L345" s="36"/>
      <c r="M345" s="36"/>
      <c r="N345" s="36"/>
      <c r="O345" s="36"/>
      <c r="P345" s="36"/>
      <c r="Q345" s="36"/>
      <c r="R345" s="36"/>
      <c r="S345" s="36"/>
      <c r="T345" s="36"/>
      <c r="U345" s="36"/>
      <c r="V345" s="36"/>
      <c r="W345" s="36"/>
      <c r="X345" s="36"/>
      <c r="Y345" s="36"/>
      <c r="Z345" s="36"/>
      <c r="AA345" s="36"/>
      <c r="AB345" s="36"/>
      <c r="AC345" s="32">
        <f t="shared" si="183"/>
        <v>0</v>
      </c>
      <c r="AD345" s="37"/>
      <c r="AE345" s="37"/>
      <c r="AF345" s="37"/>
      <c r="AG345" s="37"/>
      <c r="AH345" s="37"/>
      <c r="AI345" s="37"/>
      <c r="AJ345" s="37"/>
      <c r="AK345" s="37"/>
      <c r="AL345" s="37"/>
      <c r="AM345" s="37"/>
      <c r="AN345" s="37"/>
      <c r="AO345" s="37"/>
      <c r="AP345" s="37"/>
      <c r="AQ345" s="37"/>
      <c r="AR345" s="37"/>
      <c r="AS345" s="37"/>
      <c r="AT345" s="38"/>
      <c r="AU345" s="1630"/>
      <c r="AV345" s="1342">
        <f t="shared" si="207"/>
        <v>0</v>
      </c>
      <c r="AW345" s="1342">
        <f t="shared" si="208"/>
        <v>0</v>
      </c>
      <c r="AX345" s="1342">
        <f t="shared" si="209"/>
        <v>0</v>
      </c>
      <c r="AY345" s="39">
        <f t="shared" si="184"/>
        <v>0</v>
      </c>
      <c r="AZ345" s="32">
        <f t="shared" si="185"/>
        <v>0</v>
      </c>
      <c r="BA345" s="32">
        <f t="shared" si="186"/>
        <v>0</v>
      </c>
      <c r="BB345" s="32">
        <f t="shared" si="187"/>
        <v>0</v>
      </c>
      <c r="BC345" s="32">
        <f t="shared" si="188"/>
        <v>0</v>
      </c>
      <c r="BD345" s="32">
        <f t="shared" si="189"/>
        <v>0</v>
      </c>
      <c r="BE345" s="32">
        <f t="shared" si="190"/>
        <v>0</v>
      </c>
      <c r="BF345" s="32">
        <f t="shared" si="191"/>
        <v>0</v>
      </c>
      <c r="BG345" s="32">
        <f t="shared" si="192"/>
        <v>0</v>
      </c>
      <c r="BH345" s="32">
        <f t="shared" si="193"/>
        <v>0</v>
      </c>
      <c r="BI345" s="32">
        <f t="shared" si="194"/>
        <v>0</v>
      </c>
      <c r="BJ345" s="32">
        <f t="shared" si="195"/>
        <v>0</v>
      </c>
      <c r="BK345" s="32">
        <f t="shared" si="196"/>
        <v>0</v>
      </c>
      <c r="BL345" s="32">
        <f t="shared" si="197"/>
        <v>0</v>
      </c>
      <c r="BM345" s="32">
        <f t="shared" si="198"/>
        <v>0</v>
      </c>
      <c r="BN345" s="32">
        <f t="shared" si="199"/>
        <v>0</v>
      </c>
      <c r="BO345" s="32">
        <f t="shared" si="200"/>
        <v>0</v>
      </c>
      <c r="BP345" s="32">
        <f t="shared" si="201"/>
        <v>0</v>
      </c>
      <c r="BQ345" s="32">
        <f t="shared" si="202"/>
        <v>0</v>
      </c>
      <c r="BR345" s="32">
        <f t="shared" si="203"/>
        <v>0</v>
      </c>
      <c r="BS345" s="32">
        <f t="shared" si="204"/>
        <v>0</v>
      </c>
      <c r="BT345" s="40">
        <f t="shared" si="205"/>
        <v>0</v>
      </c>
    </row>
    <row r="346" spans="1:72">
      <c r="A346" s="6"/>
      <c r="B346" s="31"/>
      <c r="C346" s="31"/>
      <c r="D346" s="1629"/>
      <c r="E346" s="32">
        <f t="shared" si="206"/>
        <v>0</v>
      </c>
      <c r="F346" s="33"/>
      <c r="G346" s="34">
        <f t="shared" si="181"/>
        <v>0</v>
      </c>
      <c r="H346" s="35">
        <f t="shared" si="182"/>
        <v>0</v>
      </c>
      <c r="I346" s="36"/>
      <c r="J346" s="36"/>
      <c r="K346" s="36"/>
      <c r="L346" s="36"/>
      <c r="M346" s="36"/>
      <c r="N346" s="36"/>
      <c r="O346" s="36"/>
      <c r="P346" s="36"/>
      <c r="Q346" s="36"/>
      <c r="R346" s="36"/>
      <c r="S346" s="36"/>
      <c r="T346" s="36"/>
      <c r="U346" s="36"/>
      <c r="V346" s="36"/>
      <c r="W346" s="36"/>
      <c r="X346" s="36"/>
      <c r="Y346" s="36"/>
      <c r="Z346" s="36"/>
      <c r="AA346" s="36"/>
      <c r="AB346" s="36"/>
      <c r="AC346" s="32">
        <f t="shared" si="183"/>
        <v>0</v>
      </c>
      <c r="AD346" s="37"/>
      <c r="AE346" s="37"/>
      <c r="AF346" s="37"/>
      <c r="AG346" s="37"/>
      <c r="AH346" s="37"/>
      <c r="AI346" s="37"/>
      <c r="AJ346" s="37"/>
      <c r="AK346" s="37"/>
      <c r="AL346" s="37"/>
      <c r="AM346" s="37"/>
      <c r="AN346" s="37"/>
      <c r="AO346" s="37"/>
      <c r="AP346" s="37"/>
      <c r="AQ346" s="37"/>
      <c r="AR346" s="37"/>
      <c r="AS346" s="37"/>
      <c r="AT346" s="38"/>
      <c r="AU346" s="1630"/>
      <c r="AV346" s="1342">
        <f t="shared" si="207"/>
        <v>0</v>
      </c>
      <c r="AW346" s="1342">
        <f t="shared" si="208"/>
        <v>0</v>
      </c>
      <c r="AX346" s="1342">
        <f t="shared" si="209"/>
        <v>0</v>
      </c>
      <c r="AY346" s="39">
        <f t="shared" si="184"/>
        <v>0</v>
      </c>
      <c r="AZ346" s="32">
        <f t="shared" si="185"/>
        <v>0</v>
      </c>
      <c r="BA346" s="32">
        <f t="shared" si="186"/>
        <v>0</v>
      </c>
      <c r="BB346" s="32">
        <f t="shared" si="187"/>
        <v>0</v>
      </c>
      <c r="BC346" s="32">
        <f t="shared" si="188"/>
        <v>0</v>
      </c>
      <c r="BD346" s="32">
        <f t="shared" si="189"/>
        <v>0</v>
      </c>
      <c r="BE346" s="32">
        <f t="shared" si="190"/>
        <v>0</v>
      </c>
      <c r="BF346" s="32">
        <f t="shared" si="191"/>
        <v>0</v>
      </c>
      <c r="BG346" s="32">
        <f t="shared" si="192"/>
        <v>0</v>
      </c>
      <c r="BH346" s="32">
        <f t="shared" si="193"/>
        <v>0</v>
      </c>
      <c r="BI346" s="32">
        <f t="shared" si="194"/>
        <v>0</v>
      </c>
      <c r="BJ346" s="32">
        <f t="shared" si="195"/>
        <v>0</v>
      </c>
      <c r="BK346" s="32">
        <f t="shared" si="196"/>
        <v>0</v>
      </c>
      <c r="BL346" s="32">
        <f t="shared" si="197"/>
        <v>0</v>
      </c>
      <c r="BM346" s="32">
        <f t="shared" si="198"/>
        <v>0</v>
      </c>
      <c r="BN346" s="32">
        <f t="shared" si="199"/>
        <v>0</v>
      </c>
      <c r="BO346" s="32">
        <f t="shared" si="200"/>
        <v>0</v>
      </c>
      <c r="BP346" s="32">
        <f t="shared" si="201"/>
        <v>0</v>
      </c>
      <c r="BQ346" s="32">
        <f t="shared" si="202"/>
        <v>0</v>
      </c>
      <c r="BR346" s="32">
        <f t="shared" si="203"/>
        <v>0</v>
      </c>
      <c r="BS346" s="32">
        <f t="shared" si="204"/>
        <v>0</v>
      </c>
      <c r="BT346" s="40">
        <f t="shared" si="205"/>
        <v>0</v>
      </c>
    </row>
    <row r="347" spans="1:72">
      <c r="A347" s="6"/>
      <c r="B347" s="31"/>
      <c r="C347" s="31"/>
      <c r="D347" s="1629"/>
      <c r="E347" s="32">
        <f t="shared" si="206"/>
        <v>0</v>
      </c>
      <c r="F347" s="33"/>
      <c r="G347" s="34">
        <f t="shared" si="181"/>
        <v>0</v>
      </c>
      <c r="H347" s="35">
        <f t="shared" si="182"/>
        <v>0</v>
      </c>
      <c r="I347" s="36"/>
      <c r="J347" s="36"/>
      <c r="K347" s="36"/>
      <c r="L347" s="36"/>
      <c r="M347" s="36"/>
      <c r="N347" s="36"/>
      <c r="O347" s="36"/>
      <c r="P347" s="36"/>
      <c r="Q347" s="36"/>
      <c r="R347" s="36"/>
      <c r="S347" s="36"/>
      <c r="T347" s="36"/>
      <c r="U347" s="36"/>
      <c r="V347" s="36"/>
      <c r="W347" s="36"/>
      <c r="X347" s="36"/>
      <c r="Y347" s="36"/>
      <c r="Z347" s="36"/>
      <c r="AA347" s="36"/>
      <c r="AB347" s="36"/>
      <c r="AC347" s="32">
        <f t="shared" si="183"/>
        <v>0</v>
      </c>
      <c r="AD347" s="37"/>
      <c r="AE347" s="37"/>
      <c r="AF347" s="37"/>
      <c r="AG347" s="37"/>
      <c r="AH347" s="37"/>
      <c r="AI347" s="37"/>
      <c r="AJ347" s="37"/>
      <c r="AK347" s="37"/>
      <c r="AL347" s="37"/>
      <c r="AM347" s="37"/>
      <c r="AN347" s="37"/>
      <c r="AO347" s="37"/>
      <c r="AP347" s="37"/>
      <c r="AQ347" s="37"/>
      <c r="AR347" s="37"/>
      <c r="AS347" s="37"/>
      <c r="AT347" s="38"/>
      <c r="AU347" s="1630"/>
      <c r="AV347" s="1342">
        <f t="shared" si="207"/>
        <v>0</v>
      </c>
      <c r="AW347" s="1342">
        <f t="shared" si="208"/>
        <v>0</v>
      </c>
      <c r="AX347" s="1342">
        <f t="shared" si="209"/>
        <v>0</v>
      </c>
      <c r="AY347" s="39">
        <f t="shared" si="184"/>
        <v>0</v>
      </c>
      <c r="AZ347" s="32">
        <f t="shared" si="185"/>
        <v>0</v>
      </c>
      <c r="BA347" s="32">
        <f t="shared" si="186"/>
        <v>0</v>
      </c>
      <c r="BB347" s="32">
        <f t="shared" si="187"/>
        <v>0</v>
      </c>
      <c r="BC347" s="32">
        <f t="shared" si="188"/>
        <v>0</v>
      </c>
      <c r="BD347" s="32">
        <f t="shared" si="189"/>
        <v>0</v>
      </c>
      <c r="BE347" s="32">
        <f t="shared" si="190"/>
        <v>0</v>
      </c>
      <c r="BF347" s="32">
        <f t="shared" si="191"/>
        <v>0</v>
      </c>
      <c r="BG347" s="32">
        <f t="shared" si="192"/>
        <v>0</v>
      </c>
      <c r="BH347" s="32">
        <f t="shared" si="193"/>
        <v>0</v>
      </c>
      <c r="BI347" s="32">
        <f t="shared" si="194"/>
        <v>0</v>
      </c>
      <c r="BJ347" s="32">
        <f t="shared" si="195"/>
        <v>0</v>
      </c>
      <c r="BK347" s="32">
        <f t="shared" si="196"/>
        <v>0</v>
      </c>
      <c r="BL347" s="32">
        <f t="shared" si="197"/>
        <v>0</v>
      </c>
      <c r="BM347" s="32">
        <f t="shared" si="198"/>
        <v>0</v>
      </c>
      <c r="BN347" s="32">
        <f t="shared" si="199"/>
        <v>0</v>
      </c>
      <c r="BO347" s="32">
        <f t="shared" si="200"/>
        <v>0</v>
      </c>
      <c r="BP347" s="32">
        <f t="shared" si="201"/>
        <v>0</v>
      </c>
      <c r="BQ347" s="32">
        <f t="shared" si="202"/>
        <v>0</v>
      </c>
      <c r="BR347" s="32">
        <f t="shared" si="203"/>
        <v>0</v>
      </c>
      <c r="BS347" s="32">
        <f t="shared" si="204"/>
        <v>0</v>
      </c>
      <c r="BT347" s="40">
        <f t="shared" si="205"/>
        <v>0</v>
      </c>
    </row>
    <row r="348" spans="1:72">
      <c r="A348" s="6"/>
      <c r="B348" s="31"/>
      <c r="C348" s="31"/>
      <c r="D348" s="1629"/>
      <c r="E348" s="32">
        <f t="shared" si="206"/>
        <v>0</v>
      </c>
      <c r="F348" s="33"/>
      <c r="G348" s="34">
        <f t="shared" si="181"/>
        <v>0</v>
      </c>
      <c r="H348" s="35">
        <f t="shared" si="182"/>
        <v>0</v>
      </c>
      <c r="I348" s="36"/>
      <c r="J348" s="36"/>
      <c r="K348" s="36"/>
      <c r="L348" s="36"/>
      <c r="M348" s="36"/>
      <c r="N348" s="36"/>
      <c r="O348" s="36"/>
      <c r="P348" s="36"/>
      <c r="Q348" s="36"/>
      <c r="R348" s="36"/>
      <c r="S348" s="36"/>
      <c r="T348" s="36"/>
      <c r="U348" s="36"/>
      <c r="V348" s="36"/>
      <c r="W348" s="36"/>
      <c r="X348" s="36"/>
      <c r="Y348" s="36"/>
      <c r="Z348" s="36"/>
      <c r="AA348" s="36"/>
      <c r="AB348" s="36"/>
      <c r="AC348" s="32">
        <f t="shared" si="183"/>
        <v>0</v>
      </c>
      <c r="AD348" s="37"/>
      <c r="AE348" s="37"/>
      <c r="AF348" s="37"/>
      <c r="AG348" s="37"/>
      <c r="AH348" s="37"/>
      <c r="AI348" s="37"/>
      <c r="AJ348" s="37"/>
      <c r="AK348" s="37"/>
      <c r="AL348" s="37"/>
      <c r="AM348" s="37"/>
      <c r="AN348" s="37"/>
      <c r="AO348" s="37"/>
      <c r="AP348" s="37"/>
      <c r="AQ348" s="37"/>
      <c r="AR348" s="37"/>
      <c r="AS348" s="37"/>
      <c r="AT348" s="38"/>
      <c r="AU348" s="1630"/>
      <c r="AV348" s="1342">
        <f t="shared" si="207"/>
        <v>0</v>
      </c>
      <c r="AW348" s="1342">
        <f t="shared" si="208"/>
        <v>0</v>
      </c>
      <c r="AX348" s="1342">
        <f t="shared" si="209"/>
        <v>0</v>
      </c>
      <c r="AY348" s="39">
        <f t="shared" si="184"/>
        <v>0</v>
      </c>
      <c r="AZ348" s="32">
        <f t="shared" si="185"/>
        <v>0</v>
      </c>
      <c r="BA348" s="32">
        <f t="shared" si="186"/>
        <v>0</v>
      </c>
      <c r="BB348" s="32">
        <f t="shared" si="187"/>
        <v>0</v>
      </c>
      <c r="BC348" s="32">
        <f t="shared" si="188"/>
        <v>0</v>
      </c>
      <c r="BD348" s="32">
        <f t="shared" si="189"/>
        <v>0</v>
      </c>
      <c r="BE348" s="32">
        <f t="shared" si="190"/>
        <v>0</v>
      </c>
      <c r="BF348" s="32">
        <f t="shared" si="191"/>
        <v>0</v>
      </c>
      <c r="BG348" s="32">
        <f t="shared" si="192"/>
        <v>0</v>
      </c>
      <c r="BH348" s="32">
        <f t="shared" si="193"/>
        <v>0</v>
      </c>
      <c r="BI348" s="32">
        <f t="shared" si="194"/>
        <v>0</v>
      </c>
      <c r="BJ348" s="32">
        <f t="shared" si="195"/>
        <v>0</v>
      </c>
      <c r="BK348" s="32">
        <f t="shared" si="196"/>
        <v>0</v>
      </c>
      <c r="BL348" s="32">
        <f t="shared" si="197"/>
        <v>0</v>
      </c>
      <c r="BM348" s="32">
        <f t="shared" si="198"/>
        <v>0</v>
      </c>
      <c r="BN348" s="32">
        <f t="shared" si="199"/>
        <v>0</v>
      </c>
      <c r="BO348" s="32">
        <f t="shared" si="200"/>
        <v>0</v>
      </c>
      <c r="BP348" s="32">
        <f t="shared" si="201"/>
        <v>0</v>
      </c>
      <c r="BQ348" s="32">
        <f t="shared" si="202"/>
        <v>0</v>
      </c>
      <c r="BR348" s="32">
        <f t="shared" si="203"/>
        <v>0</v>
      </c>
      <c r="BS348" s="32">
        <f t="shared" si="204"/>
        <v>0</v>
      </c>
      <c r="BT348" s="40">
        <f t="shared" si="205"/>
        <v>0</v>
      </c>
    </row>
    <row r="349" spans="1:72">
      <c r="A349" s="6"/>
      <c r="B349" s="31"/>
      <c r="C349" s="31"/>
      <c r="D349" s="1629"/>
      <c r="E349" s="32">
        <f t="shared" si="206"/>
        <v>0</v>
      </c>
      <c r="F349" s="33"/>
      <c r="G349" s="34">
        <f t="shared" si="181"/>
        <v>0</v>
      </c>
      <c r="H349" s="35">
        <f t="shared" si="182"/>
        <v>0</v>
      </c>
      <c r="I349" s="36"/>
      <c r="J349" s="36"/>
      <c r="K349" s="36"/>
      <c r="L349" s="36"/>
      <c r="M349" s="36"/>
      <c r="N349" s="36"/>
      <c r="O349" s="36"/>
      <c r="P349" s="36"/>
      <c r="Q349" s="36"/>
      <c r="R349" s="36"/>
      <c r="S349" s="36"/>
      <c r="T349" s="36"/>
      <c r="U349" s="36"/>
      <c r="V349" s="36"/>
      <c r="W349" s="36"/>
      <c r="X349" s="36"/>
      <c r="Y349" s="36"/>
      <c r="Z349" s="36"/>
      <c r="AA349" s="36"/>
      <c r="AB349" s="36"/>
      <c r="AC349" s="32">
        <f t="shared" si="183"/>
        <v>0</v>
      </c>
      <c r="AD349" s="37"/>
      <c r="AE349" s="37"/>
      <c r="AF349" s="37"/>
      <c r="AG349" s="37"/>
      <c r="AH349" s="37"/>
      <c r="AI349" s="37"/>
      <c r="AJ349" s="37"/>
      <c r="AK349" s="37"/>
      <c r="AL349" s="37"/>
      <c r="AM349" s="37"/>
      <c r="AN349" s="37"/>
      <c r="AO349" s="37"/>
      <c r="AP349" s="37"/>
      <c r="AQ349" s="37"/>
      <c r="AR349" s="37"/>
      <c r="AS349" s="37"/>
      <c r="AT349" s="38"/>
      <c r="AU349" s="1630"/>
      <c r="AV349" s="1342">
        <f t="shared" si="207"/>
        <v>0</v>
      </c>
      <c r="AW349" s="1342">
        <f t="shared" si="208"/>
        <v>0</v>
      </c>
      <c r="AX349" s="1342">
        <f t="shared" si="209"/>
        <v>0</v>
      </c>
      <c r="AY349" s="39">
        <f t="shared" si="184"/>
        <v>0</v>
      </c>
      <c r="AZ349" s="32">
        <f t="shared" si="185"/>
        <v>0</v>
      </c>
      <c r="BA349" s="32">
        <f t="shared" si="186"/>
        <v>0</v>
      </c>
      <c r="BB349" s="32">
        <f t="shared" si="187"/>
        <v>0</v>
      </c>
      <c r="BC349" s="32">
        <f t="shared" si="188"/>
        <v>0</v>
      </c>
      <c r="BD349" s="32">
        <f t="shared" si="189"/>
        <v>0</v>
      </c>
      <c r="BE349" s="32">
        <f t="shared" si="190"/>
        <v>0</v>
      </c>
      <c r="BF349" s="32">
        <f t="shared" si="191"/>
        <v>0</v>
      </c>
      <c r="BG349" s="32">
        <f t="shared" si="192"/>
        <v>0</v>
      </c>
      <c r="BH349" s="32">
        <f t="shared" si="193"/>
        <v>0</v>
      </c>
      <c r="BI349" s="32">
        <f t="shared" si="194"/>
        <v>0</v>
      </c>
      <c r="BJ349" s="32">
        <f t="shared" si="195"/>
        <v>0</v>
      </c>
      <c r="BK349" s="32">
        <f t="shared" si="196"/>
        <v>0</v>
      </c>
      <c r="BL349" s="32">
        <f t="shared" si="197"/>
        <v>0</v>
      </c>
      <c r="BM349" s="32">
        <f t="shared" si="198"/>
        <v>0</v>
      </c>
      <c r="BN349" s="32">
        <f t="shared" si="199"/>
        <v>0</v>
      </c>
      <c r="BO349" s="32">
        <f t="shared" si="200"/>
        <v>0</v>
      </c>
      <c r="BP349" s="32">
        <f t="shared" si="201"/>
        <v>0</v>
      </c>
      <c r="BQ349" s="32">
        <f t="shared" si="202"/>
        <v>0</v>
      </c>
      <c r="BR349" s="32">
        <f t="shared" si="203"/>
        <v>0</v>
      </c>
      <c r="BS349" s="32">
        <f t="shared" si="204"/>
        <v>0</v>
      </c>
      <c r="BT349" s="40">
        <f t="shared" si="205"/>
        <v>0</v>
      </c>
    </row>
    <row r="350" spans="1:72">
      <c r="A350" s="6"/>
      <c r="B350" s="31"/>
      <c r="C350" s="31"/>
      <c r="D350" s="1629"/>
      <c r="E350" s="32">
        <f t="shared" si="206"/>
        <v>0</v>
      </c>
      <c r="F350" s="33"/>
      <c r="G350" s="34">
        <f t="shared" si="181"/>
        <v>0</v>
      </c>
      <c r="H350" s="35">
        <f t="shared" si="182"/>
        <v>0</v>
      </c>
      <c r="I350" s="36"/>
      <c r="J350" s="36"/>
      <c r="K350" s="36"/>
      <c r="L350" s="36"/>
      <c r="M350" s="36"/>
      <c r="N350" s="36"/>
      <c r="O350" s="36"/>
      <c r="P350" s="36"/>
      <c r="Q350" s="36"/>
      <c r="R350" s="36"/>
      <c r="S350" s="36"/>
      <c r="T350" s="36"/>
      <c r="U350" s="36"/>
      <c r="V350" s="36"/>
      <c r="W350" s="36"/>
      <c r="X350" s="36"/>
      <c r="Y350" s="36"/>
      <c r="Z350" s="36"/>
      <c r="AA350" s="36"/>
      <c r="AB350" s="36"/>
      <c r="AC350" s="32">
        <f t="shared" si="183"/>
        <v>0</v>
      </c>
      <c r="AD350" s="37"/>
      <c r="AE350" s="37"/>
      <c r="AF350" s="37"/>
      <c r="AG350" s="37"/>
      <c r="AH350" s="37"/>
      <c r="AI350" s="37"/>
      <c r="AJ350" s="37"/>
      <c r="AK350" s="37"/>
      <c r="AL350" s="37"/>
      <c r="AM350" s="37"/>
      <c r="AN350" s="37"/>
      <c r="AO350" s="37"/>
      <c r="AP350" s="37"/>
      <c r="AQ350" s="37"/>
      <c r="AR350" s="37"/>
      <c r="AS350" s="37"/>
      <c r="AT350" s="38"/>
      <c r="AU350" s="1630"/>
      <c r="AV350" s="1342">
        <f t="shared" si="207"/>
        <v>0</v>
      </c>
      <c r="AW350" s="1342">
        <f t="shared" si="208"/>
        <v>0</v>
      </c>
      <c r="AX350" s="1342">
        <f t="shared" si="209"/>
        <v>0</v>
      </c>
      <c r="AY350" s="39">
        <f t="shared" si="184"/>
        <v>0</v>
      </c>
      <c r="AZ350" s="32">
        <f t="shared" si="185"/>
        <v>0</v>
      </c>
      <c r="BA350" s="32">
        <f t="shared" si="186"/>
        <v>0</v>
      </c>
      <c r="BB350" s="32">
        <f t="shared" si="187"/>
        <v>0</v>
      </c>
      <c r="BC350" s="32">
        <f t="shared" si="188"/>
        <v>0</v>
      </c>
      <c r="BD350" s="32">
        <f t="shared" si="189"/>
        <v>0</v>
      </c>
      <c r="BE350" s="32">
        <f t="shared" si="190"/>
        <v>0</v>
      </c>
      <c r="BF350" s="32">
        <f t="shared" si="191"/>
        <v>0</v>
      </c>
      <c r="BG350" s="32">
        <f t="shared" si="192"/>
        <v>0</v>
      </c>
      <c r="BH350" s="32">
        <f t="shared" si="193"/>
        <v>0</v>
      </c>
      <c r="BI350" s="32">
        <f t="shared" si="194"/>
        <v>0</v>
      </c>
      <c r="BJ350" s="32">
        <f t="shared" si="195"/>
        <v>0</v>
      </c>
      <c r="BK350" s="32">
        <f t="shared" si="196"/>
        <v>0</v>
      </c>
      <c r="BL350" s="32">
        <f t="shared" si="197"/>
        <v>0</v>
      </c>
      <c r="BM350" s="32">
        <f t="shared" si="198"/>
        <v>0</v>
      </c>
      <c r="BN350" s="32">
        <f t="shared" si="199"/>
        <v>0</v>
      </c>
      <c r="BO350" s="32">
        <f t="shared" si="200"/>
        <v>0</v>
      </c>
      <c r="BP350" s="32">
        <f t="shared" si="201"/>
        <v>0</v>
      </c>
      <c r="BQ350" s="32">
        <f t="shared" si="202"/>
        <v>0</v>
      </c>
      <c r="BR350" s="32">
        <f t="shared" si="203"/>
        <v>0</v>
      </c>
      <c r="BS350" s="32">
        <f t="shared" si="204"/>
        <v>0</v>
      </c>
      <c r="BT350" s="40">
        <f t="shared" si="205"/>
        <v>0</v>
      </c>
    </row>
    <row r="351" spans="1:72">
      <c r="A351" s="6"/>
      <c r="B351" s="31"/>
      <c r="C351" s="31"/>
      <c r="D351" s="1629"/>
      <c r="E351" s="32">
        <f t="shared" si="206"/>
        <v>0</v>
      </c>
      <c r="F351" s="33"/>
      <c r="G351" s="34">
        <f t="shared" si="181"/>
        <v>0</v>
      </c>
      <c r="H351" s="35">
        <f t="shared" si="182"/>
        <v>0</v>
      </c>
      <c r="I351" s="36"/>
      <c r="J351" s="36"/>
      <c r="K351" s="36"/>
      <c r="L351" s="36"/>
      <c r="M351" s="36"/>
      <c r="N351" s="36"/>
      <c r="O351" s="36"/>
      <c r="P351" s="36"/>
      <c r="Q351" s="36"/>
      <c r="R351" s="36"/>
      <c r="S351" s="36"/>
      <c r="T351" s="36"/>
      <c r="U351" s="36"/>
      <c r="V351" s="36"/>
      <c r="W351" s="36"/>
      <c r="X351" s="36"/>
      <c r="Y351" s="36"/>
      <c r="Z351" s="36"/>
      <c r="AA351" s="36"/>
      <c r="AB351" s="36"/>
      <c r="AC351" s="32">
        <f t="shared" si="183"/>
        <v>0</v>
      </c>
      <c r="AD351" s="37"/>
      <c r="AE351" s="37"/>
      <c r="AF351" s="37"/>
      <c r="AG351" s="37"/>
      <c r="AH351" s="37"/>
      <c r="AI351" s="37"/>
      <c r="AJ351" s="37"/>
      <c r="AK351" s="37"/>
      <c r="AL351" s="37"/>
      <c r="AM351" s="37"/>
      <c r="AN351" s="37"/>
      <c r="AO351" s="37"/>
      <c r="AP351" s="37"/>
      <c r="AQ351" s="37"/>
      <c r="AR351" s="37"/>
      <c r="AS351" s="37"/>
      <c r="AT351" s="38"/>
      <c r="AU351" s="1630"/>
      <c r="AV351" s="1342">
        <f t="shared" si="207"/>
        <v>0</v>
      </c>
      <c r="AW351" s="1342">
        <f t="shared" si="208"/>
        <v>0</v>
      </c>
      <c r="AX351" s="1342">
        <f t="shared" si="209"/>
        <v>0</v>
      </c>
      <c r="AY351" s="39">
        <f t="shared" si="184"/>
        <v>0</v>
      </c>
      <c r="AZ351" s="32">
        <f t="shared" si="185"/>
        <v>0</v>
      </c>
      <c r="BA351" s="32">
        <f t="shared" si="186"/>
        <v>0</v>
      </c>
      <c r="BB351" s="32">
        <f t="shared" si="187"/>
        <v>0</v>
      </c>
      <c r="BC351" s="32">
        <f t="shared" si="188"/>
        <v>0</v>
      </c>
      <c r="BD351" s="32">
        <f t="shared" si="189"/>
        <v>0</v>
      </c>
      <c r="BE351" s="32">
        <f t="shared" si="190"/>
        <v>0</v>
      </c>
      <c r="BF351" s="32">
        <f t="shared" si="191"/>
        <v>0</v>
      </c>
      <c r="BG351" s="32">
        <f t="shared" si="192"/>
        <v>0</v>
      </c>
      <c r="BH351" s="32">
        <f t="shared" si="193"/>
        <v>0</v>
      </c>
      <c r="BI351" s="32">
        <f t="shared" si="194"/>
        <v>0</v>
      </c>
      <c r="BJ351" s="32">
        <f t="shared" si="195"/>
        <v>0</v>
      </c>
      <c r="BK351" s="32">
        <f t="shared" si="196"/>
        <v>0</v>
      </c>
      <c r="BL351" s="32">
        <f t="shared" si="197"/>
        <v>0</v>
      </c>
      <c r="BM351" s="32">
        <f t="shared" si="198"/>
        <v>0</v>
      </c>
      <c r="BN351" s="32">
        <f t="shared" si="199"/>
        <v>0</v>
      </c>
      <c r="BO351" s="32">
        <f t="shared" si="200"/>
        <v>0</v>
      </c>
      <c r="BP351" s="32">
        <f t="shared" si="201"/>
        <v>0</v>
      </c>
      <c r="BQ351" s="32">
        <f t="shared" si="202"/>
        <v>0</v>
      </c>
      <c r="BR351" s="32">
        <f t="shared" si="203"/>
        <v>0</v>
      </c>
      <c r="BS351" s="32">
        <f t="shared" si="204"/>
        <v>0</v>
      </c>
      <c r="BT351" s="40">
        <f t="shared" si="205"/>
        <v>0</v>
      </c>
    </row>
    <row r="352" spans="1:72">
      <c r="A352" s="6"/>
      <c r="B352" s="31"/>
      <c r="C352" s="31"/>
      <c r="D352" s="1629"/>
      <c r="E352" s="32">
        <f t="shared" si="206"/>
        <v>0</v>
      </c>
      <c r="F352" s="33"/>
      <c r="G352" s="34">
        <f t="shared" si="181"/>
        <v>0</v>
      </c>
      <c r="H352" s="35">
        <f t="shared" si="182"/>
        <v>0</v>
      </c>
      <c r="I352" s="36"/>
      <c r="J352" s="36"/>
      <c r="K352" s="36"/>
      <c r="L352" s="36"/>
      <c r="M352" s="36"/>
      <c r="N352" s="36"/>
      <c r="O352" s="36"/>
      <c r="P352" s="36"/>
      <c r="Q352" s="36"/>
      <c r="R352" s="36"/>
      <c r="S352" s="36"/>
      <c r="T352" s="36"/>
      <c r="U352" s="36"/>
      <c r="V352" s="36"/>
      <c r="W352" s="36"/>
      <c r="X352" s="36"/>
      <c r="Y352" s="36"/>
      <c r="Z352" s="36"/>
      <c r="AA352" s="36"/>
      <c r="AB352" s="36"/>
      <c r="AC352" s="32">
        <f t="shared" si="183"/>
        <v>0</v>
      </c>
      <c r="AD352" s="37"/>
      <c r="AE352" s="37"/>
      <c r="AF352" s="37"/>
      <c r="AG352" s="37"/>
      <c r="AH352" s="37"/>
      <c r="AI352" s="37"/>
      <c r="AJ352" s="37"/>
      <c r="AK352" s="37"/>
      <c r="AL352" s="37"/>
      <c r="AM352" s="37"/>
      <c r="AN352" s="37"/>
      <c r="AO352" s="37"/>
      <c r="AP352" s="37"/>
      <c r="AQ352" s="37"/>
      <c r="AR352" s="37"/>
      <c r="AS352" s="37"/>
      <c r="AT352" s="38"/>
      <c r="AU352" s="1630"/>
      <c r="AV352" s="1342">
        <f t="shared" si="207"/>
        <v>0</v>
      </c>
      <c r="AW352" s="1342">
        <f t="shared" si="208"/>
        <v>0</v>
      </c>
      <c r="AX352" s="1342">
        <f t="shared" si="209"/>
        <v>0</v>
      </c>
      <c r="AY352" s="39">
        <f t="shared" si="184"/>
        <v>0</v>
      </c>
      <c r="AZ352" s="32">
        <f t="shared" si="185"/>
        <v>0</v>
      </c>
      <c r="BA352" s="32">
        <f t="shared" si="186"/>
        <v>0</v>
      </c>
      <c r="BB352" s="32">
        <f t="shared" si="187"/>
        <v>0</v>
      </c>
      <c r="BC352" s="32">
        <f t="shared" si="188"/>
        <v>0</v>
      </c>
      <c r="BD352" s="32">
        <f t="shared" si="189"/>
        <v>0</v>
      </c>
      <c r="BE352" s="32">
        <f t="shared" si="190"/>
        <v>0</v>
      </c>
      <c r="BF352" s="32">
        <f t="shared" si="191"/>
        <v>0</v>
      </c>
      <c r="BG352" s="32">
        <f t="shared" si="192"/>
        <v>0</v>
      </c>
      <c r="BH352" s="32">
        <f t="shared" si="193"/>
        <v>0</v>
      </c>
      <c r="BI352" s="32">
        <f t="shared" si="194"/>
        <v>0</v>
      </c>
      <c r="BJ352" s="32">
        <f t="shared" si="195"/>
        <v>0</v>
      </c>
      <c r="BK352" s="32">
        <f t="shared" si="196"/>
        <v>0</v>
      </c>
      <c r="BL352" s="32">
        <f t="shared" si="197"/>
        <v>0</v>
      </c>
      <c r="BM352" s="32">
        <f t="shared" si="198"/>
        <v>0</v>
      </c>
      <c r="BN352" s="32">
        <f t="shared" si="199"/>
        <v>0</v>
      </c>
      <c r="BO352" s="32">
        <f t="shared" si="200"/>
        <v>0</v>
      </c>
      <c r="BP352" s="32">
        <f t="shared" si="201"/>
        <v>0</v>
      </c>
      <c r="BQ352" s="32">
        <f t="shared" si="202"/>
        <v>0</v>
      </c>
      <c r="BR352" s="32">
        <f t="shared" si="203"/>
        <v>0</v>
      </c>
      <c r="BS352" s="32">
        <f t="shared" si="204"/>
        <v>0</v>
      </c>
      <c r="BT352" s="40">
        <f t="shared" si="205"/>
        <v>0</v>
      </c>
    </row>
    <row r="353" spans="1:72">
      <c r="A353" s="6"/>
      <c r="B353" s="31"/>
      <c r="C353" s="31"/>
      <c r="D353" s="1629"/>
      <c r="E353" s="32">
        <f t="shared" si="206"/>
        <v>0</v>
      </c>
      <c r="F353" s="33"/>
      <c r="G353" s="34">
        <f t="shared" si="181"/>
        <v>0</v>
      </c>
      <c r="H353" s="35">
        <f t="shared" si="182"/>
        <v>0</v>
      </c>
      <c r="I353" s="36"/>
      <c r="J353" s="36"/>
      <c r="K353" s="36"/>
      <c r="L353" s="36"/>
      <c r="M353" s="36"/>
      <c r="N353" s="36"/>
      <c r="O353" s="36"/>
      <c r="P353" s="36"/>
      <c r="Q353" s="36"/>
      <c r="R353" s="36"/>
      <c r="S353" s="36"/>
      <c r="T353" s="36"/>
      <c r="U353" s="36"/>
      <c r="V353" s="36"/>
      <c r="W353" s="36"/>
      <c r="X353" s="36"/>
      <c r="Y353" s="36"/>
      <c r="Z353" s="36"/>
      <c r="AA353" s="36"/>
      <c r="AB353" s="36"/>
      <c r="AC353" s="32">
        <f t="shared" si="183"/>
        <v>0</v>
      </c>
      <c r="AD353" s="37"/>
      <c r="AE353" s="37"/>
      <c r="AF353" s="37"/>
      <c r="AG353" s="37"/>
      <c r="AH353" s="37"/>
      <c r="AI353" s="37"/>
      <c r="AJ353" s="37"/>
      <c r="AK353" s="37"/>
      <c r="AL353" s="37"/>
      <c r="AM353" s="37"/>
      <c r="AN353" s="37"/>
      <c r="AO353" s="37"/>
      <c r="AP353" s="37"/>
      <c r="AQ353" s="37"/>
      <c r="AR353" s="37"/>
      <c r="AS353" s="37"/>
      <c r="AT353" s="38"/>
      <c r="AU353" s="1630"/>
      <c r="AV353" s="1342">
        <f t="shared" si="207"/>
        <v>0</v>
      </c>
      <c r="AW353" s="1342">
        <f t="shared" si="208"/>
        <v>0</v>
      </c>
      <c r="AX353" s="1342">
        <f t="shared" si="209"/>
        <v>0</v>
      </c>
      <c r="AY353" s="39">
        <f t="shared" si="184"/>
        <v>0</v>
      </c>
      <c r="AZ353" s="32">
        <f t="shared" si="185"/>
        <v>0</v>
      </c>
      <c r="BA353" s="32">
        <f t="shared" si="186"/>
        <v>0</v>
      </c>
      <c r="BB353" s="32">
        <f t="shared" si="187"/>
        <v>0</v>
      </c>
      <c r="BC353" s="32">
        <f t="shared" si="188"/>
        <v>0</v>
      </c>
      <c r="BD353" s="32">
        <f t="shared" si="189"/>
        <v>0</v>
      </c>
      <c r="BE353" s="32">
        <f t="shared" si="190"/>
        <v>0</v>
      </c>
      <c r="BF353" s="32">
        <f t="shared" si="191"/>
        <v>0</v>
      </c>
      <c r="BG353" s="32">
        <f t="shared" si="192"/>
        <v>0</v>
      </c>
      <c r="BH353" s="32">
        <f t="shared" si="193"/>
        <v>0</v>
      </c>
      <c r="BI353" s="32">
        <f t="shared" si="194"/>
        <v>0</v>
      </c>
      <c r="BJ353" s="32">
        <f t="shared" si="195"/>
        <v>0</v>
      </c>
      <c r="BK353" s="32">
        <f t="shared" si="196"/>
        <v>0</v>
      </c>
      <c r="BL353" s="32">
        <f t="shared" si="197"/>
        <v>0</v>
      </c>
      <c r="BM353" s="32">
        <f t="shared" si="198"/>
        <v>0</v>
      </c>
      <c r="BN353" s="32">
        <f t="shared" si="199"/>
        <v>0</v>
      </c>
      <c r="BO353" s="32">
        <f t="shared" si="200"/>
        <v>0</v>
      </c>
      <c r="BP353" s="32">
        <f t="shared" si="201"/>
        <v>0</v>
      </c>
      <c r="BQ353" s="32">
        <f t="shared" si="202"/>
        <v>0</v>
      </c>
      <c r="BR353" s="32">
        <f t="shared" si="203"/>
        <v>0</v>
      </c>
      <c r="BS353" s="32">
        <f t="shared" si="204"/>
        <v>0</v>
      </c>
      <c r="BT353" s="40">
        <f t="shared" si="205"/>
        <v>0</v>
      </c>
    </row>
    <row r="354" spans="1:72">
      <c r="A354" s="6"/>
      <c r="B354" s="31"/>
      <c r="C354" s="31"/>
      <c r="D354" s="1629"/>
      <c r="E354" s="32">
        <f t="shared" si="206"/>
        <v>0</v>
      </c>
      <c r="F354" s="33"/>
      <c r="G354" s="34">
        <f t="shared" si="181"/>
        <v>0</v>
      </c>
      <c r="H354" s="35">
        <f t="shared" si="182"/>
        <v>0</v>
      </c>
      <c r="I354" s="36"/>
      <c r="J354" s="36"/>
      <c r="K354" s="36"/>
      <c r="L354" s="36"/>
      <c r="M354" s="36"/>
      <c r="N354" s="36"/>
      <c r="O354" s="36"/>
      <c r="P354" s="36"/>
      <c r="Q354" s="36"/>
      <c r="R354" s="36"/>
      <c r="S354" s="36"/>
      <c r="T354" s="36"/>
      <c r="U354" s="36"/>
      <c r="V354" s="36"/>
      <c r="W354" s="36"/>
      <c r="X354" s="36"/>
      <c r="Y354" s="36"/>
      <c r="Z354" s="36"/>
      <c r="AA354" s="36"/>
      <c r="AB354" s="36"/>
      <c r="AC354" s="32">
        <f t="shared" si="183"/>
        <v>0</v>
      </c>
      <c r="AD354" s="37"/>
      <c r="AE354" s="37"/>
      <c r="AF354" s="37"/>
      <c r="AG354" s="37"/>
      <c r="AH354" s="37"/>
      <c r="AI354" s="37"/>
      <c r="AJ354" s="37"/>
      <c r="AK354" s="37"/>
      <c r="AL354" s="37"/>
      <c r="AM354" s="37"/>
      <c r="AN354" s="37"/>
      <c r="AO354" s="37"/>
      <c r="AP354" s="37"/>
      <c r="AQ354" s="37"/>
      <c r="AR354" s="37"/>
      <c r="AS354" s="37"/>
      <c r="AT354" s="38"/>
      <c r="AU354" s="1630"/>
      <c r="AV354" s="1342">
        <f t="shared" si="207"/>
        <v>0</v>
      </c>
      <c r="AW354" s="1342">
        <f t="shared" si="208"/>
        <v>0</v>
      </c>
      <c r="AX354" s="1342">
        <f t="shared" si="209"/>
        <v>0</v>
      </c>
      <c r="AY354" s="39">
        <f t="shared" si="184"/>
        <v>0</v>
      </c>
      <c r="AZ354" s="32">
        <f t="shared" si="185"/>
        <v>0</v>
      </c>
      <c r="BA354" s="32">
        <f t="shared" si="186"/>
        <v>0</v>
      </c>
      <c r="BB354" s="32">
        <f t="shared" si="187"/>
        <v>0</v>
      </c>
      <c r="BC354" s="32">
        <f t="shared" si="188"/>
        <v>0</v>
      </c>
      <c r="BD354" s="32">
        <f t="shared" si="189"/>
        <v>0</v>
      </c>
      <c r="BE354" s="32">
        <f t="shared" si="190"/>
        <v>0</v>
      </c>
      <c r="BF354" s="32">
        <f t="shared" si="191"/>
        <v>0</v>
      </c>
      <c r="BG354" s="32">
        <f t="shared" si="192"/>
        <v>0</v>
      </c>
      <c r="BH354" s="32">
        <f t="shared" si="193"/>
        <v>0</v>
      </c>
      <c r="BI354" s="32">
        <f t="shared" si="194"/>
        <v>0</v>
      </c>
      <c r="BJ354" s="32">
        <f t="shared" si="195"/>
        <v>0</v>
      </c>
      <c r="BK354" s="32">
        <f t="shared" si="196"/>
        <v>0</v>
      </c>
      <c r="BL354" s="32">
        <f t="shared" si="197"/>
        <v>0</v>
      </c>
      <c r="BM354" s="32">
        <f t="shared" si="198"/>
        <v>0</v>
      </c>
      <c r="BN354" s="32">
        <f t="shared" si="199"/>
        <v>0</v>
      </c>
      <c r="BO354" s="32">
        <f t="shared" si="200"/>
        <v>0</v>
      </c>
      <c r="BP354" s="32">
        <f t="shared" si="201"/>
        <v>0</v>
      </c>
      <c r="BQ354" s="32">
        <f t="shared" si="202"/>
        <v>0</v>
      </c>
      <c r="BR354" s="32">
        <f t="shared" si="203"/>
        <v>0</v>
      </c>
      <c r="BS354" s="32">
        <f t="shared" si="204"/>
        <v>0</v>
      </c>
      <c r="BT354" s="40">
        <f t="shared" si="205"/>
        <v>0</v>
      </c>
    </row>
    <row r="355" spans="1:72">
      <c r="A355" s="6"/>
      <c r="B355" s="31"/>
      <c r="C355" s="31"/>
      <c r="D355" s="1629"/>
      <c r="E355" s="32">
        <f t="shared" si="206"/>
        <v>0</v>
      </c>
      <c r="F355" s="33"/>
      <c r="G355" s="34">
        <f t="shared" si="181"/>
        <v>0</v>
      </c>
      <c r="H355" s="35">
        <f t="shared" si="182"/>
        <v>0</v>
      </c>
      <c r="I355" s="36"/>
      <c r="J355" s="36"/>
      <c r="K355" s="36"/>
      <c r="L355" s="36"/>
      <c r="M355" s="36"/>
      <c r="N355" s="36"/>
      <c r="O355" s="36"/>
      <c r="P355" s="36"/>
      <c r="Q355" s="36"/>
      <c r="R355" s="36"/>
      <c r="S355" s="36"/>
      <c r="T355" s="36"/>
      <c r="U355" s="36"/>
      <c r="V355" s="36"/>
      <c r="W355" s="36"/>
      <c r="X355" s="36"/>
      <c r="Y355" s="36"/>
      <c r="Z355" s="36"/>
      <c r="AA355" s="36"/>
      <c r="AB355" s="36"/>
      <c r="AC355" s="32">
        <f t="shared" si="183"/>
        <v>0</v>
      </c>
      <c r="AD355" s="37"/>
      <c r="AE355" s="37"/>
      <c r="AF355" s="37"/>
      <c r="AG355" s="37"/>
      <c r="AH355" s="37"/>
      <c r="AI355" s="37"/>
      <c r="AJ355" s="37"/>
      <c r="AK355" s="37"/>
      <c r="AL355" s="37"/>
      <c r="AM355" s="37"/>
      <c r="AN355" s="37"/>
      <c r="AO355" s="37"/>
      <c r="AP355" s="37"/>
      <c r="AQ355" s="37"/>
      <c r="AR355" s="37"/>
      <c r="AS355" s="37"/>
      <c r="AT355" s="38"/>
      <c r="AU355" s="1630"/>
      <c r="AV355" s="1342">
        <f t="shared" si="207"/>
        <v>0</v>
      </c>
      <c r="AW355" s="1342">
        <f t="shared" si="208"/>
        <v>0</v>
      </c>
      <c r="AX355" s="1342">
        <f t="shared" si="209"/>
        <v>0</v>
      </c>
      <c r="AY355" s="39">
        <f t="shared" si="184"/>
        <v>0</v>
      </c>
      <c r="AZ355" s="32">
        <f t="shared" si="185"/>
        <v>0</v>
      </c>
      <c r="BA355" s="32">
        <f t="shared" si="186"/>
        <v>0</v>
      </c>
      <c r="BB355" s="32">
        <f t="shared" si="187"/>
        <v>0</v>
      </c>
      <c r="BC355" s="32">
        <f t="shared" si="188"/>
        <v>0</v>
      </c>
      <c r="BD355" s="32">
        <f t="shared" si="189"/>
        <v>0</v>
      </c>
      <c r="BE355" s="32">
        <f t="shared" si="190"/>
        <v>0</v>
      </c>
      <c r="BF355" s="32">
        <f t="shared" si="191"/>
        <v>0</v>
      </c>
      <c r="BG355" s="32">
        <f t="shared" si="192"/>
        <v>0</v>
      </c>
      <c r="BH355" s="32">
        <f t="shared" si="193"/>
        <v>0</v>
      </c>
      <c r="BI355" s="32">
        <f t="shared" si="194"/>
        <v>0</v>
      </c>
      <c r="BJ355" s="32">
        <f t="shared" si="195"/>
        <v>0</v>
      </c>
      <c r="BK355" s="32">
        <f t="shared" si="196"/>
        <v>0</v>
      </c>
      <c r="BL355" s="32">
        <f t="shared" si="197"/>
        <v>0</v>
      </c>
      <c r="BM355" s="32">
        <f t="shared" si="198"/>
        <v>0</v>
      </c>
      <c r="BN355" s="32">
        <f t="shared" si="199"/>
        <v>0</v>
      </c>
      <c r="BO355" s="32">
        <f t="shared" si="200"/>
        <v>0</v>
      </c>
      <c r="BP355" s="32">
        <f t="shared" si="201"/>
        <v>0</v>
      </c>
      <c r="BQ355" s="32">
        <f t="shared" si="202"/>
        <v>0</v>
      </c>
      <c r="BR355" s="32">
        <f t="shared" si="203"/>
        <v>0</v>
      </c>
      <c r="BS355" s="32">
        <f t="shared" si="204"/>
        <v>0</v>
      </c>
      <c r="BT355" s="40">
        <f t="shared" si="205"/>
        <v>0</v>
      </c>
    </row>
    <row r="356" spans="1:72">
      <c r="A356" s="6"/>
      <c r="B356" s="31"/>
      <c r="C356" s="31"/>
      <c r="D356" s="1629"/>
      <c r="E356" s="32">
        <f t="shared" si="206"/>
        <v>0</v>
      </c>
      <c r="F356" s="33"/>
      <c r="G356" s="34">
        <f t="shared" si="181"/>
        <v>0</v>
      </c>
      <c r="H356" s="35">
        <f t="shared" si="182"/>
        <v>0</v>
      </c>
      <c r="I356" s="36"/>
      <c r="J356" s="36"/>
      <c r="K356" s="36"/>
      <c r="L356" s="36"/>
      <c r="M356" s="36"/>
      <c r="N356" s="36"/>
      <c r="O356" s="36"/>
      <c r="P356" s="36"/>
      <c r="Q356" s="36"/>
      <c r="R356" s="36"/>
      <c r="S356" s="36"/>
      <c r="T356" s="36"/>
      <c r="U356" s="36"/>
      <c r="V356" s="36"/>
      <c r="W356" s="36"/>
      <c r="X356" s="36"/>
      <c r="Y356" s="36"/>
      <c r="Z356" s="36"/>
      <c r="AA356" s="36"/>
      <c r="AB356" s="36"/>
      <c r="AC356" s="32">
        <f t="shared" si="183"/>
        <v>0</v>
      </c>
      <c r="AD356" s="37"/>
      <c r="AE356" s="37"/>
      <c r="AF356" s="37"/>
      <c r="AG356" s="37"/>
      <c r="AH356" s="37"/>
      <c r="AI356" s="37"/>
      <c r="AJ356" s="37"/>
      <c r="AK356" s="37"/>
      <c r="AL356" s="37"/>
      <c r="AM356" s="37"/>
      <c r="AN356" s="37"/>
      <c r="AO356" s="37"/>
      <c r="AP356" s="37"/>
      <c r="AQ356" s="37"/>
      <c r="AR356" s="37"/>
      <c r="AS356" s="37"/>
      <c r="AT356" s="38"/>
      <c r="AU356" s="1630"/>
      <c r="AV356" s="1342">
        <f t="shared" si="207"/>
        <v>0</v>
      </c>
      <c r="AW356" s="1342">
        <f t="shared" si="208"/>
        <v>0</v>
      </c>
      <c r="AX356" s="1342">
        <f t="shared" si="209"/>
        <v>0</v>
      </c>
      <c r="AY356" s="39">
        <f t="shared" si="184"/>
        <v>0</v>
      </c>
      <c r="AZ356" s="32">
        <f t="shared" si="185"/>
        <v>0</v>
      </c>
      <c r="BA356" s="32">
        <f t="shared" si="186"/>
        <v>0</v>
      </c>
      <c r="BB356" s="32">
        <f t="shared" si="187"/>
        <v>0</v>
      </c>
      <c r="BC356" s="32">
        <f t="shared" si="188"/>
        <v>0</v>
      </c>
      <c r="BD356" s="32">
        <f t="shared" si="189"/>
        <v>0</v>
      </c>
      <c r="BE356" s="32">
        <f t="shared" si="190"/>
        <v>0</v>
      </c>
      <c r="BF356" s="32">
        <f t="shared" si="191"/>
        <v>0</v>
      </c>
      <c r="BG356" s="32">
        <f t="shared" si="192"/>
        <v>0</v>
      </c>
      <c r="BH356" s="32">
        <f t="shared" si="193"/>
        <v>0</v>
      </c>
      <c r="BI356" s="32">
        <f t="shared" si="194"/>
        <v>0</v>
      </c>
      <c r="BJ356" s="32">
        <f t="shared" si="195"/>
        <v>0</v>
      </c>
      <c r="BK356" s="32">
        <f t="shared" si="196"/>
        <v>0</v>
      </c>
      <c r="BL356" s="32">
        <f t="shared" si="197"/>
        <v>0</v>
      </c>
      <c r="BM356" s="32">
        <f t="shared" si="198"/>
        <v>0</v>
      </c>
      <c r="BN356" s="32">
        <f t="shared" si="199"/>
        <v>0</v>
      </c>
      <c r="BO356" s="32">
        <f t="shared" si="200"/>
        <v>0</v>
      </c>
      <c r="BP356" s="32">
        <f t="shared" si="201"/>
        <v>0</v>
      </c>
      <c r="BQ356" s="32">
        <f t="shared" si="202"/>
        <v>0</v>
      </c>
      <c r="BR356" s="32">
        <f t="shared" si="203"/>
        <v>0</v>
      </c>
      <c r="BS356" s="32">
        <f t="shared" si="204"/>
        <v>0</v>
      </c>
      <c r="BT356" s="40">
        <f t="shared" si="205"/>
        <v>0</v>
      </c>
    </row>
    <row r="357" spans="1:72">
      <c r="A357" s="6"/>
      <c r="B357" s="31"/>
      <c r="C357" s="31"/>
      <c r="D357" s="1629"/>
      <c r="E357" s="32">
        <f t="shared" si="206"/>
        <v>0</v>
      </c>
      <c r="F357" s="33"/>
      <c r="G357" s="34">
        <f t="shared" si="181"/>
        <v>0</v>
      </c>
      <c r="H357" s="35">
        <f t="shared" si="182"/>
        <v>0</v>
      </c>
      <c r="I357" s="36"/>
      <c r="J357" s="36"/>
      <c r="K357" s="36"/>
      <c r="L357" s="36"/>
      <c r="M357" s="36"/>
      <c r="N357" s="36"/>
      <c r="O357" s="36"/>
      <c r="P357" s="36"/>
      <c r="Q357" s="36"/>
      <c r="R357" s="36"/>
      <c r="S357" s="36"/>
      <c r="T357" s="36"/>
      <c r="U357" s="36"/>
      <c r="V357" s="36"/>
      <c r="W357" s="36"/>
      <c r="X357" s="36"/>
      <c r="Y357" s="36"/>
      <c r="Z357" s="36"/>
      <c r="AA357" s="36"/>
      <c r="AB357" s="36"/>
      <c r="AC357" s="32">
        <f t="shared" si="183"/>
        <v>0</v>
      </c>
      <c r="AD357" s="37"/>
      <c r="AE357" s="37"/>
      <c r="AF357" s="37"/>
      <c r="AG357" s="37"/>
      <c r="AH357" s="37"/>
      <c r="AI357" s="37"/>
      <c r="AJ357" s="37"/>
      <c r="AK357" s="37"/>
      <c r="AL357" s="37"/>
      <c r="AM357" s="37"/>
      <c r="AN357" s="37"/>
      <c r="AO357" s="37"/>
      <c r="AP357" s="37"/>
      <c r="AQ357" s="37"/>
      <c r="AR357" s="37"/>
      <c r="AS357" s="37"/>
      <c r="AT357" s="38"/>
      <c r="AU357" s="1630"/>
      <c r="AV357" s="1342">
        <f t="shared" si="207"/>
        <v>0</v>
      </c>
      <c r="AW357" s="1342">
        <f t="shared" si="208"/>
        <v>0</v>
      </c>
      <c r="AX357" s="1342">
        <f t="shared" si="209"/>
        <v>0</v>
      </c>
      <c r="AY357" s="39">
        <f t="shared" si="184"/>
        <v>0</v>
      </c>
      <c r="AZ357" s="32">
        <f t="shared" si="185"/>
        <v>0</v>
      </c>
      <c r="BA357" s="32">
        <f t="shared" si="186"/>
        <v>0</v>
      </c>
      <c r="BB357" s="32">
        <f t="shared" si="187"/>
        <v>0</v>
      </c>
      <c r="BC357" s="32">
        <f t="shared" si="188"/>
        <v>0</v>
      </c>
      <c r="BD357" s="32">
        <f t="shared" si="189"/>
        <v>0</v>
      </c>
      <c r="BE357" s="32">
        <f t="shared" si="190"/>
        <v>0</v>
      </c>
      <c r="BF357" s="32">
        <f t="shared" si="191"/>
        <v>0</v>
      </c>
      <c r="BG357" s="32">
        <f t="shared" si="192"/>
        <v>0</v>
      </c>
      <c r="BH357" s="32">
        <f t="shared" si="193"/>
        <v>0</v>
      </c>
      <c r="BI357" s="32">
        <f t="shared" si="194"/>
        <v>0</v>
      </c>
      <c r="BJ357" s="32">
        <f t="shared" si="195"/>
        <v>0</v>
      </c>
      <c r="BK357" s="32">
        <f t="shared" si="196"/>
        <v>0</v>
      </c>
      <c r="BL357" s="32">
        <f t="shared" si="197"/>
        <v>0</v>
      </c>
      <c r="BM357" s="32">
        <f t="shared" si="198"/>
        <v>0</v>
      </c>
      <c r="BN357" s="32">
        <f t="shared" si="199"/>
        <v>0</v>
      </c>
      <c r="BO357" s="32">
        <f t="shared" si="200"/>
        <v>0</v>
      </c>
      <c r="BP357" s="32">
        <f t="shared" si="201"/>
        <v>0</v>
      </c>
      <c r="BQ357" s="32">
        <f t="shared" si="202"/>
        <v>0</v>
      </c>
      <c r="BR357" s="32">
        <f t="shared" si="203"/>
        <v>0</v>
      </c>
      <c r="BS357" s="32">
        <f t="shared" si="204"/>
        <v>0</v>
      </c>
      <c r="BT357" s="40">
        <f t="shared" si="205"/>
        <v>0</v>
      </c>
    </row>
    <row r="358" spans="1:72">
      <c r="A358" s="6"/>
      <c r="B358" s="31"/>
      <c r="C358" s="31"/>
      <c r="D358" s="1629"/>
      <c r="E358" s="32">
        <f t="shared" si="206"/>
        <v>0</v>
      </c>
      <c r="F358" s="33"/>
      <c r="G358" s="34">
        <f t="shared" si="181"/>
        <v>0</v>
      </c>
      <c r="H358" s="35">
        <f t="shared" si="182"/>
        <v>0</v>
      </c>
      <c r="I358" s="36"/>
      <c r="J358" s="36"/>
      <c r="K358" s="36"/>
      <c r="L358" s="36"/>
      <c r="M358" s="36"/>
      <c r="N358" s="36"/>
      <c r="O358" s="36"/>
      <c r="P358" s="36"/>
      <c r="Q358" s="36"/>
      <c r="R358" s="36"/>
      <c r="S358" s="36"/>
      <c r="T358" s="36"/>
      <c r="U358" s="36"/>
      <c r="V358" s="36"/>
      <c r="W358" s="36"/>
      <c r="X358" s="36"/>
      <c r="Y358" s="36"/>
      <c r="Z358" s="36"/>
      <c r="AA358" s="36"/>
      <c r="AB358" s="36"/>
      <c r="AC358" s="32">
        <f t="shared" si="183"/>
        <v>0</v>
      </c>
      <c r="AD358" s="37"/>
      <c r="AE358" s="37"/>
      <c r="AF358" s="37"/>
      <c r="AG358" s="37"/>
      <c r="AH358" s="37"/>
      <c r="AI358" s="37"/>
      <c r="AJ358" s="37"/>
      <c r="AK358" s="37"/>
      <c r="AL358" s="37"/>
      <c r="AM358" s="37"/>
      <c r="AN358" s="37"/>
      <c r="AO358" s="37"/>
      <c r="AP358" s="37"/>
      <c r="AQ358" s="37"/>
      <c r="AR358" s="37"/>
      <c r="AS358" s="37"/>
      <c r="AT358" s="38"/>
      <c r="AU358" s="1630"/>
      <c r="AV358" s="1342">
        <f t="shared" si="207"/>
        <v>0</v>
      </c>
      <c r="AW358" s="1342">
        <f t="shared" si="208"/>
        <v>0</v>
      </c>
      <c r="AX358" s="1342">
        <f t="shared" si="209"/>
        <v>0</v>
      </c>
      <c r="AY358" s="39">
        <f t="shared" si="184"/>
        <v>0</v>
      </c>
      <c r="AZ358" s="32">
        <f t="shared" si="185"/>
        <v>0</v>
      </c>
      <c r="BA358" s="32">
        <f t="shared" si="186"/>
        <v>0</v>
      </c>
      <c r="BB358" s="32">
        <f t="shared" si="187"/>
        <v>0</v>
      </c>
      <c r="BC358" s="32">
        <f t="shared" si="188"/>
        <v>0</v>
      </c>
      <c r="BD358" s="32">
        <f t="shared" si="189"/>
        <v>0</v>
      </c>
      <c r="BE358" s="32">
        <f t="shared" si="190"/>
        <v>0</v>
      </c>
      <c r="BF358" s="32">
        <f t="shared" si="191"/>
        <v>0</v>
      </c>
      <c r="BG358" s="32">
        <f t="shared" si="192"/>
        <v>0</v>
      </c>
      <c r="BH358" s="32">
        <f t="shared" si="193"/>
        <v>0</v>
      </c>
      <c r="BI358" s="32">
        <f t="shared" si="194"/>
        <v>0</v>
      </c>
      <c r="BJ358" s="32">
        <f t="shared" si="195"/>
        <v>0</v>
      </c>
      <c r="BK358" s="32">
        <f t="shared" si="196"/>
        <v>0</v>
      </c>
      <c r="BL358" s="32">
        <f t="shared" si="197"/>
        <v>0</v>
      </c>
      <c r="BM358" s="32">
        <f t="shared" si="198"/>
        <v>0</v>
      </c>
      <c r="BN358" s="32">
        <f t="shared" si="199"/>
        <v>0</v>
      </c>
      <c r="BO358" s="32">
        <f t="shared" si="200"/>
        <v>0</v>
      </c>
      <c r="BP358" s="32">
        <f t="shared" si="201"/>
        <v>0</v>
      </c>
      <c r="BQ358" s="32">
        <f t="shared" si="202"/>
        <v>0</v>
      </c>
      <c r="BR358" s="32">
        <f t="shared" si="203"/>
        <v>0</v>
      </c>
      <c r="BS358" s="32">
        <f t="shared" si="204"/>
        <v>0</v>
      </c>
      <c r="BT358" s="40">
        <f t="shared" si="205"/>
        <v>0</v>
      </c>
    </row>
    <row r="359" spans="1:72">
      <c r="A359" s="6"/>
      <c r="B359" s="31"/>
      <c r="C359" s="31"/>
      <c r="D359" s="1629"/>
      <c r="E359" s="32">
        <f t="shared" si="206"/>
        <v>0</v>
      </c>
      <c r="F359" s="33"/>
      <c r="G359" s="34">
        <f t="shared" si="181"/>
        <v>0</v>
      </c>
      <c r="H359" s="35">
        <f t="shared" si="182"/>
        <v>0</v>
      </c>
      <c r="I359" s="36"/>
      <c r="J359" s="36"/>
      <c r="K359" s="36"/>
      <c r="L359" s="36"/>
      <c r="M359" s="36"/>
      <c r="N359" s="36"/>
      <c r="O359" s="36"/>
      <c r="P359" s="36"/>
      <c r="Q359" s="36"/>
      <c r="R359" s="36"/>
      <c r="S359" s="36"/>
      <c r="T359" s="36"/>
      <c r="U359" s="36"/>
      <c r="V359" s="36"/>
      <c r="W359" s="36"/>
      <c r="X359" s="36"/>
      <c r="Y359" s="36"/>
      <c r="Z359" s="36"/>
      <c r="AA359" s="36"/>
      <c r="AB359" s="36"/>
      <c r="AC359" s="32">
        <f t="shared" si="183"/>
        <v>0</v>
      </c>
      <c r="AD359" s="37"/>
      <c r="AE359" s="37"/>
      <c r="AF359" s="37"/>
      <c r="AG359" s="37"/>
      <c r="AH359" s="37"/>
      <c r="AI359" s="37"/>
      <c r="AJ359" s="37"/>
      <c r="AK359" s="37"/>
      <c r="AL359" s="37"/>
      <c r="AM359" s="37"/>
      <c r="AN359" s="37"/>
      <c r="AO359" s="37"/>
      <c r="AP359" s="37"/>
      <c r="AQ359" s="37"/>
      <c r="AR359" s="37"/>
      <c r="AS359" s="37"/>
      <c r="AT359" s="38"/>
      <c r="AU359" s="1630"/>
      <c r="AV359" s="1342">
        <f t="shared" si="207"/>
        <v>0</v>
      </c>
      <c r="AW359" s="1342">
        <f t="shared" si="208"/>
        <v>0</v>
      </c>
      <c r="AX359" s="1342">
        <f t="shared" si="209"/>
        <v>0</v>
      </c>
      <c r="AY359" s="39">
        <f t="shared" si="184"/>
        <v>0</v>
      </c>
      <c r="AZ359" s="32">
        <f t="shared" si="185"/>
        <v>0</v>
      </c>
      <c r="BA359" s="32">
        <f t="shared" si="186"/>
        <v>0</v>
      </c>
      <c r="BB359" s="32">
        <f t="shared" si="187"/>
        <v>0</v>
      </c>
      <c r="BC359" s="32">
        <f t="shared" si="188"/>
        <v>0</v>
      </c>
      <c r="BD359" s="32">
        <f t="shared" si="189"/>
        <v>0</v>
      </c>
      <c r="BE359" s="32">
        <f t="shared" si="190"/>
        <v>0</v>
      </c>
      <c r="BF359" s="32">
        <f t="shared" si="191"/>
        <v>0</v>
      </c>
      <c r="BG359" s="32">
        <f t="shared" si="192"/>
        <v>0</v>
      </c>
      <c r="BH359" s="32">
        <f t="shared" si="193"/>
        <v>0</v>
      </c>
      <c r="BI359" s="32">
        <f t="shared" si="194"/>
        <v>0</v>
      </c>
      <c r="BJ359" s="32">
        <f t="shared" si="195"/>
        <v>0</v>
      </c>
      <c r="BK359" s="32">
        <f t="shared" si="196"/>
        <v>0</v>
      </c>
      <c r="BL359" s="32">
        <f t="shared" si="197"/>
        <v>0</v>
      </c>
      <c r="BM359" s="32">
        <f t="shared" si="198"/>
        <v>0</v>
      </c>
      <c r="BN359" s="32">
        <f t="shared" si="199"/>
        <v>0</v>
      </c>
      <c r="BO359" s="32">
        <f t="shared" si="200"/>
        <v>0</v>
      </c>
      <c r="BP359" s="32">
        <f t="shared" si="201"/>
        <v>0</v>
      </c>
      <c r="BQ359" s="32">
        <f t="shared" si="202"/>
        <v>0</v>
      </c>
      <c r="BR359" s="32">
        <f t="shared" si="203"/>
        <v>0</v>
      </c>
      <c r="BS359" s="32">
        <f t="shared" si="204"/>
        <v>0</v>
      </c>
      <c r="BT359" s="40">
        <f t="shared" si="205"/>
        <v>0</v>
      </c>
    </row>
    <row r="360" spans="1:72">
      <c r="A360" s="6"/>
      <c r="B360" s="31"/>
      <c r="C360" s="31"/>
      <c r="D360" s="1629"/>
      <c r="E360" s="32">
        <f t="shared" si="206"/>
        <v>0</v>
      </c>
      <c r="F360" s="33"/>
      <c r="G360" s="34">
        <f t="shared" si="181"/>
        <v>0</v>
      </c>
      <c r="H360" s="35">
        <f t="shared" si="182"/>
        <v>0</v>
      </c>
      <c r="I360" s="36"/>
      <c r="J360" s="36"/>
      <c r="K360" s="36"/>
      <c r="L360" s="36"/>
      <c r="M360" s="36"/>
      <c r="N360" s="36"/>
      <c r="O360" s="36"/>
      <c r="P360" s="36"/>
      <c r="Q360" s="36"/>
      <c r="R360" s="36"/>
      <c r="S360" s="36"/>
      <c r="T360" s="36"/>
      <c r="U360" s="36"/>
      <c r="V360" s="36"/>
      <c r="W360" s="36"/>
      <c r="X360" s="36"/>
      <c r="Y360" s="36"/>
      <c r="Z360" s="36"/>
      <c r="AA360" s="36"/>
      <c r="AB360" s="36"/>
      <c r="AC360" s="32">
        <f t="shared" si="183"/>
        <v>0</v>
      </c>
      <c r="AD360" s="37"/>
      <c r="AE360" s="37"/>
      <c r="AF360" s="37"/>
      <c r="AG360" s="37"/>
      <c r="AH360" s="37"/>
      <c r="AI360" s="37"/>
      <c r="AJ360" s="37"/>
      <c r="AK360" s="37"/>
      <c r="AL360" s="37"/>
      <c r="AM360" s="37"/>
      <c r="AN360" s="37"/>
      <c r="AO360" s="37"/>
      <c r="AP360" s="37"/>
      <c r="AQ360" s="37"/>
      <c r="AR360" s="37"/>
      <c r="AS360" s="37"/>
      <c r="AT360" s="38"/>
      <c r="AU360" s="1630"/>
      <c r="AV360" s="1342">
        <f t="shared" si="207"/>
        <v>0</v>
      </c>
      <c r="AW360" s="1342">
        <f t="shared" si="208"/>
        <v>0</v>
      </c>
      <c r="AX360" s="1342">
        <f t="shared" si="209"/>
        <v>0</v>
      </c>
      <c r="AY360" s="39">
        <f t="shared" si="184"/>
        <v>0</v>
      </c>
      <c r="AZ360" s="32">
        <f t="shared" si="185"/>
        <v>0</v>
      </c>
      <c r="BA360" s="32">
        <f t="shared" si="186"/>
        <v>0</v>
      </c>
      <c r="BB360" s="32">
        <f t="shared" si="187"/>
        <v>0</v>
      </c>
      <c r="BC360" s="32">
        <f t="shared" si="188"/>
        <v>0</v>
      </c>
      <c r="BD360" s="32">
        <f t="shared" si="189"/>
        <v>0</v>
      </c>
      <c r="BE360" s="32">
        <f t="shared" si="190"/>
        <v>0</v>
      </c>
      <c r="BF360" s="32">
        <f t="shared" si="191"/>
        <v>0</v>
      </c>
      <c r="BG360" s="32">
        <f t="shared" si="192"/>
        <v>0</v>
      </c>
      <c r="BH360" s="32">
        <f t="shared" si="193"/>
        <v>0</v>
      </c>
      <c r="BI360" s="32">
        <f t="shared" si="194"/>
        <v>0</v>
      </c>
      <c r="BJ360" s="32">
        <f t="shared" si="195"/>
        <v>0</v>
      </c>
      <c r="BK360" s="32">
        <f t="shared" si="196"/>
        <v>0</v>
      </c>
      <c r="BL360" s="32">
        <f t="shared" si="197"/>
        <v>0</v>
      </c>
      <c r="BM360" s="32">
        <f t="shared" si="198"/>
        <v>0</v>
      </c>
      <c r="BN360" s="32">
        <f t="shared" si="199"/>
        <v>0</v>
      </c>
      <c r="BO360" s="32">
        <f t="shared" si="200"/>
        <v>0</v>
      </c>
      <c r="BP360" s="32">
        <f t="shared" si="201"/>
        <v>0</v>
      </c>
      <c r="BQ360" s="32">
        <f t="shared" si="202"/>
        <v>0</v>
      </c>
      <c r="BR360" s="32">
        <f t="shared" si="203"/>
        <v>0</v>
      </c>
      <c r="BS360" s="32">
        <f t="shared" si="204"/>
        <v>0</v>
      </c>
      <c r="BT360" s="40">
        <f t="shared" si="205"/>
        <v>0</v>
      </c>
    </row>
    <row r="361" spans="1:72">
      <c r="A361" s="6"/>
      <c r="B361" s="31"/>
      <c r="C361" s="31"/>
      <c r="D361" s="1629"/>
      <c r="E361" s="32">
        <f t="shared" si="206"/>
        <v>0</v>
      </c>
      <c r="F361" s="33"/>
      <c r="G361" s="34">
        <f t="shared" si="181"/>
        <v>0</v>
      </c>
      <c r="H361" s="35">
        <f t="shared" si="182"/>
        <v>0</v>
      </c>
      <c r="I361" s="36"/>
      <c r="J361" s="36"/>
      <c r="K361" s="36"/>
      <c r="L361" s="36"/>
      <c r="M361" s="36"/>
      <c r="N361" s="36"/>
      <c r="O361" s="36"/>
      <c r="P361" s="36"/>
      <c r="Q361" s="36"/>
      <c r="R361" s="36"/>
      <c r="S361" s="36"/>
      <c r="T361" s="36"/>
      <c r="U361" s="36"/>
      <c r="V361" s="36"/>
      <c r="W361" s="36"/>
      <c r="X361" s="36"/>
      <c r="Y361" s="36"/>
      <c r="Z361" s="36"/>
      <c r="AA361" s="36"/>
      <c r="AB361" s="36"/>
      <c r="AC361" s="32">
        <f t="shared" si="183"/>
        <v>0</v>
      </c>
      <c r="AD361" s="37"/>
      <c r="AE361" s="37"/>
      <c r="AF361" s="37"/>
      <c r="AG361" s="37"/>
      <c r="AH361" s="37"/>
      <c r="AI361" s="37"/>
      <c r="AJ361" s="37"/>
      <c r="AK361" s="37"/>
      <c r="AL361" s="37"/>
      <c r="AM361" s="37"/>
      <c r="AN361" s="37"/>
      <c r="AO361" s="37"/>
      <c r="AP361" s="37"/>
      <c r="AQ361" s="37"/>
      <c r="AR361" s="37"/>
      <c r="AS361" s="37"/>
      <c r="AT361" s="38"/>
      <c r="AU361" s="1630"/>
      <c r="AV361" s="1342">
        <f t="shared" si="207"/>
        <v>0</v>
      </c>
      <c r="AW361" s="1342">
        <f t="shared" si="208"/>
        <v>0</v>
      </c>
      <c r="AX361" s="1342">
        <f t="shared" si="209"/>
        <v>0</v>
      </c>
      <c r="AY361" s="39">
        <f t="shared" si="184"/>
        <v>0</v>
      </c>
      <c r="AZ361" s="32">
        <f t="shared" si="185"/>
        <v>0</v>
      </c>
      <c r="BA361" s="32">
        <f t="shared" si="186"/>
        <v>0</v>
      </c>
      <c r="BB361" s="32">
        <f t="shared" si="187"/>
        <v>0</v>
      </c>
      <c r="BC361" s="32">
        <f t="shared" si="188"/>
        <v>0</v>
      </c>
      <c r="BD361" s="32">
        <f t="shared" si="189"/>
        <v>0</v>
      </c>
      <c r="BE361" s="32">
        <f t="shared" si="190"/>
        <v>0</v>
      </c>
      <c r="BF361" s="32">
        <f t="shared" si="191"/>
        <v>0</v>
      </c>
      <c r="BG361" s="32">
        <f t="shared" si="192"/>
        <v>0</v>
      </c>
      <c r="BH361" s="32">
        <f t="shared" si="193"/>
        <v>0</v>
      </c>
      <c r="BI361" s="32">
        <f t="shared" si="194"/>
        <v>0</v>
      </c>
      <c r="BJ361" s="32">
        <f t="shared" si="195"/>
        <v>0</v>
      </c>
      <c r="BK361" s="32">
        <f t="shared" si="196"/>
        <v>0</v>
      </c>
      <c r="BL361" s="32">
        <f t="shared" si="197"/>
        <v>0</v>
      </c>
      <c r="BM361" s="32">
        <f t="shared" si="198"/>
        <v>0</v>
      </c>
      <c r="BN361" s="32">
        <f t="shared" si="199"/>
        <v>0</v>
      </c>
      <c r="BO361" s="32">
        <f t="shared" si="200"/>
        <v>0</v>
      </c>
      <c r="BP361" s="32">
        <f t="shared" si="201"/>
        <v>0</v>
      </c>
      <c r="BQ361" s="32">
        <f t="shared" si="202"/>
        <v>0</v>
      </c>
      <c r="BR361" s="32">
        <f t="shared" si="203"/>
        <v>0</v>
      </c>
      <c r="BS361" s="32">
        <f t="shared" si="204"/>
        <v>0</v>
      </c>
      <c r="BT361" s="40">
        <f t="shared" si="205"/>
        <v>0</v>
      </c>
    </row>
    <row r="362" spans="1:72">
      <c r="A362" s="6"/>
      <c r="B362" s="31"/>
      <c r="C362" s="31"/>
      <c r="D362" s="1629"/>
      <c r="E362" s="32">
        <f t="shared" si="206"/>
        <v>0</v>
      </c>
      <c r="F362" s="33"/>
      <c r="G362" s="34">
        <f t="shared" si="181"/>
        <v>0</v>
      </c>
      <c r="H362" s="35">
        <f t="shared" si="182"/>
        <v>0</v>
      </c>
      <c r="I362" s="36"/>
      <c r="J362" s="36"/>
      <c r="K362" s="36"/>
      <c r="L362" s="36"/>
      <c r="M362" s="36"/>
      <c r="N362" s="36"/>
      <c r="O362" s="36"/>
      <c r="P362" s="36"/>
      <c r="Q362" s="36"/>
      <c r="R362" s="36"/>
      <c r="S362" s="36"/>
      <c r="T362" s="36"/>
      <c r="U362" s="36"/>
      <c r="V362" s="36"/>
      <c r="W362" s="36"/>
      <c r="X362" s="36"/>
      <c r="Y362" s="36"/>
      <c r="Z362" s="36"/>
      <c r="AA362" s="36"/>
      <c r="AB362" s="36"/>
      <c r="AC362" s="32">
        <f t="shared" si="183"/>
        <v>0</v>
      </c>
      <c r="AD362" s="37"/>
      <c r="AE362" s="37"/>
      <c r="AF362" s="37"/>
      <c r="AG362" s="37"/>
      <c r="AH362" s="37"/>
      <c r="AI362" s="37"/>
      <c r="AJ362" s="37"/>
      <c r="AK362" s="37"/>
      <c r="AL362" s="37"/>
      <c r="AM362" s="37"/>
      <c r="AN362" s="37"/>
      <c r="AO362" s="37"/>
      <c r="AP362" s="37"/>
      <c r="AQ362" s="37"/>
      <c r="AR362" s="37"/>
      <c r="AS362" s="37"/>
      <c r="AT362" s="38"/>
      <c r="AU362" s="1630"/>
      <c r="AV362" s="1342">
        <f t="shared" si="207"/>
        <v>0</v>
      </c>
      <c r="AW362" s="1342">
        <f t="shared" si="208"/>
        <v>0</v>
      </c>
      <c r="AX362" s="1342">
        <f t="shared" si="209"/>
        <v>0</v>
      </c>
      <c r="AY362" s="39">
        <f t="shared" si="184"/>
        <v>0</v>
      </c>
      <c r="AZ362" s="32">
        <f t="shared" si="185"/>
        <v>0</v>
      </c>
      <c r="BA362" s="32">
        <f t="shared" si="186"/>
        <v>0</v>
      </c>
      <c r="BB362" s="32">
        <f t="shared" si="187"/>
        <v>0</v>
      </c>
      <c r="BC362" s="32">
        <f t="shared" si="188"/>
        <v>0</v>
      </c>
      <c r="BD362" s="32">
        <f t="shared" si="189"/>
        <v>0</v>
      </c>
      <c r="BE362" s="32">
        <f t="shared" si="190"/>
        <v>0</v>
      </c>
      <c r="BF362" s="32">
        <f t="shared" si="191"/>
        <v>0</v>
      </c>
      <c r="BG362" s="32">
        <f t="shared" si="192"/>
        <v>0</v>
      </c>
      <c r="BH362" s="32">
        <f t="shared" si="193"/>
        <v>0</v>
      </c>
      <c r="BI362" s="32">
        <f t="shared" si="194"/>
        <v>0</v>
      </c>
      <c r="BJ362" s="32">
        <f t="shared" si="195"/>
        <v>0</v>
      </c>
      <c r="BK362" s="32">
        <f t="shared" si="196"/>
        <v>0</v>
      </c>
      <c r="BL362" s="32">
        <f t="shared" si="197"/>
        <v>0</v>
      </c>
      <c r="BM362" s="32">
        <f t="shared" si="198"/>
        <v>0</v>
      </c>
      <c r="BN362" s="32">
        <f t="shared" si="199"/>
        <v>0</v>
      </c>
      <c r="BO362" s="32">
        <f t="shared" si="200"/>
        <v>0</v>
      </c>
      <c r="BP362" s="32">
        <f t="shared" si="201"/>
        <v>0</v>
      </c>
      <c r="BQ362" s="32">
        <f t="shared" si="202"/>
        <v>0</v>
      </c>
      <c r="BR362" s="32">
        <f t="shared" si="203"/>
        <v>0</v>
      </c>
      <c r="BS362" s="32">
        <f t="shared" si="204"/>
        <v>0</v>
      </c>
      <c r="BT362" s="40">
        <f t="shared" si="205"/>
        <v>0</v>
      </c>
    </row>
    <row r="363" spans="1:72">
      <c r="A363" s="6"/>
      <c r="B363" s="31"/>
      <c r="C363" s="31"/>
      <c r="D363" s="1629"/>
      <c r="E363" s="32">
        <f t="shared" si="206"/>
        <v>0</v>
      </c>
      <c r="F363" s="33"/>
      <c r="G363" s="34">
        <f t="shared" si="181"/>
        <v>0</v>
      </c>
      <c r="H363" s="35">
        <f t="shared" si="182"/>
        <v>0</v>
      </c>
      <c r="I363" s="36"/>
      <c r="J363" s="36"/>
      <c r="K363" s="36"/>
      <c r="L363" s="36"/>
      <c r="M363" s="36"/>
      <c r="N363" s="36"/>
      <c r="O363" s="36"/>
      <c r="P363" s="36"/>
      <c r="Q363" s="36"/>
      <c r="R363" s="36"/>
      <c r="S363" s="36"/>
      <c r="T363" s="36"/>
      <c r="U363" s="36"/>
      <c r="V363" s="36"/>
      <c r="W363" s="36"/>
      <c r="X363" s="36"/>
      <c r="Y363" s="36"/>
      <c r="Z363" s="36"/>
      <c r="AA363" s="36"/>
      <c r="AB363" s="36"/>
      <c r="AC363" s="32">
        <f t="shared" si="183"/>
        <v>0</v>
      </c>
      <c r="AD363" s="37"/>
      <c r="AE363" s="37"/>
      <c r="AF363" s="37"/>
      <c r="AG363" s="37"/>
      <c r="AH363" s="37"/>
      <c r="AI363" s="37"/>
      <c r="AJ363" s="37"/>
      <c r="AK363" s="37"/>
      <c r="AL363" s="37"/>
      <c r="AM363" s="37"/>
      <c r="AN363" s="37"/>
      <c r="AO363" s="37"/>
      <c r="AP363" s="37"/>
      <c r="AQ363" s="37"/>
      <c r="AR363" s="37"/>
      <c r="AS363" s="37"/>
      <c r="AT363" s="38"/>
      <c r="AU363" s="1630"/>
      <c r="AV363" s="1342">
        <f t="shared" si="207"/>
        <v>0</v>
      </c>
      <c r="AW363" s="1342">
        <f t="shared" si="208"/>
        <v>0</v>
      </c>
      <c r="AX363" s="1342">
        <f t="shared" si="209"/>
        <v>0</v>
      </c>
      <c r="AY363" s="39">
        <f t="shared" si="184"/>
        <v>0</v>
      </c>
      <c r="AZ363" s="32">
        <f t="shared" si="185"/>
        <v>0</v>
      </c>
      <c r="BA363" s="32">
        <f t="shared" si="186"/>
        <v>0</v>
      </c>
      <c r="BB363" s="32">
        <f t="shared" si="187"/>
        <v>0</v>
      </c>
      <c r="BC363" s="32">
        <f t="shared" si="188"/>
        <v>0</v>
      </c>
      <c r="BD363" s="32">
        <f t="shared" si="189"/>
        <v>0</v>
      </c>
      <c r="BE363" s="32">
        <f t="shared" si="190"/>
        <v>0</v>
      </c>
      <c r="BF363" s="32">
        <f t="shared" si="191"/>
        <v>0</v>
      </c>
      <c r="BG363" s="32">
        <f t="shared" si="192"/>
        <v>0</v>
      </c>
      <c r="BH363" s="32">
        <f t="shared" si="193"/>
        <v>0</v>
      </c>
      <c r="BI363" s="32">
        <f t="shared" si="194"/>
        <v>0</v>
      </c>
      <c r="BJ363" s="32">
        <f t="shared" si="195"/>
        <v>0</v>
      </c>
      <c r="BK363" s="32">
        <f t="shared" si="196"/>
        <v>0</v>
      </c>
      <c r="BL363" s="32">
        <f t="shared" si="197"/>
        <v>0</v>
      </c>
      <c r="BM363" s="32">
        <f t="shared" si="198"/>
        <v>0</v>
      </c>
      <c r="BN363" s="32">
        <f t="shared" si="199"/>
        <v>0</v>
      </c>
      <c r="BO363" s="32">
        <f t="shared" si="200"/>
        <v>0</v>
      </c>
      <c r="BP363" s="32">
        <f t="shared" si="201"/>
        <v>0</v>
      </c>
      <c r="BQ363" s="32">
        <f t="shared" si="202"/>
        <v>0</v>
      </c>
      <c r="BR363" s="32">
        <f t="shared" si="203"/>
        <v>0</v>
      </c>
      <c r="BS363" s="32">
        <f t="shared" si="204"/>
        <v>0</v>
      </c>
      <c r="BT363" s="40">
        <f t="shared" si="205"/>
        <v>0</v>
      </c>
    </row>
    <row r="364" spans="1:72">
      <c r="A364" s="6"/>
      <c r="B364" s="31"/>
      <c r="C364" s="31"/>
      <c r="D364" s="1629"/>
      <c r="E364" s="32">
        <f t="shared" si="206"/>
        <v>0</v>
      </c>
      <c r="F364" s="33"/>
      <c r="G364" s="34">
        <f t="shared" ref="G364:G395" si="210">H364+AC364+AT364</f>
        <v>0</v>
      </c>
      <c r="H364" s="35">
        <f t="shared" ref="H364:H395" si="211">SUMIF(I$12:AB$12,"总值",I364:AB364)</f>
        <v>0</v>
      </c>
      <c r="I364" s="36"/>
      <c r="J364" s="36"/>
      <c r="K364" s="36"/>
      <c r="L364" s="36"/>
      <c r="M364" s="36"/>
      <c r="N364" s="36"/>
      <c r="O364" s="36"/>
      <c r="P364" s="36"/>
      <c r="Q364" s="36"/>
      <c r="R364" s="36"/>
      <c r="S364" s="36"/>
      <c r="T364" s="36"/>
      <c r="U364" s="36"/>
      <c r="V364" s="36"/>
      <c r="W364" s="36"/>
      <c r="X364" s="36"/>
      <c r="Y364" s="36"/>
      <c r="Z364" s="36"/>
      <c r="AA364" s="36"/>
      <c r="AB364" s="36"/>
      <c r="AC364" s="32">
        <f t="shared" ref="AC364:AC395" si="212">SUMIF(AD$12:AS$12,"总值",AD364:AS364)</f>
        <v>0</v>
      </c>
      <c r="AD364" s="37"/>
      <c r="AE364" s="37"/>
      <c r="AF364" s="37"/>
      <c r="AG364" s="37"/>
      <c r="AH364" s="37"/>
      <c r="AI364" s="37"/>
      <c r="AJ364" s="37"/>
      <c r="AK364" s="37"/>
      <c r="AL364" s="37"/>
      <c r="AM364" s="37"/>
      <c r="AN364" s="37"/>
      <c r="AO364" s="37"/>
      <c r="AP364" s="37"/>
      <c r="AQ364" s="37"/>
      <c r="AR364" s="37"/>
      <c r="AS364" s="37"/>
      <c r="AT364" s="38"/>
      <c r="AU364" s="1630"/>
      <c r="AV364" s="1342">
        <f t="shared" si="207"/>
        <v>0</v>
      </c>
      <c r="AW364" s="1342">
        <f t="shared" si="208"/>
        <v>0</v>
      </c>
      <c r="AX364" s="1342">
        <f t="shared" si="209"/>
        <v>0</v>
      </c>
      <c r="AY364" s="39">
        <f t="shared" ref="AY364:AY395" si="213">ROUND($AY$6*AZ364/$AZ$5,2)</f>
        <v>0</v>
      </c>
      <c r="AZ364" s="32">
        <f t="shared" ref="AZ364:AZ395" si="214">BA364+BL364</f>
        <v>0</v>
      </c>
      <c r="BA364" s="32">
        <f t="shared" ref="BA364:BA395" si="215">SUM(BB364:BK364)</f>
        <v>0</v>
      </c>
      <c r="BB364" s="32">
        <f t="shared" ref="BB364:BB397" si="216">IF($D364="是",I364-J364,0)</f>
        <v>0</v>
      </c>
      <c r="BC364" s="32">
        <f t="shared" ref="BC364:BC397" si="217">IF($D364="是",K364-L364,0)</f>
        <v>0</v>
      </c>
      <c r="BD364" s="32">
        <f t="shared" ref="BD364:BD397" si="218">IF($D364="是",M364-N364,0)</f>
        <v>0</v>
      </c>
      <c r="BE364" s="32">
        <f t="shared" ref="BE364:BE397" si="219">IF($D364="是",O364-P364,0)</f>
        <v>0</v>
      </c>
      <c r="BF364" s="32">
        <f t="shared" ref="BF364:BF397" si="220">IF($D364="是",Q364-R364,0)</f>
        <v>0</v>
      </c>
      <c r="BG364" s="32">
        <f t="shared" ref="BG364:BG397" si="221">IF($D364="是",S364-T364,0)</f>
        <v>0</v>
      </c>
      <c r="BH364" s="32">
        <f t="shared" ref="BH364:BH397" si="222">IF($D364="是",U364-V364,0)</f>
        <v>0</v>
      </c>
      <c r="BI364" s="32">
        <f t="shared" ref="BI364:BI397" si="223">IF($D364="是",W364-X364,0)</f>
        <v>0</v>
      </c>
      <c r="BJ364" s="32">
        <f t="shared" ref="BJ364:BJ397" si="224">IF($D364="是",Y364-Z364,0)</f>
        <v>0</v>
      </c>
      <c r="BK364" s="32">
        <f t="shared" ref="BK364:BK397" si="225">IF($D364="是",AA364-AB364,0)</f>
        <v>0</v>
      </c>
      <c r="BL364" s="32">
        <f t="shared" ref="BL364:BL395" si="226">SUM(BM364:BT364)</f>
        <v>0</v>
      </c>
      <c r="BM364" s="32">
        <f t="shared" ref="BM364:BM397" si="227">IF($D364="是",AD364-AE364,0)</f>
        <v>0</v>
      </c>
      <c r="BN364" s="32">
        <f t="shared" ref="BN364:BN397" si="228">IF($D364="是",AF364-AG364,0)</f>
        <v>0</v>
      </c>
      <c r="BO364" s="32">
        <f t="shared" ref="BO364:BO397" si="229">IF($D364="是",AH364-AI364,0)</f>
        <v>0</v>
      </c>
      <c r="BP364" s="32">
        <f t="shared" ref="BP364:BP397" si="230">IF($D364="是",AJ364-AK364,0)</f>
        <v>0</v>
      </c>
      <c r="BQ364" s="32">
        <f t="shared" ref="BQ364:BQ397" si="231">IF($D364="是",AL364-AM364,0)</f>
        <v>0</v>
      </c>
      <c r="BR364" s="32">
        <f t="shared" ref="BR364:BR397" si="232">IF($D364="是",AN364-AO364,0)</f>
        <v>0</v>
      </c>
      <c r="BS364" s="32">
        <f t="shared" ref="BS364:BS397" si="233">IF($D364="是",AP364-AQ364,0)</f>
        <v>0</v>
      </c>
      <c r="BT364" s="40">
        <f t="shared" ref="BT364:BT397" si="234">IF($D364="是",AR364-AS364,0)</f>
        <v>0</v>
      </c>
    </row>
    <row r="365" spans="1:72">
      <c r="A365" s="6"/>
      <c r="B365" s="31"/>
      <c r="C365" s="31"/>
      <c r="D365" s="1629"/>
      <c r="E365" s="32">
        <f t="shared" si="206"/>
        <v>0</v>
      </c>
      <c r="F365" s="33"/>
      <c r="G365" s="34">
        <f t="shared" si="210"/>
        <v>0</v>
      </c>
      <c r="H365" s="35">
        <f t="shared" si="211"/>
        <v>0</v>
      </c>
      <c r="I365" s="36"/>
      <c r="J365" s="36"/>
      <c r="K365" s="36"/>
      <c r="L365" s="36"/>
      <c r="M365" s="36"/>
      <c r="N365" s="36"/>
      <c r="O365" s="36"/>
      <c r="P365" s="36"/>
      <c r="Q365" s="36"/>
      <c r="R365" s="36"/>
      <c r="S365" s="36"/>
      <c r="T365" s="36"/>
      <c r="U365" s="36"/>
      <c r="V365" s="36"/>
      <c r="W365" s="36"/>
      <c r="X365" s="36"/>
      <c r="Y365" s="36"/>
      <c r="Z365" s="36"/>
      <c r="AA365" s="36"/>
      <c r="AB365" s="36"/>
      <c r="AC365" s="32">
        <f t="shared" si="212"/>
        <v>0</v>
      </c>
      <c r="AD365" s="37"/>
      <c r="AE365" s="37"/>
      <c r="AF365" s="37"/>
      <c r="AG365" s="37"/>
      <c r="AH365" s="37"/>
      <c r="AI365" s="37"/>
      <c r="AJ365" s="37"/>
      <c r="AK365" s="37"/>
      <c r="AL365" s="37"/>
      <c r="AM365" s="37"/>
      <c r="AN365" s="37"/>
      <c r="AO365" s="37"/>
      <c r="AP365" s="37"/>
      <c r="AQ365" s="37"/>
      <c r="AR365" s="37"/>
      <c r="AS365" s="37"/>
      <c r="AT365" s="38"/>
      <c r="AU365" s="1630"/>
      <c r="AV365" s="1342">
        <f t="shared" si="207"/>
        <v>0</v>
      </c>
      <c r="AW365" s="1342">
        <f t="shared" si="208"/>
        <v>0</v>
      </c>
      <c r="AX365" s="1342">
        <f t="shared" si="209"/>
        <v>0</v>
      </c>
      <c r="AY365" s="39">
        <f t="shared" si="213"/>
        <v>0</v>
      </c>
      <c r="AZ365" s="32">
        <f t="shared" si="214"/>
        <v>0</v>
      </c>
      <c r="BA365" s="32">
        <f t="shared" si="215"/>
        <v>0</v>
      </c>
      <c r="BB365" s="32">
        <f t="shared" si="216"/>
        <v>0</v>
      </c>
      <c r="BC365" s="32">
        <f t="shared" si="217"/>
        <v>0</v>
      </c>
      <c r="BD365" s="32">
        <f t="shared" si="218"/>
        <v>0</v>
      </c>
      <c r="BE365" s="32">
        <f t="shared" si="219"/>
        <v>0</v>
      </c>
      <c r="BF365" s="32">
        <f t="shared" si="220"/>
        <v>0</v>
      </c>
      <c r="BG365" s="32">
        <f t="shared" si="221"/>
        <v>0</v>
      </c>
      <c r="BH365" s="32">
        <f t="shared" si="222"/>
        <v>0</v>
      </c>
      <c r="BI365" s="32">
        <f t="shared" si="223"/>
        <v>0</v>
      </c>
      <c r="BJ365" s="32">
        <f t="shared" si="224"/>
        <v>0</v>
      </c>
      <c r="BK365" s="32">
        <f t="shared" si="225"/>
        <v>0</v>
      </c>
      <c r="BL365" s="32">
        <f t="shared" si="226"/>
        <v>0</v>
      </c>
      <c r="BM365" s="32">
        <f t="shared" si="227"/>
        <v>0</v>
      </c>
      <c r="BN365" s="32">
        <f t="shared" si="228"/>
        <v>0</v>
      </c>
      <c r="BO365" s="32">
        <f t="shared" si="229"/>
        <v>0</v>
      </c>
      <c r="BP365" s="32">
        <f t="shared" si="230"/>
        <v>0</v>
      </c>
      <c r="BQ365" s="32">
        <f t="shared" si="231"/>
        <v>0</v>
      </c>
      <c r="BR365" s="32">
        <f t="shared" si="232"/>
        <v>0</v>
      </c>
      <c r="BS365" s="32">
        <f t="shared" si="233"/>
        <v>0</v>
      </c>
      <c r="BT365" s="40">
        <f t="shared" si="234"/>
        <v>0</v>
      </c>
    </row>
    <row r="366" spans="1:72">
      <c r="A366" s="6"/>
      <c r="B366" s="31"/>
      <c r="C366" s="31"/>
      <c r="D366" s="1629"/>
      <c r="E366" s="32">
        <f t="shared" si="206"/>
        <v>0</v>
      </c>
      <c r="F366" s="33"/>
      <c r="G366" s="34">
        <f t="shared" si="210"/>
        <v>0</v>
      </c>
      <c r="H366" s="35">
        <f t="shared" si="211"/>
        <v>0</v>
      </c>
      <c r="I366" s="36"/>
      <c r="J366" s="36"/>
      <c r="K366" s="36"/>
      <c r="L366" s="36"/>
      <c r="M366" s="36"/>
      <c r="N366" s="36"/>
      <c r="O366" s="36"/>
      <c r="P366" s="36"/>
      <c r="Q366" s="36"/>
      <c r="R366" s="36"/>
      <c r="S366" s="36"/>
      <c r="T366" s="36"/>
      <c r="U366" s="36"/>
      <c r="V366" s="36"/>
      <c r="W366" s="36"/>
      <c r="X366" s="36"/>
      <c r="Y366" s="36"/>
      <c r="Z366" s="36"/>
      <c r="AA366" s="36"/>
      <c r="AB366" s="36"/>
      <c r="AC366" s="32">
        <f t="shared" si="212"/>
        <v>0</v>
      </c>
      <c r="AD366" s="37"/>
      <c r="AE366" s="37"/>
      <c r="AF366" s="37"/>
      <c r="AG366" s="37"/>
      <c r="AH366" s="37"/>
      <c r="AI366" s="37"/>
      <c r="AJ366" s="37"/>
      <c r="AK366" s="37"/>
      <c r="AL366" s="37"/>
      <c r="AM366" s="37"/>
      <c r="AN366" s="37"/>
      <c r="AO366" s="37"/>
      <c r="AP366" s="37"/>
      <c r="AQ366" s="37"/>
      <c r="AR366" s="37"/>
      <c r="AS366" s="37"/>
      <c r="AT366" s="38"/>
      <c r="AU366" s="1630"/>
      <c r="AV366" s="1342">
        <f t="shared" si="207"/>
        <v>0</v>
      </c>
      <c r="AW366" s="1342">
        <f t="shared" si="208"/>
        <v>0</v>
      </c>
      <c r="AX366" s="1342">
        <f t="shared" si="209"/>
        <v>0</v>
      </c>
      <c r="AY366" s="39">
        <f t="shared" si="213"/>
        <v>0</v>
      </c>
      <c r="AZ366" s="32">
        <f t="shared" si="214"/>
        <v>0</v>
      </c>
      <c r="BA366" s="32">
        <f t="shared" si="215"/>
        <v>0</v>
      </c>
      <c r="BB366" s="32">
        <f t="shared" si="216"/>
        <v>0</v>
      </c>
      <c r="BC366" s="32">
        <f t="shared" si="217"/>
        <v>0</v>
      </c>
      <c r="BD366" s="32">
        <f t="shared" si="218"/>
        <v>0</v>
      </c>
      <c r="BE366" s="32">
        <f t="shared" si="219"/>
        <v>0</v>
      </c>
      <c r="BF366" s="32">
        <f t="shared" si="220"/>
        <v>0</v>
      </c>
      <c r="BG366" s="32">
        <f t="shared" si="221"/>
        <v>0</v>
      </c>
      <c r="BH366" s="32">
        <f t="shared" si="222"/>
        <v>0</v>
      </c>
      <c r="BI366" s="32">
        <f t="shared" si="223"/>
        <v>0</v>
      </c>
      <c r="BJ366" s="32">
        <f t="shared" si="224"/>
        <v>0</v>
      </c>
      <c r="BK366" s="32">
        <f t="shared" si="225"/>
        <v>0</v>
      </c>
      <c r="BL366" s="32">
        <f t="shared" si="226"/>
        <v>0</v>
      </c>
      <c r="BM366" s="32">
        <f t="shared" si="227"/>
        <v>0</v>
      </c>
      <c r="BN366" s="32">
        <f t="shared" si="228"/>
        <v>0</v>
      </c>
      <c r="BO366" s="32">
        <f t="shared" si="229"/>
        <v>0</v>
      </c>
      <c r="BP366" s="32">
        <f t="shared" si="230"/>
        <v>0</v>
      </c>
      <c r="BQ366" s="32">
        <f t="shared" si="231"/>
        <v>0</v>
      </c>
      <c r="BR366" s="32">
        <f t="shared" si="232"/>
        <v>0</v>
      </c>
      <c r="BS366" s="32">
        <f t="shared" si="233"/>
        <v>0</v>
      </c>
      <c r="BT366" s="40">
        <f t="shared" si="234"/>
        <v>0</v>
      </c>
    </row>
    <row r="367" spans="1:72">
      <c r="A367" s="6"/>
      <c r="B367" s="31"/>
      <c r="C367" s="31"/>
      <c r="D367" s="1629"/>
      <c r="E367" s="32">
        <f t="shared" ref="E367:E397" si="235">IF($C$3="是",ROUND($A$3*G367/$B$3,2),ROUND($A$3*(G367-AT367)/$B$3,2))</f>
        <v>0</v>
      </c>
      <c r="F367" s="33"/>
      <c r="G367" s="34">
        <f t="shared" si="210"/>
        <v>0</v>
      </c>
      <c r="H367" s="35">
        <f t="shared" si="211"/>
        <v>0</v>
      </c>
      <c r="I367" s="36"/>
      <c r="J367" s="36"/>
      <c r="K367" s="36"/>
      <c r="L367" s="36"/>
      <c r="M367" s="36"/>
      <c r="N367" s="36"/>
      <c r="O367" s="36"/>
      <c r="P367" s="36"/>
      <c r="Q367" s="36"/>
      <c r="R367" s="36"/>
      <c r="S367" s="36"/>
      <c r="T367" s="36"/>
      <c r="U367" s="36"/>
      <c r="V367" s="36"/>
      <c r="W367" s="36"/>
      <c r="X367" s="36"/>
      <c r="Y367" s="36"/>
      <c r="Z367" s="36"/>
      <c r="AA367" s="36"/>
      <c r="AB367" s="36"/>
      <c r="AC367" s="32">
        <f t="shared" si="212"/>
        <v>0</v>
      </c>
      <c r="AD367" s="37"/>
      <c r="AE367" s="37"/>
      <c r="AF367" s="37"/>
      <c r="AG367" s="37"/>
      <c r="AH367" s="37"/>
      <c r="AI367" s="37"/>
      <c r="AJ367" s="37"/>
      <c r="AK367" s="37"/>
      <c r="AL367" s="37"/>
      <c r="AM367" s="37"/>
      <c r="AN367" s="37"/>
      <c r="AO367" s="37"/>
      <c r="AP367" s="37"/>
      <c r="AQ367" s="37"/>
      <c r="AR367" s="37"/>
      <c r="AS367" s="37"/>
      <c r="AT367" s="38"/>
      <c r="AU367" s="1630"/>
      <c r="AV367" s="1342">
        <f t="shared" ref="AV367:AV397" si="236">A367</f>
        <v>0</v>
      </c>
      <c r="AW367" s="1342">
        <f t="shared" ref="AW367:AW397" si="237">B367</f>
        <v>0</v>
      </c>
      <c r="AX367" s="1342">
        <f t="shared" ref="AX367:AX397" si="238">C367</f>
        <v>0</v>
      </c>
      <c r="AY367" s="39">
        <f t="shared" si="213"/>
        <v>0</v>
      </c>
      <c r="AZ367" s="32">
        <f t="shared" si="214"/>
        <v>0</v>
      </c>
      <c r="BA367" s="32">
        <f t="shared" si="215"/>
        <v>0</v>
      </c>
      <c r="BB367" s="32">
        <f t="shared" si="216"/>
        <v>0</v>
      </c>
      <c r="BC367" s="32">
        <f t="shared" si="217"/>
        <v>0</v>
      </c>
      <c r="BD367" s="32">
        <f t="shared" si="218"/>
        <v>0</v>
      </c>
      <c r="BE367" s="32">
        <f t="shared" si="219"/>
        <v>0</v>
      </c>
      <c r="BF367" s="32">
        <f t="shared" si="220"/>
        <v>0</v>
      </c>
      <c r="BG367" s="32">
        <f t="shared" si="221"/>
        <v>0</v>
      </c>
      <c r="BH367" s="32">
        <f t="shared" si="222"/>
        <v>0</v>
      </c>
      <c r="BI367" s="32">
        <f t="shared" si="223"/>
        <v>0</v>
      </c>
      <c r="BJ367" s="32">
        <f t="shared" si="224"/>
        <v>0</v>
      </c>
      <c r="BK367" s="32">
        <f t="shared" si="225"/>
        <v>0</v>
      </c>
      <c r="BL367" s="32">
        <f t="shared" si="226"/>
        <v>0</v>
      </c>
      <c r="BM367" s="32">
        <f t="shared" si="227"/>
        <v>0</v>
      </c>
      <c r="BN367" s="32">
        <f t="shared" si="228"/>
        <v>0</v>
      </c>
      <c r="BO367" s="32">
        <f t="shared" si="229"/>
        <v>0</v>
      </c>
      <c r="BP367" s="32">
        <f t="shared" si="230"/>
        <v>0</v>
      </c>
      <c r="BQ367" s="32">
        <f t="shared" si="231"/>
        <v>0</v>
      </c>
      <c r="BR367" s="32">
        <f t="shared" si="232"/>
        <v>0</v>
      </c>
      <c r="BS367" s="32">
        <f t="shared" si="233"/>
        <v>0</v>
      </c>
      <c r="BT367" s="40">
        <f t="shared" si="234"/>
        <v>0</v>
      </c>
    </row>
    <row r="368" spans="1:72">
      <c r="A368" s="6"/>
      <c r="B368" s="31"/>
      <c r="C368" s="31"/>
      <c r="D368" s="1629"/>
      <c r="E368" s="32">
        <f t="shared" si="235"/>
        <v>0</v>
      </c>
      <c r="F368" s="33"/>
      <c r="G368" s="34">
        <f t="shared" si="210"/>
        <v>0</v>
      </c>
      <c r="H368" s="35">
        <f t="shared" si="211"/>
        <v>0</v>
      </c>
      <c r="I368" s="36"/>
      <c r="J368" s="36"/>
      <c r="K368" s="36"/>
      <c r="L368" s="36"/>
      <c r="M368" s="36"/>
      <c r="N368" s="36"/>
      <c r="O368" s="36"/>
      <c r="P368" s="36"/>
      <c r="Q368" s="36"/>
      <c r="R368" s="36"/>
      <c r="S368" s="36"/>
      <c r="T368" s="36"/>
      <c r="U368" s="36"/>
      <c r="V368" s="36"/>
      <c r="W368" s="36"/>
      <c r="X368" s="36"/>
      <c r="Y368" s="36"/>
      <c r="Z368" s="36"/>
      <c r="AA368" s="36"/>
      <c r="AB368" s="36"/>
      <c r="AC368" s="32">
        <f t="shared" si="212"/>
        <v>0</v>
      </c>
      <c r="AD368" s="37"/>
      <c r="AE368" s="37"/>
      <c r="AF368" s="37"/>
      <c r="AG368" s="37"/>
      <c r="AH368" s="37"/>
      <c r="AI368" s="37"/>
      <c r="AJ368" s="37"/>
      <c r="AK368" s="37"/>
      <c r="AL368" s="37"/>
      <c r="AM368" s="37"/>
      <c r="AN368" s="37"/>
      <c r="AO368" s="37"/>
      <c r="AP368" s="37"/>
      <c r="AQ368" s="37"/>
      <c r="AR368" s="37"/>
      <c r="AS368" s="37"/>
      <c r="AT368" s="38"/>
      <c r="AU368" s="1630"/>
      <c r="AV368" s="1342">
        <f t="shared" si="236"/>
        <v>0</v>
      </c>
      <c r="AW368" s="1342">
        <f t="shared" si="237"/>
        <v>0</v>
      </c>
      <c r="AX368" s="1342">
        <f t="shared" si="238"/>
        <v>0</v>
      </c>
      <c r="AY368" s="39">
        <f t="shared" si="213"/>
        <v>0</v>
      </c>
      <c r="AZ368" s="32">
        <f t="shared" si="214"/>
        <v>0</v>
      </c>
      <c r="BA368" s="32">
        <f t="shared" si="215"/>
        <v>0</v>
      </c>
      <c r="BB368" s="32">
        <f t="shared" si="216"/>
        <v>0</v>
      </c>
      <c r="BC368" s="32">
        <f t="shared" si="217"/>
        <v>0</v>
      </c>
      <c r="BD368" s="32">
        <f t="shared" si="218"/>
        <v>0</v>
      </c>
      <c r="BE368" s="32">
        <f t="shared" si="219"/>
        <v>0</v>
      </c>
      <c r="BF368" s="32">
        <f t="shared" si="220"/>
        <v>0</v>
      </c>
      <c r="BG368" s="32">
        <f t="shared" si="221"/>
        <v>0</v>
      </c>
      <c r="BH368" s="32">
        <f t="shared" si="222"/>
        <v>0</v>
      </c>
      <c r="BI368" s="32">
        <f t="shared" si="223"/>
        <v>0</v>
      </c>
      <c r="BJ368" s="32">
        <f t="shared" si="224"/>
        <v>0</v>
      </c>
      <c r="BK368" s="32">
        <f t="shared" si="225"/>
        <v>0</v>
      </c>
      <c r="BL368" s="32">
        <f t="shared" si="226"/>
        <v>0</v>
      </c>
      <c r="BM368" s="32">
        <f t="shared" si="227"/>
        <v>0</v>
      </c>
      <c r="BN368" s="32">
        <f t="shared" si="228"/>
        <v>0</v>
      </c>
      <c r="BO368" s="32">
        <f t="shared" si="229"/>
        <v>0</v>
      </c>
      <c r="BP368" s="32">
        <f t="shared" si="230"/>
        <v>0</v>
      </c>
      <c r="BQ368" s="32">
        <f t="shared" si="231"/>
        <v>0</v>
      </c>
      <c r="BR368" s="32">
        <f t="shared" si="232"/>
        <v>0</v>
      </c>
      <c r="BS368" s="32">
        <f t="shared" si="233"/>
        <v>0</v>
      </c>
      <c r="BT368" s="40">
        <f t="shared" si="234"/>
        <v>0</v>
      </c>
    </row>
    <row r="369" spans="1:72">
      <c r="A369" s="6"/>
      <c r="B369" s="31"/>
      <c r="C369" s="31"/>
      <c r="D369" s="1629"/>
      <c r="E369" s="32">
        <f t="shared" si="235"/>
        <v>0</v>
      </c>
      <c r="F369" s="33"/>
      <c r="G369" s="34">
        <f t="shared" si="210"/>
        <v>0</v>
      </c>
      <c r="H369" s="35">
        <f t="shared" si="211"/>
        <v>0</v>
      </c>
      <c r="I369" s="36"/>
      <c r="J369" s="36"/>
      <c r="K369" s="36"/>
      <c r="L369" s="36"/>
      <c r="M369" s="36"/>
      <c r="N369" s="36"/>
      <c r="O369" s="36"/>
      <c r="P369" s="36"/>
      <c r="Q369" s="36"/>
      <c r="R369" s="36"/>
      <c r="S369" s="36"/>
      <c r="T369" s="36"/>
      <c r="U369" s="36"/>
      <c r="V369" s="36"/>
      <c r="W369" s="36"/>
      <c r="X369" s="36"/>
      <c r="Y369" s="36"/>
      <c r="Z369" s="36"/>
      <c r="AA369" s="36"/>
      <c r="AB369" s="36"/>
      <c r="AC369" s="32">
        <f t="shared" si="212"/>
        <v>0</v>
      </c>
      <c r="AD369" s="37"/>
      <c r="AE369" s="37"/>
      <c r="AF369" s="37"/>
      <c r="AG369" s="37"/>
      <c r="AH369" s="37"/>
      <c r="AI369" s="37"/>
      <c r="AJ369" s="37"/>
      <c r="AK369" s="37"/>
      <c r="AL369" s="37"/>
      <c r="AM369" s="37"/>
      <c r="AN369" s="37"/>
      <c r="AO369" s="37"/>
      <c r="AP369" s="37"/>
      <c r="AQ369" s="37"/>
      <c r="AR369" s="37"/>
      <c r="AS369" s="37"/>
      <c r="AT369" s="38"/>
      <c r="AU369" s="1630"/>
      <c r="AV369" s="1342">
        <f t="shared" si="236"/>
        <v>0</v>
      </c>
      <c r="AW369" s="1342">
        <f t="shared" si="237"/>
        <v>0</v>
      </c>
      <c r="AX369" s="1342">
        <f t="shared" si="238"/>
        <v>0</v>
      </c>
      <c r="AY369" s="39">
        <f t="shared" si="213"/>
        <v>0</v>
      </c>
      <c r="AZ369" s="32">
        <f t="shared" si="214"/>
        <v>0</v>
      </c>
      <c r="BA369" s="32">
        <f t="shared" si="215"/>
        <v>0</v>
      </c>
      <c r="BB369" s="32">
        <f t="shared" si="216"/>
        <v>0</v>
      </c>
      <c r="BC369" s="32">
        <f t="shared" si="217"/>
        <v>0</v>
      </c>
      <c r="BD369" s="32">
        <f t="shared" si="218"/>
        <v>0</v>
      </c>
      <c r="BE369" s="32">
        <f t="shared" si="219"/>
        <v>0</v>
      </c>
      <c r="BF369" s="32">
        <f t="shared" si="220"/>
        <v>0</v>
      </c>
      <c r="BG369" s="32">
        <f t="shared" si="221"/>
        <v>0</v>
      </c>
      <c r="BH369" s="32">
        <f t="shared" si="222"/>
        <v>0</v>
      </c>
      <c r="BI369" s="32">
        <f t="shared" si="223"/>
        <v>0</v>
      </c>
      <c r="BJ369" s="32">
        <f t="shared" si="224"/>
        <v>0</v>
      </c>
      <c r="BK369" s="32">
        <f t="shared" si="225"/>
        <v>0</v>
      </c>
      <c r="BL369" s="32">
        <f t="shared" si="226"/>
        <v>0</v>
      </c>
      <c r="BM369" s="32">
        <f t="shared" si="227"/>
        <v>0</v>
      </c>
      <c r="BN369" s="32">
        <f t="shared" si="228"/>
        <v>0</v>
      </c>
      <c r="BO369" s="32">
        <f t="shared" si="229"/>
        <v>0</v>
      </c>
      <c r="BP369" s="32">
        <f t="shared" si="230"/>
        <v>0</v>
      </c>
      <c r="BQ369" s="32">
        <f t="shared" si="231"/>
        <v>0</v>
      </c>
      <c r="BR369" s="32">
        <f t="shared" si="232"/>
        <v>0</v>
      </c>
      <c r="BS369" s="32">
        <f t="shared" si="233"/>
        <v>0</v>
      </c>
      <c r="BT369" s="40">
        <f t="shared" si="234"/>
        <v>0</v>
      </c>
    </row>
    <row r="370" spans="1:72">
      <c r="A370" s="6"/>
      <c r="B370" s="31"/>
      <c r="C370" s="31"/>
      <c r="D370" s="1629"/>
      <c r="E370" s="32">
        <f t="shared" si="235"/>
        <v>0</v>
      </c>
      <c r="F370" s="33"/>
      <c r="G370" s="34">
        <f t="shared" si="210"/>
        <v>0</v>
      </c>
      <c r="H370" s="35">
        <f t="shared" si="211"/>
        <v>0</v>
      </c>
      <c r="I370" s="36"/>
      <c r="J370" s="36"/>
      <c r="K370" s="36"/>
      <c r="L370" s="36"/>
      <c r="M370" s="36"/>
      <c r="N370" s="36"/>
      <c r="O370" s="36"/>
      <c r="P370" s="36"/>
      <c r="Q370" s="36"/>
      <c r="R370" s="36"/>
      <c r="S370" s="36"/>
      <c r="T370" s="36"/>
      <c r="U370" s="36"/>
      <c r="V370" s="36"/>
      <c r="W370" s="36"/>
      <c r="X370" s="36"/>
      <c r="Y370" s="36"/>
      <c r="Z370" s="36"/>
      <c r="AA370" s="36"/>
      <c r="AB370" s="36"/>
      <c r="AC370" s="32">
        <f t="shared" si="212"/>
        <v>0</v>
      </c>
      <c r="AD370" s="37"/>
      <c r="AE370" s="37"/>
      <c r="AF370" s="37"/>
      <c r="AG370" s="37"/>
      <c r="AH370" s="37"/>
      <c r="AI370" s="37"/>
      <c r="AJ370" s="37"/>
      <c r="AK370" s="37"/>
      <c r="AL370" s="37"/>
      <c r="AM370" s="37"/>
      <c r="AN370" s="37"/>
      <c r="AO370" s="37"/>
      <c r="AP370" s="37"/>
      <c r="AQ370" s="37"/>
      <c r="AR370" s="37"/>
      <c r="AS370" s="37"/>
      <c r="AT370" s="38"/>
      <c r="AU370" s="1630"/>
      <c r="AV370" s="1342">
        <f t="shared" si="236"/>
        <v>0</v>
      </c>
      <c r="AW370" s="1342">
        <f t="shared" si="237"/>
        <v>0</v>
      </c>
      <c r="AX370" s="1342">
        <f t="shared" si="238"/>
        <v>0</v>
      </c>
      <c r="AY370" s="39">
        <f t="shared" si="213"/>
        <v>0</v>
      </c>
      <c r="AZ370" s="32">
        <f t="shared" si="214"/>
        <v>0</v>
      </c>
      <c r="BA370" s="32">
        <f t="shared" si="215"/>
        <v>0</v>
      </c>
      <c r="BB370" s="32">
        <f t="shared" si="216"/>
        <v>0</v>
      </c>
      <c r="BC370" s="32">
        <f t="shared" si="217"/>
        <v>0</v>
      </c>
      <c r="BD370" s="32">
        <f t="shared" si="218"/>
        <v>0</v>
      </c>
      <c r="BE370" s="32">
        <f t="shared" si="219"/>
        <v>0</v>
      </c>
      <c r="BF370" s="32">
        <f t="shared" si="220"/>
        <v>0</v>
      </c>
      <c r="BG370" s="32">
        <f t="shared" si="221"/>
        <v>0</v>
      </c>
      <c r="BH370" s="32">
        <f t="shared" si="222"/>
        <v>0</v>
      </c>
      <c r="BI370" s="32">
        <f t="shared" si="223"/>
        <v>0</v>
      </c>
      <c r="BJ370" s="32">
        <f t="shared" si="224"/>
        <v>0</v>
      </c>
      <c r="BK370" s="32">
        <f t="shared" si="225"/>
        <v>0</v>
      </c>
      <c r="BL370" s="32">
        <f t="shared" si="226"/>
        <v>0</v>
      </c>
      <c r="BM370" s="32">
        <f t="shared" si="227"/>
        <v>0</v>
      </c>
      <c r="BN370" s="32">
        <f t="shared" si="228"/>
        <v>0</v>
      </c>
      <c r="BO370" s="32">
        <f t="shared" si="229"/>
        <v>0</v>
      </c>
      <c r="BP370" s="32">
        <f t="shared" si="230"/>
        <v>0</v>
      </c>
      <c r="BQ370" s="32">
        <f t="shared" si="231"/>
        <v>0</v>
      </c>
      <c r="BR370" s="32">
        <f t="shared" si="232"/>
        <v>0</v>
      </c>
      <c r="BS370" s="32">
        <f t="shared" si="233"/>
        <v>0</v>
      </c>
      <c r="BT370" s="40">
        <f t="shared" si="234"/>
        <v>0</v>
      </c>
    </row>
    <row r="371" spans="1:72">
      <c r="A371" s="6"/>
      <c r="B371" s="31"/>
      <c r="C371" s="31"/>
      <c r="D371" s="1629"/>
      <c r="E371" s="32">
        <f t="shared" si="235"/>
        <v>0</v>
      </c>
      <c r="F371" s="33"/>
      <c r="G371" s="34">
        <f t="shared" si="210"/>
        <v>0</v>
      </c>
      <c r="H371" s="35">
        <f t="shared" si="211"/>
        <v>0</v>
      </c>
      <c r="I371" s="36"/>
      <c r="J371" s="36"/>
      <c r="K371" s="36"/>
      <c r="L371" s="36"/>
      <c r="M371" s="36"/>
      <c r="N371" s="36"/>
      <c r="O371" s="36"/>
      <c r="P371" s="36"/>
      <c r="Q371" s="36"/>
      <c r="R371" s="36"/>
      <c r="S371" s="36"/>
      <c r="T371" s="36"/>
      <c r="U371" s="36"/>
      <c r="V371" s="36"/>
      <c r="W371" s="36"/>
      <c r="X371" s="36"/>
      <c r="Y371" s="36"/>
      <c r="Z371" s="36"/>
      <c r="AA371" s="36"/>
      <c r="AB371" s="36"/>
      <c r="AC371" s="32">
        <f t="shared" si="212"/>
        <v>0</v>
      </c>
      <c r="AD371" s="37"/>
      <c r="AE371" s="37"/>
      <c r="AF371" s="37"/>
      <c r="AG371" s="37"/>
      <c r="AH371" s="37"/>
      <c r="AI371" s="37"/>
      <c r="AJ371" s="37"/>
      <c r="AK371" s="37"/>
      <c r="AL371" s="37"/>
      <c r="AM371" s="37"/>
      <c r="AN371" s="37"/>
      <c r="AO371" s="37"/>
      <c r="AP371" s="37"/>
      <c r="AQ371" s="37"/>
      <c r="AR371" s="37"/>
      <c r="AS371" s="37"/>
      <c r="AT371" s="38"/>
      <c r="AU371" s="1630"/>
      <c r="AV371" s="1342">
        <f t="shared" si="236"/>
        <v>0</v>
      </c>
      <c r="AW371" s="1342">
        <f t="shared" si="237"/>
        <v>0</v>
      </c>
      <c r="AX371" s="1342">
        <f t="shared" si="238"/>
        <v>0</v>
      </c>
      <c r="AY371" s="39">
        <f t="shared" si="213"/>
        <v>0</v>
      </c>
      <c r="AZ371" s="32">
        <f t="shared" si="214"/>
        <v>0</v>
      </c>
      <c r="BA371" s="32">
        <f t="shared" si="215"/>
        <v>0</v>
      </c>
      <c r="BB371" s="32">
        <f t="shared" si="216"/>
        <v>0</v>
      </c>
      <c r="BC371" s="32">
        <f t="shared" si="217"/>
        <v>0</v>
      </c>
      <c r="BD371" s="32">
        <f t="shared" si="218"/>
        <v>0</v>
      </c>
      <c r="BE371" s="32">
        <f t="shared" si="219"/>
        <v>0</v>
      </c>
      <c r="BF371" s="32">
        <f t="shared" si="220"/>
        <v>0</v>
      </c>
      <c r="BG371" s="32">
        <f t="shared" si="221"/>
        <v>0</v>
      </c>
      <c r="BH371" s="32">
        <f t="shared" si="222"/>
        <v>0</v>
      </c>
      <c r="BI371" s="32">
        <f t="shared" si="223"/>
        <v>0</v>
      </c>
      <c r="BJ371" s="32">
        <f t="shared" si="224"/>
        <v>0</v>
      </c>
      <c r="BK371" s="32">
        <f t="shared" si="225"/>
        <v>0</v>
      </c>
      <c r="BL371" s="32">
        <f t="shared" si="226"/>
        <v>0</v>
      </c>
      <c r="BM371" s="32">
        <f t="shared" si="227"/>
        <v>0</v>
      </c>
      <c r="BN371" s="32">
        <f t="shared" si="228"/>
        <v>0</v>
      </c>
      <c r="BO371" s="32">
        <f t="shared" si="229"/>
        <v>0</v>
      </c>
      <c r="BP371" s="32">
        <f t="shared" si="230"/>
        <v>0</v>
      </c>
      <c r="BQ371" s="32">
        <f t="shared" si="231"/>
        <v>0</v>
      </c>
      <c r="BR371" s="32">
        <f t="shared" si="232"/>
        <v>0</v>
      </c>
      <c r="BS371" s="32">
        <f t="shared" si="233"/>
        <v>0</v>
      </c>
      <c r="BT371" s="40">
        <f t="shared" si="234"/>
        <v>0</v>
      </c>
    </row>
    <row r="372" spans="1:72">
      <c r="A372" s="6"/>
      <c r="B372" s="31"/>
      <c r="C372" s="31"/>
      <c r="D372" s="1629"/>
      <c r="E372" s="32">
        <f t="shared" si="235"/>
        <v>0</v>
      </c>
      <c r="F372" s="33"/>
      <c r="G372" s="34">
        <f t="shared" si="210"/>
        <v>0</v>
      </c>
      <c r="H372" s="35">
        <f t="shared" si="211"/>
        <v>0</v>
      </c>
      <c r="I372" s="36"/>
      <c r="J372" s="36"/>
      <c r="K372" s="36"/>
      <c r="L372" s="36"/>
      <c r="M372" s="36"/>
      <c r="N372" s="36"/>
      <c r="O372" s="36"/>
      <c r="P372" s="36"/>
      <c r="Q372" s="36"/>
      <c r="R372" s="36"/>
      <c r="S372" s="36"/>
      <c r="T372" s="36"/>
      <c r="U372" s="36"/>
      <c r="V372" s="36"/>
      <c r="W372" s="36"/>
      <c r="X372" s="36"/>
      <c r="Y372" s="36"/>
      <c r="Z372" s="36"/>
      <c r="AA372" s="36"/>
      <c r="AB372" s="36"/>
      <c r="AC372" s="32">
        <f t="shared" si="212"/>
        <v>0</v>
      </c>
      <c r="AD372" s="37"/>
      <c r="AE372" s="37"/>
      <c r="AF372" s="37"/>
      <c r="AG372" s="37"/>
      <c r="AH372" s="37"/>
      <c r="AI372" s="37"/>
      <c r="AJ372" s="37"/>
      <c r="AK372" s="37"/>
      <c r="AL372" s="37"/>
      <c r="AM372" s="37"/>
      <c r="AN372" s="37"/>
      <c r="AO372" s="37"/>
      <c r="AP372" s="37"/>
      <c r="AQ372" s="37"/>
      <c r="AR372" s="37"/>
      <c r="AS372" s="37"/>
      <c r="AT372" s="38"/>
      <c r="AU372" s="1630"/>
      <c r="AV372" s="1342">
        <f t="shared" si="236"/>
        <v>0</v>
      </c>
      <c r="AW372" s="1342">
        <f t="shared" si="237"/>
        <v>0</v>
      </c>
      <c r="AX372" s="1342">
        <f t="shared" si="238"/>
        <v>0</v>
      </c>
      <c r="AY372" s="39">
        <f t="shared" si="213"/>
        <v>0</v>
      </c>
      <c r="AZ372" s="32">
        <f t="shared" si="214"/>
        <v>0</v>
      </c>
      <c r="BA372" s="32">
        <f t="shared" si="215"/>
        <v>0</v>
      </c>
      <c r="BB372" s="32">
        <f t="shared" si="216"/>
        <v>0</v>
      </c>
      <c r="BC372" s="32">
        <f t="shared" si="217"/>
        <v>0</v>
      </c>
      <c r="BD372" s="32">
        <f t="shared" si="218"/>
        <v>0</v>
      </c>
      <c r="BE372" s="32">
        <f t="shared" si="219"/>
        <v>0</v>
      </c>
      <c r="BF372" s="32">
        <f t="shared" si="220"/>
        <v>0</v>
      </c>
      <c r="BG372" s="32">
        <f t="shared" si="221"/>
        <v>0</v>
      </c>
      <c r="BH372" s="32">
        <f t="shared" si="222"/>
        <v>0</v>
      </c>
      <c r="BI372" s="32">
        <f t="shared" si="223"/>
        <v>0</v>
      </c>
      <c r="BJ372" s="32">
        <f t="shared" si="224"/>
        <v>0</v>
      </c>
      <c r="BK372" s="32">
        <f t="shared" si="225"/>
        <v>0</v>
      </c>
      <c r="BL372" s="32">
        <f t="shared" si="226"/>
        <v>0</v>
      </c>
      <c r="BM372" s="32">
        <f t="shared" si="227"/>
        <v>0</v>
      </c>
      <c r="BN372" s="32">
        <f t="shared" si="228"/>
        <v>0</v>
      </c>
      <c r="BO372" s="32">
        <f t="shared" si="229"/>
        <v>0</v>
      </c>
      <c r="BP372" s="32">
        <f t="shared" si="230"/>
        <v>0</v>
      </c>
      <c r="BQ372" s="32">
        <f t="shared" si="231"/>
        <v>0</v>
      </c>
      <c r="BR372" s="32">
        <f t="shared" si="232"/>
        <v>0</v>
      </c>
      <c r="BS372" s="32">
        <f t="shared" si="233"/>
        <v>0</v>
      </c>
      <c r="BT372" s="40">
        <f t="shared" si="234"/>
        <v>0</v>
      </c>
    </row>
    <row r="373" spans="1:72">
      <c r="A373" s="6"/>
      <c r="B373" s="31"/>
      <c r="C373" s="31"/>
      <c r="D373" s="1629"/>
      <c r="E373" s="32">
        <f t="shared" si="235"/>
        <v>0</v>
      </c>
      <c r="F373" s="33"/>
      <c r="G373" s="34">
        <f t="shared" si="210"/>
        <v>0</v>
      </c>
      <c r="H373" s="35">
        <f t="shared" si="211"/>
        <v>0</v>
      </c>
      <c r="I373" s="36"/>
      <c r="J373" s="36"/>
      <c r="K373" s="36"/>
      <c r="L373" s="36"/>
      <c r="M373" s="36"/>
      <c r="N373" s="36"/>
      <c r="O373" s="36"/>
      <c r="P373" s="36"/>
      <c r="Q373" s="36"/>
      <c r="R373" s="36"/>
      <c r="S373" s="36"/>
      <c r="T373" s="36"/>
      <c r="U373" s="36"/>
      <c r="V373" s="36"/>
      <c r="W373" s="36"/>
      <c r="X373" s="36"/>
      <c r="Y373" s="36"/>
      <c r="Z373" s="36"/>
      <c r="AA373" s="36"/>
      <c r="AB373" s="36"/>
      <c r="AC373" s="32">
        <f t="shared" si="212"/>
        <v>0</v>
      </c>
      <c r="AD373" s="37"/>
      <c r="AE373" s="37"/>
      <c r="AF373" s="37"/>
      <c r="AG373" s="37"/>
      <c r="AH373" s="37"/>
      <c r="AI373" s="37"/>
      <c r="AJ373" s="37"/>
      <c r="AK373" s="37"/>
      <c r="AL373" s="37"/>
      <c r="AM373" s="37"/>
      <c r="AN373" s="37"/>
      <c r="AO373" s="37"/>
      <c r="AP373" s="37"/>
      <c r="AQ373" s="37"/>
      <c r="AR373" s="37"/>
      <c r="AS373" s="37"/>
      <c r="AT373" s="38"/>
      <c r="AU373" s="1630"/>
      <c r="AV373" s="1342">
        <f t="shared" si="236"/>
        <v>0</v>
      </c>
      <c r="AW373" s="1342">
        <f t="shared" si="237"/>
        <v>0</v>
      </c>
      <c r="AX373" s="1342">
        <f t="shared" si="238"/>
        <v>0</v>
      </c>
      <c r="AY373" s="39">
        <f t="shared" si="213"/>
        <v>0</v>
      </c>
      <c r="AZ373" s="32">
        <f t="shared" si="214"/>
        <v>0</v>
      </c>
      <c r="BA373" s="32">
        <f t="shared" si="215"/>
        <v>0</v>
      </c>
      <c r="BB373" s="32">
        <f t="shared" si="216"/>
        <v>0</v>
      </c>
      <c r="BC373" s="32">
        <f t="shared" si="217"/>
        <v>0</v>
      </c>
      <c r="BD373" s="32">
        <f t="shared" si="218"/>
        <v>0</v>
      </c>
      <c r="BE373" s="32">
        <f t="shared" si="219"/>
        <v>0</v>
      </c>
      <c r="BF373" s="32">
        <f t="shared" si="220"/>
        <v>0</v>
      </c>
      <c r="BG373" s="32">
        <f t="shared" si="221"/>
        <v>0</v>
      </c>
      <c r="BH373" s="32">
        <f t="shared" si="222"/>
        <v>0</v>
      </c>
      <c r="BI373" s="32">
        <f t="shared" si="223"/>
        <v>0</v>
      </c>
      <c r="BJ373" s="32">
        <f t="shared" si="224"/>
        <v>0</v>
      </c>
      <c r="BK373" s="32">
        <f t="shared" si="225"/>
        <v>0</v>
      </c>
      <c r="BL373" s="32">
        <f t="shared" si="226"/>
        <v>0</v>
      </c>
      <c r="BM373" s="32">
        <f t="shared" si="227"/>
        <v>0</v>
      </c>
      <c r="BN373" s="32">
        <f t="shared" si="228"/>
        <v>0</v>
      </c>
      <c r="BO373" s="32">
        <f t="shared" si="229"/>
        <v>0</v>
      </c>
      <c r="BP373" s="32">
        <f t="shared" si="230"/>
        <v>0</v>
      </c>
      <c r="BQ373" s="32">
        <f t="shared" si="231"/>
        <v>0</v>
      </c>
      <c r="BR373" s="32">
        <f t="shared" si="232"/>
        <v>0</v>
      </c>
      <c r="BS373" s="32">
        <f t="shared" si="233"/>
        <v>0</v>
      </c>
      <c r="BT373" s="40">
        <f t="shared" si="234"/>
        <v>0</v>
      </c>
    </row>
    <row r="374" spans="1:72">
      <c r="A374" s="6"/>
      <c r="B374" s="31"/>
      <c r="C374" s="31"/>
      <c r="D374" s="1629"/>
      <c r="E374" s="32">
        <f t="shared" si="235"/>
        <v>0</v>
      </c>
      <c r="F374" s="33"/>
      <c r="G374" s="34">
        <f t="shared" si="210"/>
        <v>0</v>
      </c>
      <c r="H374" s="35">
        <f t="shared" si="211"/>
        <v>0</v>
      </c>
      <c r="I374" s="36"/>
      <c r="J374" s="36"/>
      <c r="K374" s="36"/>
      <c r="L374" s="36"/>
      <c r="M374" s="36"/>
      <c r="N374" s="36"/>
      <c r="O374" s="36"/>
      <c r="P374" s="36"/>
      <c r="Q374" s="36"/>
      <c r="R374" s="36"/>
      <c r="S374" s="36"/>
      <c r="T374" s="36"/>
      <c r="U374" s="36"/>
      <c r="V374" s="36"/>
      <c r="W374" s="36"/>
      <c r="X374" s="36"/>
      <c r="Y374" s="36"/>
      <c r="Z374" s="36"/>
      <c r="AA374" s="36"/>
      <c r="AB374" s="36"/>
      <c r="AC374" s="32">
        <f t="shared" si="212"/>
        <v>0</v>
      </c>
      <c r="AD374" s="37"/>
      <c r="AE374" s="37"/>
      <c r="AF374" s="37"/>
      <c r="AG374" s="37"/>
      <c r="AH374" s="37"/>
      <c r="AI374" s="37"/>
      <c r="AJ374" s="37"/>
      <c r="AK374" s="37"/>
      <c r="AL374" s="37"/>
      <c r="AM374" s="37"/>
      <c r="AN374" s="37"/>
      <c r="AO374" s="37"/>
      <c r="AP374" s="37"/>
      <c r="AQ374" s="37"/>
      <c r="AR374" s="37"/>
      <c r="AS374" s="37"/>
      <c r="AT374" s="38"/>
      <c r="AU374" s="1630"/>
      <c r="AV374" s="1342">
        <f t="shared" si="236"/>
        <v>0</v>
      </c>
      <c r="AW374" s="1342">
        <f t="shared" si="237"/>
        <v>0</v>
      </c>
      <c r="AX374" s="1342">
        <f t="shared" si="238"/>
        <v>0</v>
      </c>
      <c r="AY374" s="39">
        <f t="shared" si="213"/>
        <v>0</v>
      </c>
      <c r="AZ374" s="32">
        <f t="shared" si="214"/>
        <v>0</v>
      </c>
      <c r="BA374" s="32">
        <f t="shared" si="215"/>
        <v>0</v>
      </c>
      <c r="BB374" s="32">
        <f t="shared" si="216"/>
        <v>0</v>
      </c>
      <c r="BC374" s="32">
        <f t="shared" si="217"/>
        <v>0</v>
      </c>
      <c r="BD374" s="32">
        <f t="shared" si="218"/>
        <v>0</v>
      </c>
      <c r="BE374" s="32">
        <f t="shared" si="219"/>
        <v>0</v>
      </c>
      <c r="BF374" s="32">
        <f t="shared" si="220"/>
        <v>0</v>
      </c>
      <c r="BG374" s="32">
        <f t="shared" si="221"/>
        <v>0</v>
      </c>
      <c r="BH374" s="32">
        <f t="shared" si="222"/>
        <v>0</v>
      </c>
      <c r="BI374" s="32">
        <f t="shared" si="223"/>
        <v>0</v>
      </c>
      <c r="BJ374" s="32">
        <f t="shared" si="224"/>
        <v>0</v>
      </c>
      <c r="BK374" s="32">
        <f t="shared" si="225"/>
        <v>0</v>
      </c>
      <c r="BL374" s="32">
        <f t="shared" si="226"/>
        <v>0</v>
      </c>
      <c r="BM374" s="32">
        <f t="shared" si="227"/>
        <v>0</v>
      </c>
      <c r="BN374" s="32">
        <f t="shared" si="228"/>
        <v>0</v>
      </c>
      <c r="BO374" s="32">
        <f t="shared" si="229"/>
        <v>0</v>
      </c>
      <c r="BP374" s="32">
        <f t="shared" si="230"/>
        <v>0</v>
      </c>
      <c r="BQ374" s="32">
        <f t="shared" si="231"/>
        <v>0</v>
      </c>
      <c r="BR374" s="32">
        <f t="shared" si="232"/>
        <v>0</v>
      </c>
      <c r="BS374" s="32">
        <f t="shared" si="233"/>
        <v>0</v>
      </c>
      <c r="BT374" s="40">
        <f t="shared" si="234"/>
        <v>0</v>
      </c>
    </row>
    <row r="375" spans="1:72">
      <c r="A375" s="6"/>
      <c r="B375" s="31"/>
      <c r="C375" s="31"/>
      <c r="D375" s="1629"/>
      <c r="E375" s="32">
        <f t="shared" si="235"/>
        <v>0</v>
      </c>
      <c r="F375" s="33"/>
      <c r="G375" s="34">
        <f t="shared" si="210"/>
        <v>0</v>
      </c>
      <c r="H375" s="35">
        <f t="shared" si="211"/>
        <v>0</v>
      </c>
      <c r="I375" s="36"/>
      <c r="J375" s="36"/>
      <c r="K375" s="36"/>
      <c r="L375" s="36"/>
      <c r="M375" s="36"/>
      <c r="N375" s="36"/>
      <c r="O375" s="36"/>
      <c r="P375" s="36"/>
      <c r="Q375" s="36"/>
      <c r="R375" s="36"/>
      <c r="S375" s="36"/>
      <c r="T375" s="36"/>
      <c r="U375" s="36"/>
      <c r="V375" s="36"/>
      <c r="W375" s="36"/>
      <c r="X375" s="36"/>
      <c r="Y375" s="36"/>
      <c r="Z375" s="36"/>
      <c r="AA375" s="36"/>
      <c r="AB375" s="36"/>
      <c r="AC375" s="32">
        <f t="shared" si="212"/>
        <v>0</v>
      </c>
      <c r="AD375" s="37"/>
      <c r="AE375" s="37"/>
      <c r="AF375" s="37"/>
      <c r="AG375" s="37"/>
      <c r="AH375" s="37"/>
      <c r="AI375" s="37"/>
      <c r="AJ375" s="37"/>
      <c r="AK375" s="37"/>
      <c r="AL375" s="37"/>
      <c r="AM375" s="37"/>
      <c r="AN375" s="37"/>
      <c r="AO375" s="37"/>
      <c r="AP375" s="37"/>
      <c r="AQ375" s="37"/>
      <c r="AR375" s="37"/>
      <c r="AS375" s="37"/>
      <c r="AT375" s="38"/>
      <c r="AU375" s="1630"/>
      <c r="AV375" s="1342">
        <f t="shared" si="236"/>
        <v>0</v>
      </c>
      <c r="AW375" s="1342">
        <f t="shared" si="237"/>
        <v>0</v>
      </c>
      <c r="AX375" s="1342">
        <f t="shared" si="238"/>
        <v>0</v>
      </c>
      <c r="AY375" s="39">
        <f t="shared" si="213"/>
        <v>0</v>
      </c>
      <c r="AZ375" s="32">
        <f t="shared" si="214"/>
        <v>0</v>
      </c>
      <c r="BA375" s="32">
        <f t="shared" si="215"/>
        <v>0</v>
      </c>
      <c r="BB375" s="32">
        <f t="shared" si="216"/>
        <v>0</v>
      </c>
      <c r="BC375" s="32">
        <f t="shared" si="217"/>
        <v>0</v>
      </c>
      <c r="BD375" s="32">
        <f t="shared" si="218"/>
        <v>0</v>
      </c>
      <c r="BE375" s="32">
        <f t="shared" si="219"/>
        <v>0</v>
      </c>
      <c r="BF375" s="32">
        <f t="shared" si="220"/>
        <v>0</v>
      </c>
      <c r="BG375" s="32">
        <f t="shared" si="221"/>
        <v>0</v>
      </c>
      <c r="BH375" s="32">
        <f t="shared" si="222"/>
        <v>0</v>
      </c>
      <c r="BI375" s="32">
        <f t="shared" si="223"/>
        <v>0</v>
      </c>
      <c r="BJ375" s="32">
        <f t="shared" si="224"/>
        <v>0</v>
      </c>
      <c r="BK375" s="32">
        <f t="shared" si="225"/>
        <v>0</v>
      </c>
      <c r="BL375" s="32">
        <f t="shared" si="226"/>
        <v>0</v>
      </c>
      <c r="BM375" s="32">
        <f t="shared" si="227"/>
        <v>0</v>
      </c>
      <c r="BN375" s="32">
        <f t="shared" si="228"/>
        <v>0</v>
      </c>
      <c r="BO375" s="32">
        <f t="shared" si="229"/>
        <v>0</v>
      </c>
      <c r="BP375" s="32">
        <f t="shared" si="230"/>
        <v>0</v>
      </c>
      <c r="BQ375" s="32">
        <f t="shared" si="231"/>
        <v>0</v>
      </c>
      <c r="BR375" s="32">
        <f t="shared" si="232"/>
        <v>0</v>
      </c>
      <c r="BS375" s="32">
        <f t="shared" si="233"/>
        <v>0</v>
      </c>
      <c r="BT375" s="40">
        <f t="shared" si="234"/>
        <v>0</v>
      </c>
    </row>
    <row r="376" spans="1:72">
      <c r="A376" s="6"/>
      <c r="B376" s="31"/>
      <c r="C376" s="31"/>
      <c r="D376" s="1629"/>
      <c r="E376" s="32">
        <f t="shared" si="235"/>
        <v>0</v>
      </c>
      <c r="F376" s="33"/>
      <c r="G376" s="34">
        <f t="shared" si="210"/>
        <v>0</v>
      </c>
      <c r="H376" s="35">
        <f t="shared" si="211"/>
        <v>0</v>
      </c>
      <c r="I376" s="36"/>
      <c r="J376" s="36"/>
      <c r="K376" s="36"/>
      <c r="L376" s="36"/>
      <c r="M376" s="36"/>
      <c r="N376" s="36"/>
      <c r="O376" s="36"/>
      <c r="P376" s="36"/>
      <c r="Q376" s="36"/>
      <c r="R376" s="36"/>
      <c r="S376" s="36"/>
      <c r="T376" s="36"/>
      <c r="U376" s="36"/>
      <c r="V376" s="36"/>
      <c r="W376" s="36"/>
      <c r="X376" s="36"/>
      <c r="Y376" s="36"/>
      <c r="Z376" s="36"/>
      <c r="AA376" s="36"/>
      <c r="AB376" s="36"/>
      <c r="AC376" s="32">
        <f t="shared" si="212"/>
        <v>0</v>
      </c>
      <c r="AD376" s="37"/>
      <c r="AE376" s="37"/>
      <c r="AF376" s="37"/>
      <c r="AG376" s="37"/>
      <c r="AH376" s="37"/>
      <c r="AI376" s="37"/>
      <c r="AJ376" s="37"/>
      <c r="AK376" s="37"/>
      <c r="AL376" s="37"/>
      <c r="AM376" s="37"/>
      <c r="AN376" s="37"/>
      <c r="AO376" s="37"/>
      <c r="AP376" s="37"/>
      <c r="AQ376" s="37"/>
      <c r="AR376" s="37"/>
      <c r="AS376" s="37"/>
      <c r="AT376" s="38"/>
      <c r="AU376" s="1630"/>
      <c r="AV376" s="1342">
        <f t="shared" si="236"/>
        <v>0</v>
      </c>
      <c r="AW376" s="1342">
        <f t="shared" si="237"/>
        <v>0</v>
      </c>
      <c r="AX376" s="1342">
        <f t="shared" si="238"/>
        <v>0</v>
      </c>
      <c r="AY376" s="39">
        <f t="shared" si="213"/>
        <v>0</v>
      </c>
      <c r="AZ376" s="32">
        <f t="shared" si="214"/>
        <v>0</v>
      </c>
      <c r="BA376" s="32">
        <f t="shared" si="215"/>
        <v>0</v>
      </c>
      <c r="BB376" s="32">
        <f t="shared" si="216"/>
        <v>0</v>
      </c>
      <c r="BC376" s="32">
        <f t="shared" si="217"/>
        <v>0</v>
      </c>
      <c r="BD376" s="32">
        <f t="shared" si="218"/>
        <v>0</v>
      </c>
      <c r="BE376" s="32">
        <f t="shared" si="219"/>
        <v>0</v>
      </c>
      <c r="BF376" s="32">
        <f t="shared" si="220"/>
        <v>0</v>
      </c>
      <c r="BG376" s="32">
        <f t="shared" si="221"/>
        <v>0</v>
      </c>
      <c r="BH376" s="32">
        <f t="shared" si="222"/>
        <v>0</v>
      </c>
      <c r="BI376" s="32">
        <f t="shared" si="223"/>
        <v>0</v>
      </c>
      <c r="BJ376" s="32">
        <f t="shared" si="224"/>
        <v>0</v>
      </c>
      <c r="BK376" s="32">
        <f t="shared" si="225"/>
        <v>0</v>
      </c>
      <c r="BL376" s="32">
        <f t="shared" si="226"/>
        <v>0</v>
      </c>
      <c r="BM376" s="32">
        <f t="shared" si="227"/>
        <v>0</v>
      </c>
      <c r="BN376" s="32">
        <f t="shared" si="228"/>
        <v>0</v>
      </c>
      <c r="BO376" s="32">
        <f t="shared" si="229"/>
        <v>0</v>
      </c>
      <c r="BP376" s="32">
        <f t="shared" si="230"/>
        <v>0</v>
      </c>
      <c r="BQ376" s="32">
        <f t="shared" si="231"/>
        <v>0</v>
      </c>
      <c r="BR376" s="32">
        <f t="shared" si="232"/>
        <v>0</v>
      </c>
      <c r="BS376" s="32">
        <f t="shared" si="233"/>
        <v>0</v>
      </c>
      <c r="BT376" s="40">
        <f t="shared" si="234"/>
        <v>0</v>
      </c>
    </row>
    <row r="377" spans="1:72">
      <c r="A377" s="6"/>
      <c r="B377" s="31"/>
      <c r="C377" s="31"/>
      <c r="D377" s="1629"/>
      <c r="E377" s="32">
        <f t="shared" si="235"/>
        <v>0</v>
      </c>
      <c r="F377" s="33"/>
      <c r="G377" s="34">
        <f t="shared" si="210"/>
        <v>0</v>
      </c>
      <c r="H377" s="35">
        <f t="shared" si="211"/>
        <v>0</v>
      </c>
      <c r="I377" s="36"/>
      <c r="J377" s="36"/>
      <c r="K377" s="36"/>
      <c r="L377" s="36"/>
      <c r="M377" s="36"/>
      <c r="N377" s="36"/>
      <c r="O377" s="36"/>
      <c r="P377" s="36"/>
      <c r="Q377" s="36"/>
      <c r="R377" s="36"/>
      <c r="S377" s="36"/>
      <c r="T377" s="36"/>
      <c r="U377" s="36"/>
      <c r="V377" s="36"/>
      <c r="W377" s="36"/>
      <c r="X377" s="36"/>
      <c r="Y377" s="36"/>
      <c r="Z377" s="36"/>
      <c r="AA377" s="36"/>
      <c r="AB377" s="36"/>
      <c r="AC377" s="32">
        <f t="shared" si="212"/>
        <v>0</v>
      </c>
      <c r="AD377" s="37"/>
      <c r="AE377" s="37"/>
      <c r="AF377" s="37"/>
      <c r="AG377" s="37"/>
      <c r="AH377" s="37"/>
      <c r="AI377" s="37"/>
      <c r="AJ377" s="37"/>
      <c r="AK377" s="37"/>
      <c r="AL377" s="37"/>
      <c r="AM377" s="37"/>
      <c r="AN377" s="37"/>
      <c r="AO377" s="37"/>
      <c r="AP377" s="37"/>
      <c r="AQ377" s="37"/>
      <c r="AR377" s="37"/>
      <c r="AS377" s="37"/>
      <c r="AT377" s="38"/>
      <c r="AU377" s="1630"/>
      <c r="AV377" s="1342">
        <f t="shared" si="236"/>
        <v>0</v>
      </c>
      <c r="AW377" s="1342">
        <f t="shared" si="237"/>
        <v>0</v>
      </c>
      <c r="AX377" s="1342">
        <f t="shared" si="238"/>
        <v>0</v>
      </c>
      <c r="AY377" s="39">
        <f t="shared" si="213"/>
        <v>0</v>
      </c>
      <c r="AZ377" s="32">
        <f t="shared" si="214"/>
        <v>0</v>
      </c>
      <c r="BA377" s="32">
        <f t="shared" si="215"/>
        <v>0</v>
      </c>
      <c r="BB377" s="32">
        <f t="shared" si="216"/>
        <v>0</v>
      </c>
      <c r="BC377" s="32">
        <f t="shared" si="217"/>
        <v>0</v>
      </c>
      <c r="BD377" s="32">
        <f t="shared" si="218"/>
        <v>0</v>
      </c>
      <c r="BE377" s="32">
        <f t="shared" si="219"/>
        <v>0</v>
      </c>
      <c r="BF377" s="32">
        <f t="shared" si="220"/>
        <v>0</v>
      </c>
      <c r="BG377" s="32">
        <f t="shared" si="221"/>
        <v>0</v>
      </c>
      <c r="BH377" s="32">
        <f t="shared" si="222"/>
        <v>0</v>
      </c>
      <c r="BI377" s="32">
        <f t="shared" si="223"/>
        <v>0</v>
      </c>
      <c r="BJ377" s="32">
        <f t="shared" si="224"/>
        <v>0</v>
      </c>
      <c r="BK377" s="32">
        <f t="shared" si="225"/>
        <v>0</v>
      </c>
      <c r="BL377" s="32">
        <f t="shared" si="226"/>
        <v>0</v>
      </c>
      <c r="BM377" s="32">
        <f t="shared" si="227"/>
        <v>0</v>
      </c>
      <c r="BN377" s="32">
        <f t="shared" si="228"/>
        <v>0</v>
      </c>
      <c r="BO377" s="32">
        <f t="shared" si="229"/>
        <v>0</v>
      </c>
      <c r="BP377" s="32">
        <f t="shared" si="230"/>
        <v>0</v>
      </c>
      <c r="BQ377" s="32">
        <f t="shared" si="231"/>
        <v>0</v>
      </c>
      <c r="BR377" s="32">
        <f t="shared" si="232"/>
        <v>0</v>
      </c>
      <c r="BS377" s="32">
        <f t="shared" si="233"/>
        <v>0</v>
      </c>
      <c r="BT377" s="40">
        <f t="shared" si="234"/>
        <v>0</v>
      </c>
    </row>
    <row r="378" spans="1:72">
      <c r="A378" s="6"/>
      <c r="B378" s="31"/>
      <c r="C378" s="31"/>
      <c r="D378" s="1629"/>
      <c r="E378" s="32">
        <f t="shared" si="235"/>
        <v>0</v>
      </c>
      <c r="F378" s="33"/>
      <c r="G378" s="34">
        <f t="shared" si="210"/>
        <v>0</v>
      </c>
      <c r="H378" s="35">
        <f t="shared" si="211"/>
        <v>0</v>
      </c>
      <c r="I378" s="36"/>
      <c r="J378" s="36"/>
      <c r="K378" s="36"/>
      <c r="L378" s="36"/>
      <c r="M378" s="36"/>
      <c r="N378" s="36"/>
      <c r="O378" s="36"/>
      <c r="P378" s="36"/>
      <c r="Q378" s="36"/>
      <c r="R378" s="36"/>
      <c r="S378" s="36"/>
      <c r="T378" s="36"/>
      <c r="U378" s="36"/>
      <c r="V378" s="36"/>
      <c r="W378" s="36"/>
      <c r="X378" s="36"/>
      <c r="Y378" s="36"/>
      <c r="Z378" s="36"/>
      <c r="AA378" s="36"/>
      <c r="AB378" s="36"/>
      <c r="AC378" s="32">
        <f t="shared" si="212"/>
        <v>0</v>
      </c>
      <c r="AD378" s="37"/>
      <c r="AE378" s="37"/>
      <c r="AF378" s="37"/>
      <c r="AG378" s="37"/>
      <c r="AH378" s="37"/>
      <c r="AI378" s="37"/>
      <c r="AJ378" s="37"/>
      <c r="AK378" s="37"/>
      <c r="AL378" s="37"/>
      <c r="AM378" s="37"/>
      <c r="AN378" s="37"/>
      <c r="AO378" s="37"/>
      <c r="AP378" s="37"/>
      <c r="AQ378" s="37"/>
      <c r="AR378" s="37"/>
      <c r="AS378" s="37"/>
      <c r="AT378" s="38"/>
      <c r="AU378" s="1630"/>
      <c r="AV378" s="1342">
        <f t="shared" si="236"/>
        <v>0</v>
      </c>
      <c r="AW378" s="1342">
        <f t="shared" si="237"/>
        <v>0</v>
      </c>
      <c r="AX378" s="1342">
        <f t="shared" si="238"/>
        <v>0</v>
      </c>
      <c r="AY378" s="39">
        <f t="shared" si="213"/>
        <v>0</v>
      </c>
      <c r="AZ378" s="32">
        <f t="shared" si="214"/>
        <v>0</v>
      </c>
      <c r="BA378" s="32">
        <f t="shared" si="215"/>
        <v>0</v>
      </c>
      <c r="BB378" s="32">
        <f t="shared" si="216"/>
        <v>0</v>
      </c>
      <c r="BC378" s="32">
        <f t="shared" si="217"/>
        <v>0</v>
      </c>
      <c r="BD378" s="32">
        <f t="shared" si="218"/>
        <v>0</v>
      </c>
      <c r="BE378" s="32">
        <f t="shared" si="219"/>
        <v>0</v>
      </c>
      <c r="BF378" s="32">
        <f t="shared" si="220"/>
        <v>0</v>
      </c>
      <c r="BG378" s="32">
        <f t="shared" si="221"/>
        <v>0</v>
      </c>
      <c r="BH378" s="32">
        <f t="shared" si="222"/>
        <v>0</v>
      </c>
      <c r="BI378" s="32">
        <f t="shared" si="223"/>
        <v>0</v>
      </c>
      <c r="BJ378" s="32">
        <f t="shared" si="224"/>
        <v>0</v>
      </c>
      <c r="BK378" s="32">
        <f t="shared" si="225"/>
        <v>0</v>
      </c>
      <c r="BL378" s="32">
        <f t="shared" si="226"/>
        <v>0</v>
      </c>
      <c r="BM378" s="32">
        <f t="shared" si="227"/>
        <v>0</v>
      </c>
      <c r="BN378" s="32">
        <f t="shared" si="228"/>
        <v>0</v>
      </c>
      <c r="BO378" s="32">
        <f t="shared" si="229"/>
        <v>0</v>
      </c>
      <c r="BP378" s="32">
        <f t="shared" si="230"/>
        <v>0</v>
      </c>
      <c r="BQ378" s="32">
        <f t="shared" si="231"/>
        <v>0</v>
      </c>
      <c r="BR378" s="32">
        <f t="shared" si="232"/>
        <v>0</v>
      </c>
      <c r="BS378" s="32">
        <f t="shared" si="233"/>
        <v>0</v>
      </c>
      <c r="BT378" s="40">
        <f t="shared" si="234"/>
        <v>0</v>
      </c>
    </row>
    <row r="379" spans="1:72">
      <c r="A379" s="6"/>
      <c r="B379" s="31"/>
      <c r="C379" s="31"/>
      <c r="D379" s="1629"/>
      <c r="E379" s="32">
        <f t="shared" si="235"/>
        <v>0</v>
      </c>
      <c r="F379" s="33"/>
      <c r="G379" s="34">
        <f t="shared" si="210"/>
        <v>0</v>
      </c>
      <c r="H379" s="35">
        <f t="shared" si="211"/>
        <v>0</v>
      </c>
      <c r="I379" s="36"/>
      <c r="J379" s="36"/>
      <c r="K379" s="36"/>
      <c r="L379" s="36"/>
      <c r="M379" s="36"/>
      <c r="N379" s="36"/>
      <c r="O379" s="36"/>
      <c r="P379" s="36"/>
      <c r="Q379" s="36"/>
      <c r="R379" s="36"/>
      <c r="S379" s="36"/>
      <c r="T379" s="36"/>
      <c r="U379" s="36"/>
      <c r="V379" s="36"/>
      <c r="W379" s="36"/>
      <c r="X379" s="36"/>
      <c r="Y379" s="36"/>
      <c r="Z379" s="36"/>
      <c r="AA379" s="36"/>
      <c r="AB379" s="36"/>
      <c r="AC379" s="32">
        <f t="shared" si="212"/>
        <v>0</v>
      </c>
      <c r="AD379" s="37"/>
      <c r="AE379" s="37"/>
      <c r="AF379" s="37"/>
      <c r="AG379" s="37"/>
      <c r="AH379" s="37"/>
      <c r="AI379" s="37"/>
      <c r="AJ379" s="37"/>
      <c r="AK379" s="37"/>
      <c r="AL379" s="37"/>
      <c r="AM379" s="37"/>
      <c r="AN379" s="37"/>
      <c r="AO379" s="37"/>
      <c r="AP379" s="37"/>
      <c r="AQ379" s="37"/>
      <c r="AR379" s="37"/>
      <c r="AS379" s="37"/>
      <c r="AT379" s="38"/>
      <c r="AU379" s="1630"/>
      <c r="AV379" s="1342">
        <f t="shared" si="236"/>
        <v>0</v>
      </c>
      <c r="AW379" s="1342">
        <f t="shared" si="237"/>
        <v>0</v>
      </c>
      <c r="AX379" s="1342">
        <f t="shared" si="238"/>
        <v>0</v>
      </c>
      <c r="AY379" s="39">
        <f t="shared" si="213"/>
        <v>0</v>
      </c>
      <c r="AZ379" s="32">
        <f t="shared" si="214"/>
        <v>0</v>
      </c>
      <c r="BA379" s="32">
        <f t="shared" si="215"/>
        <v>0</v>
      </c>
      <c r="BB379" s="32">
        <f t="shared" si="216"/>
        <v>0</v>
      </c>
      <c r="BC379" s="32">
        <f t="shared" si="217"/>
        <v>0</v>
      </c>
      <c r="BD379" s="32">
        <f t="shared" si="218"/>
        <v>0</v>
      </c>
      <c r="BE379" s="32">
        <f t="shared" si="219"/>
        <v>0</v>
      </c>
      <c r="BF379" s="32">
        <f t="shared" si="220"/>
        <v>0</v>
      </c>
      <c r="BG379" s="32">
        <f t="shared" si="221"/>
        <v>0</v>
      </c>
      <c r="BH379" s="32">
        <f t="shared" si="222"/>
        <v>0</v>
      </c>
      <c r="BI379" s="32">
        <f t="shared" si="223"/>
        <v>0</v>
      </c>
      <c r="BJ379" s="32">
        <f t="shared" si="224"/>
        <v>0</v>
      </c>
      <c r="BK379" s="32">
        <f t="shared" si="225"/>
        <v>0</v>
      </c>
      <c r="BL379" s="32">
        <f t="shared" si="226"/>
        <v>0</v>
      </c>
      <c r="BM379" s="32">
        <f t="shared" si="227"/>
        <v>0</v>
      </c>
      <c r="BN379" s="32">
        <f t="shared" si="228"/>
        <v>0</v>
      </c>
      <c r="BO379" s="32">
        <f t="shared" si="229"/>
        <v>0</v>
      </c>
      <c r="BP379" s="32">
        <f t="shared" si="230"/>
        <v>0</v>
      </c>
      <c r="BQ379" s="32">
        <f t="shared" si="231"/>
        <v>0</v>
      </c>
      <c r="BR379" s="32">
        <f t="shared" si="232"/>
        <v>0</v>
      </c>
      <c r="BS379" s="32">
        <f t="shared" si="233"/>
        <v>0</v>
      </c>
      <c r="BT379" s="40">
        <f t="shared" si="234"/>
        <v>0</v>
      </c>
    </row>
    <row r="380" spans="1:72">
      <c r="A380" s="6"/>
      <c r="B380" s="31"/>
      <c r="C380" s="31"/>
      <c r="D380" s="1629"/>
      <c r="E380" s="32">
        <f t="shared" si="235"/>
        <v>0</v>
      </c>
      <c r="F380" s="33"/>
      <c r="G380" s="34">
        <f t="shared" si="210"/>
        <v>0</v>
      </c>
      <c r="H380" s="35">
        <f t="shared" si="211"/>
        <v>0</v>
      </c>
      <c r="I380" s="36"/>
      <c r="J380" s="36"/>
      <c r="K380" s="36"/>
      <c r="L380" s="36"/>
      <c r="M380" s="36"/>
      <c r="N380" s="36"/>
      <c r="O380" s="36"/>
      <c r="P380" s="36"/>
      <c r="Q380" s="36"/>
      <c r="R380" s="36"/>
      <c r="S380" s="36"/>
      <c r="T380" s="36"/>
      <c r="U380" s="36"/>
      <c r="V380" s="36"/>
      <c r="W380" s="36"/>
      <c r="X380" s="36"/>
      <c r="Y380" s="36"/>
      <c r="Z380" s="36"/>
      <c r="AA380" s="36"/>
      <c r="AB380" s="36"/>
      <c r="AC380" s="32">
        <f t="shared" si="212"/>
        <v>0</v>
      </c>
      <c r="AD380" s="37"/>
      <c r="AE380" s="37"/>
      <c r="AF380" s="37"/>
      <c r="AG380" s="37"/>
      <c r="AH380" s="37"/>
      <c r="AI380" s="37"/>
      <c r="AJ380" s="37"/>
      <c r="AK380" s="37"/>
      <c r="AL380" s="37"/>
      <c r="AM380" s="37"/>
      <c r="AN380" s="37"/>
      <c r="AO380" s="37"/>
      <c r="AP380" s="37"/>
      <c r="AQ380" s="37"/>
      <c r="AR380" s="37"/>
      <c r="AS380" s="37"/>
      <c r="AT380" s="38"/>
      <c r="AU380" s="1630"/>
      <c r="AV380" s="1342">
        <f t="shared" si="236"/>
        <v>0</v>
      </c>
      <c r="AW380" s="1342">
        <f t="shared" si="237"/>
        <v>0</v>
      </c>
      <c r="AX380" s="1342">
        <f t="shared" si="238"/>
        <v>0</v>
      </c>
      <c r="AY380" s="39">
        <f t="shared" si="213"/>
        <v>0</v>
      </c>
      <c r="AZ380" s="32">
        <f t="shared" si="214"/>
        <v>0</v>
      </c>
      <c r="BA380" s="32">
        <f t="shared" si="215"/>
        <v>0</v>
      </c>
      <c r="BB380" s="32">
        <f t="shared" si="216"/>
        <v>0</v>
      </c>
      <c r="BC380" s="32">
        <f t="shared" si="217"/>
        <v>0</v>
      </c>
      <c r="BD380" s="32">
        <f t="shared" si="218"/>
        <v>0</v>
      </c>
      <c r="BE380" s="32">
        <f t="shared" si="219"/>
        <v>0</v>
      </c>
      <c r="BF380" s="32">
        <f t="shared" si="220"/>
        <v>0</v>
      </c>
      <c r="BG380" s="32">
        <f t="shared" si="221"/>
        <v>0</v>
      </c>
      <c r="BH380" s="32">
        <f t="shared" si="222"/>
        <v>0</v>
      </c>
      <c r="BI380" s="32">
        <f t="shared" si="223"/>
        <v>0</v>
      </c>
      <c r="BJ380" s="32">
        <f t="shared" si="224"/>
        <v>0</v>
      </c>
      <c r="BK380" s="32">
        <f t="shared" si="225"/>
        <v>0</v>
      </c>
      <c r="BL380" s="32">
        <f t="shared" si="226"/>
        <v>0</v>
      </c>
      <c r="BM380" s="32">
        <f t="shared" si="227"/>
        <v>0</v>
      </c>
      <c r="BN380" s="32">
        <f t="shared" si="228"/>
        <v>0</v>
      </c>
      <c r="BO380" s="32">
        <f t="shared" si="229"/>
        <v>0</v>
      </c>
      <c r="BP380" s="32">
        <f t="shared" si="230"/>
        <v>0</v>
      </c>
      <c r="BQ380" s="32">
        <f t="shared" si="231"/>
        <v>0</v>
      </c>
      <c r="BR380" s="32">
        <f t="shared" si="232"/>
        <v>0</v>
      </c>
      <c r="BS380" s="32">
        <f t="shared" si="233"/>
        <v>0</v>
      </c>
      <c r="BT380" s="40">
        <f t="shared" si="234"/>
        <v>0</v>
      </c>
    </row>
    <row r="381" spans="1:72">
      <c r="A381" s="6"/>
      <c r="B381" s="31"/>
      <c r="C381" s="31"/>
      <c r="D381" s="1629"/>
      <c r="E381" s="32">
        <f t="shared" si="235"/>
        <v>0</v>
      </c>
      <c r="F381" s="33"/>
      <c r="G381" s="34">
        <f t="shared" si="210"/>
        <v>0</v>
      </c>
      <c r="H381" s="35">
        <f t="shared" si="211"/>
        <v>0</v>
      </c>
      <c r="I381" s="36"/>
      <c r="J381" s="36"/>
      <c r="K381" s="36"/>
      <c r="L381" s="36"/>
      <c r="M381" s="36"/>
      <c r="N381" s="36"/>
      <c r="O381" s="36"/>
      <c r="P381" s="36"/>
      <c r="Q381" s="36"/>
      <c r="R381" s="36"/>
      <c r="S381" s="36"/>
      <c r="T381" s="36"/>
      <c r="U381" s="36"/>
      <c r="V381" s="36"/>
      <c r="W381" s="36"/>
      <c r="X381" s="36"/>
      <c r="Y381" s="36"/>
      <c r="Z381" s="36"/>
      <c r="AA381" s="36"/>
      <c r="AB381" s="36"/>
      <c r="AC381" s="32">
        <f t="shared" si="212"/>
        <v>0</v>
      </c>
      <c r="AD381" s="37"/>
      <c r="AE381" s="37"/>
      <c r="AF381" s="37"/>
      <c r="AG381" s="37"/>
      <c r="AH381" s="37"/>
      <c r="AI381" s="37"/>
      <c r="AJ381" s="37"/>
      <c r="AK381" s="37"/>
      <c r="AL381" s="37"/>
      <c r="AM381" s="37"/>
      <c r="AN381" s="37"/>
      <c r="AO381" s="37"/>
      <c r="AP381" s="37"/>
      <c r="AQ381" s="37"/>
      <c r="AR381" s="37"/>
      <c r="AS381" s="37"/>
      <c r="AT381" s="38"/>
      <c r="AU381" s="1630"/>
      <c r="AV381" s="1342">
        <f t="shared" si="236"/>
        <v>0</v>
      </c>
      <c r="AW381" s="1342">
        <f t="shared" si="237"/>
        <v>0</v>
      </c>
      <c r="AX381" s="1342">
        <f t="shared" si="238"/>
        <v>0</v>
      </c>
      <c r="AY381" s="39">
        <f t="shared" si="213"/>
        <v>0</v>
      </c>
      <c r="AZ381" s="32">
        <f t="shared" si="214"/>
        <v>0</v>
      </c>
      <c r="BA381" s="32">
        <f t="shared" si="215"/>
        <v>0</v>
      </c>
      <c r="BB381" s="32">
        <f t="shared" si="216"/>
        <v>0</v>
      </c>
      <c r="BC381" s="32">
        <f t="shared" si="217"/>
        <v>0</v>
      </c>
      <c r="BD381" s="32">
        <f t="shared" si="218"/>
        <v>0</v>
      </c>
      <c r="BE381" s="32">
        <f t="shared" si="219"/>
        <v>0</v>
      </c>
      <c r="BF381" s="32">
        <f t="shared" si="220"/>
        <v>0</v>
      </c>
      <c r="BG381" s="32">
        <f t="shared" si="221"/>
        <v>0</v>
      </c>
      <c r="BH381" s="32">
        <f t="shared" si="222"/>
        <v>0</v>
      </c>
      <c r="BI381" s="32">
        <f t="shared" si="223"/>
        <v>0</v>
      </c>
      <c r="BJ381" s="32">
        <f t="shared" si="224"/>
        <v>0</v>
      </c>
      <c r="BK381" s="32">
        <f t="shared" si="225"/>
        <v>0</v>
      </c>
      <c r="BL381" s="32">
        <f t="shared" si="226"/>
        <v>0</v>
      </c>
      <c r="BM381" s="32">
        <f t="shared" si="227"/>
        <v>0</v>
      </c>
      <c r="BN381" s="32">
        <f t="shared" si="228"/>
        <v>0</v>
      </c>
      <c r="BO381" s="32">
        <f t="shared" si="229"/>
        <v>0</v>
      </c>
      <c r="BP381" s="32">
        <f t="shared" si="230"/>
        <v>0</v>
      </c>
      <c r="BQ381" s="32">
        <f t="shared" si="231"/>
        <v>0</v>
      </c>
      <c r="BR381" s="32">
        <f t="shared" si="232"/>
        <v>0</v>
      </c>
      <c r="BS381" s="32">
        <f t="shared" si="233"/>
        <v>0</v>
      </c>
      <c r="BT381" s="40">
        <f t="shared" si="234"/>
        <v>0</v>
      </c>
    </row>
    <row r="382" spans="1:72">
      <c r="A382" s="6"/>
      <c r="B382" s="31"/>
      <c r="C382" s="31"/>
      <c r="D382" s="1629"/>
      <c r="E382" s="32">
        <f t="shared" si="235"/>
        <v>0</v>
      </c>
      <c r="F382" s="33"/>
      <c r="G382" s="34">
        <f t="shared" si="210"/>
        <v>0</v>
      </c>
      <c r="H382" s="35">
        <f t="shared" si="211"/>
        <v>0</v>
      </c>
      <c r="I382" s="36"/>
      <c r="J382" s="36"/>
      <c r="K382" s="36"/>
      <c r="L382" s="36"/>
      <c r="M382" s="36"/>
      <c r="N382" s="36"/>
      <c r="O382" s="36"/>
      <c r="P382" s="36"/>
      <c r="Q382" s="36"/>
      <c r="R382" s="36"/>
      <c r="S382" s="36"/>
      <c r="T382" s="36"/>
      <c r="U382" s="36"/>
      <c r="V382" s="36"/>
      <c r="W382" s="36"/>
      <c r="X382" s="36"/>
      <c r="Y382" s="36"/>
      <c r="Z382" s="36"/>
      <c r="AA382" s="36"/>
      <c r="AB382" s="36"/>
      <c r="AC382" s="32">
        <f t="shared" si="212"/>
        <v>0</v>
      </c>
      <c r="AD382" s="37"/>
      <c r="AE382" s="37"/>
      <c r="AF382" s="37"/>
      <c r="AG382" s="37"/>
      <c r="AH382" s="37"/>
      <c r="AI382" s="37"/>
      <c r="AJ382" s="37"/>
      <c r="AK382" s="37"/>
      <c r="AL382" s="37"/>
      <c r="AM382" s="37"/>
      <c r="AN382" s="37"/>
      <c r="AO382" s="37"/>
      <c r="AP382" s="37"/>
      <c r="AQ382" s="37"/>
      <c r="AR382" s="37"/>
      <c r="AS382" s="37"/>
      <c r="AT382" s="38"/>
      <c r="AU382" s="1630"/>
      <c r="AV382" s="1342">
        <f t="shared" si="236"/>
        <v>0</v>
      </c>
      <c r="AW382" s="1342">
        <f t="shared" si="237"/>
        <v>0</v>
      </c>
      <c r="AX382" s="1342">
        <f t="shared" si="238"/>
        <v>0</v>
      </c>
      <c r="AY382" s="39">
        <f t="shared" si="213"/>
        <v>0</v>
      </c>
      <c r="AZ382" s="32">
        <f t="shared" si="214"/>
        <v>0</v>
      </c>
      <c r="BA382" s="32">
        <f t="shared" si="215"/>
        <v>0</v>
      </c>
      <c r="BB382" s="32">
        <f t="shared" si="216"/>
        <v>0</v>
      </c>
      <c r="BC382" s="32">
        <f t="shared" si="217"/>
        <v>0</v>
      </c>
      <c r="BD382" s="32">
        <f t="shared" si="218"/>
        <v>0</v>
      </c>
      <c r="BE382" s="32">
        <f t="shared" si="219"/>
        <v>0</v>
      </c>
      <c r="BF382" s="32">
        <f t="shared" si="220"/>
        <v>0</v>
      </c>
      <c r="BG382" s="32">
        <f t="shared" si="221"/>
        <v>0</v>
      </c>
      <c r="BH382" s="32">
        <f t="shared" si="222"/>
        <v>0</v>
      </c>
      <c r="BI382" s="32">
        <f t="shared" si="223"/>
        <v>0</v>
      </c>
      <c r="BJ382" s="32">
        <f t="shared" si="224"/>
        <v>0</v>
      </c>
      <c r="BK382" s="32">
        <f t="shared" si="225"/>
        <v>0</v>
      </c>
      <c r="BL382" s="32">
        <f t="shared" si="226"/>
        <v>0</v>
      </c>
      <c r="BM382" s="32">
        <f t="shared" si="227"/>
        <v>0</v>
      </c>
      <c r="BN382" s="32">
        <f t="shared" si="228"/>
        <v>0</v>
      </c>
      <c r="BO382" s="32">
        <f t="shared" si="229"/>
        <v>0</v>
      </c>
      <c r="BP382" s="32">
        <f t="shared" si="230"/>
        <v>0</v>
      </c>
      <c r="BQ382" s="32">
        <f t="shared" si="231"/>
        <v>0</v>
      </c>
      <c r="BR382" s="32">
        <f t="shared" si="232"/>
        <v>0</v>
      </c>
      <c r="BS382" s="32">
        <f t="shared" si="233"/>
        <v>0</v>
      </c>
      <c r="BT382" s="40">
        <f t="shared" si="234"/>
        <v>0</v>
      </c>
    </row>
    <row r="383" spans="1:72">
      <c r="A383" s="6"/>
      <c r="B383" s="31"/>
      <c r="C383" s="31"/>
      <c r="D383" s="1629"/>
      <c r="E383" s="32">
        <f t="shared" si="235"/>
        <v>0</v>
      </c>
      <c r="F383" s="33"/>
      <c r="G383" s="34">
        <f t="shared" si="210"/>
        <v>0</v>
      </c>
      <c r="H383" s="35">
        <f t="shared" si="211"/>
        <v>0</v>
      </c>
      <c r="I383" s="36"/>
      <c r="J383" s="36"/>
      <c r="K383" s="36"/>
      <c r="L383" s="36"/>
      <c r="M383" s="36"/>
      <c r="N383" s="36"/>
      <c r="O383" s="36"/>
      <c r="P383" s="36"/>
      <c r="Q383" s="36"/>
      <c r="R383" s="36"/>
      <c r="S383" s="36"/>
      <c r="T383" s="36"/>
      <c r="U383" s="36"/>
      <c r="V383" s="36"/>
      <c r="W383" s="36"/>
      <c r="X383" s="36"/>
      <c r="Y383" s="36"/>
      <c r="Z383" s="36"/>
      <c r="AA383" s="36"/>
      <c r="AB383" s="36"/>
      <c r="AC383" s="32">
        <f t="shared" si="212"/>
        <v>0</v>
      </c>
      <c r="AD383" s="37"/>
      <c r="AE383" s="37"/>
      <c r="AF383" s="37"/>
      <c r="AG383" s="37"/>
      <c r="AH383" s="37"/>
      <c r="AI383" s="37"/>
      <c r="AJ383" s="37"/>
      <c r="AK383" s="37"/>
      <c r="AL383" s="37"/>
      <c r="AM383" s="37"/>
      <c r="AN383" s="37"/>
      <c r="AO383" s="37"/>
      <c r="AP383" s="37"/>
      <c r="AQ383" s="37"/>
      <c r="AR383" s="37"/>
      <c r="AS383" s="37"/>
      <c r="AT383" s="38"/>
      <c r="AU383" s="1630"/>
      <c r="AV383" s="1342">
        <f t="shared" si="236"/>
        <v>0</v>
      </c>
      <c r="AW383" s="1342">
        <f t="shared" si="237"/>
        <v>0</v>
      </c>
      <c r="AX383" s="1342">
        <f t="shared" si="238"/>
        <v>0</v>
      </c>
      <c r="AY383" s="39">
        <f t="shared" si="213"/>
        <v>0</v>
      </c>
      <c r="AZ383" s="32">
        <f t="shared" si="214"/>
        <v>0</v>
      </c>
      <c r="BA383" s="32">
        <f t="shared" si="215"/>
        <v>0</v>
      </c>
      <c r="BB383" s="32">
        <f t="shared" si="216"/>
        <v>0</v>
      </c>
      <c r="BC383" s="32">
        <f t="shared" si="217"/>
        <v>0</v>
      </c>
      <c r="BD383" s="32">
        <f t="shared" si="218"/>
        <v>0</v>
      </c>
      <c r="BE383" s="32">
        <f t="shared" si="219"/>
        <v>0</v>
      </c>
      <c r="BF383" s="32">
        <f t="shared" si="220"/>
        <v>0</v>
      </c>
      <c r="BG383" s="32">
        <f t="shared" si="221"/>
        <v>0</v>
      </c>
      <c r="BH383" s="32">
        <f t="shared" si="222"/>
        <v>0</v>
      </c>
      <c r="BI383" s="32">
        <f t="shared" si="223"/>
        <v>0</v>
      </c>
      <c r="BJ383" s="32">
        <f t="shared" si="224"/>
        <v>0</v>
      </c>
      <c r="BK383" s="32">
        <f t="shared" si="225"/>
        <v>0</v>
      </c>
      <c r="BL383" s="32">
        <f t="shared" si="226"/>
        <v>0</v>
      </c>
      <c r="BM383" s="32">
        <f t="shared" si="227"/>
        <v>0</v>
      </c>
      <c r="BN383" s="32">
        <f t="shared" si="228"/>
        <v>0</v>
      </c>
      <c r="BO383" s="32">
        <f t="shared" si="229"/>
        <v>0</v>
      </c>
      <c r="BP383" s="32">
        <f t="shared" si="230"/>
        <v>0</v>
      </c>
      <c r="BQ383" s="32">
        <f t="shared" si="231"/>
        <v>0</v>
      </c>
      <c r="BR383" s="32">
        <f t="shared" si="232"/>
        <v>0</v>
      </c>
      <c r="BS383" s="32">
        <f t="shared" si="233"/>
        <v>0</v>
      </c>
      <c r="BT383" s="40">
        <f t="shared" si="234"/>
        <v>0</v>
      </c>
    </row>
    <row r="384" spans="1:72">
      <c r="A384" s="6"/>
      <c r="B384" s="31"/>
      <c r="C384" s="31"/>
      <c r="D384" s="1629"/>
      <c r="E384" s="32">
        <f t="shared" si="235"/>
        <v>0</v>
      </c>
      <c r="F384" s="33"/>
      <c r="G384" s="34">
        <f t="shared" si="210"/>
        <v>0</v>
      </c>
      <c r="H384" s="35">
        <f t="shared" si="211"/>
        <v>0</v>
      </c>
      <c r="I384" s="36"/>
      <c r="J384" s="36"/>
      <c r="K384" s="36"/>
      <c r="L384" s="36"/>
      <c r="M384" s="36"/>
      <c r="N384" s="36"/>
      <c r="O384" s="36"/>
      <c r="P384" s="36"/>
      <c r="Q384" s="36"/>
      <c r="R384" s="36"/>
      <c r="S384" s="36"/>
      <c r="T384" s="36"/>
      <c r="U384" s="36"/>
      <c r="V384" s="36"/>
      <c r="W384" s="36"/>
      <c r="X384" s="36"/>
      <c r="Y384" s="36"/>
      <c r="Z384" s="36"/>
      <c r="AA384" s="36"/>
      <c r="AB384" s="36"/>
      <c r="AC384" s="32">
        <f t="shared" si="212"/>
        <v>0</v>
      </c>
      <c r="AD384" s="37"/>
      <c r="AE384" s="37"/>
      <c r="AF384" s="37"/>
      <c r="AG384" s="37"/>
      <c r="AH384" s="37"/>
      <c r="AI384" s="37"/>
      <c r="AJ384" s="37"/>
      <c r="AK384" s="37"/>
      <c r="AL384" s="37"/>
      <c r="AM384" s="37"/>
      <c r="AN384" s="37"/>
      <c r="AO384" s="37"/>
      <c r="AP384" s="37"/>
      <c r="AQ384" s="37"/>
      <c r="AR384" s="37"/>
      <c r="AS384" s="37"/>
      <c r="AT384" s="38"/>
      <c r="AU384" s="1630"/>
      <c r="AV384" s="1342">
        <f t="shared" si="236"/>
        <v>0</v>
      </c>
      <c r="AW384" s="1342">
        <f t="shared" si="237"/>
        <v>0</v>
      </c>
      <c r="AX384" s="1342">
        <f t="shared" si="238"/>
        <v>0</v>
      </c>
      <c r="AY384" s="39">
        <f t="shared" si="213"/>
        <v>0</v>
      </c>
      <c r="AZ384" s="32">
        <f t="shared" si="214"/>
        <v>0</v>
      </c>
      <c r="BA384" s="32">
        <f t="shared" si="215"/>
        <v>0</v>
      </c>
      <c r="BB384" s="32">
        <f t="shared" si="216"/>
        <v>0</v>
      </c>
      <c r="BC384" s="32">
        <f t="shared" si="217"/>
        <v>0</v>
      </c>
      <c r="BD384" s="32">
        <f t="shared" si="218"/>
        <v>0</v>
      </c>
      <c r="BE384" s="32">
        <f t="shared" si="219"/>
        <v>0</v>
      </c>
      <c r="BF384" s="32">
        <f t="shared" si="220"/>
        <v>0</v>
      </c>
      <c r="BG384" s="32">
        <f t="shared" si="221"/>
        <v>0</v>
      </c>
      <c r="BH384" s="32">
        <f t="shared" si="222"/>
        <v>0</v>
      </c>
      <c r="BI384" s="32">
        <f t="shared" si="223"/>
        <v>0</v>
      </c>
      <c r="BJ384" s="32">
        <f t="shared" si="224"/>
        <v>0</v>
      </c>
      <c r="BK384" s="32">
        <f t="shared" si="225"/>
        <v>0</v>
      </c>
      <c r="BL384" s="32">
        <f t="shared" si="226"/>
        <v>0</v>
      </c>
      <c r="BM384" s="32">
        <f t="shared" si="227"/>
        <v>0</v>
      </c>
      <c r="BN384" s="32">
        <f t="shared" si="228"/>
        <v>0</v>
      </c>
      <c r="BO384" s="32">
        <f t="shared" si="229"/>
        <v>0</v>
      </c>
      <c r="BP384" s="32">
        <f t="shared" si="230"/>
        <v>0</v>
      </c>
      <c r="BQ384" s="32">
        <f t="shared" si="231"/>
        <v>0</v>
      </c>
      <c r="BR384" s="32">
        <f t="shared" si="232"/>
        <v>0</v>
      </c>
      <c r="BS384" s="32">
        <f t="shared" si="233"/>
        <v>0</v>
      </c>
      <c r="BT384" s="40">
        <f t="shared" si="234"/>
        <v>0</v>
      </c>
    </row>
    <row r="385" spans="1:72">
      <c r="A385" s="6"/>
      <c r="B385" s="31"/>
      <c r="C385" s="31"/>
      <c r="D385" s="1629"/>
      <c r="E385" s="32">
        <f t="shared" si="235"/>
        <v>0</v>
      </c>
      <c r="F385" s="33"/>
      <c r="G385" s="34">
        <f t="shared" si="210"/>
        <v>0</v>
      </c>
      <c r="H385" s="35">
        <f t="shared" si="211"/>
        <v>0</v>
      </c>
      <c r="I385" s="36"/>
      <c r="J385" s="36"/>
      <c r="K385" s="36"/>
      <c r="L385" s="36"/>
      <c r="M385" s="36"/>
      <c r="N385" s="36"/>
      <c r="O385" s="36"/>
      <c r="P385" s="36"/>
      <c r="Q385" s="36"/>
      <c r="R385" s="36"/>
      <c r="S385" s="36"/>
      <c r="T385" s="36"/>
      <c r="U385" s="36"/>
      <c r="V385" s="36"/>
      <c r="W385" s="36"/>
      <c r="X385" s="36"/>
      <c r="Y385" s="36"/>
      <c r="Z385" s="36"/>
      <c r="AA385" s="36"/>
      <c r="AB385" s="36"/>
      <c r="AC385" s="32">
        <f t="shared" si="212"/>
        <v>0</v>
      </c>
      <c r="AD385" s="37"/>
      <c r="AE385" s="37"/>
      <c r="AF385" s="37"/>
      <c r="AG385" s="37"/>
      <c r="AH385" s="37"/>
      <c r="AI385" s="37"/>
      <c r="AJ385" s="37"/>
      <c r="AK385" s="37"/>
      <c r="AL385" s="37"/>
      <c r="AM385" s="37"/>
      <c r="AN385" s="37"/>
      <c r="AO385" s="37"/>
      <c r="AP385" s="37"/>
      <c r="AQ385" s="37"/>
      <c r="AR385" s="37"/>
      <c r="AS385" s="37"/>
      <c r="AT385" s="38"/>
      <c r="AU385" s="1630"/>
      <c r="AV385" s="1342">
        <f t="shared" si="236"/>
        <v>0</v>
      </c>
      <c r="AW385" s="1342">
        <f t="shared" si="237"/>
        <v>0</v>
      </c>
      <c r="AX385" s="1342">
        <f t="shared" si="238"/>
        <v>0</v>
      </c>
      <c r="AY385" s="39">
        <f t="shared" si="213"/>
        <v>0</v>
      </c>
      <c r="AZ385" s="32">
        <f t="shared" si="214"/>
        <v>0</v>
      </c>
      <c r="BA385" s="32">
        <f t="shared" si="215"/>
        <v>0</v>
      </c>
      <c r="BB385" s="32">
        <f t="shared" si="216"/>
        <v>0</v>
      </c>
      <c r="BC385" s="32">
        <f t="shared" si="217"/>
        <v>0</v>
      </c>
      <c r="BD385" s="32">
        <f t="shared" si="218"/>
        <v>0</v>
      </c>
      <c r="BE385" s="32">
        <f t="shared" si="219"/>
        <v>0</v>
      </c>
      <c r="BF385" s="32">
        <f t="shared" si="220"/>
        <v>0</v>
      </c>
      <c r="BG385" s="32">
        <f t="shared" si="221"/>
        <v>0</v>
      </c>
      <c r="BH385" s="32">
        <f t="shared" si="222"/>
        <v>0</v>
      </c>
      <c r="BI385" s="32">
        <f t="shared" si="223"/>
        <v>0</v>
      </c>
      <c r="BJ385" s="32">
        <f t="shared" si="224"/>
        <v>0</v>
      </c>
      <c r="BK385" s="32">
        <f t="shared" si="225"/>
        <v>0</v>
      </c>
      <c r="BL385" s="32">
        <f t="shared" si="226"/>
        <v>0</v>
      </c>
      <c r="BM385" s="32">
        <f t="shared" si="227"/>
        <v>0</v>
      </c>
      <c r="BN385" s="32">
        <f t="shared" si="228"/>
        <v>0</v>
      </c>
      <c r="BO385" s="32">
        <f t="shared" si="229"/>
        <v>0</v>
      </c>
      <c r="BP385" s="32">
        <f t="shared" si="230"/>
        <v>0</v>
      </c>
      <c r="BQ385" s="32">
        <f t="shared" si="231"/>
        <v>0</v>
      </c>
      <c r="BR385" s="32">
        <f t="shared" si="232"/>
        <v>0</v>
      </c>
      <c r="BS385" s="32">
        <f t="shared" si="233"/>
        <v>0</v>
      </c>
      <c r="BT385" s="40">
        <f t="shared" si="234"/>
        <v>0</v>
      </c>
    </row>
    <row r="386" spans="1:72">
      <c r="A386" s="6"/>
      <c r="B386" s="31"/>
      <c r="C386" s="31"/>
      <c r="D386" s="1629"/>
      <c r="E386" s="32">
        <f t="shared" si="235"/>
        <v>0</v>
      </c>
      <c r="F386" s="33"/>
      <c r="G386" s="34">
        <f t="shared" si="210"/>
        <v>0</v>
      </c>
      <c r="H386" s="35">
        <f t="shared" si="211"/>
        <v>0</v>
      </c>
      <c r="I386" s="36"/>
      <c r="J386" s="36"/>
      <c r="K386" s="36"/>
      <c r="L386" s="36"/>
      <c r="M386" s="36"/>
      <c r="N386" s="36"/>
      <c r="O386" s="36"/>
      <c r="P386" s="36"/>
      <c r="Q386" s="36"/>
      <c r="R386" s="36"/>
      <c r="S386" s="36"/>
      <c r="T386" s="36"/>
      <c r="U386" s="36"/>
      <c r="V386" s="36"/>
      <c r="W386" s="36"/>
      <c r="X386" s="36"/>
      <c r="Y386" s="36"/>
      <c r="Z386" s="36"/>
      <c r="AA386" s="36"/>
      <c r="AB386" s="36"/>
      <c r="AC386" s="32">
        <f t="shared" si="212"/>
        <v>0</v>
      </c>
      <c r="AD386" s="37"/>
      <c r="AE386" s="37"/>
      <c r="AF386" s="37"/>
      <c r="AG386" s="37"/>
      <c r="AH386" s="37"/>
      <c r="AI386" s="37"/>
      <c r="AJ386" s="37"/>
      <c r="AK386" s="37"/>
      <c r="AL386" s="37"/>
      <c r="AM386" s="37"/>
      <c r="AN386" s="37"/>
      <c r="AO386" s="37"/>
      <c r="AP386" s="37"/>
      <c r="AQ386" s="37"/>
      <c r="AR386" s="37"/>
      <c r="AS386" s="37"/>
      <c r="AT386" s="38"/>
      <c r="AU386" s="1630"/>
      <c r="AV386" s="1342">
        <f t="shared" si="236"/>
        <v>0</v>
      </c>
      <c r="AW386" s="1342">
        <f t="shared" si="237"/>
        <v>0</v>
      </c>
      <c r="AX386" s="1342">
        <f t="shared" si="238"/>
        <v>0</v>
      </c>
      <c r="AY386" s="39">
        <f t="shared" si="213"/>
        <v>0</v>
      </c>
      <c r="AZ386" s="32">
        <f t="shared" si="214"/>
        <v>0</v>
      </c>
      <c r="BA386" s="32">
        <f t="shared" si="215"/>
        <v>0</v>
      </c>
      <c r="BB386" s="32">
        <f t="shared" si="216"/>
        <v>0</v>
      </c>
      <c r="BC386" s="32">
        <f t="shared" si="217"/>
        <v>0</v>
      </c>
      <c r="BD386" s="32">
        <f t="shared" si="218"/>
        <v>0</v>
      </c>
      <c r="BE386" s="32">
        <f t="shared" si="219"/>
        <v>0</v>
      </c>
      <c r="BF386" s="32">
        <f t="shared" si="220"/>
        <v>0</v>
      </c>
      <c r="BG386" s="32">
        <f t="shared" si="221"/>
        <v>0</v>
      </c>
      <c r="BH386" s="32">
        <f t="shared" si="222"/>
        <v>0</v>
      </c>
      <c r="BI386" s="32">
        <f t="shared" si="223"/>
        <v>0</v>
      </c>
      <c r="BJ386" s="32">
        <f t="shared" si="224"/>
        <v>0</v>
      </c>
      <c r="BK386" s="32">
        <f t="shared" si="225"/>
        <v>0</v>
      </c>
      <c r="BL386" s="32">
        <f t="shared" si="226"/>
        <v>0</v>
      </c>
      <c r="BM386" s="32">
        <f t="shared" si="227"/>
        <v>0</v>
      </c>
      <c r="BN386" s="32">
        <f t="shared" si="228"/>
        <v>0</v>
      </c>
      <c r="BO386" s="32">
        <f t="shared" si="229"/>
        <v>0</v>
      </c>
      <c r="BP386" s="32">
        <f t="shared" si="230"/>
        <v>0</v>
      </c>
      <c r="BQ386" s="32">
        <f t="shared" si="231"/>
        <v>0</v>
      </c>
      <c r="BR386" s="32">
        <f t="shared" si="232"/>
        <v>0</v>
      </c>
      <c r="BS386" s="32">
        <f t="shared" si="233"/>
        <v>0</v>
      </c>
      <c r="BT386" s="40">
        <f t="shared" si="234"/>
        <v>0</v>
      </c>
    </row>
    <row r="387" spans="1:72">
      <c r="A387" s="6"/>
      <c r="B387" s="31"/>
      <c r="C387" s="31"/>
      <c r="D387" s="1629"/>
      <c r="E387" s="32">
        <f t="shared" si="235"/>
        <v>0</v>
      </c>
      <c r="F387" s="33"/>
      <c r="G387" s="34">
        <f t="shared" si="210"/>
        <v>0</v>
      </c>
      <c r="H387" s="35">
        <f t="shared" si="211"/>
        <v>0</v>
      </c>
      <c r="I387" s="36"/>
      <c r="J387" s="36"/>
      <c r="K387" s="36"/>
      <c r="L387" s="36"/>
      <c r="M387" s="36"/>
      <c r="N387" s="36"/>
      <c r="O387" s="36"/>
      <c r="P387" s="36"/>
      <c r="Q387" s="36"/>
      <c r="R387" s="36"/>
      <c r="S387" s="36"/>
      <c r="T387" s="36"/>
      <c r="U387" s="36"/>
      <c r="V387" s="36"/>
      <c r="W387" s="36"/>
      <c r="X387" s="36"/>
      <c r="Y387" s="36"/>
      <c r="Z387" s="36"/>
      <c r="AA387" s="36"/>
      <c r="AB387" s="36"/>
      <c r="AC387" s="32">
        <f t="shared" si="212"/>
        <v>0</v>
      </c>
      <c r="AD387" s="37"/>
      <c r="AE387" s="37"/>
      <c r="AF387" s="37"/>
      <c r="AG387" s="37"/>
      <c r="AH387" s="37"/>
      <c r="AI387" s="37"/>
      <c r="AJ387" s="37"/>
      <c r="AK387" s="37"/>
      <c r="AL387" s="37"/>
      <c r="AM387" s="37"/>
      <c r="AN387" s="37"/>
      <c r="AO387" s="37"/>
      <c r="AP387" s="37"/>
      <c r="AQ387" s="37"/>
      <c r="AR387" s="37"/>
      <c r="AS387" s="37"/>
      <c r="AT387" s="38"/>
      <c r="AU387" s="1630"/>
      <c r="AV387" s="1342">
        <f t="shared" si="236"/>
        <v>0</v>
      </c>
      <c r="AW387" s="1342">
        <f t="shared" si="237"/>
        <v>0</v>
      </c>
      <c r="AX387" s="1342">
        <f t="shared" si="238"/>
        <v>0</v>
      </c>
      <c r="AY387" s="39">
        <f t="shared" si="213"/>
        <v>0</v>
      </c>
      <c r="AZ387" s="32">
        <f t="shared" si="214"/>
        <v>0</v>
      </c>
      <c r="BA387" s="32">
        <f t="shared" si="215"/>
        <v>0</v>
      </c>
      <c r="BB387" s="32">
        <f t="shared" si="216"/>
        <v>0</v>
      </c>
      <c r="BC387" s="32">
        <f t="shared" si="217"/>
        <v>0</v>
      </c>
      <c r="BD387" s="32">
        <f t="shared" si="218"/>
        <v>0</v>
      </c>
      <c r="BE387" s="32">
        <f t="shared" si="219"/>
        <v>0</v>
      </c>
      <c r="BF387" s="32">
        <f t="shared" si="220"/>
        <v>0</v>
      </c>
      <c r="BG387" s="32">
        <f t="shared" si="221"/>
        <v>0</v>
      </c>
      <c r="BH387" s="32">
        <f t="shared" si="222"/>
        <v>0</v>
      </c>
      <c r="BI387" s="32">
        <f t="shared" si="223"/>
        <v>0</v>
      </c>
      <c r="BJ387" s="32">
        <f t="shared" si="224"/>
        <v>0</v>
      </c>
      <c r="BK387" s="32">
        <f t="shared" si="225"/>
        <v>0</v>
      </c>
      <c r="BL387" s="32">
        <f t="shared" si="226"/>
        <v>0</v>
      </c>
      <c r="BM387" s="32">
        <f t="shared" si="227"/>
        <v>0</v>
      </c>
      <c r="BN387" s="32">
        <f t="shared" si="228"/>
        <v>0</v>
      </c>
      <c r="BO387" s="32">
        <f t="shared" si="229"/>
        <v>0</v>
      </c>
      <c r="BP387" s="32">
        <f t="shared" si="230"/>
        <v>0</v>
      </c>
      <c r="BQ387" s="32">
        <f t="shared" si="231"/>
        <v>0</v>
      </c>
      <c r="BR387" s="32">
        <f t="shared" si="232"/>
        <v>0</v>
      </c>
      <c r="BS387" s="32">
        <f t="shared" si="233"/>
        <v>0</v>
      </c>
      <c r="BT387" s="40">
        <f t="shared" si="234"/>
        <v>0</v>
      </c>
    </row>
    <row r="388" spans="1:72">
      <c r="A388" s="6"/>
      <c r="B388" s="31"/>
      <c r="C388" s="31"/>
      <c r="D388" s="1629"/>
      <c r="E388" s="32">
        <f t="shared" si="235"/>
        <v>0</v>
      </c>
      <c r="F388" s="33"/>
      <c r="G388" s="34">
        <f t="shared" si="210"/>
        <v>0</v>
      </c>
      <c r="H388" s="35">
        <f t="shared" si="211"/>
        <v>0</v>
      </c>
      <c r="I388" s="36"/>
      <c r="J388" s="36"/>
      <c r="K388" s="36"/>
      <c r="L388" s="36"/>
      <c r="M388" s="36"/>
      <c r="N388" s="36"/>
      <c r="O388" s="36"/>
      <c r="P388" s="36"/>
      <c r="Q388" s="36"/>
      <c r="R388" s="36"/>
      <c r="S388" s="36"/>
      <c r="T388" s="36"/>
      <c r="U388" s="36"/>
      <c r="V388" s="36"/>
      <c r="W388" s="36"/>
      <c r="X388" s="36"/>
      <c r="Y388" s="36"/>
      <c r="Z388" s="36"/>
      <c r="AA388" s="36"/>
      <c r="AB388" s="36"/>
      <c r="AC388" s="32">
        <f t="shared" si="212"/>
        <v>0</v>
      </c>
      <c r="AD388" s="37"/>
      <c r="AE388" s="37"/>
      <c r="AF388" s="37"/>
      <c r="AG388" s="37"/>
      <c r="AH388" s="37"/>
      <c r="AI388" s="37"/>
      <c r="AJ388" s="37"/>
      <c r="AK388" s="37"/>
      <c r="AL388" s="37"/>
      <c r="AM388" s="37"/>
      <c r="AN388" s="37"/>
      <c r="AO388" s="37"/>
      <c r="AP388" s="37"/>
      <c r="AQ388" s="37"/>
      <c r="AR388" s="37"/>
      <c r="AS388" s="37"/>
      <c r="AT388" s="38"/>
      <c r="AU388" s="1630"/>
      <c r="AV388" s="1342">
        <f t="shared" si="236"/>
        <v>0</v>
      </c>
      <c r="AW388" s="1342">
        <f t="shared" si="237"/>
        <v>0</v>
      </c>
      <c r="AX388" s="1342">
        <f t="shared" si="238"/>
        <v>0</v>
      </c>
      <c r="AY388" s="39">
        <f t="shared" si="213"/>
        <v>0</v>
      </c>
      <c r="AZ388" s="32">
        <f t="shared" si="214"/>
        <v>0</v>
      </c>
      <c r="BA388" s="32">
        <f t="shared" si="215"/>
        <v>0</v>
      </c>
      <c r="BB388" s="32">
        <f t="shared" si="216"/>
        <v>0</v>
      </c>
      <c r="BC388" s="32">
        <f t="shared" si="217"/>
        <v>0</v>
      </c>
      <c r="BD388" s="32">
        <f t="shared" si="218"/>
        <v>0</v>
      </c>
      <c r="BE388" s="32">
        <f t="shared" si="219"/>
        <v>0</v>
      </c>
      <c r="BF388" s="32">
        <f t="shared" si="220"/>
        <v>0</v>
      </c>
      <c r="BG388" s="32">
        <f t="shared" si="221"/>
        <v>0</v>
      </c>
      <c r="BH388" s="32">
        <f t="shared" si="222"/>
        <v>0</v>
      </c>
      <c r="BI388" s="32">
        <f t="shared" si="223"/>
        <v>0</v>
      </c>
      <c r="BJ388" s="32">
        <f t="shared" si="224"/>
        <v>0</v>
      </c>
      <c r="BK388" s="32">
        <f t="shared" si="225"/>
        <v>0</v>
      </c>
      <c r="BL388" s="32">
        <f t="shared" si="226"/>
        <v>0</v>
      </c>
      <c r="BM388" s="32">
        <f t="shared" si="227"/>
        <v>0</v>
      </c>
      <c r="BN388" s="32">
        <f t="shared" si="228"/>
        <v>0</v>
      </c>
      <c r="BO388" s="32">
        <f t="shared" si="229"/>
        <v>0</v>
      </c>
      <c r="BP388" s="32">
        <f t="shared" si="230"/>
        <v>0</v>
      </c>
      <c r="BQ388" s="32">
        <f t="shared" si="231"/>
        <v>0</v>
      </c>
      <c r="BR388" s="32">
        <f t="shared" si="232"/>
        <v>0</v>
      </c>
      <c r="BS388" s="32">
        <f t="shared" si="233"/>
        <v>0</v>
      </c>
      <c r="BT388" s="40">
        <f t="shared" si="234"/>
        <v>0</v>
      </c>
    </row>
    <row r="389" spans="1:72">
      <c r="A389" s="6"/>
      <c r="B389" s="31"/>
      <c r="C389" s="31"/>
      <c r="D389" s="1629"/>
      <c r="E389" s="32">
        <f t="shared" si="235"/>
        <v>0</v>
      </c>
      <c r="F389" s="33"/>
      <c r="G389" s="34">
        <f t="shared" si="210"/>
        <v>0</v>
      </c>
      <c r="H389" s="35">
        <f t="shared" si="211"/>
        <v>0</v>
      </c>
      <c r="I389" s="36"/>
      <c r="J389" s="36"/>
      <c r="K389" s="36"/>
      <c r="L389" s="36"/>
      <c r="M389" s="36"/>
      <c r="N389" s="36"/>
      <c r="O389" s="36"/>
      <c r="P389" s="36"/>
      <c r="Q389" s="36"/>
      <c r="R389" s="36"/>
      <c r="S389" s="36"/>
      <c r="T389" s="36"/>
      <c r="U389" s="36"/>
      <c r="V389" s="36"/>
      <c r="W389" s="36"/>
      <c r="X389" s="36"/>
      <c r="Y389" s="36"/>
      <c r="Z389" s="36"/>
      <c r="AA389" s="36"/>
      <c r="AB389" s="36"/>
      <c r="AC389" s="32">
        <f t="shared" si="212"/>
        <v>0</v>
      </c>
      <c r="AD389" s="37"/>
      <c r="AE389" s="37"/>
      <c r="AF389" s="37"/>
      <c r="AG389" s="37"/>
      <c r="AH389" s="37"/>
      <c r="AI389" s="37"/>
      <c r="AJ389" s="37"/>
      <c r="AK389" s="37"/>
      <c r="AL389" s="37"/>
      <c r="AM389" s="37"/>
      <c r="AN389" s="37"/>
      <c r="AO389" s="37"/>
      <c r="AP389" s="37"/>
      <c r="AQ389" s="37"/>
      <c r="AR389" s="37"/>
      <c r="AS389" s="37"/>
      <c r="AT389" s="38"/>
      <c r="AU389" s="1630"/>
      <c r="AV389" s="1342">
        <f t="shared" si="236"/>
        <v>0</v>
      </c>
      <c r="AW389" s="1342">
        <f t="shared" si="237"/>
        <v>0</v>
      </c>
      <c r="AX389" s="1342">
        <f t="shared" si="238"/>
        <v>0</v>
      </c>
      <c r="AY389" s="39">
        <f t="shared" si="213"/>
        <v>0</v>
      </c>
      <c r="AZ389" s="32">
        <f t="shared" si="214"/>
        <v>0</v>
      </c>
      <c r="BA389" s="32">
        <f t="shared" si="215"/>
        <v>0</v>
      </c>
      <c r="BB389" s="32">
        <f t="shared" si="216"/>
        <v>0</v>
      </c>
      <c r="BC389" s="32">
        <f t="shared" si="217"/>
        <v>0</v>
      </c>
      <c r="BD389" s="32">
        <f t="shared" si="218"/>
        <v>0</v>
      </c>
      <c r="BE389" s="32">
        <f t="shared" si="219"/>
        <v>0</v>
      </c>
      <c r="BF389" s="32">
        <f t="shared" si="220"/>
        <v>0</v>
      </c>
      <c r="BG389" s="32">
        <f t="shared" si="221"/>
        <v>0</v>
      </c>
      <c r="BH389" s="32">
        <f t="shared" si="222"/>
        <v>0</v>
      </c>
      <c r="BI389" s="32">
        <f t="shared" si="223"/>
        <v>0</v>
      </c>
      <c r="BJ389" s="32">
        <f t="shared" si="224"/>
        <v>0</v>
      </c>
      <c r="BK389" s="32">
        <f t="shared" si="225"/>
        <v>0</v>
      </c>
      <c r="BL389" s="32">
        <f t="shared" si="226"/>
        <v>0</v>
      </c>
      <c r="BM389" s="32">
        <f t="shared" si="227"/>
        <v>0</v>
      </c>
      <c r="BN389" s="32">
        <f t="shared" si="228"/>
        <v>0</v>
      </c>
      <c r="BO389" s="32">
        <f t="shared" si="229"/>
        <v>0</v>
      </c>
      <c r="BP389" s="32">
        <f t="shared" si="230"/>
        <v>0</v>
      </c>
      <c r="BQ389" s="32">
        <f t="shared" si="231"/>
        <v>0</v>
      </c>
      <c r="BR389" s="32">
        <f t="shared" si="232"/>
        <v>0</v>
      </c>
      <c r="BS389" s="32">
        <f t="shared" si="233"/>
        <v>0</v>
      </c>
      <c r="BT389" s="40">
        <f t="shared" si="234"/>
        <v>0</v>
      </c>
    </row>
    <row r="390" spans="1:72">
      <c r="A390" s="6"/>
      <c r="B390" s="31"/>
      <c r="C390" s="31"/>
      <c r="D390" s="1629"/>
      <c r="E390" s="32">
        <f t="shared" si="235"/>
        <v>0</v>
      </c>
      <c r="F390" s="33"/>
      <c r="G390" s="34">
        <f t="shared" si="210"/>
        <v>0</v>
      </c>
      <c r="H390" s="35">
        <f t="shared" si="211"/>
        <v>0</v>
      </c>
      <c r="I390" s="36"/>
      <c r="J390" s="36"/>
      <c r="K390" s="36"/>
      <c r="L390" s="36"/>
      <c r="M390" s="36"/>
      <c r="N390" s="36"/>
      <c r="O390" s="36"/>
      <c r="P390" s="36"/>
      <c r="Q390" s="36"/>
      <c r="R390" s="36"/>
      <c r="S390" s="36"/>
      <c r="T390" s="36"/>
      <c r="U390" s="36"/>
      <c r="V390" s="36"/>
      <c r="W390" s="36"/>
      <c r="X390" s="36"/>
      <c r="Y390" s="36"/>
      <c r="Z390" s="36"/>
      <c r="AA390" s="36"/>
      <c r="AB390" s="36"/>
      <c r="AC390" s="32">
        <f t="shared" si="212"/>
        <v>0</v>
      </c>
      <c r="AD390" s="37"/>
      <c r="AE390" s="37"/>
      <c r="AF390" s="37"/>
      <c r="AG390" s="37"/>
      <c r="AH390" s="37"/>
      <c r="AI390" s="37"/>
      <c r="AJ390" s="37"/>
      <c r="AK390" s="37"/>
      <c r="AL390" s="37"/>
      <c r="AM390" s="37"/>
      <c r="AN390" s="37"/>
      <c r="AO390" s="37"/>
      <c r="AP390" s="37"/>
      <c r="AQ390" s="37"/>
      <c r="AR390" s="37"/>
      <c r="AS390" s="37"/>
      <c r="AT390" s="38"/>
      <c r="AU390" s="1630"/>
      <c r="AV390" s="1342">
        <f t="shared" si="236"/>
        <v>0</v>
      </c>
      <c r="AW390" s="1342">
        <f t="shared" si="237"/>
        <v>0</v>
      </c>
      <c r="AX390" s="1342">
        <f t="shared" si="238"/>
        <v>0</v>
      </c>
      <c r="AY390" s="39">
        <f t="shared" si="213"/>
        <v>0</v>
      </c>
      <c r="AZ390" s="32">
        <f t="shared" si="214"/>
        <v>0</v>
      </c>
      <c r="BA390" s="32">
        <f t="shared" si="215"/>
        <v>0</v>
      </c>
      <c r="BB390" s="32">
        <f t="shared" si="216"/>
        <v>0</v>
      </c>
      <c r="BC390" s="32">
        <f t="shared" si="217"/>
        <v>0</v>
      </c>
      <c r="BD390" s="32">
        <f t="shared" si="218"/>
        <v>0</v>
      </c>
      <c r="BE390" s="32">
        <f t="shared" si="219"/>
        <v>0</v>
      </c>
      <c r="BF390" s="32">
        <f t="shared" si="220"/>
        <v>0</v>
      </c>
      <c r="BG390" s="32">
        <f t="shared" si="221"/>
        <v>0</v>
      </c>
      <c r="BH390" s="32">
        <f t="shared" si="222"/>
        <v>0</v>
      </c>
      <c r="BI390" s="32">
        <f t="shared" si="223"/>
        <v>0</v>
      </c>
      <c r="BJ390" s="32">
        <f t="shared" si="224"/>
        <v>0</v>
      </c>
      <c r="BK390" s="32">
        <f t="shared" si="225"/>
        <v>0</v>
      </c>
      <c r="BL390" s="32">
        <f t="shared" si="226"/>
        <v>0</v>
      </c>
      <c r="BM390" s="32">
        <f t="shared" si="227"/>
        <v>0</v>
      </c>
      <c r="BN390" s="32">
        <f t="shared" si="228"/>
        <v>0</v>
      </c>
      <c r="BO390" s="32">
        <f t="shared" si="229"/>
        <v>0</v>
      </c>
      <c r="BP390" s="32">
        <f t="shared" si="230"/>
        <v>0</v>
      </c>
      <c r="BQ390" s="32">
        <f t="shared" si="231"/>
        <v>0</v>
      </c>
      <c r="BR390" s="32">
        <f t="shared" si="232"/>
        <v>0</v>
      </c>
      <c r="BS390" s="32">
        <f t="shared" si="233"/>
        <v>0</v>
      </c>
      <c r="BT390" s="40">
        <f t="shared" si="234"/>
        <v>0</v>
      </c>
    </row>
    <row r="391" spans="1:72">
      <c r="A391" s="6"/>
      <c r="B391" s="31"/>
      <c r="C391" s="31"/>
      <c r="D391" s="1629"/>
      <c r="E391" s="32">
        <f t="shared" si="235"/>
        <v>0</v>
      </c>
      <c r="F391" s="33"/>
      <c r="G391" s="34">
        <f t="shared" si="210"/>
        <v>0</v>
      </c>
      <c r="H391" s="35">
        <f t="shared" si="211"/>
        <v>0</v>
      </c>
      <c r="I391" s="36"/>
      <c r="J391" s="36"/>
      <c r="K391" s="36"/>
      <c r="L391" s="36"/>
      <c r="M391" s="36"/>
      <c r="N391" s="36"/>
      <c r="O391" s="36"/>
      <c r="P391" s="36"/>
      <c r="Q391" s="36"/>
      <c r="R391" s="36"/>
      <c r="S391" s="36"/>
      <c r="T391" s="36"/>
      <c r="U391" s="36"/>
      <c r="V391" s="36"/>
      <c r="W391" s="36"/>
      <c r="X391" s="36"/>
      <c r="Y391" s="36"/>
      <c r="Z391" s="36"/>
      <c r="AA391" s="36"/>
      <c r="AB391" s="36"/>
      <c r="AC391" s="32">
        <f t="shared" si="212"/>
        <v>0</v>
      </c>
      <c r="AD391" s="37"/>
      <c r="AE391" s="37"/>
      <c r="AF391" s="37"/>
      <c r="AG391" s="37"/>
      <c r="AH391" s="37"/>
      <c r="AI391" s="37"/>
      <c r="AJ391" s="37"/>
      <c r="AK391" s="37"/>
      <c r="AL391" s="37"/>
      <c r="AM391" s="37"/>
      <c r="AN391" s="37"/>
      <c r="AO391" s="37"/>
      <c r="AP391" s="37"/>
      <c r="AQ391" s="37"/>
      <c r="AR391" s="37"/>
      <c r="AS391" s="37"/>
      <c r="AT391" s="38"/>
      <c r="AU391" s="1630"/>
      <c r="AV391" s="1342">
        <f t="shared" si="236"/>
        <v>0</v>
      </c>
      <c r="AW391" s="1342">
        <f t="shared" si="237"/>
        <v>0</v>
      </c>
      <c r="AX391" s="1342">
        <f t="shared" si="238"/>
        <v>0</v>
      </c>
      <c r="AY391" s="39">
        <f t="shared" si="213"/>
        <v>0</v>
      </c>
      <c r="AZ391" s="32">
        <f t="shared" si="214"/>
        <v>0</v>
      </c>
      <c r="BA391" s="32">
        <f t="shared" si="215"/>
        <v>0</v>
      </c>
      <c r="BB391" s="32">
        <f t="shared" si="216"/>
        <v>0</v>
      </c>
      <c r="BC391" s="32">
        <f t="shared" si="217"/>
        <v>0</v>
      </c>
      <c r="BD391" s="32">
        <f t="shared" si="218"/>
        <v>0</v>
      </c>
      <c r="BE391" s="32">
        <f t="shared" si="219"/>
        <v>0</v>
      </c>
      <c r="BF391" s="32">
        <f t="shared" si="220"/>
        <v>0</v>
      </c>
      <c r="BG391" s="32">
        <f t="shared" si="221"/>
        <v>0</v>
      </c>
      <c r="BH391" s="32">
        <f t="shared" si="222"/>
        <v>0</v>
      </c>
      <c r="BI391" s="32">
        <f t="shared" si="223"/>
        <v>0</v>
      </c>
      <c r="BJ391" s="32">
        <f t="shared" si="224"/>
        <v>0</v>
      </c>
      <c r="BK391" s="32">
        <f t="shared" si="225"/>
        <v>0</v>
      </c>
      <c r="BL391" s="32">
        <f t="shared" si="226"/>
        <v>0</v>
      </c>
      <c r="BM391" s="32">
        <f t="shared" si="227"/>
        <v>0</v>
      </c>
      <c r="BN391" s="32">
        <f t="shared" si="228"/>
        <v>0</v>
      </c>
      <c r="BO391" s="32">
        <f t="shared" si="229"/>
        <v>0</v>
      </c>
      <c r="BP391" s="32">
        <f t="shared" si="230"/>
        <v>0</v>
      </c>
      <c r="BQ391" s="32">
        <f t="shared" si="231"/>
        <v>0</v>
      </c>
      <c r="BR391" s="32">
        <f t="shared" si="232"/>
        <v>0</v>
      </c>
      <c r="BS391" s="32">
        <f t="shared" si="233"/>
        <v>0</v>
      </c>
      <c r="BT391" s="40">
        <f t="shared" si="234"/>
        <v>0</v>
      </c>
    </row>
    <row r="392" spans="1:72">
      <c r="A392" s="6"/>
      <c r="B392" s="31"/>
      <c r="C392" s="31"/>
      <c r="D392" s="1629"/>
      <c r="E392" s="32">
        <f t="shared" si="235"/>
        <v>0</v>
      </c>
      <c r="F392" s="33"/>
      <c r="G392" s="34">
        <f t="shared" si="210"/>
        <v>0</v>
      </c>
      <c r="H392" s="35">
        <f t="shared" si="211"/>
        <v>0</v>
      </c>
      <c r="I392" s="36"/>
      <c r="J392" s="36"/>
      <c r="K392" s="36"/>
      <c r="L392" s="36"/>
      <c r="M392" s="36"/>
      <c r="N392" s="36"/>
      <c r="O392" s="36"/>
      <c r="P392" s="36"/>
      <c r="Q392" s="36"/>
      <c r="R392" s="36"/>
      <c r="S392" s="36"/>
      <c r="T392" s="36"/>
      <c r="U392" s="36"/>
      <c r="V392" s="36"/>
      <c r="W392" s="36"/>
      <c r="X392" s="36"/>
      <c r="Y392" s="36"/>
      <c r="Z392" s="36"/>
      <c r="AA392" s="36"/>
      <c r="AB392" s="36"/>
      <c r="AC392" s="32">
        <f t="shared" si="212"/>
        <v>0</v>
      </c>
      <c r="AD392" s="37"/>
      <c r="AE392" s="37"/>
      <c r="AF392" s="37"/>
      <c r="AG392" s="37"/>
      <c r="AH392" s="37"/>
      <c r="AI392" s="37"/>
      <c r="AJ392" s="37"/>
      <c r="AK392" s="37"/>
      <c r="AL392" s="37"/>
      <c r="AM392" s="37"/>
      <c r="AN392" s="37"/>
      <c r="AO392" s="37"/>
      <c r="AP392" s="37"/>
      <c r="AQ392" s="37"/>
      <c r="AR392" s="37"/>
      <c r="AS392" s="37"/>
      <c r="AT392" s="38"/>
      <c r="AU392" s="1630"/>
      <c r="AV392" s="1342">
        <f t="shared" si="236"/>
        <v>0</v>
      </c>
      <c r="AW392" s="1342">
        <f t="shared" si="237"/>
        <v>0</v>
      </c>
      <c r="AX392" s="1342">
        <f t="shared" si="238"/>
        <v>0</v>
      </c>
      <c r="AY392" s="39">
        <f t="shared" si="213"/>
        <v>0</v>
      </c>
      <c r="AZ392" s="32">
        <f t="shared" si="214"/>
        <v>0</v>
      </c>
      <c r="BA392" s="32">
        <f t="shared" si="215"/>
        <v>0</v>
      </c>
      <c r="BB392" s="32">
        <f t="shared" si="216"/>
        <v>0</v>
      </c>
      <c r="BC392" s="32">
        <f t="shared" si="217"/>
        <v>0</v>
      </c>
      <c r="BD392" s="32">
        <f t="shared" si="218"/>
        <v>0</v>
      </c>
      <c r="BE392" s="32">
        <f t="shared" si="219"/>
        <v>0</v>
      </c>
      <c r="BF392" s="32">
        <f t="shared" si="220"/>
        <v>0</v>
      </c>
      <c r="BG392" s="32">
        <f t="shared" si="221"/>
        <v>0</v>
      </c>
      <c r="BH392" s="32">
        <f t="shared" si="222"/>
        <v>0</v>
      </c>
      <c r="BI392" s="32">
        <f t="shared" si="223"/>
        <v>0</v>
      </c>
      <c r="BJ392" s="32">
        <f t="shared" si="224"/>
        <v>0</v>
      </c>
      <c r="BK392" s="32">
        <f t="shared" si="225"/>
        <v>0</v>
      </c>
      <c r="BL392" s="32">
        <f t="shared" si="226"/>
        <v>0</v>
      </c>
      <c r="BM392" s="32">
        <f t="shared" si="227"/>
        <v>0</v>
      </c>
      <c r="BN392" s="32">
        <f t="shared" si="228"/>
        <v>0</v>
      </c>
      <c r="BO392" s="32">
        <f t="shared" si="229"/>
        <v>0</v>
      </c>
      <c r="BP392" s="32">
        <f t="shared" si="230"/>
        <v>0</v>
      </c>
      <c r="BQ392" s="32">
        <f t="shared" si="231"/>
        <v>0</v>
      </c>
      <c r="BR392" s="32">
        <f t="shared" si="232"/>
        <v>0</v>
      </c>
      <c r="BS392" s="32">
        <f t="shared" si="233"/>
        <v>0</v>
      </c>
      <c r="BT392" s="40">
        <f t="shared" si="234"/>
        <v>0</v>
      </c>
    </row>
    <row r="393" spans="1:72">
      <c r="A393" s="6"/>
      <c r="B393" s="31"/>
      <c r="C393" s="31"/>
      <c r="D393" s="1629"/>
      <c r="E393" s="32">
        <f t="shared" si="235"/>
        <v>0</v>
      </c>
      <c r="F393" s="33"/>
      <c r="G393" s="34">
        <f t="shared" si="210"/>
        <v>0</v>
      </c>
      <c r="H393" s="35">
        <f t="shared" si="211"/>
        <v>0</v>
      </c>
      <c r="I393" s="36"/>
      <c r="J393" s="36"/>
      <c r="K393" s="36"/>
      <c r="L393" s="36"/>
      <c r="M393" s="36"/>
      <c r="N393" s="36"/>
      <c r="O393" s="36"/>
      <c r="P393" s="36"/>
      <c r="Q393" s="36"/>
      <c r="R393" s="36"/>
      <c r="S393" s="36"/>
      <c r="T393" s="36"/>
      <c r="U393" s="36"/>
      <c r="V393" s="36"/>
      <c r="W393" s="36"/>
      <c r="X393" s="36"/>
      <c r="Y393" s="36"/>
      <c r="Z393" s="36"/>
      <c r="AA393" s="36"/>
      <c r="AB393" s="36"/>
      <c r="AC393" s="32">
        <f t="shared" si="212"/>
        <v>0</v>
      </c>
      <c r="AD393" s="37"/>
      <c r="AE393" s="37"/>
      <c r="AF393" s="37"/>
      <c r="AG393" s="37"/>
      <c r="AH393" s="37"/>
      <c r="AI393" s="37"/>
      <c r="AJ393" s="37"/>
      <c r="AK393" s="37"/>
      <c r="AL393" s="37"/>
      <c r="AM393" s="37"/>
      <c r="AN393" s="37"/>
      <c r="AO393" s="37"/>
      <c r="AP393" s="37"/>
      <c r="AQ393" s="37"/>
      <c r="AR393" s="37"/>
      <c r="AS393" s="37"/>
      <c r="AT393" s="38"/>
      <c r="AU393" s="1630"/>
      <c r="AV393" s="1342">
        <f t="shared" si="236"/>
        <v>0</v>
      </c>
      <c r="AW393" s="1342">
        <f t="shared" si="237"/>
        <v>0</v>
      </c>
      <c r="AX393" s="1342">
        <f t="shared" si="238"/>
        <v>0</v>
      </c>
      <c r="AY393" s="39">
        <f t="shared" si="213"/>
        <v>0</v>
      </c>
      <c r="AZ393" s="32">
        <f t="shared" si="214"/>
        <v>0</v>
      </c>
      <c r="BA393" s="32">
        <f t="shared" si="215"/>
        <v>0</v>
      </c>
      <c r="BB393" s="32">
        <f t="shared" si="216"/>
        <v>0</v>
      </c>
      <c r="BC393" s="32">
        <f t="shared" si="217"/>
        <v>0</v>
      </c>
      <c r="BD393" s="32">
        <f t="shared" si="218"/>
        <v>0</v>
      </c>
      <c r="BE393" s="32">
        <f t="shared" si="219"/>
        <v>0</v>
      </c>
      <c r="BF393" s="32">
        <f t="shared" si="220"/>
        <v>0</v>
      </c>
      <c r="BG393" s="32">
        <f t="shared" si="221"/>
        <v>0</v>
      </c>
      <c r="BH393" s="32">
        <f t="shared" si="222"/>
        <v>0</v>
      </c>
      <c r="BI393" s="32">
        <f t="shared" si="223"/>
        <v>0</v>
      </c>
      <c r="BJ393" s="32">
        <f t="shared" si="224"/>
        <v>0</v>
      </c>
      <c r="BK393" s="32">
        <f t="shared" si="225"/>
        <v>0</v>
      </c>
      <c r="BL393" s="32">
        <f t="shared" si="226"/>
        <v>0</v>
      </c>
      <c r="BM393" s="32">
        <f t="shared" si="227"/>
        <v>0</v>
      </c>
      <c r="BN393" s="32">
        <f t="shared" si="228"/>
        <v>0</v>
      </c>
      <c r="BO393" s="32">
        <f t="shared" si="229"/>
        <v>0</v>
      </c>
      <c r="BP393" s="32">
        <f t="shared" si="230"/>
        <v>0</v>
      </c>
      <c r="BQ393" s="32">
        <f t="shared" si="231"/>
        <v>0</v>
      </c>
      <c r="BR393" s="32">
        <f t="shared" si="232"/>
        <v>0</v>
      </c>
      <c r="BS393" s="32">
        <f t="shared" si="233"/>
        <v>0</v>
      </c>
      <c r="BT393" s="40">
        <f t="shared" si="234"/>
        <v>0</v>
      </c>
    </row>
    <row r="394" spans="1:72">
      <c r="A394" s="6"/>
      <c r="B394" s="31"/>
      <c r="C394" s="31"/>
      <c r="D394" s="1629"/>
      <c r="E394" s="32">
        <f t="shared" si="235"/>
        <v>0</v>
      </c>
      <c r="F394" s="33"/>
      <c r="G394" s="34">
        <f t="shared" si="210"/>
        <v>0</v>
      </c>
      <c r="H394" s="35">
        <f t="shared" si="211"/>
        <v>0</v>
      </c>
      <c r="I394" s="36"/>
      <c r="J394" s="36"/>
      <c r="K394" s="36"/>
      <c r="L394" s="36"/>
      <c r="M394" s="36"/>
      <c r="N394" s="36"/>
      <c r="O394" s="36"/>
      <c r="P394" s="36"/>
      <c r="Q394" s="36"/>
      <c r="R394" s="36"/>
      <c r="S394" s="36"/>
      <c r="T394" s="36"/>
      <c r="U394" s="36"/>
      <c r="V394" s="36"/>
      <c r="W394" s="36"/>
      <c r="X394" s="36"/>
      <c r="Y394" s="36"/>
      <c r="Z394" s="36"/>
      <c r="AA394" s="36"/>
      <c r="AB394" s="36"/>
      <c r="AC394" s="32">
        <f t="shared" si="212"/>
        <v>0</v>
      </c>
      <c r="AD394" s="37"/>
      <c r="AE394" s="37"/>
      <c r="AF394" s="37"/>
      <c r="AG394" s="37"/>
      <c r="AH394" s="37"/>
      <c r="AI394" s="37"/>
      <c r="AJ394" s="37"/>
      <c r="AK394" s="37"/>
      <c r="AL394" s="37"/>
      <c r="AM394" s="37"/>
      <c r="AN394" s="37"/>
      <c r="AO394" s="37"/>
      <c r="AP394" s="37"/>
      <c r="AQ394" s="37"/>
      <c r="AR394" s="37"/>
      <c r="AS394" s="37"/>
      <c r="AT394" s="38"/>
      <c r="AU394" s="1630"/>
      <c r="AV394" s="1342">
        <f t="shared" si="236"/>
        <v>0</v>
      </c>
      <c r="AW394" s="1342">
        <f t="shared" si="237"/>
        <v>0</v>
      </c>
      <c r="AX394" s="1342">
        <f t="shared" si="238"/>
        <v>0</v>
      </c>
      <c r="AY394" s="39">
        <f t="shared" si="213"/>
        <v>0</v>
      </c>
      <c r="AZ394" s="32">
        <f t="shared" si="214"/>
        <v>0</v>
      </c>
      <c r="BA394" s="32">
        <f t="shared" si="215"/>
        <v>0</v>
      </c>
      <c r="BB394" s="32">
        <f t="shared" si="216"/>
        <v>0</v>
      </c>
      <c r="BC394" s="32">
        <f t="shared" si="217"/>
        <v>0</v>
      </c>
      <c r="BD394" s="32">
        <f t="shared" si="218"/>
        <v>0</v>
      </c>
      <c r="BE394" s="32">
        <f t="shared" si="219"/>
        <v>0</v>
      </c>
      <c r="BF394" s="32">
        <f t="shared" si="220"/>
        <v>0</v>
      </c>
      <c r="BG394" s="32">
        <f t="shared" si="221"/>
        <v>0</v>
      </c>
      <c r="BH394" s="32">
        <f t="shared" si="222"/>
        <v>0</v>
      </c>
      <c r="BI394" s="32">
        <f t="shared" si="223"/>
        <v>0</v>
      </c>
      <c r="BJ394" s="32">
        <f t="shared" si="224"/>
        <v>0</v>
      </c>
      <c r="BK394" s="32">
        <f t="shared" si="225"/>
        <v>0</v>
      </c>
      <c r="BL394" s="32">
        <f t="shared" si="226"/>
        <v>0</v>
      </c>
      <c r="BM394" s="32">
        <f t="shared" si="227"/>
        <v>0</v>
      </c>
      <c r="BN394" s="32">
        <f t="shared" si="228"/>
        <v>0</v>
      </c>
      <c r="BO394" s="32">
        <f t="shared" si="229"/>
        <v>0</v>
      </c>
      <c r="BP394" s="32">
        <f t="shared" si="230"/>
        <v>0</v>
      </c>
      <c r="BQ394" s="32">
        <f t="shared" si="231"/>
        <v>0</v>
      </c>
      <c r="BR394" s="32">
        <f t="shared" si="232"/>
        <v>0</v>
      </c>
      <c r="BS394" s="32">
        <f t="shared" si="233"/>
        <v>0</v>
      </c>
      <c r="BT394" s="40">
        <f t="shared" si="234"/>
        <v>0</v>
      </c>
    </row>
    <row r="395" spans="1:72">
      <c r="A395" s="6"/>
      <c r="B395" s="6"/>
      <c r="C395" s="6"/>
      <c r="D395" s="1629"/>
      <c r="E395" s="32">
        <f t="shared" si="235"/>
        <v>0</v>
      </c>
      <c r="F395" s="41"/>
      <c r="G395" s="34">
        <f t="shared" si="210"/>
        <v>0</v>
      </c>
      <c r="H395" s="35">
        <f t="shared" si="211"/>
        <v>0</v>
      </c>
      <c r="I395" s="7"/>
      <c r="J395" s="7"/>
      <c r="K395" s="36"/>
      <c r="L395" s="36"/>
      <c r="M395" s="36"/>
      <c r="N395" s="36"/>
      <c r="O395" s="36"/>
      <c r="P395" s="36"/>
      <c r="Q395" s="36"/>
      <c r="R395" s="36"/>
      <c r="S395" s="36"/>
      <c r="T395" s="36"/>
      <c r="U395" s="36"/>
      <c r="V395" s="36"/>
      <c r="W395" s="36"/>
      <c r="X395" s="36"/>
      <c r="Y395" s="36"/>
      <c r="Z395" s="36"/>
      <c r="AA395" s="36"/>
      <c r="AB395" s="36"/>
      <c r="AC395" s="32">
        <f t="shared" si="212"/>
        <v>0</v>
      </c>
      <c r="AD395" s="37"/>
      <c r="AE395" s="37"/>
      <c r="AF395" s="37"/>
      <c r="AG395" s="37"/>
      <c r="AH395" s="37"/>
      <c r="AI395" s="37"/>
      <c r="AJ395" s="37"/>
      <c r="AK395" s="37"/>
      <c r="AL395" s="37"/>
      <c r="AM395" s="37"/>
      <c r="AN395" s="37"/>
      <c r="AO395" s="37"/>
      <c r="AP395" s="37"/>
      <c r="AQ395" s="37"/>
      <c r="AR395" s="37"/>
      <c r="AS395" s="37"/>
      <c r="AT395" s="37"/>
      <c r="AU395" s="1570"/>
      <c r="AV395" s="1342">
        <f t="shared" si="236"/>
        <v>0</v>
      </c>
      <c r="AW395" s="1342">
        <f t="shared" si="237"/>
        <v>0</v>
      </c>
      <c r="AX395" s="1342">
        <f t="shared" si="238"/>
        <v>0</v>
      </c>
      <c r="AY395" s="39">
        <f t="shared" si="213"/>
        <v>0</v>
      </c>
      <c r="AZ395" s="32">
        <f t="shared" si="214"/>
        <v>0</v>
      </c>
      <c r="BA395" s="32">
        <f t="shared" si="215"/>
        <v>0</v>
      </c>
      <c r="BB395" s="32">
        <f t="shared" si="216"/>
        <v>0</v>
      </c>
      <c r="BC395" s="32">
        <f t="shared" si="217"/>
        <v>0</v>
      </c>
      <c r="BD395" s="32">
        <f t="shared" si="218"/>
        <v>0</v>
      </c>
      <c r="BE395" s="32">
        <f t="shared" si="219"/>
        <v>0</v>
      </c>
      <c r="BF395" s="32">
        <f t="shared" si="220"/>
        <v>0</v>
      </c>
      <c r="BG395" s="32">
        <f t="shared" si="221"/>
        <v>0</v>
      </c>
      <c r="BH395" s="32">
        <f t="shared" si="222"/>
        <v>0</v>
      </c>
      <c r="BI395" s="32">
        <f t="shared" si="223"/>
        <v>0</v>
      </c>
      <c r="BJ395" s="32">
        <f t="shared" si="224"/>
        <v>0</v>
      </c>
      <c r="BK395" s="32">
        <f t="shared" si="225"/>
        <v>0</v>
      </c>
      <c r="BL395" s="32">
        <f t="shared" si="226"/>
        <v>0</v>
      </c>
      <c r="BM395" s="32">
        <f t="shared" si="227"/>
        <v>0</v>
      </c>
      <c r="BN395" s="32">
        <f t="shared" si="228"/>
        <v>0</v>
      </c>
      <c r="BO395" s="32">
        <f t="shared" si="229"/>
        <v>0</v>
      </c>
      <c r="BP395" s="32">
        <f t="shared" si="230"/>
        <v>0</v>
      </c>
      <c r="BQ395" s="32">
        <f t="shared" si="231"/>
        <v>0</v>
      </c>
      <c r="BR395" s="32">
        <f t="shared" si="232"/>
        <v>0</v>
      </c>
      <c r="BS395" s="32">
        <f t="shared" si="233"/>
        <v>0</v>
      </c>
      <c r="BT395" s="40">
        <f t="shared" si="234"/>
        <v>0</v>
      </c>
    </row>
    <row r="396" spans="1:72">
      <c r="A396" s="6"/>
      <c r="B396" s="6"/>
      <c r="C396" s="6"/>
      <c r="D396" s="1629"/>
      <c r="E396" s="32">
        <f t="shared" si="235"/>
        <v>0</v>
      </c>
      <c r="F396" s="41"/>
      <c r="G396" s="34">
        <f>H396+AC396+AT396</f>
        <v>0</v>
      </c>
      <c r="H396" s="35">
        <f>SUMIF(I$12:AB$12,"总值",I396:AB396)</f>
        <v>0</v>
      </c>
      <c r="I396" s="36"/>
      <c r="J396" s="36"/>
      <c r="K396" s="36"/>
      <c r="L396" s="36"/>
      <c r="M396" s="36"/>
      <c r="N396" s="36"/>
      <c r="O396" s="36"/>
      <c r="P396" s="36"/>
      <c r="Q396" s="36"/>
      <c r="R396" s="36"/>
      <c r="S396" s="36"/>
      <c r="T396" s="36"/>
      <c r="U396" s="36"/>
      <c r="V396" s="36"/>
      <c r="W396" s="36"/>
      <c r="X396" s="36"/>
      <c r="Y396" s="36"/>
      <c r="Z396" s="36"/>
      <c r="AA396" s="36"/>
      <c r="AB396" s="36"/>
      <c r="AC396" s="32">
        <f>SUMIF(AD$12:AS$12,"总值",AD396:AS396)</f>
        <v>0</v>
      </c>
      <c r="AD396" s="37"/>
      <c r="AE396" s="37"/>
      <c r="AF396" s="37"/>
      <c r="AG396" s="37"/>
      <c r="AH396" s="37"/>
      <c r="AI396" s="37"/>
      <c r="AJ396" s="37"/>
      <c r="AK396" s="37"/>
      <c r="AL396" s="37"/>
      <c r="AM396" s="37"/>
      <c r="AN396" s="37"/>
      <c r="AO396" s="37"/>
      <c r="AP396" s="37"/>
      <c r="AQ396" s="37"/>
      <c r="AR396" s="37"/>
      <c r="AS396" s="37"/>
      <c r="AT396" s="37"/>
      <c r="AU396" s="1570"/>
      <c r="AV396" s="1342">
        <f t="shared" si="236"/>
        <v>0</v>
      </c>
      <c r="AW396" s="1342">
        <f t="shared" si="237"/>
        <v>0</v>
      </c>
      <c r="AX396" s="1342">
        <f t="shared" si="238"/>
        <v>0</v>
      </c>
      <c r="AY396" s="39">
        <f>ROUND($AY$6*AZ396/$AZ$5,2)</f>
        <v>0</v>
      </c>
      <c r="AZ396" s="32">
        <f>BA396+BL396</f>
        <v>0</v>
      </c>
      <c r="BA396" s="32">
        <f>SUM(BB396:BK396)</f>
        <v>0</v>
      </c>
      <c r="BB396" s="32">
        <f t="shared" si="216"/>
        <v>0</v>
      </c>
      <c r="BC396" s="32">
        <f t="shared" si="217"/>
        <v>0</v>
      </c>
      <c r="BD396" s="32">
        <f t="shared" si="218"/>
        <v>0</v>
      </c>
      <c r="BE396" s="32">
        <f t="shared" si="219"/>
        <v>0</v>
      </c>
      <c r="BF396" s="32">
        <f t="shared" si="220"/>
        <v>0</v>
      </c>
      <c r="BG396" s="32">
        <f t="shared" si="221"/>
        <v>0</v>
      </c>
      <c r="BH396" s="32">
        <f t="shared" si="222"/>
        <v>0</v>
      </c>
      <c r="BI396" s="32">
        <f t="shared" si="223"/>
        <v>0</v>
      </c>
      <c r="BJ396" s="32">
        <f t="shared" si="224"/>
        <v>0</v>
      </c>
      <c r="BK396" s="32">
        <f t="shared" si="225"/>
        <v>0</v>
      </c>
      <c r="BL396" s="32">
        <f>SUM(BM396:BT396)</f>
        <v>0</v>
      </c>
      <c r="BM396" s="32">
        <f t="shared" si="227"/>
        <v>0</v>
      </c>
      <c r="BN396" s="32">
        <f t="shared" si="228"/>
        <v>0</v>
      </c>
      <c r="BO396" s="32">
        <f t="shared" si="229"/>
        <v>0</v>
      </c>
      <c r="BP396" s="32">
        <f t="shared" si="230"/>
        <v>0</v>
      </c>
      <c r="BQ396" s="32">
        <f t="shared" si="231"/>
        <v>0</v>
      </c>
      <c r="BR396" s="32">
        <f t="shared" si="232"/>
        <v>0</v>
      </c>
      <c r="BS396" s="32">
        <f t="shared" si="233"/>
        <v>0</v>
      </c>
      <c r="BT396" s="40">
        <f t="shared" si="234"/>
        <v>0</v>
      </c>
    </row>
    <row r="397" spans="1:72">
      <c r="A397" s="6"/>
      <c r="B397" s="6"/>
      <c r="C397" s="6"/>
      <c r="D397" s="1629"/>
      <c r="E397" s="32">
        <f t="shared" si="235"/>
        <v>0</v>
      </c>
      <c r="F397" s="41"/>
      <c r="G397" s="34">
        <f>H397+AC397+AT397</f>
        <v>0</v>
      </c>
      <c r="H397" s="35">
        <f>SUMIF(I$12:AB$12,"总值",I397:AB397)</f>
        <v>0</v>
      </c>
      <c r="I397" s="36"/>
      <c r="J397" s="36"/>
      <c r="K397" s="36"/>
      <c r="L397" s="36"/>
      <c r="M397" s="36"/>
      <c r="N397" s="36"/>
      <c r="O397" s="36"/>
      <c r="P397" s="36"/>
      <c r="Q397" s="36"/>
      <c r="R397" s="36"/>
      <c r="S397" s="36"/>
      <c r="T397" s="36"/>
      <c r="U397" s="36"/>
      <c r="V397" s="36"/>
      <c r="W397" s="36"/>
      <c r="X397" s="36"/>
      <c r="Y397" s="36"/>
      <c r="Z397" s="36"/>
      <c r="AA397" s="36"/>
      <c r="AB397" s="36"/>
      <c r="AC397" s="32">
        <f>SUMIF(AD$12:AS$12,"总值",AD397:AS397)</f>
        <v>0</v>
      </c>
      <c r="AD397" s="37"/>
      <c r="AE397" s="37"/>
      <c r="AF397" s="37"/>
      <c r="AG397" s="37"/>
      <c r="AH397" s="37"/>
      <c r="AI397" s="37"/>
      <c r="AJ397" s="37"/>
      <c r="AK397" s="37"/>
      <c r="AL397" s="37"/>
      <c r="AM397" s="37"/>
      <c r="AN397" s="37"/>
      <c r="AO397" s="37"/>
      <c r="AP397" s="37"/>
      <c r="AQ397" s="37"/>
      <c r="AR397" s="37"/>
      <c r="AS397" s="37"/>
      <c r="AT397" s="37"/>
      <c r="AU397" s="1570"/>
      <c r="AV397" s="1342">
        <f t="shared" si="236"/>
        <v>0</v>
      </c>
      <c r="AW397" s="1342">
        <f t="shared" si="237"/>
        <v>0</v>
      </c>
      <c r="AX397" s="1342">
        <f t="shared" si="238"/>
        <v>0</v>
      </c>
      <c r="AY397" s="39">
        <f>ROUND($AY$6*AZ397/$AZ$5,2)</f>
        <v>0</v>
      </c>
      <c r="AZ397" s="32">
        <f>BA397+BL397</f>
        <v>0</v>
      </c>
      <c r="BA397" s="32">
        <f>SUM(BB397:BK397)</f>
        <v>0</v>
      </c>
      <c r="BB397" s="32">
        <f t="shared" si="216"/>
        <v>0</v>
      </c>
      <c r="BC397" s="32">
        <f t="shared" si="217"/>
        <v>0</v>
      </c>
      <c r="BD397" s="32">
        <f t="shared" si="218"/>
        <v>0</v>
      </c>
      <c r="BE397" s="32">
        <f t="shared" si="219"/>
        <v>0</v>
      </c>
      <c r="BF397" s="32">
        <f t="shared" si="220"/>
        <v>0</v>
      </c>
      <c r="BG397" s="32">
        <f t="shared" si="221"/>
        <v>0</v>
      </c>
      <c r="BH397" s="32">
        <f t="shared" si="222"/>
        <v>0</v>
      </c>
      <c r="BI397" s="32">
        <f t="shared" si="223"/>
        <v>0</v>
      </c>
      <c r="BJ397" s="32">
        <f t="shared" si="224"/>
        <v>0</v>
      </c>
      <c r="BK397" s="32">
        <f t="shared" si="225"/>
        <v>0</v>
      </c>
      <c r="BL397" s="32">
        <f>SUM(BM397:BT397)</f>
        <v>0</v>
      </c>
      <c r="BM397" s="32">
        <f t="shared" si="227"/>
        <v>0</v>
      </c>
      <c r="BN397" s="32">
        <f t="shared" si="228"/>
        <v>0</v>
      </c>
      <c r="BO397" s="32">
        <f t="shared" si="229"/>
        <v>0</v>
      </c>
      <c r="BP397" s="32">
        <f t="shared" si="230"/>
        <v>0</v>
      </c>
      <c r="BQ397" s="32">
        <f t="shared" si="231"/>
        <v>0</v>
      </c>
      <c r="BR397" s="32">
        <f t="shared" si="232"/>
        <v>0</v>
      </c>
      <c r="BS397" s="32">
        <f t="shared" si="233"/>
        <v>0</v>
      </c>
      <c r="BT397" s="40">
        <f t="shared" si="234"/>
        <v>0</v>
      </c>
    </row>
    <row r="398" spans="1:72">
      <c r="A398" s="6"/>
      <c r="B398" s="31"/>
      <c r="C398" s="31"/>
      <c r="D398" s="1629"/>
      <c r="E398" s="32">
        <f t="shared" ref="E398:E492" si="239">IF($C$3="是",ROUND($A$3*G398/$B$3,2),ROUND($A$3*(G398-AT398)/$B$3,2))</f>
        <v>0</v>
      </c>
      <c r="F398" s="33"/>
      <c r="G398" s="34">
        <f t="shared" ref="G398:G489" si="240">H398+AC398+AT398</f>
        <v>0</v>
      </c>
      <c r="H398" s="35">
        <f t="shared" ref="H398:H489" si="241">SUMIF(I$12:AB$12,"总值",I398:AB398)</f>
        <v>0</v>
      </c>
      <c r="I398" s="36"/>
      <c r="J398" s="36"/>
      <c r="K398" s="36"/>
      <c r="L398" s="36"/>
      <c r="M398" s="36"/>
      <c r="N398" s="36"/>
      <c r="O398" s="36"/>
      <c r="P398" s="36"/>
      <c r="Q398" s="36"/>
      <c r="R398" s="36"/>
      <c r="S398" s="36"/>
      <c r="T398" s="36"/>
      <c r="U398" s="36"/>
      <c r="V398" s="36"/>
      <c r="W398" s="36"/>
      <c r="X398" s="36"/>
      <c r="Y398" s="36"/>
      <c r="Z398" s="36"/>
      <c r="AA398" s="36"/>
      <c r="AB398" s="36"/>
      <c r="AC398" s="32">
        <f t="shared" ref="AC398:AC489" si="242">SUMIF(AD$12:AS$12,"总值",AD398:AS398)</f>
        <v>0</v>
      </c>
      <c r="AD398" s="37"/>
      <c r="AE398" s="37"/>
      <c r="AF398" s="37"/>
      <c r="AG398" s="37"/>
      <c r="AH398" s="37"/>
      <c r="AI398" s="37"/>
      <c r="AJ398" s="37"/>
      <c r="AK398" s="37"/>
      <c r="AL398" s="37"/>
      <c r="AM398" s="37"/>
      <c r="AN398" s="37"/>
      <c r="AO398" s="37"/>
      <c r="AP398" s="37"/>
      <c r="AQ398" s="37"/>
      <c r="AR398" s="37"/>
      <c r="AS398" s="37"/>
      <c r="AT398" s="38"/>
      <c r="AU398" s="1630"/>
      <c r="AV398" s="1342">
        <f t="shared" ref="AV398:AV492" si="243">A398</f>
        <v>0</v>
      </c>
      <c r="AW398" s="1342">
        <f t="shared" ref="AW398:AW492" si="244">B398</f>
        <v>0</v>
      </c>
      <c r="AX398" s="1342">
        <f t="shared" ref="AX398:AX492" si="245">C398</f>
        <v>0</v>
      </c>
      <c r="AY398" s="39">
        <f t="shared" ref="AY398:AY489" si="246">ROUND($AY$6*AZ398/$AZ$5,2)</f>
        <v>0</v>
      </c>
      <c r="AZ398" s="32">
        <f t="shared" ref="AZ398:AZ489" si="247">BA398+BL398</f>
        <v>0</v>
      </c>
      <c r="BA398" s="32">
        <f t="shared" ref="BA398:BA489" si="248">SUM(BB398:BK398)</f>
        <v>0</v>
      </c>
      <c r="BB398" s="32">
        <f t="shared" ref="BB398:BB489" si="249">IF($D398="是",I398-J398,0)</f>
        <v>0</v>
      </c>
      <c r="BC398" s="32">
        <f t="shared" ref="BC398:BC489" si="250">IF($D398="是",K398-L398,0)</f>
        <v>0</v>
      </c>
      <c r="BD398" s="32">
        <f t="shared" ref="BD398:BD489" si="251">IF($D398="是",M398-N398,0)</f>
        <v>0</v>
      </c>
      <c r="BE398" s="32">
        <f t="shared" ref="BE398:BE489" si="252">IF($D398="是",O398-P398,0)</f>
        <v>0</v>
      </c>
      <c r="BF398" s="32">
        <f t="shared" ref="BF398:BF489" si="253">IF($D398="是",Q398-R398,0)</f>
        <v>0</v>
      </c>
      <c r="BG398" s="32">
        <f t="shared" ref="BG398:BG489" si="254">IF($D398="是",S398-T398,0)</f>
        <v>0</v>
      </c>
      <c r="BH398" s="32">
        <f t="shared" ref="BH398:BH489" si="255">IF($D398="是",U398-V398,0)</f>
        <v>0</v>
      </c>
      <c r="BI398" s="32">
        <f t="shared" ref="BI398:BI489" si="256">IF($D398="是",W398-X398,0)</f>
        <v>0</v>
      </c>
      <c r="BJ398" s="32">
        <f t="shared" ref="BJ398:BJ489" si="257">IF($D398="是",Y398-Z398,0)</f>
        <v>0</v>
      </c>
      <c r="BK398" s="32">
        <f t="shared" ref="BK398:BK489" si="258">IF($D398="是",AA398-AB398,0)</f>
        <v>0</v>
      </c>
      <c r="BL398" s="32">
        <f t="shared" ref="BL398:BL489" si="259">SUM(BM398:BT398)</f>
        <v>0</v>
      </c>
      <c r="BM398" s="32">
        <f t="shared" ref="BM398:BM489" si="260">IF($D398="是",AD398-AE398,0)</f>
        <v>0</v>
      </c>
      <c r="BN398" s="32">
        <f t="shared" ref="BN398:BN489" si="261">IF($D398="是",AF398-AG398,0)</f>
        <v>0</v>
      </c>
      <c r="BO398" s="32">
        <f t="shared" ref="BO398:BO489" si="262">IF($D398="是",AH398-AI398,0)</f>
        <v>0</v>
      </c>
      <c r="BP398" s="32">
        <f t="shared" ref="BP398:BP489" si="263">IF($D398="是",AJ398-AK398,0)</f>
        <v>0</v>
      </c>
      <c r="BQ398" s="32">
        <f t="shared" ref="BQ398:BQ489" si="264">IF($D398="是",AL398-AM398,0)</f>
        <v>0</v>
      </c>
      <c r="BR398" s="32">
        <f t="shared" ref="BR398:BR489" si="265">IF($D398="是",AN398-AO398,0)</f>
        <v>0</v>
      </c>
      <c r="BS398" s="32">
        <f t="shared" ref="BS398:BS489" si="266">IF($D398="是",AP398-AQ398,0)</f>
        <v>0</v>
      </c>
      <c r="BT398" s="40">
        <f t="shared" ref="BT398:BT489" si="267">IF($D398="是",AR398-AS398,0)</f>
        <v>0</v>
      </c>
    </row>
    <row r="399" spans="1:72">
      <c r="A399" s="6"/>
      <c r="B399" s="31"/>
      <c r="C399" s="31"/>
      <c r="D399" s="1629"/>
      <c r="E399" s="32">
        <f t="shared" si="239"/>
        <v>0</v>
      </c>
      <c r="F399" s="33"/>
      <c r="G399" s="34">
        <f t="shared" si="240"/>
        <v>0</v>
      </c>
      <c r="H399" s="35">
        <f t="shared" si="241"/>
        <v>0</v>
      </c>
      <c r="I399" s="36"/>
      <c r="J399" s="36"/>
      <c r="K399" s="36"/>
      <c r="L399" s="36"/>
      <c r="M399" s="36"/>
      <c r="N399" s="36"/>
      <c r="O399" s="36"/>
      <c r="P399" s="36"/>
      <c r="Q399" s="36"/>
      <c r="R399" s="36"/>
      <c r="S399" s="36"/>
      <c r="T399" s="36"/>
      <c r="U399" s="36"/>
      <c r="V399" s="36"/>
      <c r="W399" s="36"/>
      <c r="X399" s="36"/>
      <c r="Y399" s="36"/>
      <c r="Z399" s="36"/>
      <c r="AA399" s="36"/>
      <c r="AB399" s="36"/>
      <c r="AC399" s="32">
        <f t="shared" si="242"/>
        <v>0</v>
      </c>
      <c r="AD399" s="37"/>
      <c r="AE399" s="37"/>
      <c r="AF399" s="37"/>
      <c r="AG399" s="37"/>
      <c r="AH399" s="37"/>
      <c r="AI399" s="37"/>
      <c r="AJ399" s="37"/>
      <c r="AK399" s="37"/>
      <c r="AL399" s="37"/>
      <c r="AM399" s="37"/>
      <c r="AN399" s="37"/>
      <c r="AO399" s="37"/>
      <c r="AP399" s="37"/>
      <c r="AQ399" s="37"/>
      <c r="AR399" s="37"/>
      <c r="AS399" s="37"/>
      <c r="AT399" s="38"/>
      <c r="AU399" s="1630"/>
      <c r="AV399" s="1342">
        <f t="shared" si="243"/>
        <v>0</v>
      </c>
      <c r="AW399" s="1342">
        <f t="shared" si="244"/>
        <v>0</v>
      </c>
      <c r="AX399" s="1342">
        <f t="shared" si="245"/>
        <v>0</v>
      </c>
      <c r="AY399" s="39">
        <f t="shared" si="246"/>
        <v>0</v>
      </c>
      <c r="AZ399" s="32">
        <f t="shared" si="247"/>
        <v>0</v>
      </c>
      <c r="BA399" s="32">
        <f t="shared" si="248"/>
        <v>0</v>
      </c>
      <c r="BB399" s="32">
        <f t="shared" si="249"/>
        <v>0</v>
      </c>
      <c r="BC399" s="32">
        <f t="shared" si="250"/>
        <v>0</v>
      </c>
      <c r="BD399" s="32">
        <f t="shared" si="251"/>
        <v>0</v>
      </c>
      <c r="BE399" s="32">
        <f t="shared" si="252"/>
        <v>0</v>
      </c>
      <c r="BF399" s="32">
        <f t="shared" si="253"/>
        <v>0</v>
      </c>
      <c r="BG399" s="32">
        <f t="shared" si="254"/>
        <v>0</v>
      </c>
      <c r="BH399" s="32">
        <f t="shared" si="255"/>
        <v>0</v>
      </c>
      <c r="BI399" s="32">
        <f t="shared" si="256"/>
        <v>0</v>
      </c>
      <c r="BJ399" s="32">
        <f t="shared" si="257"/>
        <v>0</v>
      </c>
      <c r="BK399" s="32">
        <f t="shared" si="258"/>
        <v>0</v>
      </c>
      <c r="BL399" s="32">
        <f t="shared" si="259"/>
        <v>0</v>
      </c>
      <c r="BM399" s="32">
        <f t="shared" si="260"/>
        <v>0</v>
      </c>
      <c r="BN399" s="32">
        <f t="shared" si="261"/>
        <v>0</v>
      </c>
      <c r="BO399" s="32">
        <f t="shared" si="262"/>
        <v>0</v>
      </c>
      <c r="BP399" s="32">
        <f t="shared" si="263"/>
        <v>0</v>
      </c>
      <c r="BQ399" s="32">
        <f t="shared" si="264"/>
        <v>0</v>
      </c>
      <c r="BR399" s="32">
        <f t="shared" si="265"/>
        <v>0</v>
      </c>
      <c r="BS399" s="32">
        <f t="shared" si="266"/>
        <v>0</v>
      </c>
      <c r="BT399" s="40">
        <f t="shared" si="267"/>
        <v>0</v>
      </c>
    </row>
    <row r="400" spans="1:72">
      <c r="A400" s="6"/>
      <c r="B400" s="31"/>
      <c r="C400" s="31"/>
      <c r="D400" s="1629"/>
      <c r="E400" s="32">
        <f t="shared" si="239"/>
        <v>0</v>
      </c>
      <c r="F400" s="33"/>
      <c r="G400" s="34">
        <f t="shared" si="240"/>
        <v>0</v>
      </c>
      <c r="H400" s="35">
        <f t="shared" si="241"/>
        <v>0</v>
      </c>
      <c r="I400" s="36"/>
      <c r="J400" s="36"/>
      <c r="K400" s="36"/>
      <c r="L400" s="36"/>
      <c r="M400" s="36"/>
      <c r="N400" s="36"/>
      <c r="O400" s="36"/>
      <c r="P400" s="36"/>
      <c r="Q400" s="36"/>
      <c r="R400" s="36"/>
      <c r="S400" s="36"/>
      <c r="T400" s="36"/>
      <c r="U400" s="36"/>
      <c r="V400" s="36"/>
      <c r="W400" s="36"/>
      <c r="X400" s="36"/>
      <c r="Y400" s="36"/>
      <c r="Z400" s="36"/>
      <c r="AA400" s="36"/>
      <c r="AB400" s="36"/>
      <c r="AC400" s="32">
        <f t="shared" si="242"/>
        <v>0</v>
      </c>
      <c r="AD400" s="37"/>
      <c r="AE400" s="37"/>
      <c r="AF400" s="37"/>
      <c r="AG400" s="37"/>
      <c r="AH400" s="37"/>
      <c r="AI400" s="37"/>
      <c r="AJ400" s="37"/>
      <c r="AK400" s="37"/>
      <c r="AL400" s="37"/>
      <c r="AM400" s="37"/>
      <c r="AN400" s="37"/>
      <c r="AO400" s="37"/>
      <c r="AP400" s="37"/>
      <c r="AQ400" s="37"/>
      <c r="AR400" s="37"/>
      <c r="AS400" s="37"/>
      <c r="AT400" s="38"/>
      <c r="AU400" s="1630"/>
      <c r="AV400" s="1342">
        <f t="shared" si="243"/>
        <v>0</v>
      </c>
      <c r="AW400" s="1342">
        <f t="shared" si="244"/>
        <v>0</v>
      </c>
      <c r="AX400" s="1342">
        <f t="shared" si="245"/>
        <v>0</v>
      </c>
      <c r="AY400" s="39">
        <f t="shared" si="246"/>
        <v>0</v>
      </c>
      <c r="AZ400" s="32">
        <f t="shared" si="247"/>
        <v>0</v>
      </c>
      <c r="BA400" s="32">
        <f t="shared" si="248"/>
        <v>0</v>
      </c>
      <c r="BB400" s="32">
        <f t="shared" si="249"/>
        <v>0</v>
      </c>
      <c r="BC400" s="32">
        <f t="shared" si="250"/>
        <v>0</v>
      </c>
      <c r="BD400" s="32">
        <f t="shared" si="251"/>
        <v>0</v>
      </c>
      <c r="BE400" s="32">
        <f t="shared" si="252"/>
        <v>0</v>
      </c>
      <c r="BF400" s="32">
        <f t="shared" si="253"/>
        <v>0</v>
      </c>
      <c r="BG400" s="32">
        <f t="shared" si="254"/>
        <v>0</v>
      </c>
      <c r="BH400" s="32">
        <f t="shared" si="255"/>
        <v>0</v>
      </c>
      <c r="BI400" s="32">
        <f t="shared" si="256"/>
        <v>0</v>
      </c>
      <c r="BJ400" s="32">
        <f t="shared" si="257"/>
        <v>0</v>
      </c>
      <c r="BK400" s="32">
        <f t="shared" si="258"/>
        <v>0</v>
      </c>
      <c r="BL400" s="32">
        <f t="shared" si="259"/>
        <v>0</v>
      </c>
      <c r="BM400" s="32">
        <f t="shared" si="260"/>
        <v>0</v>
      </c>
      <c r="BN400" s="32">
        <f t="shared" si="261"/>
        <v>0</v>
      </c>
      <c r="BO400" s="32">
        <f t="shared" si="262"/>
        <v>0</v>
      </c>
      <c r="BP400" s="32">
        <f t="shared" si="263"/>
        <v>0</v>
      </c>
      <c r="BQ400" s="32">
        <f t="shared" si="264"/>
        <v>0</v>
      </c>
      <c r="BR400" s="32">
        <f t="shared" si="265"/>
        <v>0</v>
      </c>
      <c r="BS400" s="32">
        <f t="shared" si="266"/>
        <v>0</v>
      </c>
      <c r="BT400" s="40">
        <f t="shared" si="267"/>
        <v>0</v>
      </c>
    </row>
    <row r="401" spans="1:72">
      <c r="A401" s="6"/>
      <c r="B401" s="31"/>
      <c r="C401" s="31"/>
      <c r="D401" s="1629"/>
      <c r="E401" s="32">
        <f t="shared" si="239"/>
        <v>0</v>
      </c>
      <c r="F401" s="33"/>
      <c r="G401" s="34">
        <f t="shared" si="240"/>
        <v>0</v>
      </c>
      <c r="H401" s="35">
        <f t="shared" si="241"/>
        <v>0</v>
      </c>
      <c r="I401" s="36"/>
      <c r="J401" s="36"/>
      <c r="K401" s="36"/>
      <c r="L401" s="36"/>
      <c r="M401" s="36"/>
      <c r="N401" s="36"/>
      <c r="O401" s="36"/>
      <c r="P401" s="36"/>
      <c r="Q401" s="36"/>
      <c r="R401" s="36"/>
      <c r="S401" s="36"/>
      <c r="T401" s="36"/>
      <c r="U401" s="36"/>
      <c r="V401" s="36"/>
      <c r="W401" s="36"/>
      <c r="X401" s="36"/>
      <c r="Y401" s="36"/>
      <c r="Z401" s="36"/>
      <c r="AA401" s="36"/>
      <c r="AB401" s="36"/>
      <c r="AC401" s="32">
        <f t="shared" si="242"/>
        <v>0</v>
      </c>
      <c r="AD401" s="37"/>
      <c r="AE401" s="37"/>
      <c r="AF401" s="37"/>
      <c r="AG401" s="37"/>
      <c r="AH401" s="37"/>
      <c r="AI401" s="37"/>
      <c r="AJ401" s="37"/>
      <c r="AK401" s="37"/>
      <c r="AL401" s="37"/>
      <c r="AM401" s="37"/>
      <c r="AN401" s="37"/>
      <c r="AO401" s="37"/>
      <c r="AP401" s="37"/>
      <c r="AQ401" s="37"/>
      <c r="AR401" s="37"/>
      <c r="AS401" s="37"/>
      <c r="AT401" s="38"/>
      <c r="AU401" s="1630"/>
      <c r="AV401" s="1342">
        <f t="shared" si="243"/>
        <v>0</v>
      </c>
      <c r="AW401" s="1342">
        <f t="shared" si="244"/>
        <v>0</v>
      </c>
      <c r="AX401" s="1342">
        <f t="shared" si="245"/>
        <v>0</v>
      </c>
      <c r="AY401" s="39">
        <f t="shared" si="246"/>
        <v>0</v>
      </c>
      <c r="AZ401" s="32">
        <f t="shared" si="247"/>
        <v>0</v>
      </c>
      <c r="BA401" s="32">
        <f t="shared" si="248"/>
        <v>0</v>
      </c>
      <c r="BB401" s="32">
        <f t="shared" si="249"/>
        <v>0</v>
      </c>
      <c r="BC401" s="32">
        <f t="shared" si="250"/>
        <v>0</v>
      </c>
      <c r="BD401" s="32">
        <f t="shared" si="251"/>
        <v>0</v>
      </c>
      <c r="BE401" s="32">
        <f t="shared" si="252"/>
        <v>0</v>
      </c>
      <c r="BF401" s="32">
        <f t="shared" si="253"/>
        <v>0</v>
      </c>
      <c r="BG401" s="32">
        <f t="shared" si="254"/>
        <v>0</v>
      </c>
      <c r="BH401" s="32">
        <f t="shared" si="255"/>
        <v>0</v>
      </c>
      <c r="BI401" s="32">
        <f t="shared" si="256"/>
        <v>0</v>
      </c>
      <c r="BJ401" s="32">
        <f t="shared" si="257"/>
        <v>0</v>
      </c>
      <c r="BK401" s="32">
        <f t="shared" si="258"/>
        <v>0</v>
      </c>
      <c r="BL401" s="32">
        <f t="shared" si="259"/>
        <v>0</v>
      </c>
      <c r="BM401" s="32">
        <f t="shared" si="260"/>
        <v>0</v>
      </c>
      <c r="BN401" s="32">
        <f t="shared" si="261"/>
        <v>0</v>
      </c>
      <c r="BO401" s="32">
        <f t="shared" si="262"/>
        <v>0</v>
      </c>
      <c r="BP401" s="32">
        <f t="shared" si="263"/>
        <v>0</v>
      </c>
      <c r="BQ401" s="32">
        <f t="shared" si="264"/>
        <v>0</v>
      </c>
      <c r="BR401" s="32">
        <f t="shared" si="265"/>
        <v>0</v>
      </c>
      <c r="BS401" s="32">
        <f t="shared" si="266"/>
        <v>0</v>
      </c>
      <c r="BT401" s="40">
        <f t="shared" si="267"/>
        <v>0</v>
      </c>
    </row>
    <row r="402" spans="1:72">
      <c r="A402" s="6"/>
      <c r="B402" s="31"/>
      <c r="C402" s="31"/>
      <c r="D402" s="1629"/>
      <c r="E402" s="32">
        <f t="shared" si="239"/>
        <v>0</v>
      </c>
      <c r="F402" s="33"/>
      <c r="G402" s="34">
        <f t="shared" si="240"/>
        <v>0</v>
      </c>
      <c r="H402" s="35">
        <f t="shared" si="241"/>
        <v>0</v>
      </c>
      <c r="I402" s="36"/>
      <c r="J402" s="36"/>
      <c r="K402" s="36"/>
      <c r="L402" s="36"/>
      <c r="M402" s="36"/>
      <c r="N402" s="36"/>
      <c r="O402" s="36"/>
      <c r="P402" s="36"/>
      <c r="Q402" s="36"/>
      <c r="R402" s="36"/>
      <c r="S402" s="36"/>
      <c r="T402" s="36"/>
      <c r="U402" s="36"/>
      <c r="V402" s="36"/>
      <c r="W402" s="36"/>
      <c r="X402" s="36"/>
      <c r="Y402" s="36"/>
      <c r="Z402" s="36"/>
      <c r="AA402" s="36"/>
      <c r="AB402" s="36"/>
      <c r="AC402" s="32">
        <f t="shared" si="242"/>
        <v>0</v>
      </c>
      <c r="AD402" s="37"/>
      <c r="AE402" s="37"/>
      <c r="AF402" s="37"/>
      <c r="AG402" s="37"/>
      <c r="AH402" s="37"/>
      <c r="AI402" s="37"/>
      <c r="AJ402" s="37"/>
      <c r="AK402" s="37"/>
      <c r="AL402" s="37"/>
      <c r="AM402" s="37"/>
      <c r="AN402" s="37"/>
      <c r="AO402" s="37"/>
      <c r="AP402" s="37"/>
      <c r="AQ402" s="37"/>
      <c r="AR402" s="37"/>
      <c r="AS402" s="37"/>
      <c r="AT402" s="38"/>
      <c r="AU402" s="1630"/>
      <c r="AV402" s="1342">
        <f t="shared" si="243"/>
        <v>0</v>
      </c>
      <c r="AW402" s="1342">
        <f t="shared" si="244"/>
        <v>0</v>
      </c>
      <c r="AX402" s="1342">
        <f t="shared" si="245"/>
        <v>0</v>
      </c>
      <c r="AY402" s="39">
        <f t="shared" si="246"/>
        <v>0</v>
      </c>
      <c r="AZ402" s="32">
        <f t="shared" si="247"/>
        <v>0</v>
      </c>
      <c r="BA402" s="32">
        <f t="shared" si="248"/>
        <v>0</v>
      </c>
      <c r="BB402" s="32">
        <f t="shared" si="249"/>
        <v>0</v>
      </c>
      <c r="BC402" s="32">
        <f t="shared" si="250"/>
        <v>0</v>
      </c>
      <c r="BD402" s="32">
        <f t="shared" si="251"/>
        <v>0</v>
      </c>
      <c r="BE402" s="32">
        <f t="shared" si="252"/>
        <v>0</v>
      </c>
      <c r="BF402" s="32">
        <f t="shared" si="253"/>
        <v>0</v>
      </c>
      <c r="BG402" s="32">
        <f t="shared" si="254"/>
        <v>0</v>
      </c>
      <c r="BH402" s="32">
        <f t="shared" si="255"/>
        <v>0</v>
      </c>
      <c r="BI402" s="32">
        <f t="shared" si="256"/>
        <v>0</v>
      </c>
      <c r="BJ402" s="32">
        <f t="shared" si="257"/>
        <v>0</v>
      </c>
      <c r="BK402" s="32">
        <f t="shared" si="258"/>
        <v>0</v>
      </c>
      <c r="BL402" s="32">
        <f t="shared" si="259"/>
        <v>0</v>
      </c>
      <c r="BM402" s="32">
        <f t="shared" si="260"/>
        <v>0</v>
      </c>
      <c r="BN402" s="32">
        <f t="shared" si="261"/>
        <v>0</v>
      </c>
      <c r="BO402" s="32">
        <f t="shared" si="262"/>
        <v>0</v>
      </c>
      <c r="BP402" s="32">
        <f t="shared" si="263"/>
        <v>0</v>
      </c>
      <c r="BQ402" s="32">
        <f t="shared" si="264"/>
        <v>0</v>
      </c>
      <c r="BR402" s="32">
        <f t="shared" si="265"/>
        <v>0</v>
      </c>
      <c r="BS402" s="32">
        <f t="shared" si="266"/>
        <v>0</v>
      </c>
      <c r="BT402" s="40">
        <f t="shared" si="267"/>
        <v>0</v>
      </c>
    </row>
    <row r="403" spans="1:72">
      <c r="A403" s="6"/>
      <c r="B403" s="31"/>
      <c r="C403" s="31"/>
      <c r="D403" s="1629"/>
      <c r="E403" s="32">
        <f t="shared" si="239"/>
        <v>0</v>
      </c>
      <c r="F403" s="33"/>
      <c r="G403" s="34">
        <f t="shared" si="240"/>
        <v>0</v>
      </c>
      <c r="H403" s="35">
        <f t="shared" si="241"/>
        <v>0</v>
      </c>
      <c r="I403" s="36"/>
      <c r="J403" s="36"/>
      <c r="K403" s="36"/>
      <c r="L403" s="36"/>
      <c r="M403" s="36"/>
      <c r="N403" s="36"/>
      <c r="O403" s="36"/>
      <c r="P403" s="36"/>
      <c r="Q403" s="36"/>
      <c r="R403" s="36"/>
      <c r="S403" s="36"/>
      <c r="T403" s="36"/>
      <c r="U403" s="36"/>
      <c r="V403" s="36"/>
      <c r="W403" s="36"/>
      <c r="X403" s="36"/>
      <c r="Y403" s="36"/>
      <c r="Z403" s="36"/>
      <c r="AA403" s="36"/>
      <c r="AB403" s="36"/>
      <c r="AC403" s="32">
        <f t="shared" si="242"/>
        <v>0</v>
      </c>
      <c r="AD403" s="37"/>
      <c r="AE403" s="37"/>
      <c r="AF403" s="37"/>
      <c r="AG403" s="37"/>
      <c r="AH403" s="37"/>
      <c r="AI403" s="37"/>
      <c r="AJ403" s="37"/>
      <c r="AK403" s="37"/>
      <c r="AL403" s="37"/>
      <c r="AM403" s="37"/>
      <c r="AN403" s="37"/>
      <c r="AO403" s="37"/>
      <c r="AP403" s="37"/>
      <c r="AQ403" s="37"/>
      <c r="AR403" s="37"/>
      <c r="AS403" s="37"/>
      <c r="AT403" s="38"/>
      <c r="AU403" s="1630"/>
      <c r="AV403" s="1342">
        <f t="shared" si="243"/>
        <v>0</v>
      </c>
      <c r="AW403" s="1342">
        <f t="shared" si="244"/>
        <v>0</v>
      </c>
      <c r="AX403" s="1342">
        <f t="shared" si="245"/>
        <v>0</v>
      </c>
      <c r="AY403" s="39">
        <f t="shared" si="246"/>
        <v>0</v>
      </c>
      <c r="AZ403" s="32">
        <f t="shared" si="247"/>
        <v>0</v>
      </c>
      <c r="BA403" s="32">
        <f t="shared" si="248"/>
        <v>0</v>
      </c>
      <c r="BB403" s="32">
        <f t="shared" si="249"/>
        <v>0</v>
      </c>
      <c r="BC403" s="32">
        <f t="shared" si="250"/>
        <v>0</v>
      </c>
      <c r="BD403" s="32">
        <f t="shared" si="251"/>
        <v>0</v>
      </c>
      <c r="BE403" s="32">
        <f t="shared" si="252"/>
        <v>0</v>
      </c>
      <c r="BF403" s="32">
        <f t="shared" si="253"/>
        <v>0</v>
      </c>
      <c r="BG403" s="32">
        <f t="shared" si="254"/>
        <v>0</v>
      </c>
      <c r="BH403" s="32">
        <f t="shared" si="255"/>
        <v>0</v>
      </c>
      <c r="BI403" s="32">
        <f t="shared" si="256"/>
        <v>0</v>
      </c>
      <c r="BJ403" s="32">
        <f t="shared" si="257"/>
        <v>0</v>
      </c>
      <c r="BK403" s="32">
        <f t="shared" si="258"/>
        <v>0</v>
      </c>
      <c r="BL403" s="32">
        <f t="shared" si="259"/>
        <v>0</v>
      </c>
      <c r="BM403" s="32">
        <f t="shared" si="260"/>
        <v>0</v>
      </c>
      <c r="BN403" s="32">
        <f t="shared" si="261"/>
        <v>0</v>
      </c>
      <c r="BO403" s="32">
        <f t="shared" si="262"/>
        <v>0</v>
      </c>
      <c r="BP403" s="32">
        <f t="shared" si="263"/>
        <v>0</v>
      </c>
      <c r="BQ403" s="32">
        <f t="shared" si="264"/>
        <v>0</v>
      </c>
      <c r="BR403" s="32">
        <f t="shared" si="265"/>
        <v>0</v>
      </c>
      <c r="BS403" s="32">
        <f t="shared" si="266"/>
        <v>0</v>
      </c>
      <c r="BT403" s="40">
        <f t="shared" si="267"/>
        <v>0</v>
      </c>
    </row>
    <row r="404" spans="1:72">
      <c r="A404" s="6"/>
      <c r="B404" s="31"/>
      <c r="C404" s="31"/>
      <c r="D404" s="1629"/>
      <c r="E404" s="32">
        <f t="shared" si="239"/>
        <v>0</v>
      </c>
      <c r="F404" s="33"/>
      <c r="G404" s="34">
        <f t="shared" si="240"/>
        <v>0</v>
      </c>
      <c r="H404" s="35">
        <f t="shared" si="241"/>
        <v>0</v>
      </c>
      <c r="I404" s="36"/>
      <c r="J404" s="36"/>
      <c r="K404" s="36"/>
      <c r="L404" s="36"/>
      <c r="M404" s="36"/>
      <c r="N404" s="36"/>
      <c r="O404" s="36"/>
      <c r="P404" s="36"/>
      <c r="Q404" s="36"/>
      <c r="R404" s="36"/>
      <c r="S404" s="36"/>
      <c r="T404" s="36"/>
      <c r="U404" s="36"/>
      <c r="V404" s="36"/>
      <c r="W404" s="36"/>
      <c r="X404" s="36"/>
      <c r="Y404" s="36"/>
      <c r="Z404" s="36"/>
      <c r="AA404" s="36"/>
      <c r="AB404" s="36"/>
      <c r="AC404" s="32">
        <f t="shared" si="242"/>
        <v>0</v>
      </c>
      <c r="AD404" s="37"/>
      <c r="AE404" s="37"/>
      <c r="AF404" s="37"/>
      <c r="AG404" s="37"/>
      <c r="AH404" s="37"/>
      <c r="AI404" s="37"/>
      <c r="AJ404" s="37"/>
      <c r="AK404" s="37"/>
      <c r="AL404" s="37"/>
      <c r="AM404" s="37"/>
      <c r="AN404" s="37"/>
      <c r="AO404" s="37"/>
      <c r="AP404" s="37"/>
      <c r="AQ404" s="37"/>
      <c r="AR404" s="37"/>
      <c r="AS404" s="37"/>
      <c r="AT404" s="38"/>
      <c r="AU404" s="1630"/>
      <c r="AV404" s="1342">
        <f t="shared" si="243"/>
        <v>0</v>
      </c>
      <c r="AW404" s="1342">
        <f t="shared" si="244"/>
        <v>0</v>
      </c>
      <c r="AX404" s="1342">
        <f t="shared" si="245"/>
        <v>0</v>
      </c>
      <c r="AY404" s="39">
        <f t="shared" si="246"/>
        <v>0</v>
      </c>
      <c r="AZ404" s="32">
        <f t="shared" si="247"/>
        <v>0</v>
      </c>
      <c r="BA404" s="32">
        <f t="shared" si="248"/>
        <v>0</v>
      </c>
      <c r="BB404" s="32">
        <f t="shared" si="249"/>
        <v>0</v>
      </c>
      <c r="BC404" s="32">
        <f t="shared" si="250"/>
        <v>0</v>
      </c>
      <c r="BD404" s="32">
        <f t="shared" si="251"/>
        <v>0</v>
      </c>
      <c r="BE404" s="32">
        <f t="shared" si="252"/>
        <v>0</v>
      </c>
      <c r="BF404" s="32">
        <f t="shared" si="253"/>
        <v>0</v>
      </c>
      <c r="BG404" s="32">
        <f t="shared" si="254"/>
        <v>0</v>
      </c>
      <c r="BH404" s="32">
        <f t="shared" si="255"/>
        <v>0</v>
      </c>
      <c r="BI404" s="32">
        <f t="shared" si="256"/>
        <v>0</v>
      </c>
      <c r="BJ404" s="32">
        <f t="shared" si="257"/>
        <v>0</v>
      </c>
      <c r="BK404" s="32">
        <f t="shared" si="258"/>
        <v>0</v>
      </c>
      <c r="BL404" s="32">
        <f t="shared" si="259"/>
        <v>0</v>
      </c>
      <c r="BM404" s="32">
        <f t="shared" si="260"/>
        <v>0</v>
      </c>
      <c r="BN404" s="32">
        <f t="shared" si="261"/>
        <v>0</v>
      </c>
      <c r="BO404" s="32">
        <f t="shared" si="262"/>
        <v>0</v>
      </c>
      <c r="BP404" s="32">
        <f t="shared" si="263"/>
        <v>0</v>
      </c>
      <c r="BQ404" s="32">
        <f t="shared" si="264"/>
        <v>0</v>
      </c>
      <c r="BR404" s="32">
        <f t="shared" si="265"/>
        <v>0</v>
      </c>
      <c r="BS404" s="32">
        <f t="shared" si="266"/>
        <v>0</v>
      </c>
      <c r="BT404" s="40">
        <f t="shared" si="267"/>
        <v>0</v>
      </c>
    </row>
    <row r="405" spans="1:72">
      <c r="A405" s="6"/>
      <c r="B405" s="31"/>
      <c r="C405" s="31"/>
      <c r="D405" s="1629"/>
      <c r="E405" s="32">
        <f t="shared" si="239"/>
        <v>0</v>
      </c>
      <c r="F405" s="33"/>
      <c r="G405" s="34">
        <f t="shared" si="240"/>
        <v>0</v>
      </c>
      <c r="H405" s="35">
        <f t="shared" si="241"/>
        <v>0</v>
      </c>
      <c r="I405" s="36"/>
      <c r="J405" s="36"/>
      <c r="K405" s="36"/>
      <c r="L405" s="36"/>
      <c r="M405" s="36"/>
      <c r="N405" s="36"/>
      <c r="O405" s="36"/>
      <c r="P405" s="36"/>
      <c r="Q405" s="36"/>
      <c r="R405" s="36"/>
      <c r="S405" s="36"/>
      <c r="T405" s="36"/>
      <c r="U405" s="36"/>
      <c r="V405" s="36"/>
      <c r="W405" s="36"/>
      <c r="X405" s="36"/>
      <c r="Y405" s="36"/>
      <c r="Z405" s="36"/>
      <c r="AA405" s="36"/>
      <c r="AB405" s="36"/>
      <c r="AC405" s="32">
        <f t="shared" si="242"/>
        <v>0</v>
      </c>
      <c r="AD405" s="37"/>
      <c r="AE405" s="37"/>
      <c r="AF405" s="37"/>
      <c r="AG405" s="37"/>
      <c r="AH405" s="37"/>
      <c r="AI405" s="37"/>
      <c r="AJ405" s="37"/>
      <c r="AK405" s="37"/>
      <c r="AL405" s="37"/>
      <c r="AM405" s="37"/>
      <c r="AN405" s="37"/>
      <c r="AO405" s="37"/>
      <c r="AP405" s="37"/>
      <c r="AQ405" s="37"/>
      <c r="AR405" s="37"/>
      <c r="AS405" s="37"/>
      <c r="AT405" s="38"/>
      <c r="AU405" s="1630"/>
      <c r="AV405" s="1342">
        <f t="shared" si="243"/>
        <v>0</v>
      </c>
      <c r="AW405" s="1342">
        <f t="shared" si="244"/>
        <v>0</v>
      </c>
      <c r="AX405" s="1342">
        <f t="shared" si="245"/>
        <v>0</v>
      </c>
      <c r="AY405" s="39">
        <f t="shared" si="246"/>
        <v>0</v>
      </c>
      <c r="AZ405" s="32">
        <f t="shared" si="247"/>
        <v>0</v>
      </c>
      <c r="BA405" s="32">
        <f t="shared" si="248"/>
        <v>0</v>
      </c>
      <c r="BB405" s="32">
        <f t="shared" si="249"/>
        <v>0</v>
      </c>
      <c r="BC405" s="32">
        <f t="shared" si="250"/>
        <v>0</v>
      </c>
      <c r="BD405" s="32">
        <f t="shared" si="251"/>
        <v>0</v>
      </c>
      <c r="BE405" s="32">
        <f t="shared" si="252"/>
        <v>0</v>
      </c>
      <c r="BF405" s="32">
        <f t="shared" si="253"/>
        <v>0</v>
      </c>
      <c r="BG405" s="32">
        <f t="shared" si="254"/>
        <v>0</v>
      </c>
      <c r="BH405" s="32">
        <f t="shared" si="255"/>
        <v>0</v>
      </c>
      <c r="BI405" s="32">
        <f t="shared" si="256"/>
        <v>0</v>
      </c>
      <c r="BJ405" s="32">
        <f t="shared" si="257"/>
        <v>0</v>
      </c>
      <c r="BK405" s="32">
        <f t="shared" si="258"/>
        <v>0</v>
      </c>
      <c r="BL405" s="32">
        <f t="shared" si="259"/>
        <v>0</v>
      </c>
      <c r="BM405" s="32">
        <f t="shared" si="260"/>
        <v>0</v>
      </c>
      <c r="BN405" s="32">
        <f t="shared" si="261"/>
        <v>0</v>
      </c>
      <c r="BO405" s="32">
        <f t="shared" si="262"/>
        <v>0</v>
      </c>
      <c r="BP405" s="32">
        <f t="shared" si="263"/>
        <v>0</v>
      </c>
      <c r="BQ405" s="32">
        <f t="shared" si="264"/>
        <v>0</v>
      </c>
      <c r="BR405" s="32">
        <f t="shared" si="265"/>
        <v>0</v>
      </c>
      <c r="BS405" s="32">
        <f t="shared" si="266"/>
        <v>0</v>
      </c>
      <c r="BT405" s="40">
        <f t="shared" si="267"/>
        <v>0</v>
      </c>
    </row>
    <row r="406" spans="1:72">
      <c r="A406" s="6"/>
      <c r="B406" s="31"/>
      <c r="C406" s="31"/>
      <c r="D406" s="1629"/>
      <c r="E406" s="32">
        <f t="shared" si="239"/>
        <v>0</v>
      </c>
      <c r="F406" s="33"/>
      <c r="G406" s="34">
        <f t="shared" si="240"/>
        <v>0</v>
      </c>
      <c r="H406" s="35">
        <f t="shared" si="241"/>
        <v>0</v>
      </c>
      <c r="I406" s="36"/>
      <c r="J406" s="36"/>
      <c r="K406" s="36"/>
      <c r="L406" s="36"/>
      <c r="M406" s="36"/>
      <c r="N406" s="36"/>
      <c r="O406" s="36"/>
      <c r="P406" s="36"/>
      <c r="Q406" s="36"/>
      <c r="R406" s="36"/>
      <c r="S406" s="36"/>
      <c r="T406" s="36"/>
      <c r="U406" s="36"/>
      <c r="V406" s="36"/>
      <c r="W406" s="36"/>
      <c r="X406" s="36"/>
      <c r="Y406" s="36"/>
      <c r="Z406" s="36"/>
      <c r="AA406" s="36"/>
      <c r="AB406" s="36"/>
      <c r="AC406" s="32">
        <f t="shared" si="242"/>
        <v>0</v>
      </c>
      <c r="AD406" s="37"/>
      <c r="AE406" s="37"/>
      <c r="AF406" s="37"/>
      <c r="AG406" s="37"/>
      <c r="AH406" s="37"/>
      <c r="AI406" s="37"/>
      <c r="AJ406" s="37"/>
      <c r="AK406" s="37"/>
      <c r="AL406" s="37"/>
      <c r="AM406" s="37"/>
      <c r="AN406" s="37"/>
      <c r="AO406" s="37"/>
      <c r="AP406" s="37"/>
      <c r="AQ406" s="37"/>
      <c r="AR406" s="37"/>
      <c r="AS406" s="37"/>
      <c r="AT406" s="38"/>
      <c r="AU406" s="1630"/>
      <c r="AV406" s="1342">
        <f t="shared" si="243"/>
        <v>0</v>
      </c>
      <c r="AW406" s="1342">
        <f t="shared" si="244"/>
        <v>0</v>
      </c>
      <c r="AX406" s="1342">
        <f t="shared" si="245"/>
        <v>0</v>
      </c>
      <c r="AY406" s="39">
        <f t="shared" si="246"/>
        <v>0</v>
      </c>
      <c r="AZ406" s="32">
        <f t="shared" si="247"/>
        <v>0</v>
      </c>
      <c r="BA406" s="32">
        <f t="shared" si="248"/>
        <v>0</v>
      </c>
      <c r="BB406" s="32">
        <f t="shared" si="249"/>
        <v>0</v>
      </c>
      <c r="BC406" s="32">
        <f t="shared" si="250"/>
        <v>0</v>
      </c>
      <c r="BD406" s="32">
        <f t="shared" si="251"/>
        <v>0</v>
      </c>
      <c r="BE406" s="32">
        <f t="shared" si="252"/>
        <v>0</v>
      </c>
      <c r="BF406" s="32">
        <f t="shared" si="253"/>
        <v>0</v>
      </c>
      <c r="BG406" s="32">
        <f t="shared" si="254"/>
        <v>0</v>
      </c>
      <c r="BH406" s="32">
        <f t="shared" si="255"/>
        <v>0</v>
      </c>
      <c r="BI406" s="32">
        <f t="shared" si="256"/>
        <v>0</v>
      </c>
      <c r="BJ406" s="32">
        <f t="shared" si="257"/>
        <v>0</v>
      </c>
      <c r="BK406" s="32">
        <f t="shared" si="258"/>
        <v>0</v>
      </c>
      <c r="BL406" s="32">
        <f t="shared" si="259"/>
        <v>0</v>
      </c>
      <c r="BM406" s="32">
        <f t="shared" si="260"/>
        <v>0</v>
      </c>
      <c r="BN406" s="32">
        <f t="shared" si="261"/>
        <v>0</v>
      </c>
      <c r="BO406" s="32">
        <f t="shared" si="262"/>
        <v>0</v>
      </c>
      <c r="BP406" s="32">
        <f t="shared" si="263"/>
        <v>0</v>
      </c>
      <c r="BQ406" s="32">
        <f t="shared" si="264"/>
        <v>0</v>
      </c>
      <c r="BR406" s="32">
        <f t="shared" si="265"/>
        <v>0</v>
      </c>
      <c r="BS406" s="32">
        <f t="shared" si="266"/>
        <v>0</v>
      </c>
      <c r="BT406" s="40">
        <f t="shared" si="267"/>
        <v>0</v>
      </c>
    </row>
    <row r="407" spans="1:72">
      <c r="A407" s="6"/>
      <c r="B407" s="31"/>
      <c r="C407" s="31"/>
      <c r="D407" s="1629"/>
      <c r="E407" s="32">
        <f t="shared" si="239"/>
        <v>0</v>
      </c>
      <c r="F407" s="33"/>
      <c r="G407" s="34">
        <f t="shared" si="240"/>
        <v>0</v>
      </c>
      <c r="H407" s="35">
        <f t="shared" si="241"/>
        <v>0</v>
      </c>
      <c r="I407" s="36"/>
      <c r="J407" s="36"/>
      <c r="K407" s="36"/>
      <c r="L407" s="36"/>
      <c r="M407" s="36"/>
      <c r="N407" s="36"/>
      <c r="O407" s="36"/>
      <c r="P407" s="36"/>
      <c r="Q407" s="36"/>
      <c r="R407" s="36"/>
      <c r="S407" s="36"/>
      <c r="T407" s="36"/>
      <c r="U407" s="36"/>
      <c r="V407" s="36"/>
      <c r="W407" s="36"/>
      <c r="X407" s="36"/>
      <c r="Y407" s="36"/>
      <c r="Z407" s="36"/>
      <c r="AA407" s="36"/>
      <c r="AB407" s="36"/>
      <c r="AC407" s="32">
        <f t="shared" si="242"/>
        <v>0</v>
      </c>
      <c r="AD407" s="37"/>
      <c r="AE407" s="37"/>
      <c r="AF407" s="37"/>
      <c r="AG407" s="37"/>
      <c r="AH407" s="37"/>
      <c r="AI407" s="37"/>
      <c r="AJ407" s="37"/>
      <c r="AK407" s="37"/>
      <c r="AL407" s="37"/>
      <c r="AM407" s="37"/>
      <c r="AN407" s="37"/>
      <c r="AO407" s="37"/>
      <c r="AP407" s="37"/>
      <c r="AQ407" s="37"/>
      <c r="AR407" s="37"/>
      <c r="AS407" s="37"/>
      <c r="AT407" s="38"/>
      <c r="AU407" s="1630"/>
      <c r="AV407" s="1342">
        <f t="shared" si="243"/>
        <v>0</v>
      </c>
      <c r="AW407" s="1342">
        <f t="shared" si="244"/>
        <v>0</v>
      </c>
      <c r="AX407" s="1342">
        <f t="shared" si="245"/>
        <v>0</v>
      </c>
      <c r="AY407" s="39">
        <f t="shared" si="246"/>
        <v>0</v>
      </c>
      <c r="AZ407" s="32">
        <f t="shared" si="247"/>
        <v>0</v>
      </c>
      <c r="BA407" s="32">
        <f t="shared" si="248"/>
        <v>0</v>
      </c>
      <c r="BB407" s="32">
        <f t="shared" si="249"/>
        <v>0</v>
      </c>
      <c r="BC407" s="32">
        <f t="shared" si="250"/>
        <v>0</v>
      </c>
      <c r="BD407" s="32">
        <f t="shared" si="251"/>
        <v>0</v>
      </c>
      <c r="BE407" s="32">
        <f t="shared" si="252"/>
        <v>0</v>
      </c>
      <c r="BF407" s="32">
        <f t="shared" si="253"/>
        <v>0</v>
      </c>
      <c r="BG407" s="32">
        <f t="shared" si="254"/>
        <v>0</v>
      </c>
      <c r="BH407" s="32">
        <f t="shared" si="255"/>
        <v>0</v>
      </c>
      <c r="BI407" s="32">
        <f t="shared" si="256"/>
        <v>0</v>
      </c>
      <c r="BJ407" s="32">
        <f t="shared" si="257"/>
        <v>0</v>
      </c>
      <c r="BK407" s="32">
        <f t="shared" si="258"/>
        <v>0</v>
      </c>
      <c r="BL407" s="32">
        <f t="shared" si="259"/>
        <v>0</v>
      </c>
      <c r="BM407" s="32">
        <f t="shared" si="260"/>
        <v>0</v>
      </c>
      <c r="BN407" s="32">
        <f t="shared" si="261"/>
        <v>0</v>
      </c>
      <c r="BO407" s="32">
        <f t="shared" si="262"/>
        <v>0</v>
      </c>
      <c r="BP407" s="32">
        <f t="shared" si="263"/>
        <v>0</v>
      </c>
      <c r="BQ407" s="32">
        <f t="shared" si="264"/>
        <v>0</v>
      </c>
      <c r="BR407" s="32">
        <f t="shared" si="265"/>
        <v>0</v>
      </c>
      <c r="BS407" s="32">
        <f t="shared" si="266"/>
        <v>0</v>
      </c>
      <c r="BT407" s="40">
        <f t="shared" si="267"/>
        <v>0</v>
      </c>
    </row>
    <row r="408" spans="1:72">
      <c r="A408" s="6"/>
      <c r="B408" s="31"/>
      <c r="C408" s="31"/>
      <c r="D408" s="1629"/>
      <c r="E408" s="32">
        <f t="shared" si="239"/>
        <v>0</v>
      </c>
      <c r="F408" s="33"/>
      <c r="G408" s="34">
        <f t="shared" si="240"/>
        <v>0</v>
      </c>
      <c r="H408" s="35">
        <f t="shared" si="241"/>
        <v>0</v>
      </c>
      <c r="I408" s="36"/>
      <c r="J408" s="36"/>
      <c r="K408" s="36"/>
      <c r="L408" s="36"/>
      <c r="M408" s="36"/>
      <c r="N408" s="36"/>
      <c r="O408" s="36"/>
      <c r="P408" s="36"/>
      <c r="Q408" s="36"/>
      <c r="R408" s="36"/>
      <c r="S408" s="36"/>
      <c r="T408" s="36"/>
      <c r="U408" s="36"/>
      <c r="V408" s="36"/>
      <c r="W408" s="36"/>
      <c r="X408" s="36"/>
      <c r="Y408" s="36"/>
      <c r="Z408" s="36"/>
      <c r="AA408" s="36"/>
      <c r="AB408" s="36"/>
      <c r="AC408" s="32">
        <f t="shared" si="242"/>
        <v>0</v>
      </c>
      <c r="AD408" s="37"/>
      <c r="AE408" s="37"/>
      <c r="AF408" s="37"/>
      <c r="AG408" s="37"/>
      <c r="AH408" s="37"/>
      <c r="AI408" s="37"/>
      <c r="AJ408" s="37"/>
      <c r="AK408" s="37"/>
      <c r="AL408" s="37"/>
      <c r="AM408" s="37"/>
      <c r="AN408" s="37"/>
      <c r="AO408" s="37"/>
      <c r="AP408" s="37"/>
      <c r="AQ408" s="37"/>
      <c r="AR408" s="37"/>
      <c r="AS408" s="37"/>
      <c r="AT408" s="38"/>
      <c r="AU408" s="1630"/>
      <c r="AV408" s="1342">
        <f t="shared" si="243"/>
        <v>0</v>
      </c>
      <c r="AW408" s="1342">
        <f t="shared" si="244"/>
        <v>0</v>
      </c>
      <c r="AX408" s="1342">
        <f t="shared" si="245"/>
        <v>0</v>
      </c>
      <c r="AY408" s="39">
        <f t="shared" si="246"/>
        <v>0</v>
      </c>
      <c r="AZ408" s="32">
        <f t="shared" si="247"/>
        <v>0</v>
      </c>
      <c r="BA408" s="32">
        <f t="shared" si="248"/>
        <v>0</v>
      </c>
      <c r="BB408" s="32">
        <f t="shared" si="249"/>
        <v>0</v>
      </c>
      <c r="BC408" s="32">
        <f t="shared" si="250"/>
        <v>0</v>
      </c>
      <c r="BD408" s="32">
        <f t="shared" si="251"/>
        <v>0</v>
      </c>
      <c r="BE408" s="32">
        <f t="shared" si="252"/>
        <v>0</v>
      </c>
      <c r="BF408" s="32">
        <f t="shared" si="253"/>
        <v>0</v>
      </c>
      <c r="BG408" s="32">
        <f t="shared" si="254"/>
        <v>0</v>
      </c>
      <c r="BH408" s="32">
        <f t="shared" si="255"/>
        <v>0</v>
      </c>
      <c r="BI408" s="32">
        <f t="shared" si="256"/>
        <v>0</v>
      </c>
      <c r="BJ408" s="32">
        <f t="shared" si="257"/>
        <v>0</v>
      </c>
      <c r="BK408" s="32">
        <f t="shared" si="258"/>
        <v>0</v>
      </c>
      <c r="BL408" s="32">
        <f t="shared" si="259"/>
        <v>0</v>
      </c>
      <c r="BM408" s="32">
        <f t="shared" si="260"/>
        <v>0</v>
      </c>
      <c r="BN408" s="32">
        <f t="shared" si="261"/>
        <v>0</v>
      </c>
      <c r="BO408" s="32">
        <f t="shared" si="262"/>
        <v>0</v>
      </c>
      <c r="BP408" s="32">
        <f t="shared" si="263"/>
        <v>0</v>
      </c>
      <c r="BQ408" s="32">
        <f t="shared" si="264"/>
        <v>0</v>
      </c>
      <c r="BR408" s="32">
        <f t="shared" si="265"/>
        <v>0</v>
      </c>
      <c r="BS408" s="32">
        <f t="shared" si="266"/>
        <v>0</v>
      </c>
      <c r="BT408" s="40">
        <f t="shared" si="267"/>
        <v>0</v>
      </c>
    </row>
    <row r="409" spans="1:72">
      <c r="A409" s="6"/>
      <c r="B409" s="31"/>
      <c r="C409" s="31"/>
      <c r="D409" s="1629"/>
      <c r="E409" s="32">
        <f t="shared" si="239"/>
        <v>0</v>
      </c>
      <c r="F409" s="33"/>
      <c r="G409" s="34">
        <f t="shared" si="240"/>
        <v>0</v>
      </c>
      <c r="H409" s="35">
        <f t="shared" si="241"/>
        <v>0</v>
      </c>
      <c r="I409" s="36"/>
      <c r="J409" s="36"/>
      <c r="K409" s="36"/>
      <c r="L409" s="36"/>
      <c r="M409" s="36"/>
      <c r="N409" s="36"/>
      <c r="O409" s="36"/>
      <c r="P409" s="36"/>
      <c r="Q409" s="36"/>
      <c r="R409" s="36"/>
      <c r="S409" s="36"/>
      <c r="T409" s="36"/>
      <c r="U409" s="36"/>
      <c r="V409" s="36"/>
      <c r="W409" s="36"/>
      <c r="X409" s="36"/>
      <c r="Y409" s="36"/>
      <c r="Z409" s="36"/>
      <c r="AA409" s="36"/>
      <c r="AB409" s="36"/>
      <c r="AC409" s="32">
        <f t="shared" si="242"/>
        <v>0</v>
      </c>
      <c r="AD409" s="37"/>
      <c r="AE409" s="37"/>
      <c r="AF409" s="37"/>
      <c r="AG409" s="37"/>
      <c r="AH409" s="37"/>
      <c r="AI409" s="37"/>
      <c r="AJ409" s="37"/>
      <c r="AK409" s="37"/>
      <c r="AL409" s="37"/>
      <c r="AM409" s="37"/>
      <c r="AN409" s="37"/>
      <c r="AO409" s="37"/>
      <c r="AP409" s="37"/>
      <c r="AQ409" s="37"/>
      <c r="AR409" s="37"/>
      <c r="AS409" s="37"/>
      <c r="AT409" s="38"/>
      <c r="AU409" s="1630"/>
      <c r="AV409" s="1342">
        <f t="shared" si="243"/>
        <v>0</v>
      </c>
      <c r="AW409" s="1342">
        <f t="shared" si="244"/>
        <v>0</v>
      </c>
      <c r="AX409" s="1342">
        <f t="shared" si="245"/>
        <v>0</v>
      </c>
      <c r="AY409" s="39">
        <f t="shared" si="246"/>
        <v>0</v>
      </c>
      <c r="AZ409" s="32">
        <f t="shared" si="247"/>
        <v>0</v>
      </c>
      <c r="BA409" s="32">
        <f t="shared" si="248"/>
        <v>0</v>
      </c>
      <c r="BB409" s="32">
        <f t="shared" si="249"/>
        <v>0</v>
      </c>
      <c r="BC409" s="32">
        <f t="shared" si="250"/>
        <v>0</v>
      </c>
      <c r="BD409" s="32">
        <f t="shared" si="251"/>
        <v>0</v>
      </c>
      <c r="BE409" s="32">
        <f t="shared" si="252"/>
        <v>0</v>
      </c>
      <c r="BF409" s="32">
        <f t="shared" si="253"/>
        <v>0</v>
      </c>
      <c r="BG409" s="32">
        <f t="shared" si="254"/>
        <v>0</v>
      </c>
      <c r="BH409" s="32">
        <f t="shared" si="255"/>
        <v>0</v>
      </c>
      <c r="BI409" s="32">
        <f t="shared" si="256"/>
        <v>0</v>
      </c>
      <c r="BJ409" s="32">
        <f t="shared" si="257"/>
        <v>0</v>
      </c>
      <c r="BK409" s="32">
        <f t="shared" si="258"/>
        <v>0</v>
      </c>
      <c r="BL409" s="32">
        <f t="shared" si="259"/>
        <v>0</v>
      </c>
      <c r="BM409" s="32">
        <f t="shared" si="260"/>
        <v>0</v>
      </c>
      <c r="BN409" s="32">
        <f t="shared" si="261"/>
        <v>0</v>
      </c>
      <c r="BO409" s="32">
        <f t="shared" si="262"/>
        <v>0</v>
      </c>
      <c r="BP409" s="32">
        <f t="shared" si="263"/>
        <v>0</v>
      </c>
      <c r="BQ409" s="32">
        <f t="shared" si="264"/>
        <v>0</v>
      </c>
      <c r="BR409" s="32">
        <f t="shared" si="265"/>
        <v>0</v>
      </c>
      <c r="BS409" s="32">
        <f t="shared" si="266"/>
        <v>0</v>
      </c>
      <c r="BT409" s="40">
        <f t="shared" si="267"/>
        <v>0</v>
      </c>
    </row>
    <row r="410" spans="1:72">
      <c r="A410" s="6"/>
      <c r="B410" s="31"/>
      <c r="C410" s="31"/>
      <c r="D410" s="1629"/>
      <c r="E410" s="32">
        <f t="shared" si="239"/>
        <v>0</v>
      </c>
      <c r="F410" s="33"/>
      <c r="G410" s="34">
        <f t="shared" si="240"/>
        <v>0</v>
      </c>
      <c r="H410" s="35">
        <f t="shared" si="241"/>
        <v>0</v>
      </c>
      <c r="I410" s="36"/>
      <c r="J410" s="36"/>
      <c r="K410" s="36"/>
      <c r="L410" s="36"/>
      <c r="M410" s="36"/>
      <c r="N410" s="36"/>
      <c r="O410" s="36"/>
      <c r="P410" s="36"/>
      <c r="Q410" s="36"/>
      <c r="R410" s="36"/>
      <c r="S410" s="36"/>
      <c r="T410" s="36"/>
      <c r="U410" s="36"/>
      <c r="V410" s="36"/>
      <c r="W410" s="36"/>
      <c r="X410" s="36"/>
      <c r="Y410" s="36"/>
      <c r="Z410" s="36"/>
      <c r="AA410" s="36"/>
      <c r="AB410" s="36"/>
      <c r="AC410" s="32">
        <f t="shared" si="242"/>
        <v>0</v>
      </c>
      <c r="AD410" s="37"/>
      <c r="AE410" s="37"/>
      <c r="AF410" s="37"/>
      <c r="AG410" s="37"/>
      <c r="AH410" s="37"/>
      <c r="AI410" s="37"/>
      <c r="AJ410" s="37"/>
      <c r="AK410" s="37"/>
      <c r="AL410" s="37"/>
      <c r="AM410" s="37"/>
      <c r="AN410" s="37"/>
      <c r="AO410" s="37"/>
      <c r="AP410" s="37"/>
      <c r="AQ410" s="37"/>
      <c r="AR410" s="37"/>
      <c r="AS410" s="37"/>
      <c r="AT410" s="38"/>
      <c r="AU410" s="1630"/>
      <c r="AV410" s="1342">
        <f t="shared" si="243"/>
        <v>0</v>
      </c>
      <c r="AW410" s="1342">
        <f t="shared" si="244"/>
        <v>0</v>
      </c>
      <c r="AX410" s="1342">
        <f t="shared" si="245"/>
        <v>0</v>
      </c>
      <c r="AY410" s="39">
        <f t="shared" si="246"/>
        <v>0</v>
      </c>
      <c r="AZ410" s="32">
        <f t="shared" si="247"/>
        <v>0</v>
      </c>
      <c r="BA410" s="32">
        <f t="shared" si="248"/>
        <v>0</v>
      </c>
      <c r="BB410" s="32">
        <f t="shared" si="249"/>
        <v>0</v>
      </c>
      <c r="BC410" s="32">
        <f t="shared" si="250"/>
        <v>0</v>
      </c>
      <c r="BD410" s="32">
        <f t="shared" si="251"/>
        <v>0</v>
      </c>
      <c r="BE410" s="32">
        <f t="shared" si="252"/>
        <v>0</v>
      </c>
      <c r="BF410" s="32">
        <f t="shared" si="253"/>
        <v>0</v>
      </c>
      <c r="BG410" s="32">
        <f t="shared" si="254"/>
        <v>0</v>
      </c>
      <c r="BH410" s="32">
        <f t="shared" si="255"/>
        <v>0</v>
      </c>
      <c r="BI410" s="32">
        <f t="shared" si="256"/>
        <v>0</v>
      </c>
      <c r="BJ410" s="32">
        <f t="shared" si="257"/>
        <v>0</v>
      </c>
      <c r="BK410" s="32">
        <f t="shared" si="258"/>
        <v>0</v>
      </c>
      <c r="BL410" s="32">
        <f t="shared" si="259"/>
        <v>0</v>
      </c>
      <c r="BM410" s="32">
        <f t="shared" si="260"/>
        <v>0</v>
      </c>
      <c r="BN410" s="32">
        <f t="shared" si="261"/>
        <v>0</v>
      </c>
      <c r="BO410" s="32">
        <f t="shared" si="262"/>
        <v>0</v>
      </c>
      <c r="BP410" s="32">
        <f t="shared" si="263"/>
        <v>0</v>
      </c>
      <c r="BQ410" s="32">
        <f t="shared" si="264"/>
        <v>0</v>
      </c>
      <c r="BR410" s="32">
        <f t="shared" si="265"/>
        <v>0</v>
      </c>
      <c r="BS410" s="32">
        <f t="shared" si="266"/>
        <v>0</v>
      </c>
      <c r="BT410" s="40">
        <f t="shared" si="267"/>
        <v>0</v>
      </c>
    </row>
    <row r="411" spans="1:72">
      <c r="A411" s="6"/>
      <c r="B411" s="31"/>
      <c r="C411" s="31"/>
      <c r="D411" s="1629"/>
      <c r="E411" s="32">
        <f t="shared" si="239"/>
        <v>0</v>
      </c>
      <c r="F411" s="33"/>
      <c r="G411" s="34">
        <f t="shared" si="240"/>
        <v>0</v>
      </c>
      <c r="H411" s="35">
        <f t="shared" si="241"/>
        <v>0</v>
      </c>
      <c r="I411" s="36"/>
      <c r="J411" s="36"/>
      <c r="K411" s="36"/>
      <c r="L411" s="36"/>
      <c r="M411" s="36"/>
      <c r="N411" s="36"/>
      <c r="O411" s="36"/>
      <c r="P411" s="36"/>
      <c r="Q411" s="36"/>
      <c r="R411" s="36"/>
      <c r="S411" s="36"/>
      <c r="T411" s="36"/>
      <c r="U411" s="36"/>
      <c r="V411" s="36"/>
      <c r="W411" s="36"/>
      <c r="X411" s="36"/>
      <c r="Y411" s="36"/>
      <c r="Z411" s="36"/>
      <c r="AA411" s="36"/>
      <c r="AB411" s="36"/>
      <c r="AC411" s="32">
        <f t="shared" si="242"/>
        <v>0</v>
      </c>
      <c r="AD411" s="37"/>
      <c r="AE411" s="37"/>
      <c r="AF411" s="37"/>
      <c r="AG411" s="37"/>
      <c r="AH411" s="37"/>
      <c r="AI411" s="37"/>
      <c r="AJ411" s="37"/>
      <c r="AK411" s="37"/>
      <c r="AL411" s="37"/>
      <c r="AM411" s="37"/>
      <c r="AN411" s="37"/>
      <c r="AO411" s="37"/>
      <c r="AP411" s="37"/>
      <c r="AQ411" s="37"/>
      <c r="AR411" s="37"/>
      <c r="AS411" s="37"/>
      <c r="AT411" s="38"/>
      <c r="AU411" s="1630"/>
      <c r="AV411" s="1342">
        <f t="shared" si="243"/>
        <v>0</v>
      </c>
      <c r="AW411" s="1342">
        <f t="shared" si="244"/>
        <v>0</v>
      </c>
      <c r="AX411" s="1342">
        <f t="shared" si="245"/>
        <v>0</v>
      </c>
      <c r="AY411" s="39">
        <f t="shared" si="246"/>
        <v>0</v>
      </c>
      <c r="AZ411" s="32">
        <f t="shared" si="247"/>
        <v>0</v>
      </c>
      <c r="BA411" s="32">
        <f t="shared" si="248"/>
        <v>0</v>
      </c>
      <c r="BB411" s="32">
        <f t="shared" si="249"/>
        <v>0</v>
      </c>
      <c r="BC411" s="32">
        <f t="shared" si="250"/>
        <v>0</v>
      </c>
      <c r="BD411" s="32">
        <f t="shared" si="251"/>
        <v>0</v>
      </c>
      <c r="BE411" s="32">
        <f t="shared" si="252"/>
        <v>0</v>
      </c>
      <c r="BF411" s="32">
        <f t="shared" si="253"/>
        <v>0</v>
      </c>
      <c r="BG411" s="32">
        <f t="shared" si="254"/>
        <v>0</v>
      </c>
      <c r="BH411" s="32">
        <f t="shared" si="255"/>
        <v>0</v>
      </c>
      <c r="BI411" s="32">
        <f t="shared" si="256"/>
        <v>0</v>
      </c>
      <c r="BJ411" s="32">
        <f t="shared" si="257"/>
        <v>0</v>
      </c>
      <c r="BK411" s="32">
        <f t="shared" si="258"/>
        <v>0</v>
      </c>
      <c r="BL411" s="32">
        <f t="shared" si="259"/>
        <v>0</v>
      </c>
      <c r="BM411" s="32">
        <f t="shared" si="260"/>
        <v>0</v>
      </c>
      <c r="BN411" s="32">
        <f t="shared" si="261"/>
        <v>0</v>
      </c>
      <c r="BO411" s="32">
        <f t="shared" si="262"/>
        <v>0</v>
      </c>
      <c r="BP411" s="32">
        <f t="shared" si="263"/>
        <v>0</v>
      </c>
      <c r="BQ411" s="32">
        <f t="shared" si="264"/>
        <v>0</v>
      </c>
      <c r="BR411" s="32">
        <f t="shared" si="265"/>
        <v>0</v>
      </c>
      <c r="BS411" s="32">
        <f t="shared" si="266"/>
        <v>0</v>
      </c>
      <c r="BT411" s="40">
        <f t="shared" si="267"/>
        <v>0</v>
      </c>
    </row>
    <row r="412" spans="1:72">
      <c r="A412" s="6"/>
      <c r="B412" s="31"/>
      <c r="C412" s="31"/>
      <c r="D412" s="1629"/>
      <c r="E412" s="32">
        <f t="shared" si="239"/>
        <v>0</v>
      </c>
      <c r="F412" s="33"/>
      <c r="G412" s="34">
        <f t="shared" si="240"/>
        <v>0</v>
      </c>
      <c r="H412" s="35">
        <f t="shared" si="241"/>
        <v>0</v>
      </c>
      <c r="I412" s="36"/>
      <c r="J412" s="36"/>
      <c r="K412" s="36"/>
      <c r="L412" s="36"/>
      <c r="M412" s="36"/>
      <c r="N412" s="36"/>
      <c r="O412" s="36"/>
      <c r="P412" s="36"/>
      <c r="Q412" s="36"/>
      <c r="R412" s="36"/>
      <c r="S412" s="36"/>
      <c r="T412" s="36"/>
      <c r="U412" s="36"/>
      <c r="V412" s="36"/>
      <c r="W412" s="36"/>
      <c r="X412" s="36"/>
      <c r="Y412" s="36"/>
      <c r="Z412" s="36"/>
      <c r="AA412" s="36"/>
      <c r="AB412" s="36"/>
      <c r="AC412" s="32">
        <f t="shared" si="242"/>
        <v>0</v>
      </c>
      <c r="AD412" s="37"/>
      <c r="AE412" s="37"/>
      <c r="AF412" s="37"/>
      <c r="AG412" s="37"/>
      <c r="AH412" s="37"/>
      <c r="AI412" s="37"/>
      <c r="AJ412" s="37"/>
      <c r="AK412" s="37"/>
      <c r="AL412" s="37"/>
      <c r="AM412" s="37"/>
      <c r="AN412" s="37"/>
      <c r="AO412" s="37"/>
      <c r="AP412" s="37"/>
      <c r="AQ412" s="37"/>
      <c r="AR412" s="37"/>
      <c r="AS412" s="37"/>
      <c r="AT412" s="38"/>
      <c r="AU412" s="1630"/>
      <c r="AV412" s="1342">
        <f t="shared" si="243"/>
        <v>0</v>
      </c>
      <c r="AW412" s="1342">
        <f t="shared" si="244"/>
        <v>0</v>
      </c>
      <c r="AX412" s="1342">
        <f t="shared" si="245"/>
        <v>0</v>
      </c>
      <c r="AY412" s="39">
        <f t="shared" si="246"/>
        <v>0</v>
      </c>
      <c r="AZ412" s="32">
        <f t="shared" si="247"/>
        <v>0</v>
      </c>
      <c r="BA412" s="32">
        <f t="shared" si="248"/>
        <v>0</v>
      </c>
      <c r="BB412" s="32">
        <f t="shared" si="249"/>
        <v>0</v>
      </c>
      <c r="BC412" s="32">
        <f t="shared" si="250"/>
        <v>0</v>
      </c>
      <c r="BD412" s="32">
        <f t="shared" si="251"/>
        <v>0</v>
      </c>
      <c r="BE412" s="32">
        <f t="shared" si="252"/>
        <v>0</v>
      </c>
      <c r="BF412" s="32">
        <f t="shared" si="253"/>
        <v>0</v>
      </c>
      <c r="BG412" s="32">
        <f t="shared" si="254"/>
        <v>0</v>
      </c>
      <c r="BH412" s="32">
        <f t="shared" si="255"/>
        <v>0</v>
      </c>
      <c r="BI412" s="32">
        <f t="shared" si="256"/>
        <v>0</v>
      </c>
      <c r="BJ412" s="32">
        <f t="shared" si="257"/>
        <v>0</v>
      </c>
      <c r="BK412" s="32">
        <f t="shared" si="258"/>
        <v>0</v>
      </c>
      <c r="BL412" s="32">
        <f t="shared" si="259"/>
        <v>0</v>
      </c>
      <c r="BM412" s="32">
        <f t="shared" si="260"/>
        <v>0</v>
      </c>
      <c r="BN412" s="32">
        <f t="shared" si="261"/>
        <v>0</v>
      </c>
      <c r="BO412" s="32">
        <f t="shared" si="262"/>
        <v>0</v>
      </c>
      <c r="BP412" s="32">
        <f t="shared" si="263"/>
        <v>0</v>
      </c>
      <c r="BQ412" s="32">
        <f t="shared" si="264"/>
        <v>0</v>
      </c>
      <c r="BR412" s="32">
        <f t="shared" si="265"/>
        <v>0</v>
      </c>
      <c r="BS412" s="32">
        <f t="shared" si="266"/>
        <v>0</v>
      </c>
      <c r="BT412" s="40">
        <f t="shared" si="267"/>
        <v>0</v>
      </c>
    </row>
    <row r="413" spans="1:72">
      <c r="A413" s="6"/>
      <c r="B413" s="31"/>
      <c r="C413" s="31"/>
      <c r="D413" s="1629"/>
      <c r="E413" s="32">
        <f t="shared" si="239"/>
        <v>0</v>
      </c>
      <c r="F413" s="33"/>
      <c r="G413" s="34">
        <f t="shared" si="240"/>
        <v>0</v>
      </c>
      <c r="H413" s="35">
        <f t="shared" si="241"/>
        <v>0</v>
      </c>
      <c r="I413" s="36"/>
      <c r="J413" s="36"/>
      <c r="K413" s="36"/>
      <c r="L413" s="36"/>
      <c r="M413" s="36"/>
      <c r="N413" s="36"/>
      <c r="O413" s="36"/>
      <c r="P413" s="36"/>
      <c r="Q413" s="36"/>
      <c r="R413" s="36"/>
      <c r="S413" s="36"/>
      <c r="T413" s="36"/>
      <c r="U413" s="36"/>
      <c r="V413" s="36"/>
      <c r="W413" s="36"/>
      <c r="X413" s="36"/>
      <c r="Y413" s="36"/>
      <c r="Z413" s="36"/>
      <c r="AA413" s="36"/>
      <c r="AB413" s="36"/>
      <c r="AC413" s="32">
        <f t="shared" si="242"/>
        <v>0</v>
      </c>
      <c r="AD413" s="37"/>
      <c r="AE413" s="37"/>
      <c r="AF413" s="37"/>
      <c r="AG413" s="37"/>
      <c r="AH413" s="37"/>
      <c r="AI413" s="37"/>
      <c r="AJ413" s="37"/>
      <c r="AK413" s="37"/>
      <c r="AL413" s="37"/>
      <c r="AM413" s="37"/>
      <c r="AN413" s="37"/>
      <c r="AO413" s="37"/>
      <c r="AP413" s="37"/>
      <c r="AQ413" s="37"/>
      <c r="AR413" s="37"/>
      <c r="AS413" s="37"/>
      <c r="AT413" s="38"/>
      <c r="AU413" s="1630"/>
      <c r="AV413" s="1342">
        <f t="shared" si="243"/>
        <v>0</v>
      </c>
      <c r="AW413" s="1342">
        <f t="shared" si="244"/>
        <v>0</v>
      </c>
      <c r="AX413" s="1342">
        <f t="shared" si="245"/>
        <v>0</v>
      </c>
      <c r="AY413" s="39">
        <f t="shared" si="246"/>
        <v>0</v>
      </c>
      <c r="AZ413" s="32">
        <f t="shared" si="247"/>
        <v>0</v>
      </c>
      <c r="BA413" s="32">
        <f t="shared" si="248"/>
        <v>0</v>
      </c>
      <c r="BB413" s="32">
        <f t="shared" si="249"/>
        <v>0</v>
      </c>
      <c r="BC413" s="32">
        <f t="shared" si="250"/>
        <v>0</v>
      </c>
      <c r="BD413" s="32">
        <f t="shared" si="251"/>
        <v>0</v>
      </c>
      <c r="BE413" s="32">
        <f t="shared" si="252"/>
        <v>0</v>
      </c>
      <c r="BF413" s="32">
        <f t="shared" si="253"/>
        <v>0</v>
      </c>
      <c r="BG413" s="32">
        <f t="shared" si="254"/>
        <v>0</v>
      </c>
      <c r="BH413" s="32">
        <f t="shared" si="255"/>
        <v>0</v>
      </c>
      <c r="BI413" s="32">
        <f t="shared" si="256"/>
        <v>0</v>
      </c>
      <c r="BJ413" s="32">
        <f t="shared" si="257"/>
        <v>0</v>
      </c>
      <c r="BK413" s="32">
        <f t="shared" si="258"/>
        <v>0</v>
      </c>
      <c r="BL413" s="32">
        <f t="shared" si="259"/>
        <v>0</v>
      </c>
      <c r="BM413" s="32">
        <f t="shared" si="260"/>
        <v>0</v>
      </c>
      <c r="BN413" s="32">
        <f t="shared" si="261"/>
        <v>0</v>
      </c>
      <c r="BO413" s="32">
        <f t="shared" si="262"/>
        <v>0</v>
      </c>
      <c r="BP413" s="32">
        <f t="shared" si="263"/>
        <v>0</v>
      </c>
      <c r="BQ413" s="32">
        <f t="shared" si="264"/>
        <v>0</v>
      </c>
      <c r="BR413" s="32">
        <f t="shared" si="265"/>
        <v>0</v>
      </c>
      <c r="BS413" s="32">
        <f t="shared" si="266"/>
        <v>0</v>
      </c>
      <c r="BT413" s="40">
        <f t="shared" si="267"/>
        <v>0</v>
      </c>
    </row>
    <row r="414" spans="1:72">
      <c r="A414" s="6"/>
      <c r="B414" s="31"/>
      <c r="C414" s="31"/>
      <c r="D414" s="1629"/>
      <c r="E414" s="32">
        <f t="shared" si="239"/>
        <v>0</v>
      </c>
      <c r="F414" s="33"/>
      <c r="G414" s="34">
        <f t="shared" si="240"/>
        <v>0</v>
      </c>
      <c r="H414" s="35">
        <f t="shared" si="241"/>
        <v>0</v>
      </c>
      <c r="I414" s="36"/>
      <c r="J414" s="36"/>
      <c r="K414" s="36"/>
      <c r="L414" s="36"/>
      <c r="M414" s="36"/>
      <c r="N414" s="36"/>
      <c r="O414" s="36"/>
      <c r="P414" s="36"/>
      <c r="Q414" s="36"/>
      <c r="R414" s="36"/>
      <c r="S414" s="36"/>
      <c r="T414" s="36"/>
      <c r="U414" s="36"/>
      <c r="V414" s="36"/>
      <c r="W414" s="36"/>
      <c r="X414" s="36"/>
      <c r="Y414" s="36"/>
      <c r="Z414" s="36"/>
      <c r="AA414" s="36"/>
      <c r="AB414" s="36"/>
      <c r="AC414" s="32">
        <f t="shared" si="242"/>
        <v>0</v>
      </c>
      <c r="AD414" s="37"/>
      <c r="AE414" s="37"/>
      <c r="AF414" s="37"/>
      <c r="AG414" s="37"/>
      <c r="AH414" s="37"/>
      <c r="AI414" s="37"/>
      <c r="AJ414" s="37"/>
      <c r="AK414" s="37"/>
      <c r="AL414" s="37"/>
      <c r="AM414" s="37"/>
      <c r="AN414" s="37"/>
      <c r="AO414" s="37"/>
      <c r="AP414" s="37"/>
      <c r="AQ414" s="37"/>
      <c r="AR414" s="37"/>
      <c r="AS414" s="37"/>
      <c r="AT414" s="38"/>
      <c r="AU414" s="1630"/>
      <c r="AV414" s="1342">
        <f t="shared" si="243"/>
        <v>0</v>
      </c>
      <c r="AW414" s="1342">
        <f t="shared" si="244"/>
        <v>0</v>
      </c>
      <c r="AX414" s="1342">
        <f t="shared" si="245"/>
        <v>0</v>
      </c>
      <c r="AY414" s="39">
        <f t="shared" si="246"/>
        <v>0</v>
      </c>
      <c r="AZ414" s="32">
        <f t="shared" si="247"/>
        <v>0</v>
      </c>
      <c r="BA414" s="32">
        <f t="shared" si="248"/>
        <v>0</v>
      </c>
      <c r="BB414" s="32">
        <f t="shared" si="249"/>
        <v>0</v>
      </c>
      <c r="BC414" s="32">
        <f t="shared" si="250"/>
        <v>0</v>
      </c>
      <c r="BD414" s="32">
        <f t="shared" si="251"/>
        <v>0</v>
      </c>
      <c r="BE414" s="32">
        <f t="shared" si="252"/>
        <v>0</v>
      </c>
      <c r="BF414" s="32">
        <f t="shared" si="253"/>
        <v>0</v>
      </c>
      <c r="BG414" s="32">
        <f t="shared" si="254"/>
        <v>0</v>
      </c>
      <c r="BH414" s="32">
        <f t="shared" si="255"/>
        <v>0</v>
      </c>
      <c r="BI414" s="32">
        <f t="shared" si="256"/>
        <v>0</v>
      </c>
      <c r="BJ414" s="32">
        <f t="shared" si="257"/>
        <v>0</v>
      </c>
      <c r="BK414" s="32">
        <f t="shared" si="258"/>
        <v>0</v>
      </c>
      <c r="BL414" s="32">
        <f t="shared" si="259"/>
        <v>0</v>
      </c>
      <c r="BM414" s="32">
        <f t="shared" si="260"/>
        <v>0</v>
      </c>
      <c r="BN414" s="32">
        <f t="shared" si="261"/>
        <v>0</v>
      </c>
      <c r="BO414" s="32">
        <f t="shared" si="262"/>
        <v>0</v>
      </c>
      <c r="BP414" s="32">
        <f t="shared" si="263"/>
        <v>0</v>
      </c>
      <c r="BQ414" s="32">
        <f t="shared" si="264"/>
        <v>0</v>
      </c>
      <c r="BR414" s="32">
        <f t="shared" si="265"/>
        <v>0</v>
      </c>
      <c r="BS414" s="32">
        <f t="shared" si="266"/>
        <v>0</v>
      </c>
      <c r="BT414" s="40">
        <f t="shared" si="267"/>
        <v>0</v>
      </c>
    </row>
    <row r="415" spans="1:72">
      <c r="A415" s="6"/>
      <c r="B415" s="31"/>
      <c r="C415" s="31"/>
      <c r="D415" s="1629"/>
      <c r="E415" s="32">
        <f t="shared" si="239"/>
        <v>0</v>
      </c>
      <c r="F415" s="33"/>
      <c r="G415" s="34">
        <f t="shared" si="240"/>
        <v>0</v>
      </c>
      <c r="H415" s="35">
        <f t="shared" si="241"/>
        <v>0</v>
      </c>
      <c r="I415" s="36"/>
      <c r="J415" s="36"/>
      <c r="K415" s="36"/>
      <c r="L415" s="36"/>
      <c r="M415" s="36"/>
      <c r="N415" s="36"/>
      <c r="O415" s="36"/>
      <c r="P415" s="36"/>
      <c r="Q415" s="36"/>
      <c r="R415" s="36"/>
      <c r="S415" s="36"/>
      <c r="T415" s="36"/>
      <c r="U415" s="36"/>
      <c r="V415" s="36"/>
      <c r="W415" s="36"/>
      <c r="X415" s="36"/>
      <c r="Y415" s="36"/>
      <c r="Z415" s="36"/>
      <c r="AA415" s="36"/>
      <c r="AB415" s="36"/>
      <c r="AC415" s="32">
        <f t="shared" si="242"/>
        <v>0</v>
      </c>
      <c r="AD415" s="37"/>
      <c r="AE415" s="37"/>
      <c r="AF415" s="37"/>
      <c r="AG415" s="37"/>
      <c r="AH415" s="37"/>
      <c r="AI415" s="37"/>
      <c r="AJ415" s="37"/>
      <c r="AK415" s="37"/>
      <c r="AL415" s="37"/>
      <c r="AM415" s="37"/>
      <c r="AN415" s="37"/>
      <c r="AO415" s="37"/>
      <c r="AP415" s="37"/>
      <c r="AQ415" s="37"/>
      <c r="AR415" s="37"/>
      <c r="AS415" s="37"/>
      <c r="AT415" s="38"/>
      <c r="AU415" s="1630"/>
      <c r="AV415" s="1342">
        <f t="shared" si="243"/>
        <v>0</v>
      </c>
      <c r="AW415" s="1342">
        <f t="shared" si="244"/>
        <v>0</v>
      </c>
      <c r="AX415" s="1342">
        <f t="shared" si="245"/>
        <v>0</v>
      </c>
      <c r="AY415" s="39">
        <f t="shared" si="246"/>
        <v>0</v>
      </c>
      <c r="AZ415" s="32">
        <f t="shared" si="247"/>
        <v>0</v>
      </c>
      <c r="BA415" s="32">
        <f t="shared" si="248"/>
        <v>0</v>
      </c>
      <c r="BB415" s="32">
        <f t="shared" si="249"/>
        <v>0</v>
      </c>
      <c r="BC415" s="32">
        <f t="shared" si="250"/>
        <v>0</v>
      </c>
      <c r="BD415" s="32">
        <f t="shared" si="251"/>
        <v>0</v>
      </c>
      <c r="BE415" s="32">
        <f t="shared" si="252"/>
        <v>0</v>
      </c>
      <c r="BF415" s="32">
        <f t="shared" si="253"/>
        <v>0</v>
      </c>
      <c r="BG415" s="32">
        <f t="shared" si="254"/>
        <v>0</v>
      </c>
      <c r="BH415" s="32">
        <f t="shared" si="255"/>
        <v>0</v>
      </c>
      <c r="BI415" s="32">
        <f t="shared" si="256"/>
        <v>0</v>
      </c>
      <c r="BJ415" s="32">
        <f t="shared" si="257"/>
        <v>0</v>
      </c>
      <c r="BK415" s="32">
        <f t="shared" si="258"/>
        <v>0</v>
      </c>
      <c r="BL415" s="32">
        <f t="shared" si="259"/>
        <v>0</v>
      </c>
      <c r="BM415" s="32">
        <f t="shared" si="260"/>
        <v>0</v>
      </c>
      <c r="BN415" s="32">
        <f t="shared" si="261"/>
        <v>0</v>
      </c>
      <c r="BO415" s="32">
        <f t="shared" si="262"/>
        <v>0</v>
      </c>
      <c r="BP415" s="32">
        <f t="shared" si="263"/>
        <v>0</v>
      </c>
      <c r="BQ415" s="32">
        <f t="shared" si="264"/>
        <v>0</v>
      </c>
      <c r="BR415" s="32">
        <f t="shared" si="265"/>
        <v>0</v>
      </c>
      <c r="BS415" s="32">
        <f t="shared" si="266"/>
        <v>0</v>
      </c>
      <c r="BT415" s="40">
        <f t="shared" si="267"/>
        <v>0</v>
      </c>
    </row>
    <row r="416" spans="1:72">
      <c r="A416" s="6"/>
      <c r="B416" s="31"/>
      <c r="C416" s="31"/>
      <c r="D416" s="1629"/>
      <c r="E416" s="32">
        <f t="shared" si="239"/>
        <v>0</v>
      </c>
      <c r="F416" s="33"/>
      <c r="G416" s="34">
        <f t="shared" si="240"/>
        <v>0</v>
      </c>
      <c r="H416" s="35">
        <f t="shared" si="241"/>
        <v>0</v>
      </c>
      <c r="I416" s="36"/>
      <c r="J416" s="36"/>
      <c r="K416" s="36"/>
      <c r="L416" s="36"/>
      <c r="M416" s="36"/>
      <c r="N416" s="36"/>
      <c r="O416" s="36"/>
      <c r="P416" s="36"/>
      <c r="Q416" s="36"/>
      <c r="R416" s="36"/>
      <c r="S416" s="36"/>
      <c r="T416" s="36"/>
      <c r="U416" s="36"/>
      <c r="V416" s="36"/>
      <c r="W416" s="36"/>
      <c r="X416" s="36"/>
      <c r="Y416" s="36"/>
      <c r="Z416" s="36"/>
      <c r="AA416" s="36"/>
      <c r="AB416" s="36"/>
      <c r="AC416" s="32">
        <f t="shared" si="242"/>
        <v>0</v>
      </c>
      <c r="AD416" s="37"/>
      <c r="AE416" s="37"/>
      <c r="AF416" s="37"/>
      <c r="AG416" s="37"/>
      <c r="AH416" s="37"/>
      <c r="AI416" s="37"/>
      <c r="AJ416" s="37"/>
      <c r="AK416" s="37"/>
      <c r="AL416" s="37"/>
      <c r="AM416" s="37"/>
      <c r="AN416" s="37"/>
      <c r="AO416" s="37"/>
      <c r="AP416" s="37"/>
      <c r="AQ416" s="37"/>
      <c r="AR416" s="37"/>
      <c r="AS416" s="37"/>
      <c r="AT416" s="38"/>
      <c r="AU416" s="1630"/>
      <c r="AV416" s="1342">
        <f t="shared" si="243"/>
        <v>0</v>
      </c>
      <c r="AW416" s="1342">
        <f t="shared" si="244"/>
        <v>0</v>
      </c>
      <c r="AX416" s="1342">
        <f t="shared" si="245"/>
        <v>0</v>
      </c>
      <c r="AY416" s="39">
        <f t="shared" si="246"/>
        <v>0</v>
      </c>
      <c r="AZ416" s="32">
        <f t="shared" si="247"/>
        <v>0</v>
      </c>
      <c r="BA416" s="32">
        <f t="shared" si="248"/>
        <v>0</v>
      </c>
      <c r="BB416" s="32">
        <f t="shared" si="249"/>
        <v>0</v>
      </c>
      <c r="BC416" s="32">
        <f t="shared" si="250"/>
        <v>0</v>
      </c>
      <c r="BD416" s="32">
        <f t="shared" si="251"/>
        <v>0</v>
      </c>
      <c r="BE416" s="32">
        <f t="shared" si="252"/>
        <v>0</v>
      </c>
      <c r="BF416" s="32">
        <f t="shared" si="253"/>
        <v>0</v>
      </c>
      <c r="BG416" s="32">
        <f t="shared" si="254"/>
        <v>0</v>
      </c>
      <c r="BH416" s="32">
        <f t="shared" si="255"/>
        <v>0</v>
      </c>
      <c r="BI416" s="32">
        <f t="shared" si="256"/>
        <v>0</v>
      </c>
      <c r="BJ416" s="32">
        <f t="shared" si="257"/>
        <v>0</v>
      </c>
      <c r="BK416" s="32">
        <f t="shared" si="258"/>
        <v>0</v>
      </c>
      <c r="BL416" s="32">
        <f t="shared" si="259"/>
        <v>0</v>
      </c>
      <c r="BM416" s="32">
        <f t="shared" si="260"/>
        <v>0</v>
      </c>
      <c r="BN416" s="32">
        <f t="shared" si="261"/>
        <v>0</v>
      </c>
      <c r="BO416" s="32">
        <f t="shared" si="262"/>
        <v>0</v>
      </c>
      <c r="BP416" s="32">
        <f t="shared" si="263"/>
        <v>0</v>
      </c>
      <c r="BQ416" s="32">
        <f t="shared" si="264"/>
        <v>0</v>
      </c>
      <c r="BR416" s="32">
        <f t="shared" si="265"/>
        <v>0</v>
      </c>
      <c r="BS416" s="32">
        <f t="shared" si="266"/>
        <v>0</v>
      </c>
      <c r="BT416" s="40">
        <f t="shared" si="267"/>
        <v>0</v>
      </c>
    </row>
    <row r="417" spans="1:72">
      <c r="A417" s="6"/>
      <c r="B417" s="31"/>
      <c r="C417" s="31"/>
      <c r="D417" s="1629"/>
      <c r="E417" s="32">
        <f t="shared" si="239"/>
        <v>0</v>
      </c>
      <c r="F417" s="33"/>
      <c r="G417" s="34">
        <f t="shared" si="240"/>
        <v>0</v>
      </c>
      <c r="H417" s="35">
        <f t="shared" si="241"/>
        <v>0</v>
      </c>
      <c r="I417" s="36"/>
      <c r="J417" s="36"/>
      <c r="K417" s="36"/>
      <c r="L417" s="36"/>
      <c r="M417" s="36"/>
      <c r="N417" s="36"/>
      <c r="O417" s="36"/>
      <c r="P417" s="36"/>
      <c r="Q417" s="36"/>
      <c r="R417" s="36"/>
      <c r="S417" s="36"/>
      <c r="T417" s="36"/>
      <c r="U417" s="36"/>
      <c r="V417" s="36"/>
      <c r="W417" s="36"/>
      <c r="X417" s="36"/>
      <c r="Y417" s="36"/>
      <c r="Z417" s="36"/>
      <c r="AA417" s="36"/>
      <c r="AB417" s="36"/>
      <c r="AC417" s="32">
        <f t="shared" si="242"/>
        <v>0</v>
      </c>
      <c r="AD417" s="37"/>
      <c r="AE417" s="37"/>
      <c r="AF417" s="37"/>
      <c r="AG417" s="37"/>
      <c r="AH417" s="37"/>
      <c r="AI417" s="37"/>
      <c r="AJ417" s="37"/>
      <c r="AK417" s="37"/>
      <c r="AL417" s="37"/>
      <c r="AM417" s="37"/>
      <c r="AN417" s="37"/>
      <c r="AO417" s="37"/>
      <c r="AP417" s="37"/>
      <c r="AQ417" s="37"/>
      <c r="AR417" s="37"/>
      <c r="AS417" s="37"/>
      <c r="AT417" s="38"/>
      <c r="AU417" s="1630"/>
      <c r="AV417" s="1342">
        <f t="shared" si="243"/>
        <v>0</v>
      </c>
      <c r="AW417" s="1342">
        <f t="shared" si="244"/>
        <v>0</v>
      </c>
      <c r="AX417" s="1342">
        <f t="shared" si="245"/>
        <v>0</v>
      </c>
      <c r="AY417" s="39">
        <f t="shared" si="246"/>
        <v>0</v>
      </c>
      <c r="AZ417" s="32">
        <f t="shared" si="247"/>
        <v>0</v>
      </c>
      <c r="BA417" s="32">
        <f t="shared" si="248"/>
        <v>0</v>
      </c>
      <c r="BB417" s="32">
        <f t="shared" si="249"/>
        <v>0</v>
      </c>
      <c r="BC417" s="32">
        <f t="shared" si="250"/>
        <v>0</v>
      </c>
      <c r="BD417" s="32">
        <f t="shared" si="251"/>
        <v>0</v>
      </c>
      <c r="BE417" s="32">
        <f t="shared" si="252"/>
        <v>0</v>
      </c>
      <c r="BF417" s="32">
        <f t="shared" si="253"/>
        <v>0</v>
      </c>
      <c r="BG417" s="32">
        <f t="shared" si="254"/>
        <v>0</v>
      </c>
      <c r="BH417" s="32">
        <f t="shared" si="255"/>
        <v>0</v>
      </c>
      <c r="BI417" s="32">
        <f t="shared" si="256"/>
        <v>0</v>
      </c>
      <c r="BJ417" s="32">
        <f t="shared" si="257"/>
        <v>0</v>
      </c>
      <c r="BK417" s="32">
        <f t="shared" si="258"/>
        <v>0</v>
      </c>
      <c r="BL417" s="32">
        <f t="shared" si="259"/>
        <v>0</v>
      </c>
      <c r="BM417" s="32">
        <f t="shared" si="260"/>
        <v>0</v>
      </c>
      <c r="BN417" s="32">
        <f t="shared" si="261"/>
        <v>0</v>
      </c>
      <c r="BO417" s="32">
        <f t="shared" si="262"/>
        <v>0</v>
      </c>
      <c r="BP417" s="32">
        <f t="shared" si="263"/>
        <v>0</v>
      </c>
      <c r="BQ417" s="32">
        <f t="shared" si="264"/>
        <v>0</v>
      </c>
      <c r="BR417" s="32">
        <f t="shared" si="265"/>
        <v>0</v>
      </c>
      <c r="BS417" s="32">
        <f t="shared" si="266"/>
        <v>0</v>
      </c>
      <c r="BT417" s="40">
        <f t="shared" si="267"/>
        <v>0</v>
      </c>
    </row>
    <row r="418" spans="1:72">
      <c r="A418" s="6"/>
      <c r="B418" s="31"/>
      <c r="C418" s="31"/>
      <c r="D418" s="1629"/>
      <c r="E418" s="32">
        <f t="shared" si="239"/>
        <v>0</v>
      </c>
      <c r="F418" s="33"/>
      <c r="G418" s="34">
        <f t="shared" si="240"/>
        <v>0</v>
      </c>
      <c r="H418" s="35">
        <f t="shared" si="241"/>
        <v>0</v>
      </c>
      <c r="I418" s="36"/>
      <c r="J418" s="36"/>
      <c r="K418" s="36"/>
      <c r="L418" s="36"/>
      <c r="M418" s="36"/>
      <c r="N418" s="36"/>
      <c r="O418" s="36"/>
      <c r="P418" s="36"/>
      <c r="Q418" s="36"/>
      <c r="R418" s="36"/>
      <c r="S418" s="36"/>
      <c r="T418" s="36"/>
      <c r="U418" s="36"/>
      <c r="V418" s="36"/>
      <c r="W418" s="36"/>
      <c r="X418" s="36"/>
      <c r="Y418" s="36"/>
      <c r="Z418" s="36"/>
      <c r="AA418" s="36"/>
      <c r="AB418" s="36"/>
      <c r="AC418" s="32">
        <f t="shared" si="242"/>
        <v>0</v>
      </c>
      <c r="AD418" s="37"/>
      <c r="AE418" s="37"/>
      <c r="AF418" s="37"/>
      <c r="AG418" s="37"/>
      <c r="AH418" s="37"/>
      <c r="AI418" s="37"/>
      <c r="AJ418" s="37"/>
      <c r="AK418" s="37"/>
      <c r="AL418" s="37"/>
      <c r="AM418" s="37"/>
      <c r="AN418" s="37"/>
      <c r="AO418" s="37"/>
      <c r="AP418" s="37"/>
      <c r="AQ418" s="37"/>
      <c r="AR418" s="37"/>
      <c r="AS418" s="37"/>
      <c r="AT418" s="38"/>
      <c r="AU418" s="1630"/>
      <c r="AV418" s="1342">
        <f t="shared" si="243"/>
        <v>0</v>
      </c>
      <c r="AW418" s="1342">
        <f t="shared" si="244"/>
        <v>0</v>
      </c>
      <c r="AX418" s="1342">
        <f t="shared" si="245"/>
        <v>0</v>
      </c>
      <c r="AY418" s="39">
        <f t="shared" si="246"/>
        <v>0</v>
      </c>
      <c r="AZ418" s="32">
        <f t="shared" si="247"/>
        <v>0</v>
      </c>
      <c r="BA418" s="32">
        <f t="shared" si="248"/>
        <v>0</v>
      </c>
      <c r="BB418" s="32">
        <f t="shared" si="249"/>
        <v>0</v>
      </c>
      <c r="BC418" s="32">
        <f t="shared" si="250"/>
        <v>0</v>
      </c>
      <c r="BD418" s="32">
        <f t="shared" si="251"/>
        <v>0</v>
      </c>
      <c r="BE418" s="32">
        <f t="shared" si="252"/>
        <v>0</v>
      </c>
      <c r="BF418" s="32">
        <f t="shared" si="253"/>
        <v>0</v>
      </c>
      <c r="BG418" s="32">
        <f t="shared" si="254"/>
        <v>0</v>
      </c>
      <c r="BH418" s="32">
        <f t="shared" si="255"/>
        <v>0</v>
      </c>
      <c r="BI418" s="32">
        <f t="shared" si="256"/>
        <v>0</v>
      </c>
      <c r="BJ418" s="32">
        <f t="shared" si="257"/>
        <v>0</v>
      </c>
      <c r="BK418" s="32">
        <f t="shared" si="258"/>
        <v>0</v>
      </c>
      <c r="BL418" s="32">
        <f t="shared" si="259"/>
        <v>0</v>
      </c>
      <c r="BM418" s="32">
        <f t="shared" si="260"/>
        <v>0</v>
      </c>
      <c r="BN418" s="32">
        <f t="shared" si="261"/>
        <v>0</v>
      </c>
      <c r="BO418" s="32">
        <f t="shared" si="262"/>
        <v>0</v>
      </c>
      <c r="BP418" s="32">
        <f t="shared" si="263"/>
        <v>0</v>
      </c>
      <c r="BQ418" s="32">
        <f t="shared" si="264"/>
        <v>0</v>
      </c>
      <c r="BR418" s="32">
        <f t="shared" si="265"/>
        <v>0</v>
      </c>
      <c r="BS418" s="32">
        <f t="shared" si="266"/>
        <v>0</v>
      </c>
      <c r="BT418" s="40">
        <f t="shared" si="267"/>
        <v>0</v>
      </c>
    </row>
    <row r="419" spans="1:72">
      <c r="A419" s="6"/>
      <c r="B419" s="31"/>
      <c r="C419" s="31"/>
      <c r="D419" s="1629"/>
      <c r="E419" s="32">
        <f t="shared" si="239"/>
        <v>0</v>
      </c>
      <c r="F419" s="33"/>
      <c r="G419" s="34">
        <f t="shared" si="240"/>
        <v>0</v>
      </c>
      <c r="H419" s="35">
        <f t="shared" si="241"/>
        <v>0</v>
      </c>
      <c r="I419" s="36"/>
      <c r="J419" s="36"/>
      <c r="K419" s="36"/>
      <c r="L419" s="36"/>
      <c r="M419" s="36"/>
      <c r="N419" s="36"/>
      <c r="O419" s="36"/>
      <c r="P419" s="36"/>
      <c r="Q419" s="36"/>
      <c r="R419" s="36"/>
      <c r="S419" s="36"/>
      <c r="T419" s="36"/>
      <c r="U419" s="36"/>
      <c r="V419" s="36"/>
      <c r="W419" s="36"/>
      <c r="X419" s="36"/>
      <c r="Y419" s="36"/>
      <c r="Z419" s="36"/>
      <c r="AA419" s="36"/>
      <c r="AB419" s="36"/>
      <c r="AC419" s="32">
        <f t="shared" si="242"/>
        <v>0</v>
      </c>
      <c r="AD419" s="37"/>
      <c r="AE419" s="37"/>
      <c r="AF419" s="37"/>
      <c r="AG419" s="37"/>
      <c r="AH419" s="37"/>
      <c r="AI419" s="37"/>
      <c r="AJ419" s="37"/>
      <c r="AK419" s="37"/>
      <c r="AL419" s="37"/>
      <c r="AM419" s="37"/>
      <c r="AN419" s="37"/>
      <c r="AO419" s="37"/>
      <c r="AP419" s="37"/>
      <c r="AQ419" s="37"/>
      <c r="AR419" s="37"/>
      <c r="AS419" s="37"/>
      <c r="AT419" s="38"/>
      <c r="AU419" s="1630"/>
      <c r="AV419" s="1342">
        <f t="shared" si="243"/>
        <v>0</v>
      </c>
      <c r="AW419" s="1342">
        <f t="shared" si="244"/>
        <v>0</v>
      </c>
      <c r="AX419" s="1342">
        <f t="shared" si="245"/>
        <v>0</v>
      </c>
      <c r="AY419" s="39">
        <f t="shared" si="246"/>
        <v>0</v>
      </c>
      <c r="AZ419" s="32">
        <f t="shared" si="247"/>
        <v>0</v>
      </c>
      <c r="BA419" s="32">
        <f t="shared" si="248"/>
        <v>0</v>
      </c>
      <c r="BB419" s="32">
        <f t="shared" si="249"/>
        <v>0</v>
      </c>
      <c r="BC419" s="32">
        <f t="shared" si="250"/>
        <v>0</v>
      </c>
      <c r="BD419" s="32">
        <f t="shared" si="251"/>
        <v>0</v>
      </c>
      <c r="BE419" s="32">
        <f t="shared" si="252"/>
        <v>0</v>
      </c>
      <c r="BF419" s="32">
        <f t="shared" si="253"/>
        <v>0</v>
      </c>
      <c r="BG419" s="32">
        <f t="shared" si="254"/>
        <v>0</v>
      </c>
      <c r="BH419" s="32">
        <f t="shared" si="255"/>
        <v>0</v>
      </c>
      <c r="BI419" s="32">
        <f t="shared" si="256"/>
        <v>0</v>
      </c>
      <c r="BJ419" s="32">
        <f t="shared" si="257"/>
        <v>0</v>
      </c>
      <c r="BK419" s="32">
        <f t="shared" si="258"/>
        <v>0</v>
      </c>
      <c r="BL419" s="32">
        <f t="shared" si="259"/>
        <v>0</v>
      </c>
      <c r="BM419" s="32">
        <f t="shared" si="260"/>
        <v>0</v>
      </c>
      <c r="BN419" s="32">
        <f t="shared" si="261"/>
        <v>0</v>
      </c>
      <c r="BO419" s="32">
        <f t="shared" si="262"/>
        <v>0</v>
      </c>
      <c r="BP419" s="32">
        <f t="shared" si="263"/>
        <v>0</v>
      </c>
      <c r="BQ419" s="32">
        <f t="shared" si="264"/>
        <v>0</v>
      </c>
      <c r="BR419" s="32">
        <f t="shared" si="265"/>
        <v>0</v>
      </c>
      <c r="BS419" s="32">
        <f t="shared" si="266"/>
        <v>0</v>
      </c>
      <c r="BT419" s="40">
        <f t="shared" si="267"/>
        <v>0</v>
      </c>
    </row>
    <row r="420" spans="1:72">
      <c r="A420" s="6"/>
      <c r="B420" s="31"/>
      <c r="C420" s="31"/>
      <c r="D420" s="1629"/>
      <c r="E420" s="32">
        <f t="shared" si="239"/>
        <v>0</v>
      </c>
      <c r="F420" s="33"/>
      <c r="G420" s="34">
        <f t="shared" si="240"/>
        <v>0</v>
      </c>
      <c r="H420" s="35">
        <f t="shared" si="241"/>
        <v>0</v>
      </c>
      <c r="I420" s="36"/>
      <c r="J420" s="36"/>
      <c r="K420" s="36"/>
      <c r="L420" s="36"/>
      <c r="M420" s="36"/>
      <c r="N420" s="36"/>
      <c r="O420" s="36"/>
      <c r="P420" s="36"/>
      <c r="Q420" s="36"/>
      <c r="R420" s="36"/>
      <c r="S420" s="36"/>
      <c r="T420" s="36"/>
      <c r="U420" s="36"/>
      <c r="V420" s="36"/>
      <c r="W420" s="36"/>
      <c r="X420" s="36"/>
      <c r="Y420" s="36"/>
      <c r="Z420" s="36"/>
      <c r="AA420" s="36"/>
      <c r="AB420" s="36"/>
      <c r="AC420" s="32">
        <f t="shared" si="242"/>
        <v>0</v>
      </c>
      <c r="AD420" s="37"/>
      <c r="AE420" s="37"/>
      <c r="AF420" s="37"/>
      <c r="AG420" s="37"/>
      <c r="AH420" s="37"/>
      <c r="AI420" s="37"/>
      <c r="AJ420" s="37"/>
      <c r="AK420" s="37"/>
      <c r="AL420" s="37"/>
      <c r="AM420" s="37"/>
      <c r="AN420" s="37"/>
      <c r="AO420" s="37"/>
      <c r="AP420" s="37"/>
      <c r="AQ420" s="37"/>
      <c r="AR420" s="37"/>
      <c r="AS420" s="37"/>
      <c r="AT420" s="38"/>
      <c r="AU420" s="1630"/>
      <c r="AV420" s="1342">
        <f t="shared" si="243"/>
        <v>0</v>
      </c>
      <c r="AW420" s="1342">
        <f t="shared" si="244"/>
        <v>0</v>
      </c>
      <c r="AX420" s="1342">
        <f t="shared" si="245"/>
        <v>0</v>
      </c>
      <c r="AY420" s="39">
        <f t="shared" si="246"/>
        <v>0</v>
      </c>
      <c r="AZ420" s="32">
        <f t="shared" si="247"/>
        <v>0</v>
      </c>
      <c r="BA420" s="32">
        <f t="shared" si="248"/>
        <v>0</v>
      </c>
      <c r="BB420" s="32">
        <f t="shared" si="249"/>
        <v>0</v>
      </c>
      <c r="BC420" s="32">
        <f t="shared" si="250"/>
        <v>0</v>
      </c>
      <c r="BD420" s="32">
        <f t="shared" si="251"/>
        <v>0</v>
      </c>
      <c r="BE420" s="32">
        <f t="shared" si="252"/>
        <v>0</v>
      </c>
      <c r="BF420" s="32">
        <f t="shared" si="253"/>
        <v>0</v>
      </c>
      <c r="BG420" s="32">
        <f t="shared" si="254"/>
        <v>0</v>
      </c>
      <c r="BH420" s="32">
        <f t="shared" si="255"/>
        <v>0</v>
      </c>
      <c r="BI420" s="32">
        <f t="shared" si="256"/>
        <v>0</v>
      </c>
      <c r="BJ420" s="32">
        <f t="shared" si="257"/>
        <v>0</v>
      </c>
      <c r="BK420" s="32">
        <f t="shared" si="258"/>
        <v>0</v>
      </c>
      <c r="BL420" s="32">
        <f t="shared" si="259"/>
        <v>0</v>
      </c>
      <c r="BM420" s="32">
        <f t="shared" si="260"/>
        <v>0</v>
      </c>
      <c r="BN420" s="32">
        <f t="shared" si="261"/>
        <v>0</v>
      </c>
      <c r="BO420" s="32">
        <f t="shared" si="262"/>
        <v>0</v>
      </c>
      <c r="BP420" s="32">
        <f t="shared" si="263"/>
        <v>0</v>
      </c>
      <c r="BQ420" s="32">
        <f t="shared" si="264"/>
        <v>0</v>
      </c>
      <c r="BR420" s="32">
        <f t="shared" si="265"/>
        <v>0</v>
      </c>
      <c r="BS420" s="32">
        <f t="shared" si="266"/>
        <v>0</v>
      </c>
      <c r="BT420" s="40">
        <f t="shared" si="267"/>
        <v>0</v>
      </c>
    </row>
    <row r="421" spans="1:72">
      <c r="A421" s="6"/>
      <c r="B421" s="31"/>
      <c r="C421" s="31"/>
      <c r="D421" s="1629"/>
      <c r="E421" s="32">
        <f t="shared" si="239"/>
        <v>0</v>
      </c>
      <c r="F421" s="33"/>
      <c r="G421" s="34">
        <f t="shared" si="240"/>
        <v>0</v>
      </c>
      <c r="H421" s="35">
        <f t="shared" si="241"/>
        <v>0</v>
      </c>
      <c r="I421" s="36"/>
      <c r="J421" s="36"/>
      <c r="K421" s="36"/>
      <c r="L421" s="36"/>
      <c r="M421" s="36"/>
      <c r="N421" s="36"/>
      <c r="O421" s="36"/>
      <c r="P421" s="36"/>
      <c r="Q421" s="36"/>
      <c r="R421" s="36"/>
      <c r="S421" s="36"/>
      <c r="T421" s="36"/>
      <c r="U421" s="36"/>
      <c r="V421" s="36"/>
      <c r="W421" s="36"/>
      <c r="X421" s="36"/>
      <c r="Y421" s="36"/>
      <c r="Z421" s="36"/>
      <c r="AA421" s="36"/>
      <c r="AB421" s="36"/>
      <c r="AC421" s="32">
        <f t="shared" si="242"/>
        <v>0</v>
      </c>
      <c r="AD421" s="37"/>
      <c r="AE421" s="37"/>
      <c r="AF421" s="37"/>
      <c r="AG421" s="37"/>
      <c r="AH421" s="37"/>
      <c r="AI421" s="37"/>
      <c r="AJ421" s="37"/>
      <c r="AK421" s="37"/>
      <c r="AL421" s="37"/>
      <c r="AM421" s="37"/>
      <c r="AN421" s="37"/>
      <c r="AO421" s="37"/>
      <c r="AP421" s="37"/>
      <c r="AQ421" s="37"/>
      <c r="AR421" s="37"/>
      <c r="AS421" s="37"/>
      <c r="AT421" s="38"/>
      <c r="AU421" s="1630"/>
      <c r="AV421" s="1342">
        <f t="shared" si="243"/>
        <v>0</v>
      </c>
      <c r="AW421" s="1342">
        <f t="shared" si="244"/>
        <v>0</v>
      </c>
      <c r="AX421" s="1342">
        <f t="shared" si="245"/>
        <v>0</v>
      </c>
      <c r="AY421" s="39">
        <f t="shared" si="246"/>
        <v>0</v>
      </c>
      <c r="AZ421" s="32">
        <f t="shared" si="247"/>
        <v>0</v>
      </c>
      <c r="BA421" s="32">
        <f t="shared" si="248"/>
        <v>0</v>
      </c>
      <c r="BB421" s="32">
        <f t="shared" si="249"/>
        <v>0</v>
      </c>
      <c r="BC421" s="32">
        <f t="shared" si="250"/>
        <v>0</v>
      </c>
      <c r="BD421" s="32">
        <f t="shared" si="251"/>
        <v>0</v>
      </c>
      <c r="BE421" s="32">
        <f t="shared" si="252"/>
        <v>0</v>
      </c>
      <c r="BF421" s="32">
        <f t="shared" si="253"/>
        <v>0</v>
      </c>
      <c r="BG421" s="32">
        <f t="shared" si="254"/>
        <v>0</v>
      </c>
      <c r="BH421" s="32">
        <f t="shared" si="255"/>
        <v>0</v>
      </c>
      <c r="BI421" s="32">
        <f t="shared" si="256"/>
        <v>0</v>
      </c>
      <c r="BJ421" s="32">
        <f t="shared" si="257"/>
        <v>0</v>
      </c>
      <c r="BK421" s="32">
        <f t="shared" si="258"/>
        <v>0</v>
      </c>
      <c r="BL421" s="32">
        <f t="shared" si="259"/>
        <v>0</v>
      </c>
      <c r="BM421" s="32">
        <f t="shared" si="260"/>
        <v>0</v>
      </c>
      <c r="BN421" s="32">
        <f t="shared" si="261"/>
        <v>0</v>
      </c>
      <c r="BO421" s="32">
        <f t="shared" si="262"/>
        <v>0</v>
      </c>
      <c r="BP421" s="32">
        <f t="shared" si="263"/>
        <v>0</v>
      </c>
      <c r="BQ421" s="32">
        <f t="shared" si="264"/>
        <v>0</v>
      </c>
      <c r="BR421" s="32">
        <f t="shared" si="265"/>
        <v>0</v>
      </c>
      <c r="BS421" s="32">
        <f t="shared" si="266"/>
        <v>0</v>
      </c>
      <c r="BT421" s="40">
        <f t="shared" si="267"/>
        <v>0</v>
      </c>
    </row>
    <row r="422" spans="1:72">
      <c r="A422" s="6"/>
      <c r="B422" s="31"/>
      <c r="C422" s="31"/>
      <c r="D422" s="1629"/>
      <c r="E422" s="32">
        <f t="shared" si="239"/>
        <v>0</v>
      </c>
      <c r="F422" s="33"/>
      <c r="G422" s="34">
        <f t="shared" si="240"/>
        <v>0</v>
      </c>
      <c r="H422" s="35">
        <f t="shared" si="241"/>
        <v>0</v>
      </c>
      <c r="I422" s="36"/>
      <c r="J422" s="36"/>
      <c r="K422" s="36"/>
      <c r="L422" s="36"/>
      <c r="M422" s="36"/>
      <c r="N422" s="36"/>
      <c r="O422" s="36"/>
      <c r="P422" s="36"/>
      <c r="Q422" s="36"/>
      <c r="R422" s="36"/>
      <c r="S422" s="36"/>
      <c r="T422" s="36"/>
      <c r="U422" s="36"/>
      <c r="V422" s="36"/>
      <c r="W422" s="36"/>
      <c r="X422" s="36"/>
      <c r="Y422" s="36"/>
      <c r="Z422" s="36"/>
      <c r="AA422" s="36"/>
      <c r="AB422" s="36"/>
      <c r="AC422" s="32">
        <f t="shared" si="242"/>
        <v>0</v>
      </c>
      <c r="AD422" s="37"/>
      <c r="AE422" s="37"/>
      <c r="AF422" s="37"/>
      <c r="AG422" s="37"/>
      <c r="AH422" s="37"/>
      <c r="AI422" s="37"/>
      <c r="AJ422" s="37"/>
      <c r="AK422" s="37"/>
      <c r="AL422" s="37"/>
      <c r="AM422" s="37"/>
      <c r="AN422" s="37"/>
      <c r="AO422" s="37"/>
      <c r="AP422" s="37"/>
      <c r="AQ422" s="37"/>
      <c r="AR422" s="37"/>
      <c r="AS422" s="37"/>
      <c r="AT422" s="38"/>
      <c r="AU422" s="1630"/>
      <c r="AV422" s="1342">
        <f t="shared" si="243"/>
        <v>0</v>
      </c>
      <c r="AW422" s="1342">
        <f t="shared" si="244"/>
        <v>0</v>
      </c>
      <c r="AX422" s="1342">
        <f t="shared" si="245"/>
        <v>0</v>
      </c>
      <c r="AY422" s="39">
        <f t="shared" si="246"/>
        <v>0</v>
      </c>
      <c r="AZ422" s="32">
        <f t="shared" si="247"/>
        <v>0</v>
      </c>
      <c r="BA422" s="32">
        <f t="shared" si="248"/>
        <v>0</v>
      </c>
      <c r="BB422" s="32">
        <f t="shared" si="249"/>
        <v>0</v>
      </c>
      <c r="BC422" s="32">
        <f t="shared" si="250"/>
        <v>0</v>
      </c>
      <c r="BD422" s="32">
        <f t="shared" si="251"/>
        <v>0</v>
      </c>
      <c r="BE422" s="32">
        <f t="shared" si="252"/>
        <v>0</v>
      </c>
      <c r="BF422" s="32">
        <f t="shared" si="253"/>
        <v>0</v>
      </c>
      <c r="BG422" s="32">
        <f t="shared" si="254"/>
        <v>0</v>
      </c>
      <c r="BH422" s="32">
        <f t="shared" si="255"/>
        <v>0</v>
      </c>
      <c r="BI422" s="32">
        <f t="shared" si="256"/>
        <v>0</v>
      </c>
      <c r="BJ422" s="32">
        <f t="shared" si="257"/>
        <v>0</v>
      </c>
      <c r="BK422" s="32">
        <f t="shared" si="258"/>
        <v>0</v>
      </c>
      <c r="BL422" s="32">
        <f t="shared" si="259"/>
        <v>0</v>
      </c>
      <c r="BM422" s="32">
        <f t="shared" si="260"/>
        <v>0</v>
      </c>
      <c r="BN422" s="32">
        <f t="shared" si="261"/>
        <v>0</v>
      </c>
      <c r="BO422" s="32">
        <f t="shared" si="262"/>
        <v>0</v>
      </c>
      <c r="BP422" s="32">
        <f t="shared" si="263"/>
        <v>0</v>
      </c>
      <c r="BQ422" s="32">
        <f t="shared" si="264"/>
        <v>0</v>
      </c>
      <c r="BR422" s="32">
        <f t="shared" si="265"/>
        <v>0</v>
      </c>
      <c r="BS422" s="32">
        <f t="shared" si="266"/>
        <v>0</v>
      </c>
      <c r="BT422" s="40">
        <f t="shared" si="267"/>
        <v>0</v>
      </c>
    </row>
    <row r="423" spans="1:72">
      <c r="A423" s="6"/>
      <c r="B423" s="31"/>
      <c r="C423" s="31"/>
      <c r="D423" s="1629"/>
      <c r="E423" s="32">
        <f t="shared" si="239"/>
        <v>0</v>
      </c>
      <c r="F423" s="33"/>
      <c r="G423" s="34">
        <f t="shared" si="240"/>
        <v>0</v>
      </c>
      <c r="H423" s="35">
        <f t="shared" si="241"/>
        <v>0</v>
      </c>
      <c r="I423" s="36"/>
      <c r="J423" s="36"/>
      <c r="K423" s="36"/>
      <c r="L423" s="36"/>
      <c r="M423" s="36"/>
      <c r="N423" s="36"/>
      <c r="O423" s="36"/>
      <c r="P423" s="36"/>
      <c r="Q423" s="36"/>
      <c r="R423" s="36"/>
      <c r="S423" s="36"/>
      <c r="T423" s="36"/>
      <c r="U423" s="36"/>
      <c r="V423" s="36"/>
      <c r="W423" s="36"/>
      <c r="X423" s="36"/>
      <c r="Y423" s="36"/>
      <c r="Z423" s="36"/>
      <c r="AA423" s="36"/>
      <c r="AB423" s="36"/>
      <c r="AC423" s="32">
        <f t="shared" si="242"/>
        <v>0</v>
      </c>
      <c r="AD423" s="37"/>
      <c r="AE423" s="37"/>
      <c r="AF423" s="37"/>
      <c r="AG423" s="37"/>
      <c r="AH423" s="37"/>
      <c r="AI423" s="37"/>
      <c r="AJ423" s="37"/>
      <c r="AK423" s="37"/>
      <c r="AL423" s="37"/>
      <c r="AM423" s="37"/>
      <c r="AN423" s="37"/>
      <c r="AO423" s="37"/>
      <c r="AP423" s="37"/>
      <c r="AQ423" s="37"/>
      <c r="AR423" s="37"/>
      <c r="AS423" s="37"/>
      <c r="AT423" s="38"/>
      <c r="AU423" s="1630"/>
      <c r="AV423" s="1342">
        <f t="shared" si="243"/>
        <v>0</v>
      </c>
      <c r="AW423" s="1342">
        <f t="shared" si="244"/>
        <v>0</v>
      </c>
      <c r="AX423" s="1342">
        <f t="shared" si="245"/>
        <v>0</v>
      </c>
      <c r="AY423" s="39">
        <f t="shared" si="246"/>
        <v>0</v>
      </c>
      <c r="AZ423" s="32">
        <f t="shared" si="247"/>
        <v>0</v>
      </c>
      <c r="BA423" s="32">
        <f t="shared" si="248"/>
        <v>0</v>
      </c>
      <c r="BB423" s="32">
        <f t="shared" si="249"/>
        <v>0</v>
      </c>
      <c r="BC423" s="32">
        <f t="shared" si="250"/>
        <v>0</v>
      </c>
      <c r="BD423" s="32">
        <f t="shared" si="251"/>
        <v>0</v>
      </c>
      <c r="BE423" s="32">
        <f t="shared" si="252"/>
        <v>0</v>
      </c>
      <c r="BF423" s="32">
        <f t="shared" si="253"/>
        <v>0</v>
      </c>
      <c r="BG423" s="32">
        <f t="shared" si="254"/>
        <v>0</v>
      </c>
      <c r="BH423" s="32">
        <f t="shared" si="255"/>
        <v>0</v>
      </c>
      <c r="BI423" s="32">
        <f t="shared" si="256"/>
        <v>0</v>
      </c>
      <c r="BJ423" s="32">
        <f t="shared" si="257"/>
        <v>0</v>
      </c>
      <c r="BK423" s="32">
        <f t="shared" si="258"/>
        <v>0</v>
      </c>
      <c r="BL423" s="32">
        <f t="shared" si="259"/>
        <v>0</v>
      </c>
      <c r="BM423" s="32">
        <f t="shared" si="260"/>
        <v>0</v>
      </c>
      <c r="BN423" s="32">
        <f t="shared" si="261"/>
        <v>0</v>
      </c>
      <c r="BO423" s="32">
        <f t="shared" si="262"/>
        <v>0</v>
      </c>
      <c r="BP423" s="32">
        <f t="shared" si="263"/>
        <v>0</v>
      </c>
      <c r="BQ423" s="32">
        <f t="shared" si="264"/>
        <v>0</v>
      </c>
      <c r="BR423" s="32">
        <f t="shared" si="265"/>
        <v>0</v>
      </c>
      <c r="BS423" s="32">
        <f t="shared" si="266"/>
        <v>0</v>
      </c>
      <c r="BT423" s="40">
        <f t="shared" si="267"/>
        <v>0</v>
      </c>
    </row>
    <row r="424" spans="1:72">
      <c r="A424" s="6"/>
      <c r="B424" s="31"/>
      <c r="C424" s="31"/>
      <c r="D424" s="1629"/>
      <c r="E424" s="32">
        <f t="shared" si="239"/>
        <v>0</v>
      </c>
      <c r="F424" s="33"/>
      <c r="G424" s="34">
        <f t="shared" si="240"/>
        <v>0</v>
      </c>
      <c r="H424" s="35">
        <f t="shared" si="241"/>
        <v>0</v>
      </c>
      <c r="I424" s="36"/>
      <c r="J424" s="36"/>
      <c r="K424" s="36"/>
      <c r="L424" s="36"/>
      <c r="M424" s="36"/>
      <c r="N424" s="36"/>
      <c r="O424" s="36"/>
      <c r="P424" s="36"/>
      <c r="Q424" s="36"/>
      <c r="R424" s="36"/>
      <c r="S424" s="36"/>
      <c r="T424" s="36"/>
      <c r="U424" s="36"/>
      <c r="V424" s="36"/>
      <c r="W424" s="36"/>
      <c r="X424" s="36"/>
      <c r="Y424" s="36"/>
      <c r="Z424" s="36"/>
      <c r="AA424" s="36"/>
      <c r="AB424" s="36"/>
      <c r="AC424" s="32">
        <f t="shared" si="242"/>
        <v>0</v>
      </c>
      <c r="AD424" s="37"/>
      <c r="AE424" s="37"/>
      <c r="AF424" s="37"/>
      <c r="AG424" s="37"/>
      <c r="AH424" s="37"/>
      <c r="AI424" s="37"/>
      <c r="AJ424" s="37"/>
      <c r="AK424" s="37"/>
      <c r="AL424" s="37"/>
      <c r="AM424" s="37"/>
      <c r="AN424" s="37"/>
      <c r="AO424" s="37"/>
      <c r="AP424" s="37"/>
      <c r="AQ424" s="37"/>
      <c r="AR424" s="37"/>
      <c r="AS424" s="37"/>
      <c r="AT424" s="38"/>
      <c r="AU424" s="1630"/>
      <c r="AV424" s="1342">
        <f t="shared" si="243"/>
        <v>0</v>
      </c>
      <c r="AW424" s="1342">
        <f t="shared" si="244"/>
        <v>0</v>
      </c>
      <c r="AX424" s="1342">
        <f t="shared" si="245"/>
        <v>0</v>
      </c>
      <c r="AY424" s="39">
        <f t="shared" si="246"/>
        <v>0</v>
      </c>
      <c r="AZ424" s="32">
        <f t="shared" si="247"/>
        <v>0</v>
      </c>
      <c r="BA424" s="32">
        <f t="shared" si="248"/>
        <v>0</v>
      </c>
      <c r="BB424" s="32">
        <f t="shared" si="249"/>
        <v>0</v>
      </c>
      <c r="BC424" s="32">
        <f t="shared" si="250"/>
        <v>0</v>
      </c>
      <c r="BD424" s="32">
        <f t="shared" si="251"/>
        <v>0</v>
      </c>
      <c r="BE424" s="32">
        <f t="shared" si="252"/>
        <v>0</v>
      </c>
      <c r="BF424" s="32">
        <f t="shared" si="253"/>
        <v>0</v>
      </c>
      <c r="BG424" s="32">
        <f t="shared" si="254"/>
        <v>0</v>
      </c>
      <c r="BH424" s="32">
        <f t="shared" si="255"/>
        <v>0</v>
      </c>
      <c r="BI424" s="32">
        <f t="shared" si="256"/>
        <v>0</v>
      </c>
      <c r="BJ424" s="32">
        <f t="shared" si="257"/>
        <v>0</v>
      </c>
      <c r="BK424" s="32">
        <f t="shared" si="258"/>
        <v>0</v>
      </c>
      <c r="BL424" s="32">
        <f t="shared" si="259"/>
        <v>0</v>
      </c>
      <c r="BM424" s="32">
        <f t="shared" si="260"/>
        <v>0</v>
      </c>
      <c r="BN424" s="32">
        <f t="shared" si="261"/>
        <v>0</v>
      </c>
      <c r="BO424" s="32">
        <f t="shared" si="262"/>
        <v>0</v>
      </c>
      <c r="BP424" s="32">
        <f t="shared" si="263"/>
        <v>0</v>
      </c>
      <c r="BQ424" s="32">
        <f t="shared" si="264"/>
        <v>0</v>
      </c>
      <c r="BR424" s="32">
        <f t="shared" si="265"/>
        <v>0</v>
      </c>
      <c r="BS424" s="32">
        <f t="shared" si="266"/>
        <v>0</v>
      </c>
      <c r="BT424" s="40">
        <f t="shared" si="267"/>
        <v>0</v>
      </c>
    </row>
    <row r="425" spans="1:72">
      <c r="A425" s="6"/>
      <c r="B425" s="31"/>
      <c r="C425" s="31"/>
      <c r="D425" s="1629"/>
      <c r="E425" s="32">
        <f t="shared" si="239"/>
        <v>0</v>
      </c>
      <c r="F425" s="33"/>
      <c r="G425" s="34">
        <f t="shared" si="240"/>
        <v>0</v>
      </c>
      <c r="H425" s="35">
        <f t="shared" si="241"/>
        <v>0</v>
      </c>
      <c r="I425" s="36"/>
      <c r="J425" s="36"/>
      <c r="K425" s="36"/>
      <c r="L425" s="36"/>
      <c r="M425" s="36"/>
      <c r="N425" s="36"/>
      <c r="O425" s="36"/>
      <c r="P425" s="36"/>
      <c r="Q425" s="36"/>
      <c r="R425" s="36"/>
      <c r="S425" s="36"/>
      <c r="T425" s="36"/>
      <c r="U425" s="36"/>
      <c r="V425" s="36"/>
      <c r="W425" s="36"/>
      <c r="X425" s="36"/>
      <c r="Y425" s="36"/>
      <c r="Z425" s="36"/>
      <c r="AA425" s="36"/>
      <c r="AB425" s="36"/>
      <c r="AC425" s="32">
        <f t="shared" si="242"/>
        <v>0</v>
      </c>
      <c r="AD425" s="37"/>
      <c r="AE425" s="37"/>
      <c r="AF425" s="37"/>
      <c r="AG425" s="37"/>
      <c r="AH425" s="37"/>
      <c r="AI425" s="37"/>
      <c r="AJ425" s="37"/>
      <c r="AK425" s="37"/>
      <c r="AL425" s="37"/>
      <c r="AM425" s="37"/>
      <c r="AN425" s="37"/>
      <c r="AO425" s="37"/>
      <c r="AP425" s="37"/>
      <c r="AQ425" s="37"/>
      <c r="AR425" s="37"/>
      <c r="AS425" s="37"/>
      <c r="AT425" s="38"/>
      <c r="AU425" s="1630"/>
      <c r="AV425" s="1342">
        <f t="shared" si="243"/>
        <v>0</v>
      </c>
      <c r="AW425" s="1342">
        <f t="shared" si="244"/>
        <v>0</v>
      </c>
      <c r="AX425" s="1342">
        <f t="shared" si="245"/>
        <v>0</v>
      </c>
      <c r="AY425" s="39">
        <f t="shared" si="246"/>
        <v>0</v>
      </c>
      <c r="AZ425" s="32">
        <f t="shared" si="247"/>
        <v>0</v>
      </c>
      <c r="BA425" s="32">
        <f t="shared" si="248"/>
        <v>0</v>
      </c>
      <c r="BB425" s="32">
        <f t="shared" si="249"/>
        <v>0</v>
      </c>
      <c r="BC425" s="32">
        <f t="shared" si="250"/>
        <v>0</v>
      </c>
      <c r="BD425" s="32">
        <f t="shared" si="251"/>
        <v>0</v>
      </c>
      <c r="BE425" s="32">
        <f t="shared" si="252"/>
        <v>0</v>
      </c>
      <c r="BF425" s="32">
        <f t="shared" si="253"/>
        <v>0</v>
      </c>
      <c r="BG425" s="32">
        <f t="shared" si="254"/>
        <v>0</v>
      </c>
      <c r="BH425" s="32">
        <f t="shared" si="255"/>
        <v>0</v>
      </c>
      <c r="BI425" s="32">
        <f t="shared" si="256"/>
        <v>0</v>
      </c>
      <c r="BJ425" s="32">
        <f t="shared" si="257"/>
        <v>0</v>
      </c>
      <c r="BK425" s="32">
        <f t="shared" si="258"/>
        <v>0</v>
      </c>
      <c r="BL425" s="32">
        <f t="shared" si="259"/>
        <v>0</v>
      </c>
      <c r="BM425" s="32">
        <f t="shared" si="260"/>
        <v>0</v>
      </c>
      <c r="BN425" s="32">
        <f t="shared" si="261"/>
        <v>0</v>
      </c>
      <c r="BO425" s="32">
        <f t="shared" si="262"/>
        <v>0</v>
      </c>
      <c r="BP425" s="32">
        <f t="shared" si="263"/>
        <v>0</v>
      </c>
      <c r="BQ425" s="32">
        <f t="shared" si="264"/>
        <v>0</v>
      </c>
      <c r="BR425" s="32">
        <f t="shared" si="265"/>
        <v>0</v>
      </c>
      <c r="BS425" s="32">
        <f t="shared" si="266"/>
        <v>0</v>
      </c>
      <c r="BT425" s="40">
        <f t="shared" si="267"/>
        <v>0</v>
      </c>
    </row>
    <row r="426" spans="1:72">
      <c r="A426" s="6"/>
      <c r="B426" s="31"/>
      <c r="C426" s="31"/>
      <c r="D426" s="1629"/>
      <c r="E426" s="32">
        <f t="shared" si="239"/>
        <v>0</v>
      </c>
      <c r="F426" s="33"/>
      <c r="G426" s="34">
        <f t="shared" si="240"/>
        <v>0</v>
      </c>
      <c r="H426" s="35">
        <f t="shared" si="241"/>
        <v>0</v>
      </c>
      <c r="I426" s="36"/>
      <c r="J426" s="36"/>
      <c r="K426" s="36"/>
      <c r="L426" s="36"/>
      <c r="M426" s="36"/>
      <c r="N426" s="36"/>
      <c r="O426" s="36"/>
      <c r="P426" s="36"/>
      <c r="Q426" s="36"/>
      <c r="R426" s="36"/>
      <c r="S426" s="36"/>
      <c r="T426" s="36"/>
      <c r="U426" s="36"/>
      <c r="V426" s="36"/>
      <c r="W426" s="36"/>
      <c r="X426" s="36"/>
      <c r="Y426" s="36"/>
      <c r="Z426" s="36"/>
      <c r="AA426" s="36"/>
      <c r="AB426" s="36"/>
      <c r="AC426" s="32">
        <f t="shared" si="242"/>
        <v>0</v>
      </c>
      <c r="AD426" s="37"/>
      <c r="AE426" s="37"/>
      <c r="AF426" s="37"/>
      <c r="AG426" s="37"/>
      <c r="AH426" s="37"/>
      <c r="AI426" s="37"/>
      <c r="AJ426" s="37"/>
      <c r="AK426" s="37"/>
      <c r="AL426" s="37"/>
      <c r="AM426" s="37"/>
      <c r="AN426" s="37"/>
      <c r="AO426" s="37"/>
      <c r="AP426" s="37"/>
      <c r="AQ426" s="37"/>
      <c r="AR426" s="37"/>
      <c r="AS426" s="37"/>
      <c r="AT426" s="38"/>
      <c r="AU426" s="1630"/>
      <c r="AV426" s="1342">
        <f t="shared" si="243"/>
        <v>0</v>
      </c>
      <c r="AW426" s="1342">
        <f t="shared" si="244"/>
        <v>0</v>
      </c>
      <c r="AX426" s="1342">
        <f t="shared" si="245"/>
        <v>0</v>
      </c>
      <c r="AY426" s="39">
        <f t="shared" si="246"/>
        <v>0</v>
      </c>
      <c r="AZ426" s="32">
        <f t="shared" si="247"/>
        <v>0</v>
      </c>
      <c r="BA426" s="32">
        <f t="shared" si="248"/>
        <v>0</v>
      </c>
      <c r="BB426" s="32">
        <f t="shared" si="249"/>
        <v>0</v>
      </c>
      <c r="BC426" s="32">
        <f t="shared" si="250"/>
        <v>0</v>
      </c>
      <c r="BD426" s="32">
        <f t="shared" si="251"/>
        <v>0</v>
      </c>
      <c r="BE426" s="32">
        <f t="shared" si="252"/>
        <v>0</v>
      </c>
      <c r="BF426" s="32">
        <f t="shared" si="253"/>
        <v>0</v>
      </c>
      <c r="BG426" s="32">
        <f t="shared" si="254"/>
        <v>0</v>
      </c>
      <c r="BH426" s="32">
        <f t="shared" si="255"/>
        <v>0</v>
      </c>
      <c r="BI426" s="32">
        <f t="shared" si="256"/>
        <v>0</v>
      </c>
      <c r="BJ426" s="32">
        <f t="shared" si="257"/>
        <v>0</v>
      </c>
      <c r="BK426" s="32">
        <f t="shared" si="258"/>
        <v>0</v>
      </c>
      <c r="BL426" s="32">
        <f t="shared" si="259"/>
        <v>0</v>
      </c>
      <c r="BM426" s="32">
        <f t="shared" si="260"/>
        <v>0</v>
      </c>
      <c r="BN426" s="32">
        <f t="shared" si="261"/>
        <v>0</v>
      </c>
      <c r="BO426" s="32">
        <f t="shared" si="262"/>
        <v>0</v>
      </c>
      <c r="BP426" s="32">
        <f t="shared" si="263"/>
        <v>0</v>
      </c>
      <c r="BQ426" s="32">
        <f t="shared" si="264"/>
        <v>0</v>
      </c>
      <c r="BR426" s="32">
        <f t="shared" si="265"/>
        <v>0</v>
      </c>
      <c r="BS426" s="32">
        <f t="shared" si="266"/>
        <v>0</v>
      </c>
      <c r="BT426" s="40">
        <f t="shared" si="267"/>
        <v>0</v>
      </c>
    </row>
    <row r="427" spans="1:72">
      <c r="A427" s="6"/>
      <c r="B427" s="31"/>
      <c r="C427" s="31"/>
      <c r="D427" s="1629"/>
      <c r="E427" s="32">
        <f t="shared" si="239"/>
        <v>0</v>
      </c>
      <c r="F427" s="33"/>
      <c r="G427" s="34">
        <f t="shared" si="240"/>
        <v>0</v>
      </c>
      <c r="H427" s="35">
        <f t="shared" si="241"/>
        <v>0</v>
      </c>
      <c r="I427" s="36"/>
      <c r="J427" s="36"/>
      <c r="K427" s="36"/>
      <c r="L427" s="36"/>
      <c r="M427" s="36"/>
      <c r="N427" s="36"/>
      <c r="O427" s="36"/>
      <c r="P427" s="36"/>
      <c r="Q427" s="36"/>
      <c r="R427" s="36"/>
      <c r="S427" s="36"/>
      <c r="T427" s="36"/>
      <c r="U427" s="36"/>
      <c r="V427" s="36"/>
      <c r="W427" s="36"/>
      <c r="X427" s="36"/>
      <c r="Y427" s="36"/>
      <c r="Z427" s="36"/>
      <c r="AA427" s="36"/>
      <c r="AB427" s="36"/>
      <c r="AC427" s="32">
        <f t="shared" si="242"/>
        <v>0</v>
      </c>
      <c r="AD427" s="37"/>
      <c r="AE427" s="37"/>
      <c r="AF427" s="37"/>
      <c r="AG427" s="37"/>
      <c r="AH427" s="37"/>
      <c r="AI427" s="37"/>
      <c r="AJ427" s="37"/>
      <c r="AK427" s="37"/>
      <c r="AL427" s="37"/>
      <c r="AM427" s="37"/>
      <c r="AN427" s="37"/>
      <c r="AO427" s="37"/>
      <c r="AP427" s="37"/>
      <c r="AQ427" s="37"/>
      <c r="AR427" s="37"/>
      <c r="AS427" s="37"/>
      <c r="AT427" s="38"/>
      <c r="AU427" s="1630"/>
      <c r="AV427" s="1342">
        <f t="shared" si="243"/>
        <v>0</v>
      </c>
      <c r="AW427" s="1342">
        <f t="shared" si="244"/>
        <v>0</v>
      </c>
      <c r="AX427" s="1342">
        <f t="shared" si="245"/>
        <v>0</v>
      </c>
      <c r="AY427" s="39">
        <f t="shared" si="246"/>
        <v>0</v>
      </c>
      <c r="AZ427" s="32">
        <f t="shared" si="247"/>
        <v>0</v>
      </c>
      <c r="BA427" s="32">
        <f t="shared" si="248"/>
        <v>0</v>
      </c>
      <c r="BB427" s="32">
        <f t="shared" si="249"/>
        <v>0</v>
      </c>
      <c r="BC427" s="32">
        <f t="shared" si="250"/>
        <v>0</v>
      </c>
      <c r="BD427" s="32">
        <f t="shared" si="251"/>
        <v>0</v>
      </c>
      <c r="BE427" s="32">
        <f t="shared" si="252"/>
        <v>0</v>
      </c>
      <c r="BF427" s="32">
        <f t="shared" si="253"/>
        <v>0</v>
      </c>
      <c r="BG427" s="32">
        <f t="shared" si="254"/>
        <v>0</v>
      </c>
      <c r="BH427" s="32">
        <f t="shared" si="255"/>
        <v>0</v>
      </c>
      <c r="BI427" s="32">
        <f t="shared" si="256"/>
        <v>0</v>
      </c>
      <c r="BJ427" s="32">
        <f t="shared" si="257"/>
        <v>0</v>
      </c>
      <c r="BK427" s="32">
        <f t="shared" si="258"/>
        <v>0</v>
      </c>
      <c r="BL427" s="32">
        <f t="shared" si="259"/>
        <v>0</v>
      </c>
      <c r="BM427" s="32">
        <f t="shared" si="260"/>
        <v>0</v>
      </c>
      <c r="BN427" s="32">
        <f t="shared" si="261"/>
        <v>0</v>
      </c>
      <c r="BO427" s="32">
        <f t="shared" si="262"/>
        <v>0</v>
      </c>
      <c r="BP427" s="32">
        <f t="shared" si="263"/>
        <v>0</v>
      </c>
      <c r="BQ427" s="32">
        <f t="shared" si="264"/>
        <v>0</v>
      </c>
      <c r="BR427" s="32">
        <f t="shared" si="265"/>
        <v>0</v>
      </c>
      <c r="BS427" s="32">
        <f t="shared" si="266"/>
        <v>0</v>
      </c>
      <c r="BT427" s="40">
        <f t="shared" si="267"/>
        <v>0</v>
      </c>
    </row>
    <row r="428" spans="1:72">
      <c r="A428" s="6"/>
      <c r="B428" s="31"/>
      <c r="C428" s="31"/>
      <c r="D428" s="1629"/>
      <c r="E428" s="32">
        <f t="shared" si="239"/>
        <v>0</v>
      </c>
      <c r="F428" s="33"/>
      <c r="G428" s="34">
        <f t="shared" si="240"/>
        <v>0</v>
      </c>
      <c r="H428" s="35">
        <f t="shared" si="241"/>
        <v>0</v>
      </c>
      <c r="I428" s="36"/>
      <c r="J428" s="36"/>
      <c r="K428" s="36"/>
      <c r="L428" s="36"/>
      <c r="M428" s="36"/>
      <c r="N428" s="36"/>
      <c r="O428" s="36"/>
      <c r="P428" s="36"/>
      <c r="Q428" s="36"/>
      <c r="R428" s="36"/>
      <c r="S428" s="36"/>
      <c r="T428" s="36"/>
      <c r="U428" s="36"/>
      <c r="V428" s="36"/>
      <c r="W428" s="36"/>
      <c r="X428" s="36"/>
      <c r="Y428" s="36"/>
      <c r="Z428" s="36"/>
      <c r="AA428" s="36"/>
      <c r="AB428" s="36"/>
      <c r="AC428" s="32">
        <f t="shared" si="242"/>
        <v>0</v>
      </c>
      <c r="AD428" s="37"/>
      <c r="AE428" s="37"/>
      <c r="AF428" s="37"/>
      <c r="AG428" s="37"/>
      <c r="AH428" s="37"/>
      <c r="AI428" s="37"/>
      <c r="AJ428" s="37"/>
      <c r="AK428" s="37"/>
      <c r="AL428" s="37"/>
      <c r="AM428" s="37"/>
      <c r="AN428" s="37"/>
      <c r="AO428" s="37"/>
      <c r="AP428" s="37"/>
      <c r="AQ428" s="37"/>
      <c r="AR428" s="37"/>
      <c r="AS428" s="37"/>
      <c r="AT428" s="38"/>
      <c r="AU428" s="1630"/>
      <c r="AV428" s="1342">
        <f t="shared" si="243"/>
        <v>0</v>
      </c>
      <c r="AW428" s="1342">
        <f t="shared" si="244"/>
        <v>0</v>
      </c>
      <c r="AX428" s="1342">
        <f t="shared" si="245"/>
        <v>0</v>
      </c>
      <c r="AY428" s="39">
        <f t="shared" si="246"/>
        <v>0</v>
      </c>
      <c r="AZ428" s="32">
        <f t="shared" si="247"/>
        <v>0</v>
      </c>
      <c r="BA428" s="32">
        <f t="shared" si="248"/>
        <v>0</v>
      </c>
      <c r="BB428" s="32">
        <f t="shared" si="249"/>
        <v>0</v>
      </c>
      <c r="BC428" s="32">
        <f t="shared" si="250"/>
        <v>0</v>
      </c>
      <c r="BD428" s="32">
        <f t="shared" si="251"/>
        <v>0</v>
      </c>
      <c r="BE428" s="32">
        <f t="shared" si="252"/>
        <v>0</v>
      </c>
      <c r="BF428" s="32">
        <f t="shared" si="253"/>
        <v>0</v>
      </c>
      <c r="BG428" s="32">
        <f t="shared" si="254"/>
        <v>0</v>
      </c>
      <c r="BH428" s="32">
        <f t="shared" si="255"/>
        <v>0</v>
      </c>
      <c r="BI428" s="32">
        <f t="shared" si="256"/>
        <v>0</v>
      </c>
      <c r="BJ428" s="32">
        <f t="shared" si="257"/>
        <v>0</v>
      </c>
      <c r="BK428" s="32">
        <f t="shared" si="258"/>
        <v>0</v>
      </c>
      <c r="BL428" s="32">
        <f t="shared" si="259"/>
        <v>0</v>
      </c>
      <c r="BM428" s="32">
        <f t="shared" si="260"/>
        <v>0</v>
      </c>
      <c r="BN428" s="32">
        <f t="shared" si="261"/>
        <v>0</v>
      </c>
      <c r="BO428" s="32">
        <f t="shared" si="262"/>
        <v>0</v>
      </c>
      <c r="BP428" s="32">
        <f t="shared" si="263"/>
        <v>0</v>
      </c>
      <c r="BQ428" s="32">
        <f t="shared" si="264"/>
        <v>0</v>
      </c>
      <c r="BR428" s="32">
        <f t="shared" si="265"/>
        <v>0</v>
      </c>
      <c r="BS428" s="32">
        <f t="shared" si="266"/>
        <v>0</v>
      </c>
      <c r="BT428" s="40">
        <f t="shared" si="267"/>
        <v>0</v>
      </c>
    </row>
    <row r="429" spans="1:72">
      <c r="A429" s="6"/>
      <c r="B429" s="31"/>
      <c r="C429" s="31"/>
      <c r="D429" s="1629"/>
      <c r="E429" s="32">
        <f t="shared" si="239"/>
        <v>0</v>
      </c>
      <c r="F429" s="33"/>
      <c r="G429" s="34">
        <f t="shared" si="240"/>
        <v>0</v>
      </c>
      <c r="H429" s="35">
        <f t="shared" si="241"/>
        <v>0</v>
      </c>
      <c r="I429" s="36"/>
      <c r="J429" s="36"/>
      <c r="K429" s="36"/>
      <c r="L429" s="36"/>
      <c r="M429" s="36"/>
      <c r="N429" s="36"/>
      <c r="O429" s="36"/>
      <c r="P429" s="36"/>
      <c r="Q429" s="36"/>
      <c r="R429" s="36"/>
      <c r="S429" s="36"/>
      <c r="T429" s="36"/>
      <c r="U429" s="36"/>
      <c r="V429" s="36"/>
      <c r="W429" s="36"/>
      <c r="X429" s="36"/>
      <c r="Y429" s="36"/>
      <c r="Z429" s="36"/>
      <c r="AA429" s="36"/>
      <c r="AB429" s="36"/>
      <c r="AC429" s="32">
        <f t="shared" si="242"/>
        <v>0</v>
      </c>
      <c r="AD429" s="37"/>
      <c r="AE429" s="37"/>
      <c r="AF429" s="37"/>
      <c r="AG429" s="37"/>
      <c r="AH429" s="37"/>
      <c r="AI429" s="37"/>
      <c r="AJ429" s="37"/>
      <c r="AK429" s="37"/>
      <c r="AL429" s="37"/>
      <c r="AM429" s="37"/>
      <c r="AN429" s="37"/>
      <c r="AO429" s="37"/>
      <c r="AP429" s="37"/>
      <c r="AQ429" s="37"/>
      <c r="AR429" s="37"/>
      <c r="AS429" s="37"/>
      <c r="AT429" s="38"/>
      <c r="AU429" s="1630"/>
      <c r="AV429" s="1342">
        <f t="shared" si="243"/>
        <v>0</v>
      </c>
      <c r="AW429" s="1342">
        <f t="shared" si="244"/>
        <v>0</v>
      </c>
      <c r="AX429" s="1342">
        <f t="shared" si="245"/>
        <v>0</v>
      </c>
      <c r="AY429" s="39">
        <f t="shared" si="246"/>
        <v>0</v>
      </c>
      <c r="AZ429" s="32">
        <f t="shared" si="247"/>
        <v>0</v>
      </c>
      <c r="BA429" s="32">
        <f t="shared" si="248"/>
        <v>0</v>
      </c>
      <c r="BB429" s="32">
        <f t="shared" si="249"/>
        <v>0</v>
      </c>
      <c r="BC429" s="32">
        <f t="shared" si="250"/>
        <v>0</v>
      </c>
      <c r="BD429" s="32">
        <f t="shared" si="251"/>
        <v>0</v>
      </c>
      <c r="BE429" s="32">
        <f t="shared" si="252"/>
        <v>0</v>
      </c>
      <c r="BF429" s="32">
        <f t="shared" si="253"/>
        <v>0</v>
      </c>
      <c r="BG429" s="32">
        <f t="shared" si="254"/>
        <v>0</v>
      </c>
      <c r="BH429" s="32">
        <f t="shared" si="255"/>
        <v>0</v>
      </c>
      <c r="BI429" s="32">
        <f t="shared" si="256"/>
        <v>0</v>
      </c>
      <c r="BJ429" s="32">
        <f t="shared" si="257"/>
        <v>0</v>
      </c>
      <c r="BK429" s="32">
        <f t="shared" si="258"/>
        <v>0</v>
      </c>
      <c r="BL429" s="32">
        <f t="shared" si="259"/>
        <v>0</v>
      </c>
      <c r="BM429" s="32">
        <f t="shared" si="260"/>
        <v>0</v>
      </c>
      <c r="BN429" s="32">
        <f t="shared" si="261"/>
        <v>0</v>
      </c>
      <c r="BO429" s="32">
        <f t="shared" si="262"/>
        <v>0</v>
      </c>
      <c r="BP429" s="32">
        <f t="shared" si="263"/>
        <v>0</v>
      </c>
      <c r="BQ429" s="32">
        <f t="shared" si="264"/>
        <v>0</v>
      </c>
      <c r="BR429" s="32">
        <f t="shared" si="265"/>
        <v>0</v>
      </c>
      <c r="BS429" s="32">
        <f t="shared" si="266"/>
        <v>0</v>
      </c>
      <c r="BT429" s="40">
        <f t="shared" si="267"/>
        <v>0</v>
      </c>
    </row>
    <row r="430" spans="1:72">
      <c r="A430" s="6"/>
      <c r="B430" s="31"/>
      <c r="C430" s="31"/>
      <c r="D430" s="1629"/>
      <c r="E430" s="32">
        <f t="shared" si="239"/>
        <v>0</v>
      </c>
      <c r="F430" s="33"/>
      <c r="G430" s="34">
        <f t="shared" si="240"/>
        <v>0</v>
      </c>
      <c r="H430" s="35">
        <f t="shared" si="241"/>
        <v>0</v>
      </c>
      <c r="I430" s="36"/>
      <c r="J430" s="36"/>
      <c r="K430" s="36"/>
      <c r="L430" s="36"/>
      <c r="M430" s="36"/>
      <c r="N430" s="36"/>
      <c r="O430" s="36"/>
      <c r="P430" s="36"/>
      <c r="Q430" s="36"/>
      <c r="R430" s="36"/>
      <c r="S430" s="36"/>
      <c r="T430" s="36"/>
      <c r="U430" s="36"/>
      <c r="V430" s="36"/>
      <c r="W430" s="36"/>
      <c r="X430" s="36"/>
      <c r="Y430" s="36"/>
      <c r="Z430" s="36"/>
      <c r="AA430" s="36"/>
      <c r="AB430" s="36"/>
      <c r="AC430" s="32">
        <f t="shared" si="242"/>
        <v>0</v>
      </c>
      <c r="AD430" s="37"/>
      <c r="AE430" s="37"/>
      <c r="AF430" s="37"/>
      <c r="AG430" s="37"/>
      <c r="AH430" s="37"/>
      <c r="AI430" s="37"/>
      <c r="AJ430" s="37"/>
      <c r="AK430" s="37"/>
      <c r="AL430" s="37"/>
      <c r="AM430" s="37"/>
      <c r="AN430" s="37"/>
      <c r="AO430" s="37"/>
      <c r="AP430" s="37"/>
      <c r="AQ430" s="37"/>
      <c r="AR430" s="37"/>
      <c r="AS430" s="37"/>
      <c r="AT430" s="38"/>
      <c r="AU430" s="1630"/>
      <c r="AV430" s="1342">
        <f t="shared" si="243"/>
        <v>0</v>
      </c>
      <c r="AW430" s="1342">
        <f t="shared" si="244"/>
        <v>0</v>
      </c>
      <c r="AX430" s="1342">
        <f t="shared" si="245"/>
        <v>0</v>
      </c>
      <c r="AY430" s="39">
        <f t="shared" si="246"/>
        <v>0</v>
      </c>
      <c r="AZ430" s="32">
        <f t="shared" si="247"/>
        <v>0</v>
      </c>
      <c r="BA430" s="32">
        <f t="shared" si="248"/>
        <v>0</v>
      </c>
      <c r="BB430" s="32">
        <f t="shared" si="249"/>
        <v>0</v>
      </c>
      <c r="BC430" s="32">
        <f t="shared" si="250"/>
        <v>0</v>
      </c>
      <c r="BD430" s="32">
        <f t="shared" si="251"/>
        <v>0</v>
      </c>
      <c r="BE430" s="32">
        <f t="shared" si="252"/>
        <v>0</v>
      </c>
      <c r="BF430" s="32">
        <f t="shared" si="253"/>
        <v>0</v>
      </c>
      <c r="BG430" s="32">
        <f t="shared" si="254"/>
        <v>0</v>
      </c>
      <c r="BH430" s="32">
        <f t="shared" si="255"/>
        <v>0</v>
      </c>
      <c r="BI430" s="32">
        <f t="shared" si="256"/>
        <v>0</v>
      </c>
      <c r="BJ430" s="32">
        <f t="shared" si="257"/>
        <v>0</v>
      </c>
      <c r="BK430" s="32">
        <f t="shared" si="258"/>
        <v>0</v>
      </c>
      <c r="BL430" s="32">
        <f t="shared" si="259"/>
        <v>0</v>
      </c>
      <c r="BM430" s="32">
        <f t="shared" si="260"/>
        <v>0</v>
      </c>
      <c r="BN430" s="32">
        <f t="shared" si="261"/>
        <v>0</v>
      </c>
      <c r="BO430" s="32">
        <f t="shared" si="262"/>
        <v>0</v>
      </c>
      <c r="BP430" s="32">
        <f t="shared" si="263"/>
        <v>0</v>
      </c>
      <c r="BQ430" s="32">
        <f t="shared" si="264"/>
        <v>0</v>
      </c>
      <c r="BR430" s="32">
        <f t="shared" si="265"/>
        <v>0</v>
      </c>
      <c r="BS430" s="32">
        <f t="shared" si="266"/>
        <v>0</v>
      </c>
      <c r="BT430" s="40">
        <f t="shared" si="267"/>
        <v>0</v>
      </c>
    </row>
    <row r="431" spans="1:72">
      <c r="A431" s="6"/>
      <c r="B431" s="31"/>
      <c r="C431" s="31"/>
      <c r="D431" s="1629"/>
      <c r="E431" s="32">
        <f t="shared" si="239"/>
        <v>0</v>
      </c>
      <c r="F431" s="33"/>
      <c r="G431" s="34">
        <f t="shared" si="240"/>
        <v>0</v>
      </c>
      <c r="H431" s="35">
        <f t="shared" si="241"/>
        <v>0</v>
      </c>
      <c r="I431" s="36"/>
      <c r="J431" s="36"/>
      <c r="K431" s="36"/>
      <c r="L431" s="36"/>
      <c r="M431" s="36"/>
      <c r="N431" s="36"/>
      <c r="O431" s="36"/>
      <c r="P431" s="36"/>
      <c r="Q431" s="36"/>
      <c r="R431" s="36"/>
      <c r="S431" s="36"/>
      <c r="T431" s="36"/>
      <c r="U431" s="36"/>
      <c r="V431" s="36"/>
      <c r="W431" s="36"/>
      <c r="X431" s="36"/>
      <c r="Y431" s="36"/>
      <c r="Z431" s="36"/>
      <c r="AA431" s="36"/>
      <c r="AB431" s="36"/>
      <c r="AC431" s="32">
        <f t="shared" si="242"/>
        <v>0</v>
      </c>
      <c r="AD431" s="37"/>
      <c r="AE431" s="37"/>
      <c r="AF431" s="37"/>
      <c r="AG431" s="37"/>
      <c r="AH431" s="37"/>
      <c r="AI431" s="37"/>
      <c r="AJ431" s="37"/>
      <c r="AK431" s="37"/>
      <c r="AL431" s="37"/>
      <c r="AM431" s="37"/>
      <c r="AN431" s="37"/>
      <c r="AO431" s="37"/>
      <c r="AP431" s="37"/>
      <c r="AQ431" s="37"/>
      <c r="AR431" s="37"/>
      <c r="AS431" s="37"/>
      <c r="AT431" s="38"/>
      <c r="AU431" s="1630"/>
      <c r="AV431" s="1342">
        <f t="shared" si="243"/>
        <v>0</v>
      </c>
      <c r="AW431" s="1342">
        <f t="shared" si="244"/>
        <v>0</v>
      </c>
      <c r="AX431" s="1342">
        <f t="shared" si="245"/>
        <v>0</v>
      </c>
      <c r="AY431" s="39">
        <f t="shared" si="246"/>
        <v>0</v>
      </c>
      <c r="AZ431" s="32">
        <f t="shared" si="247"/>
        <v>0</v>
      </c>
      <c r="BA431" s="32">
        <f t="shared" si="248"/>
        <v>0</v>
      </c>
      <c r="BB431" s="32">
        <f t="shared" si="249"/>
        <v>0</v>
      </c>
      <c r="BC431" s="32">
        <f t="shared" si="250"/>
        <v>0</v>
      </c>
      <c r="BD431" s="32">
        <f t="shared" si="251"/>
        <v>0</v>
      </c>
      <c r="BE431" s="32">
        <f t="shared" si="252"/>
        <v>0</v>
      </c>
      <c r="BF431" s="32">
        <f t="shared" si="253"/>
        <v>0</v>
      </c>
      <c r="BG431" s="32">
        <f t="shared" si="254"/>
        <v>0</v>
      </c>
      <c r="BH431" s="32">
        <f t="shared" si="255"/>
        <v>0</v>
      </c>
      <c r="BI431" s="32">
        <f t="shared" si="256"/>
        <v>0</v>
      </c>
      <c r="BJ431" s="32">
        <f t="shared" si="257"/>
        <v>0</v>
      </c>
      <c r="BK431" s="32">
        <f t="shared" si="258"/>
        <v>0</v>
      </c>
      <c r="BL431" s="32">
        <f t="shared" si="259"/>
        <v>0</v>
      </c>
      <c r="BM431" s="32">
        <f t="shared" si="260"/>
        <v>0</v>
      </c>
      <c r="BN431" s="32">
        <f t="shared" si="261"/>
        <v>0</v>
      </c>
      <c r="BO431" s="32">
        <f t="shared" si="262"/>
        <v>0</v>
      </c>
      <c r="BP431" s="32">
        <f t="shared" si="263"/>
        <v>0</v>
      </c>
      <c r="BQ431" s="32">
        <f t="shared" si="264"/>
        <v>0</v>
      </c>
      <c r="BR431" s="32">
        <f t="shared" si="265"/>
        <v>0</v>
      </c>
      <c r="BS431" s="32">
        <f t="shared" si="266"/>
        <v>0</v>
      </c>
      <c r="BT431" s="40">
        <f t="shared" si="267"/>
        <v>0</v>
      </c>
    </row>
    <row r="432" spans="1:72">
      <c r="A432" s="6"/>
      <c r="B432" s="31"/>
      <c r="C432" s="31"/>
      <c r="D432" s="1629"/>
      <c r="E432" s="32">
        <f t="shared" si="239"/>
        <v>0</v>
      </c>
      <c r="F432" s="33"/>
      <c r="G432" s="34">
        <f t="shared" si="240"/>
        <v>0</v>
      </c>
      <c r="H432" s="35">
        <f t="shared" si="241"/>
        <v>0</v>
      </c>
      <c r="I432" s="36"/>
      <c r="J432" s="36"/>
      <c r="K432" s="36"/>
      <c r="L432" s="36"/>
      <c r="M432" s="36"/>
      <c r="N432" s="36"/>
      <c r="O432" s="36"/>
      <c r="P432" s="36"/>
      <c r="Q432" s="36"/>
      <c r="R432" s="36"/>
      <c r="S432" s="36"/>
      <c r="T432" s="36"/>
      <c r="U432" s="36"/>
      <c r="V432" s="36"/>
      <c r="W432" s="36"/>
      <c r="X432" s="36"/>
      <c r="Y432" s="36"/>
      <c r="Z432" s="36"/>
      <c r="AA432" s="36"/>
      <c r="AB432" s="36"/>
      <c r="AC432" s="32">
        <f t="shared" si="242"/>
        <v>0</v>
      </c>
      <c r="AD432" s="37"/>
      <c r="AE432" s="37"/>
      <c r="AF432" s="37"/>
      <c r="AG432" s="37"/>
      <c r="AH432" s="37"/>
      <c r="AI432" s="37"/>
      <c r="AJ432" s="37"/>
      <c r="AK432" s="37"/>
      <c r="AL432" s="37"/>
      <c r="AM432" s="37"/>
      <c r="AN432" s="37"/>
      <c r="AO432" s="37"/>
      <c r="AP432" s="37"/>
      <c r="AQ432" s="37"/>
      <c r="AR432" s="37"/>
      <c r="AS432" s="37"/>
      <c r="AT432" s="38"/>
      <c r="AU432" s="1630"/>
      <c r="AV432" s="1342">
        <f t="shared" si="243"/>
        <v>0</v>
      </c>
      <c r="AW432" s="1342">
        <f t="shared" si="244"/>
        <v>0</v>
      </c>
      <c r="AX432" s="1342">
        <f t="shared" si="245"/>
        <v>0</v>
      </c>
      <c r="AY432" s="39">
        <f t="shared" si="246"/>
        <v>0</v>
      </c>
      <c r="AZ432" s="32">
        <f t="shared" si="247"/>
        <v>0</v>
      </c>
      <c r="BA432" s="32">
        <f t="shared" si="248"/>
        <v>0</v>
      </c>
      <c r="BB432" s="32">
        <f t="shared" si="249"/>
        <v>0</v>
      </c>
      <c r="BC432" s="32">
        <f t="shared" si="250"/>
        <v>0</v>
      </c>
      <c r="BD432" s="32">
        <f t="shared" si="251"/>
        <v>0</v>
      </c>
      <c r="BE432" s="32">
        <f t="shared" si="252"/>
        <v>0</v>
      </c>
      <c r="BF432" s="32">
        <f t="shared" si="253"/>
        <v>0</v>
      </c>
      <c r="BG432" s="32">
        <f t="shared" si="254"/>
        <v>0</v>
      </c>
      <c r="BH432" s="32">
        <f t="shared" si="255"/>
        <v>0</v>
      </c>
      <c r="BI432" s="32">
        <f t="shared" si="256"/>
        <v>0</v>
      </c>
      <c r="BJ432" s="32">
        <f t="shared" si="257"/>
        <v>0</v>
      </c>
      <c r="BK432" s="32">
        <f t="shared" si="258"/>
        <v>0</v>
      </c>
      <c r="BL432" s="32">
        <f t="shared" si="259"/>
        <v>0</v>
      </c>
      <c r="BM432" s="32">
        <f t="shared" si="260"/>
        <v>0</v>
      </c>
      <c r="BN432" s="32">
        <f t="shared" si="261"/>
        <v>0</v>
      </c>
      <c r="BO432" s="32">
        <f t="shared" si="262"/>
        <v>0</v>
      </c>
      <c r="BP432" s="32">
        <f t="shared" si="263"/>
        <v>0</v>
      </c>
      <c r="BQ432" s="32">
        <f t="shared" si="264"/>
        <v>0</v>
      </c>
      <c r="BR432" s="32">
        <f t="shared" si="265"/>
        <v>0</v>
      </c>
      <c r="BS432" s="32">
        <f t="shared" si="266"/>
        <v>0</v>
      </c>
      <c r="BT432" s="40">
        <f t="shared" si="267"/>
        <v>0</v>
      </c>
    </row>
    <row r="433" spans="1:72">
      <c r="A433" s="6"/>
      <c r="B433" s="31"/>
      <c r="C433" s="31"/>
      <c r="D433" s="1629"/>
      <c r="E433" s="32">
        <f t="shared" si="239"/>
        <v>0</v>
      </c>
      <c r="F433" s="33"/>
      <c r="G433" s="34">
        <f t="shared" si="240"/>
        <v>0</v>
      </c>
      <c r="H433" s="35">
        <f t="shared" si="241"/>
        <v>0</v>
      </c>
      <c r="I433" s="36"/>
      <c r="J433" s="36"/>
      <c r="K433" s="36"/>
      <c r="L433" s="36"/>
      <c r="M433" s="36"/>
      <c r="N433" s="36"/>
      <c r="O433" s="36"/>
      <c r="P433" s="36"/>
      <c r="Q433" s="36"/>
      <c r="R433" s="36"/>
      <c r="S433" s="36"/>
      <c r="T433" s="36"/>
      <c r="U433" s="36"/>
      <c r="V433" s="36"/>
      <c r="W433" s="36"/>
      <c r="X433" s="36"/>
      <c r="Y433" s="36"/>
      <c r="Z433" s="36"/>
      <c r="AA433" s="36"/>
      <c r="AB433" s="36"/>
      <c r="AC433" s="32">
        <f t="shared" si="242"/>
        <v>0</v>
      </c>
      <c r="AD433" s="37"/>
      <c r="AE433" s="37"/>
      <c r="AF433" s="37"/>
      <c r="AG433" s="37"/>
      <c r="AH433" s="37"/>
      <c r="AI433" s="37"/>
      <c r="AJ433" s="37"/>
      <c r="AK433" s="37"/>
      <c r="AL433" s="37"/>
      <c r="AM433" s="37"/>
      <c r="AN433" s="37"/>
      <c r="AO433" s="37"/>
      <c r="AP433" s="37"/>
      <c r="AQ433" s="37"/>
      <c r="AR433" s="37"/>
      <c r="AS433" s="37"/>
      <c r="AT433" s="38"/>
      <c r="AU433" s="1630"/>
      <c r="AV433" s="1342">
        <f t="shared" si="243"/>
        <v>0</v>
      </c>
      <c r="AW433" s="1342">
        <f t="shared" si="244"/>
        <v>0</v>
      </c>
      <c r="AX433" s="1342">
        <f t="shared" si="245"/>
        <v>0</v>
      </c>
      <c r="AY433" s="39">
        <f t="shared" si="246"/>
        <v>0</v>
      </c>
      <c r="AZ433" s="32">
        <f t="shared" si="247"/>
        <v>0</v>
      </c>
      <c r="BA433" s="32">
        <f t="shared" si="248"/>
        <v>0</v>
      </c>
      <c r="BB433" s="32">
        <f t="shared" si="249"/>
        <v>0</v>
      </c>
      <c r="BC433" s="32">
        <f t="shared" si="250"/>
        <v>0</v>
      </c>
      <c r="BD433" s="32">
        <f t="shared" si="251"/>
        <v>0</v>
      </c>
      <c r="BE433" s="32">
        <f t="shared" si="252"/>
        <v>0</v>
      </c>
      <c r="BF433" s="32">
        <f t="shared" si="253"/>
        <v>0</v>
      </c>
      <c r="BG433" s="32">
        <f t="shared" si="254"/>
        <v>0</v>
      </c>
      <c r="BH433" s="32">
        <f t="shared" si="255"/>
        <v>0</v>
      </c>
      <c r="BI433" s="32">
        <f t="shared" si="256"/>
        <v>0</v>
      </c>
      <c r="BJ433" s="32">
        <f t="shared" si="257"/>
        <v>0</v>
      </c>
      <c r="BK433" s="32">
        <f t="shared" si="258"/>
        <v>0</v>
      </c>
      <c r="BL433" s="32">
        <f t="shared" si="259"/>
        <v>0</v>
      </c>
      <c r="BM433" s="32">
        <f t="shared" si="260"/>
        <v>0</v>
      </c>
      <c r="BN433" s="32">
        <f t="shared" si="261"/>
        <v>0</v>
      </c>
      <c r="BO433" s="32">
        <f t="shared" si="262"/>
        <v>0</v>
      </c>
      <c r="BP433" s="32">
        <f t="shared" si="263"/>
        <v>0</v>
      </c>
      <c r="BQ433" s="32">
        <f t="shared" si="264"/>
        <v>0</v>
      </c>
      <c r="BR433" s="32">
        <f t="shared" si="265"/>
        <v>0</v>
      </c>
      <c r="BS433" s="32">
        <f t="shared" si="266"/>
        <v>0</v>
      </c>
      <c r="BT433" s="40">
        <f t="shared" si="267"/>
        <v>0</v>
      </c>
    </row>
    <row r="434" spans="1:72">
      <c r="A434" s="6"/>
      <c r="B434" s="31"/>
      <c r="C434" s="31"/>
      <c r="D434" s="1629"/>
      <c r="E434" s="32">
        <f t="shared" si="239"/>
        <v>0</v>
      </c>
      <c r="F434" s="33"/>
      <c r="G434" s="34">
        <f t="shared" si="240"/>
        <v>0</v>
      </c>
      <c r="H434" s="35">
        <f t="shared" si="241"/>
        <v>0</v>
      </c>
      <c r="I434" s="36"/>
      <c r="J434" s="36"/>
      <c r="K434" s="36"/>
      <c r="L434" s="36"/>
      <c r="M434" s="36"/>
      <c r="N434" s="36"/>
      <c r="O434" s="36"/>
      <c r="P434" s="36"/>
      <c r="Q434" s="36"/>
      <c r="R434" s="36"/>
      <c r="S434" s="36"/>
      <c r="T434" s="36"/>
      <c r="U434" s="36"/>
      <c r="V434" s="36"/>
      <c r="W434" s="36"/>
      <c r="X434" s="36"/>
      <c r="Y434" s="36"/>
      <c r="Z434" s="36"/>
      <c r="AA434" s="36"/>
      <c r="AB434" s="36"/>
      <c r="AC434" s="32">
        <f t="shared" si="242"/>
        <v>0</v>
      </c>
      <c r="AD434" s="37"/>
      <c r="AE434" s="37"/>
      <c r="AF434" s="37"/>
      <c r="AG434" s="37"/>
      <c r="AH434" s="37"/>
      <c r="AI434" s="37"/>
      <c r="AJ434" s="37"/>
      <c r="AK434" s="37"/>
      <c r="AL434" s="37"/>
      <c r="AM434" s="37"/>
      <c r="AN434" s="37"/>
      <c r="AO434" s="37"/>
      <c r="AP434" s="37"/>
      <c r="AQ434" s="37"/>
      <c r="AR434" s="37"/>
      <c r="AS434" s="37"/>
      <c r="AT434" s="38"/>
      <c r="AU434" s="1630"/>
      <c r="AV434" s="1342">
        <f t="shared" si="243"/>
        <v>0</v>
      </c>
      <c r="AW434" s="1342">
        <f t="shared" si="244"/>
        <v>0</v>
      </c>
      <c r="AX434" s="1342">
        <f t="shared" si="245"/>
        <v>0</v>
      </c>
      <c r="AY434" s="39">
        <f t="shared" si="246"/>
        <v>0</v>
      </c>
      <c r="AZ434" s="32">
        <f t="shared" si="247"/>
        <v>0</v>
      </c>
      <c r="BA434" s="32">
        <f t="shared" si="248"/>
        <v>0</v>
      </c>
      <c r="BB434" s="32">
        <f t="shared" si="249"/>
        <v>0</v>
      </c>
      <c r="BC434" s="32">
        <f t="shared" si="250"/>
        <v>0</v>
      </c>
      <c r="BD434" s="32">
        <f t="shared" si="251"/>
        <v>0</v>
      </c>
      <c r="BE434" s="32">
        <f t="shared" si="252"/>
        <v>0</v>
      </c>
      <c r="BF434" s="32">
        <f t="shared" si="253"/>
        <v>0</v>
      </c>
      <c r="BG434" s="32">
        <f t="shared" si="254"/>
        <v>0</v>
      </c>
      <c r="BH434" s="32">
        <f t="shared" si="255"/>
        <v>0</v>
      </c>
      <c r="BI434" s="32">
        <f t="shared" si="256"/>
        <v>0</v>
      </c>
      <c r="BJ434" s="32">
        <f t="shared" si="257"/>
        <v>0</v>
      </c>
      <c r="BK434" s="32">
        <f t="shared" si="258"/>
        <v>0</v>
      </c>
      <c r="BL434" s="32">
        <f t="shared" si="259"/>
        <v>0</v>
      </c>
      <c r="BM434" s="32">
        <f t="shared" si="260"/>
        <v>0</v>
      </c>
      <c r="BN434" s="32">
        <f t="shared" si="261"/>
        <v>0</v>
      </c>
      <c r="BO434" s="32">
        <f t="shared" si="262"/>
        <v>0</v>
      </c>
      <c r="BP434" s="32">
        <f t="shared" si="263"/>
        <v>0</v>
      </c>
      <c r="BQ434" s="32">
        <f t="shared" si="264"/>
        <v>0</v>
      </c>
      <c r="BR434" s="32">
        <f t="shared" si="265"/>
        <v>0</v>
      </c>
      <c r="BS434" s="32">
        <f t="shared" si="266"/>
        <v>0</v>
      </c>
      <c r="BT434" s="40">
        <f t="shared" si="267"/>
        <v>0</v>
      </c>
    </row>
    <row r="435" spans="1:72">
      <c r="A435" s="6"/>
      <c r="B435" s="31"/>
      <c r="C435" s="31"/>
      <c r="D435" s="1629"/>
      <c r="E435" s="32">
        <f t="shared" si="239"/>
        <v>0</v>
      </c>
      <c r="F435" s="33"/>
      <c r="G435" s="34">
        <f t="shared" si="240"/>
        <v>0</v>
      </c>
      <c r="H435" s="35">
        <f t="shared" si="241"/>
        <v>0</v>
      </c>
      <c r="I435" s="36"/>
      <c r="J435" s="36"/>
      <c r="K435" s="36"/>
      <c r="L435" s="36"/>
      <c r="M435" s="36"/>
      <c r="N435" s="36"/>
      <c r="O435" s="36"/>
      <c r="P435" s="36"/>
      <c r="Q435" s="36"/>
      <c r="R435" s="36"/>
      <c r="S435" s="36"/>
      <c r="T435" s="36"/>
      <c r="U435" s="36"/>
      <c r="V435" s="36"/>
      <c r="W435" s="36"/>
      <c r="X435" s="36"/>
      <c r="Y435" s="36"/>
      <c r="Z435" s="36"/>
      <c r="AA435" s="36"/>
      <c r="AB435" s="36"/>
      <c r="AC435" s="32">
        <f t="shared" si="242"/>
        <v>0</v>
      </c>
      <c r="AD435" s="37"/>
      <c r="AE435" s="37"/>
      <c r="AF435" s="37"/>
      <c r="AG435" s="37"/>
      <c r="AH435" s="37"/>
      <c r="AI435" s="37"/>
      <c r="AJ435" s="37"/>
      <c r="AK435" s="37"/>
      <c r="AL435" s="37"/>
      <c r="AM435" s="37"/>
      <c r="AN435" s="37"/>
      <c r="AO435" s="37"/>
      <c r="AP435" s="37"/>
      <c r="AQ435" s="37"/>
      <c r="AR435" s="37"/>
      <c r="AS435" s="37"/>
      <c r="AT435" s="38"/>
      <c r="AU435" s="1630"/>
      <c r="AV435" s="1342">
        <f t="shared" si="243"/>
        <v>0</v>
      </c>
      <c r="AW435" s="1342">
        <f t="shared" si="244"/>
        <v>0</v>
      </c>
      <c r="AX435" s="1342">
        <f t="shared" si="245"/>
        <v>0</v>
      </c>
      <c r="AY435" s="39">
        <f t="shared" si="246"/>
        <v>0</v>
      </c>
      <c r="AZ435" s="32">
        <f t="shared" si="247"/>
        <v>0</v>
      </c>
      <c r="BA435" s="32">
        <f t="shared" si="248"/>
        <v>0</v>
      </c>
      <c r="BB435" s="32">
        <f t="shared" si="249"/>
        <v>0</v>
      </c>
      <c r="BC435" s="32">
        <f t="shared" si="250"/>
        <v>0</v>
      </c>
      <c r="BD435" s="32">
        <f t="shared" si="251"/>
        <v>0</v>
      </c>
      <c r="BE435" s="32">
        <f t="shared" si="252"/>
        <v>0</v>
      </c>
      <c r="BF435" s="32">
        <f t="shared" si="253"/>
        <v>0</v>
      </c>
      <c r="BG435" s="32">
        <f t="shared" si="254"/>
        <v>0</v>
      </c>
      <c r="BH435" s="32">
        <f t="shared" si="255"/>
        <v>0</v>
      </c>
      <c r="BI435" s="32">
        <f t="shared" si="256"/>
        <v>0</v>
      </c>
      <c r="BJ435" s="32">
        <f t="shared" si="257"/>
        <v>0</v>
      </c>
      <c r="BK435" s="32">
        <f t="shared" si="258"/>
        <v>0</v>
      </c>
      <c r="BL435" s="32">
        <f t="shared" si="259"/>
        <v>0</v>
      </c>
      <c r="BM435" s="32">
        <f t="shared" si="260"/>
        <v>0</v>
      </c>
      <c r="BN435" s="32">
        <f t="shared" si="261"/>
        <v>0</v>
      </c>
      <c r="BO435" s="32">
        <f t="shared" si="262"/>
        <v>0</v>
      </c>
      <c r="BP435" s="32">
        <f t="shared" si="263"/>
        <v>0</v>
      </c>
      <c r="BQ435" s="32">
        <f t="shared" si="264"/>
        <v>0</v>
      </c>
      <c r="BR435" s="32">
        <f t="shared" si="265"/>
        <v>0</v>
      </c>
      <c r="BS435" s="32">
        <f t="shared" si="266"/>
        <v>0</v>
      </c>
      <c r="BT435" s="40">
        <f t="shared" si="267"/>
        <v>0</v>
      </c>
    </row>
    <row r="436" spans="1:72">
      <c r="A436" s="6"/>
      <c r="B436" s="31"/>
      <c r="C436" s="31"/>
      <c r="D436" s="1629"/>
      <c r="E436" s="32">
        <f t="shared" si="239"/>
        <v>0</v>
      </c>
      <c r="F436" s="33"/>
      <c r="G436" s="34">
        <f t="shared" si="240"/>
        <v>0</v>
      </c>
      <c r="H436" s="35">
        <f t="shared" si="241"/>
        <v>0</v>
      </c>
      <c r="I436" s="36"/>
      <c r="J436" s="36"/>
      <c r="K436" s="36"/>
      <c r="L436" s="36"/>
      <c r="M436" s="36"/>
      <c r="N436" s="36"/>
      <c r="O436" s="36"/>
      <c r="P436" s="36"/>
      <c r="Q436" s="36"/>
      <c r="R436" s="36"/>
      <c r="S436" s="36"/>
      <c r="T436" s="36"/>
      <c r="U436" s="36"/>
      <c r="V436" s="36"/>
      <c r="W436" s="36"/>
      <c r="X436" s="36"/>
      <c r="Y436" s="36"/>
      <c r="Z436" s="36"/>
      <c r="AA436" s="36"/>
      <c r="AB436" s="36"/>
      <c r="AC436" s="32">
        <f t="shared" si="242"/>
        <v>0</v>
      </c>
      <c r="AD436" s="37"/>
      <c r="AE436" s="37"/>
      <c r="AF436" s="37"/>
      <c r="AG436" s="37"/>
      <c r="AH436" s="37"/>
      <c r="AI436" s="37"/>
      <c r="AJ436" s="37"/>
      <c r="AK436" s="37"/>
      <c r="AL436" s="37"/>
      <c r="AM436" s="37"/>
      <c r="AN436" s="37"/>
      <c r="AO436" s="37"/>
      <c r="AP436" s="37"/>
      <c r="AQ436" s="37"/>
      <c r="AR436" s="37"/>
      <c r="AS436" s="37"/>
      <c r="AT436" s="38"/>
      <c r="AU436" s="1630"/>
      <c r="AV436" s="1342">
        <f t="shared" si="243"/>
        <v>0</v>
      </c>
      <c r="AW436" s="1342">
        <f t="shared" si="244"/>
        <v>0</v>
      </c>
      <c r="AX436" s="1342">
        <f t="shared" si="245"/>
        <v>0</v>
      </c>
      <c r="AY436" s="39">
        <f t="shared" si="246"/>
        <v>0</v>
      </c>
      <c r="AZ436" s="32">
        <f t="shared" si="247"/>
        <v>0</v>
      </c>
      <c r="BA436" s="32">
        <f t="shared" si="248"/>
        <v>0</v>
      </c>
      <c r="BB436" s="32">
        <f t="shared" si="249"/>
        <v>0</v>
      </c>
      <c r="BC436" s="32">
        <f t="shared" si="250"/>
        <v>0</v>
      </c>
      <c r="BD436" s="32">
        <f t="shared" si="251"/>
        <v>0</v>
      </c>
      <c r="BE436" s="32">
        <f t="shared" si="252"/>
        <v>0</v>
      </c>
      <c r="BF436" s="32">
        <f t="shared" si="253"/>
        <v>0</v>
      </c>
      <c r="BG436" s="32">
        <f t="shared" si="254"/>
        <v>0</v>
      </c>
      <c r="BH436" s="32">
        <f t="shared" si="255"/>
        <v>0</v>
      </c>
      <c r="BI436" s="32">
        <f t="shared" si="256"/>
        <v>0</v>
      </c>
      <c r="BJ436" s="32">
        <f t="shared" si="257"/>
        <v>0</v>
      </c>
      <c r="BK436" s="32">
        <f t="shared" si="258"/>
        <v>0</v>
      </c>
      <c r="BL436" s="32">
        <f t="shared" si="259"/>
        <v>0</v>
      </c>
      <c r="BM436" s="32">
        <f t="shared" si="260"/>
        <v>0</v>
      </c>
      <c r="BN436" s="32">
        <f t="shared" si="261"/>
        <v>0</v>
      </c>
      <c r="BO436" s="32">
        <f t="shared" si="262"/>
        <v>0</v>
      </c>
      <c r="BP436" s="32">
        <f t="shared" si="263"/>
        <v>0</v>
      </c>
      <c r="BQ436" s="32">
        <f t="shared" si="264"/>
        <v>0</v>
      </c>
      <c r="BR436" s="32">
        <f t="shared" si="265"/>
        <v>0</v>
      </c>
      <c r="BS436" s="32">
        <f t="shared" si="266"/>
        <v>0</v>
      </c>
      <c r="BT436" s="40">
        <f t="shared" si="267"/>
        <v>0</v>
      </c>
    </row>
    <row r="437" spans="1:72">
      <c r="A437" s="6"/>
      <c r="B437" s="31"/>
      <c r="C437" s="31"/>
      <c r="D437" s="1629"/>
      <c r="E437" s="32">
        <f t="shared" si="239"/>
        <v>0</v>
      </c>
      <c r="F437" s="33"/>
      <c r="G437" s="34">
        <f t="shared" si="240"/>
        <v>0</v>
      </c>
      <c r="H437" s="35">
        <f t="shared" si="241"/>
        <v>0</v>
      </c>
      <c r="I437" s="36"/>
      <c r="J437" s="36"/>
      <c r="K437" s="36"/>
      <c r="L437" s="36"/>
      <c r="M437" s="36"/>
      <c r="N437" s="36"/>
      <c r="O437" s="36"/>
      <c r="P437" s="36"/>
      <c r="Q437" s="36"/>
      <c r="R437" s="36"/>
      <c r="S437" s="36"/>
      <c r="T437" s="36"/>
      <c r="U437" s="36"/>
      <c r="V437" s="36"/>
      <c r="W437" s="36"/>
      <c r="X437" s="36"/>
      <c r="Y437" s="36"/>
      <c r="Z437" s="36"/>
      <c r="AA437" s="36"/>
      <c r="AB437" s="36"/>
      <c r="AC437" s="32">
        <f t="shared" si="242"/>
        <v>0</v>
      </c>
      <c r="AD437" s="37"/>
      <c r="AE437" s="37"/>
      <c r="AF437" s="37"/>
      <c r="AG437" s="37"/>
      <c r="AH437" s="37"/>
      <c r="AI437" s="37"/>
      <c r="AJ437" s="37"/>
      <c r="AK437" s="37"/>
      <c r="AL437" s="37"/>
      <c r="AM437" s="37"/>
      <c r="AN437" s="37"/>
      <c r="AO437" s="37"/>
      <c r="AP437" s="37"/>
      <c r="AQ437" s="37"/>
      <c r="AR437" s="37"/>
      <c r="AS437" s="37"/>
      <c r="AT437" s="38"/>
      <c r="AU437" s="1630"/>
      <c r="AV437" s="1342">
        <f t="shared" si="243"/>
        <v>0</v>
      </c>
      <c r="AW437" s="1342">
        <f t="shared" si="244"/>
        <v>0</v>
      </c>
      <c r="AX437" s="1342">
        <f t="shared" si="245"/>
        <v>0</v>
      </c>
      <c r="AY437" s="39">
        <f t="shared" si="246"/>
        <v>0</v>
      </c>
      <c r="AZ437" s="32">
        <f t="shared" si="247"/>
        <v>0</v>
      </c>
      <c r="BA437" s="32">
        <f t="shared" si="248"/>
        <v>0</v>
      </c>
      <c r="BB437" s="32">
        <f t="shared" si="249"/>
        <v>0</v>
      </c>
      <c r="BC437" s="32">
        <f t="shared" si="250"/>
        <v>0</v>
      </c>
      <c r="BD437" s="32">
        <f t="shared" si="251"/>
        <v>0</v>
      </c>
      <c r="BE437" s="32">
        <f t="shared" si="252"/>
        <v>0</v>
      </c>
      <c r="BF437" s="32">
        <f t="shared" si="253"/>
        <v>0</v>
      </c>
      <c r="BG437" s="32">
        <f t="shared" si="254"/>
        <v>0</v>
      </c>
      <c r="BH437" s="32">
        <f t="shared" si="255"/>
        <v>0</v>
      </c>
      <c r="BI437" s="32">
        <f t="shared" si="256"/>
        <v>0</v>
      </c>
      <c r="BJ437" s="32">
        <f t="shared" si="257"/>
        <v>0</v>
      </c>
      <c r="BK437" s="32">
        <f t="shared" si="258"/>
        <v>0</v>
      </c>
      <c r="BL437" s="32">
        <f t="shared" si="259"/>
        <v>0</v>
      </c>
      <c r="BM437" s="32">
        <f t="shared" si="260"/>
        <v>0</v>
      </c>
      <c r="BN437" s="32">
        <f t="shared" si="261"/>
        <v>0</v>
      </c>
      <c r="BO437" s="32">
        <f t="shared" si="262"/>
        <v>0</v>
      </c>
      <c r="BP437" s="32">
        <f t="shared" si="263"/>
        <v>0</v>
      </c>
      <c r="BQ437" s="32">
        <f t="shared" si="264"/>
        <v>0</v>
      </c>
      <c r="BR437" s="32">
        <f t="shared" si="265"/>
        <v>0</v>
      </c>
      <c r="BS437" s="32">
        <f t="shared" si="266"/>
        <v>0</v>
      </c>
      <c r="BT437" s="40">
        <f t="shared" si="267"/>
        <v>0</v>
      </c>
    </row>
    <row r="438" spans="1:72">
      <c r="A438" s="6"/>
      <c r="B438" s="31"/>
      <c r="C438" s="31"/>
      <c r="D438" s="1629"/>
      <c r="E438" s="32">
        <f t="shared" si="239"/>
        <v>0</v>
      </c>
      <c r="F438" s="33"/>
      <c r="G438" s="34">
        <f t="shared" si="240"/>
        <v>0</v>
      </c>
      <c r="H438" s="35">
        <f t="shared" si="241"/>
        <v>0</v>
      </c>
      <c r="I438" s="36"/>
      <c r="J438" s="36"/>
      <c r="K438" s="36"/>
      <c r="L438" s="36"/>
      <c r="M438" s="36"/>
      <c r="N438" s="36"/>
      <c r="O438" s="36"/>
      <c r="P438" s="36"/>
      <c r="Q438" s="36"/>
      <c r="R438" s="36"/>
      <c r="S438" s="36"/>
      <c r="T438" s="36"/>
      <c r="U438" s="36"/>
      <c r="V438" s="36"/>
      <c r="W438" s="36"/>
      <c r="X438" s="36"/>
      <c r="Y438" s="36"/>
      <c r="Z438" s="36"/>
      <c r="AA438" s="36"/>
      <c r="AB438" s="36"/>
      <c r="AC438" s="32">
        <f t="shared" si="242"/>
        <v>0</v>
      </c>
      <c r="AD438" s="37"/>
      <c r="AE438" s="37"/>
      <c r="AF438" s="37"/>
      <c r="AG438" s="37"/>
      <c r="AH438" s="37"/>
      <c r="AI438" s="37"/>
      <c r="AJ438" s="37"/>
      <c r="AK438" s="37"/>
      <c r="AL438" s="37"/>
      <c r="AM438" s="37"/>
      <c r="AN438" s="37"/>
      <c r="AO438" s="37"/>
      <c r="AP438" s="37"/>
      <c r="AQ438" s="37"/>
      <c r="AR438" s="37"/>
      <c r="AS438" s="37"/>
      <c r="AT438" s="38"/>
      <c r="AU438" s="1630"/>
      <c r="AV438" s="1342">
        <f t="shared" si="243"/>
        <v>0</v>
      </c>
      <c r="AW438" s="1342">
        <f t="shared" si="244"/>
        <v>0</v>
      </c>
      <c r="AX438" s="1342">
        <f t="shared" si="245"/>
        <v>0</v>
      </c>
      <c r="AY438" s="39">
        <f t="shared" si="246"/>
        <v>0</v>
      </c>
      <c r="AZ438" s="32">
        <f t="shared" si="247"/>
        <v>0</v>
      </c>
      <c r="BA438" s="32">
        <f t="shared" si="248"/>
        <v>0</v>
      </c>
      <c r="BB438" s="32">
        <f t="shared" si="249"/>
        <v>0</v>
      </c>
      <c r="BC438" s="32">
        <f t="shared" si="250"/>
        <v>0</v>
      </c>
      <c r="BD438" s="32">
        <f t="shared" si="251"/>
        <v>0</v>
      </c>
      <c r="BE438" s="32">
        <f t="shared" si="252"/>
        <v>0</v>
      </c>
      <c r="BF438" s="32">
        <f t="shared" si="253"/>
        <v>0</v>
      </c>
      <c r="BG438" s="32">
        <f t="shared" si="254"/>
        <v>0</v>
      </c>
      <c r="BH438" s="32">
        <f t="shared" si="255"/>
        <v>0</v>
      </c>
      <c r="BI438" s="32">
        <f t="shared" si="256"/>
        <v>0</v>
      </c>
      <c r="BJ438" s="32">
        <f t="shared" si="257"/>
        <v>0</v>
      </c>
      <c r="BK438" s="32">
        <f t="shared" si="258"/>
        <v>0</v>
      </c>
      <c r="BL438" s="32">
        <f t="shared" si="259"/>
        <v>0</v>
      </c>
      <c r="BM438" s="32">
        <f t="shared" si="260"/>
        <v>0</v>
      </c>
      <c r="BN438" s="32">
        <f t="shared" si="261"/>
        <v>0</v>
      </c>
      <c r="BO438" s="32">
        <f t="shared" si="262"/>
        <v>0</v>
      </c>
      <c r="BP438" s="32">
        <f t="shared" si="263"/>
        <v>0</v>
      </c>
      <c r="BQ438" s="32">
        <f t="shared" si="264"/>
        <v>0</v>
      </c>
      <c r="BR438" s="32">
        <f t="shared" si="265"/>
        <v>0</v>
      </c>
      <c r="BS438" s="32">
        <f t="shared" si="266"/>
        <v>0</v>
      </c>
      <c r="BT438" s="40">
        <f t="shared" si="267"/>
        <v>0</v>
      </c>
    </row>
    <row r="439" spans="1:72">
      <c r="A439" s="6"/>
      <c r="B439" s="31"/>
      <c r="C439" s="31"/>
      <c r="D439" s="1629"/>
      <c r="E439" s="32">
        <f t="shared" si="239"/>
        <v>0</v>
      </c>
      <c r="F439" s="33"/>
      <c r="G439" s="34">
        <f t="shared" si="240"/>
        <v>0</v>
      </c>
      <c r="H439" s="35">
        <f t="shared" si="241"/>
        <v>0</v>
      </c>
      <c r="I439" s="36"/>
      <c r="J439" s="36"/>
      <c r="K439" s="36"/>
      <c r="L439" s="36"/>
      <c r="M439" s="36"/>
      <c r="N439" s="36"/>
      <c r="O439" s="36"/>
      <c r="P439" s="36"/>
      <c r="Q439" s="36"/>
      <c r="R439" s="36"/>
      <c r="S439" s="36"/>
      <c r="T439" s="36"/>
      <c r="U439" s="36"/>
      <c r="V439" s="36"/>
      <c r="W439" s="36"/>
      <c r="X439" s="36"/>
      <c r="Y439" s="36"/>
      <c r="Z439" s="36"/>
      <c r="AA439" s="36"/>
      <c r="AB439" s="36"/>
      <c r="AC439" s="32">
        <f t="shared" si="242"/>
        <v>0</v>
      </c>
      <c r="AD439" s="37"/>
      <c r="AE439" s="37"/>
      <c r="AF439" s="37"/>
      <c r="AG439" s="37"/>
      <c r="AH439" s="37"/>
      <c r="AI439" s="37"/>
      <c r="AJ439" s="37"/>
      <c r="AK439" s="37"/>
      <c r="AL439" s="37"/>
      <c r="AM439" s="37"/>
      <c r="AN439" s="37"/>
      <c r="AO439" s="37"/>
      <c r="AP439" s="37"/>
      <c r="AQ439" s="37"/>
      <c r="AR439" s="37"/>
      <c r="AS439" s="37"/>
      <c r="AT439" s="38"/>
      <c r="AU439" s="1630"/>
      <c r="AV439" s="1342">
        <f t="shared" si="243"/>
        <v>0</v>
      </c>
      <c r="AW439" s="1342">
        <f t="shared" si="244"/>
        <v>0</v>
      </c>
      <c r="AX439" s="1342">
        <f t="shared" si="245"/>
        <v>0</v>
      </c>
      <c r="AY439" s="39">
        <f t="shared" si="246"/>
        <v>0</v>
      </c>
      <c r="AZ439" s="32">
        <f t="shared" si="247"/>
        <v>0</v>
      </c>
      <c r="BA439" s="32">
        <f t="shared" si="248"/>
        <v>0</v>
      </c>
      <c r="BB439" s="32">
        <f t="shared" si="249"/>
        <v>0</v>
      </c>
      <c r="BC439" s="32">
        <f t="shared" si="250"/>
        <v>0</v>
      </c>
      <c r="BD439" s="32">
        <f t="shared" si="251"/>
        <v>0</v>
      </c>
      <c r="BE439" s="32">
        <f t="shared" si="252"/>
        <v>0</v>
      </c>
      <c r="BF439" s="32">
        <f t="shared" si="253"/>
        <v>0</v>
      </c>
      <c r="BG439" s="32">
        <f t="shared" si="254"/>
        <v>0</v>
      </c>
      <c r="BH439" s="32">
        <f t="shared" si="255"/>
        <v>0</v>
      </c>
      <c r="BI439" s="32">
        <f t="shared" si="256"/>
        <v>0</v>
      </c>
      <c r="BJ439" s="32">
        <f t="shared" si="257"/>
        <v>0</v>
      </c>
      <c r="BK439" s="32">
        <f t="shared" si="258"/>
        <v>0</v>
      </c>
      <c r="BL439" s="32">
        <f t="shared" si="259"/>
        <v>0</v>
      </c>
      <c r="BM439" s="32">
        <f t="shared" si="260"/>
        <v>0</v>
      </c>
      <c r="BN439" s="32">
        <f t="shared" si="261"/>
        <v>0</v>
      </c>
      <c r="BO439" s="32">
        <f t="shared" si="262"/>
        <v>0</v>
      </c>
      <c r="BP439" s="32">
        <f t="shared" si="263"/>
        <v>0</v>
      </c>
      <c r="BQ439" s="32">
        <f t="shared" si="264"/>
        <v>0</v>
      </c>
      <c r="BR439" s="32">
        <f t="shared" si="265"/>
        <v>0</v>
      </c>
      <c r="BS439" s="32">
        <f t="shared" si="266"/>
        <v>0</v>
      </c>
      <c r="BT439" s="40">
        <f t="shared" si="267"/>
        <v>0</v>
      </c>
    </row>
    <row r="440" spans="1:72">
      <c r="A440" s="6"/>
      <c r="B440" s="31"/>
      <c r="C440" s="31"/>
      <c r="D440" s="1629"/>
      <c r="E440" s="32">
        <f t="shared" si="239"/>
        <v>0</v>
      </c>
      <c r="F440" s="33"/>
      <c r="G440" s="34">
        <f t="shared" si="240"/>
        <v>0</v>
      </c>
      <c r="H440" s="35">
        <f t="shared" si="241"/>
        <v>0</v>
      </c>
      <c r="I440" s="36"/>
      <c r="J440" s="36"/>
      <c r="K440" s="36"/>
      <c r="L440" s="36"/>
      <c r="M440" s="36"/>
      <c r="N440" s="36"/>
      <c r="O440" s="36"/>
      <c r="P440" s="36"/>
      <c r="Q440" s="36"/>
      <c r="R440" s="36"/>
      <c r="S440" s="36"/>
      <c r="T440" s="36"/>
      <c r="U440" s="36"/>
      <c r="V440" s="36"/>
      <c r="W440" s="36"/>
      <c r="X440" s="36"/>
      <c r="Y440" s="36"/>
      <c r="Z440" s="36"/>
      <c r="AA440" s="36"/>
      <c r="AB440" s="36"/>
      <c r="AC440" s="32">
        <f t="shared" si="242"/>
        <v>0</v>
      </c>
      <c r="AD440" s="37"/>
      <c r="AE440" s="37"/>
      <c r="AF440" s="37"/>
      <c r="AG440" s="37"/>
      <c r="AH440" s="37"/>
      <c r="AI440" s="37"/>
      <c r="AJ440" s="37"/>
      <c r="AK440" s="37"/>
      <c r="AL440" s="37"/>
      <c r="AM440" s="37"/>
      <c r="AN440" s="37"/>
      <c r="AO440" s="37"/>
      <c r="AP440" s="37"/>
      <c r="AQ440" s="37"/>
      <c r="AR440" s="37"/>
      <c r="AS440" s="37"/>
      <c r="AT440" s="38"/>
      <c r="AU440" s="1630"/>
      <c r="AV440" s="1342">
        <f t="shared" si="243"/>
        <v>0</v>
      </c>
      <c r="AW440" s="1342">
        <f t="shared" si="244"/>
        <v>0</v>
      </c>
      <c r="AX440" s="1342">
        <f t="shared" si="245"/>
        <v>0</v>
      </c>
      <c r="AY440" s="39">
        <f t="shared" si="246"/>
        <v>0</v>
      </c>
      <c r="AZ440" s="32">
        <f t="shared" si="247"/>
        <v>0</v>
      </c>
      <c r="BA440" s="32">
        <f t="shared" si="248"/>
        <v>0</v>
      </c>
      <c r="BB440" s="32">
        <f t="shared" si="249"/>
        <v>0</v>
      </c>
      <c r="BC440" s="32">
        <f t="shared" si="250"/>
        <v>0</v>
      </c>
      <c r="BD440" s="32">
        <f t="shared" si="251"/>
        <v>0</v>
      </c>
      <c r="BE440" s="32">
        <f t="shared" si="252"/>
        <v>0</v>
      </c>
      <c r="BF440" s="32">
        <f t="shared" si="253"/>
        <v>0</v>
      </c>
      <c r="BG440" s="32">
        <f t="shared" si="254"/>
        <v>0</v>
      </c>
      <c r="BH440" s="32">
        <f t="shared" si="255"/>
        <v>0</v>
      </c>
      <c r="BI440" s="32">
        <f t="shared" si="256"/>
        <v>0</v>
      </c>
      <c r="BJ440" s="32">
        <f t="shared" si="257"/>
        <v>0</v>
      </c>
      <c r="BK440" s="32">
        <f t="shared" si="258"/>
        <v>0</v>
      </c>
      <c r="BL440" s="32">
        <f t="shared" si="259"/>
        <v>0</v>
      </c>
      <c r="BM440" s="32">
        <f t="shared" si="260"/>
        <v>0</v>
      </c>
      <c r="BN440" s="32">
        <f t="shared" si="261"/>
        <v>0</v>
      </c>
      <c r="BO440" s="32">
        <f t="shared" si="262"/>
        <v>0</v>
      </c>
      <c r="BP440" s="32">
        <f t="shared" si="263"/>
        <v>0</v>
      </c>
      <c r="BQ440" s="32">
        <f t="shared" si="264"/>
        <v>0</v>
      </c>
      <c r="BR440" s="32">
        <f t="shared" si="265"/>
        <v>0</v>
      </c>
      <c r="BS440" s="32">
        <f t="shared" si="266"/>
        <v>0</v>
      </c>
      <c r="BT440" s="40">
        <f t="shared" si="267"/>
        <v>0</v>
      </c>
    </row>
    <row r="441" spans="1:72">
      <c r="A441" s="6"/>
      <c r="B441" s="31"/>
      <c r="C441" s="31"/>
      <c r="D441" s="1629"/>
      <c r="E441" s="32">
        <f t="shared" si="239"/>
        <v>0</v>
      </c>
      <c r="F441" s="33"/>
      <c r="G441" s="34">
        <f t="shared" si="240"/>
        <v>0</v>
      </c>
      <c r="H441" s="35">
        <f t="shared" si="241"/>
        <v>0</v>
      </c>
      <c r="I441" s="36"/>
      <c r="J441" s="36"/>
      <c r="K441" s="36"/>
      <c r="L441" s="36"/>
      <c r="M441" s="36"/>
      <c r="N441" s="36"/>
      <c r="O441" s="36"/>
      <c r="P441" s="36"/>
      <c r="Q441" s="36"/>
      <c r="R441" s="36"/>
      <c r="S441" s="36"/>
      <c r="T441" s="36"/>
      <c r="U441" s="36"/>
      <c r="V441" s="36"/>
      <c r="W441" s="36"/>
      <c r="X441" s="36"/>
      <c r="Y441" s="36"/>
      <c r="Z441" s="36"/>
      <c r="AA441" s="36"/>
      <c r="AB441" s="36"/>
      <c r="AC441" s="32">
        <f t="shared" si="242"/>
        <v>0</v>
      </c>
      <c r="AD441" s="37"/>
      <c r="AE441" s="37"/>
      <c r="AF441" s="37"/>
      <c r="AG441" s="37"/>
      <c r="AH441" s="37"/>
      <c r="AI441" s="37"/>
      <c r="AJ441" s="37"/>
      <c r="AK441" s="37"/>
      <c r="AL441" s="37"/>
      <c r="AM441" s="37"/>
      <c r="AN441" s="37"/>
      <c r="AO441" s="37"/>
      <c r="AP441" s="37"/>
      <c r="AQ441" s="37"/>
      <c r="AR441" s="37"/>
      <c r="AS441" s="37"/>
      <c r="AT441" s="38"/>
      <c r="AU441" s="1630"/>
      <c r="AV441" s="1342">
        <f t="shared" si="243"/>
        <v>0</v>
      </c>
      <c r="AW441" s="1342">
        <f t="shared" si="244"/>
        <v>0</v>
      </c>
      <c r="AX441" s="1342">
        <f t="shared" si="245"/>
        <v>0</v>
      </c>
      <c r="AY441" s="39">
        <f t="shared" si="246"/>
        <v>0</v>
      </c>
      <c r="AZ441" s="32">
        <f t="shared" si="247"/>
        <v>0</v>
      </c>
      <c r="BA441" s="32">
        <f t="shared" si="248"/>
        <v>0</v>
      </c>
      <c r="BB441" s="32">
        <f t="shared" si="249"/>
        <v>0</v>
      </c>
      <c r="BC441" s="32">
        <f t="shared" si="250"/>
        <v>0</v>
      </c>
      <c r="BD441" s="32">
        <f t="shared" si="251"/>
        <v>0</v>
      </c>
      <c r="BE441" s="32">
        <f t="shared" si="252"/>
        <v>0</v>
      </c>
      <c r="BF441" s="32">
        <f t="shared" si="253"/>
        <v>0</v>
      </c>
      <c r="BG441" s="32">
        <f t="shared" si="254"/>
        <v>0</v>
      </c>
      <c r="BH441" s="32">
        <f t="shared" si="255"/>
        <v>0</v>
      </c>
      <c r="BI441" s="32">
        <f t="shared" si="256"/>
        <v>0</v>
      </c>
      <c r="BJ441" s="32">
        <f t="shared" si="257"/>
        <v>0</v>
      </c>
      <c r="BK441" s="32">
        <f t="shared" si="258"/>
        <v>0</v>
      </c>
      <c r="BL441" s="32">
        <f t="shared" si="259"/>
        <v>0</v>
      </c>
      <c r="BM441" s="32">
        <f t="shared" si="260"/>
        <v>0</v>
      </c>
      <c r="BN441" s="32">
        <f t="shared" si="261"/>
        <v>0</v>
      </c>
      <c r="BO441" s="32">
        <f t="shared" si="262"/>
        <v>0</v>
      </c>
      <c r="BP441" s="32">
        <f t="shared" si="263"/>
        <v>0</v>
      </c>
      <c r="BQ441" s="32">
        <f t="shared" si="264"/>
        <v>0</v>
      </c>
      <c r="BR441" s="32">
        <f t="shared" si="265"/>
        <v>0</v>
      </c>
      <c r="BS441" s="32">
        <f t="shared" si="266"/>
        <v>0</v>
      </c>
      <c r="BT441" s="40">
        <f t="shared" si="267"/>
        <v>0</v>
      </c>
    </row>
    <row r="442" spans="1:72">
      <c r="A442" s="6"/>
      <c r="B442" s="31"/>
      <c r="C442" s="31"/>
      <c r="D442" s="1629"/>
      <c r="E442" s="32">
        <f t="shared" si="239"/>
        <v>0</v>
      </c>
      <c r="F442" s="33"/>
      <c r="G442" s="34">
        <f t="shared" si="240"/>
        <v>0</v>
      </c>
      <c r="H442" s="35">
        <f t="shared" si="241"/>
        <v>0</v>
      </c>
      <c r="I442" s="36"/>
      <c r="J442" s="36"/>
      <c r="K442" s="36"/>
      <c r="L442" s="36"/>
      <c r="M442" s="36"/>
      <c r="N442" s="36"/>
      <c r="O442" s="36"/>
      <c r="P442" s="36"/>
      <c r="Q442" s="36"/>
      <c r="R442" s="36"/>
      <c r="S442" s="36"/>
      <c r="T442" s="36"/>
      <c r="U442" s="36"/>
      <c r="V442" s="36"/>
      <c r="W442" s="36"/>
      <c r="X442" s="36"/>
      <c r="Y442" s="36"/>
      <c r="Z442" s="36"/>
      <c r="AA442" s="36"/>
      <c r="AB442" s="36"/>
      <c r="AC442" s="32">
        <f t="shared" si="242"/>
        <v>0</v>
      </c>
      <c r="AD442" s="37"/>
      <c r="AE442" s="37"/>
      <c r="AF442" s="37"/>
      <c r="AG442" s="37"/>
      <c r="AH442" s="37"/>
      <c r="AI442" s="37"/>
      <c r="AJ442" s="37"/>
      <c r="AK442" s="37"/>
      <c r="AL442" s="37"/>
      <c r="AM442" s="37"/>
      <c r="AN442" s="37"/>
      <c r="AO442" s="37"/>
      <c r="AP442" s="37"/>
      <c r="AQ442" s="37"/>
      <c r="AR442" s="37"/>
      <c r="AS442" s="37"/>
      <c r="AT442" s="38"/>
      <c r="AU442" s="1630"/>
      <c r="AV442" s="1342">
        <f t="shared" si="243"/>
        <v>0</v>
      </c>
      <c r="AW442" s="1342">
        <f t="shared" si="244"/>
        <v>0</v>
      </c>
      <c r="AX442" s="1342">
        <f t="shared" si="245"/>
        <v>0</v>
      </c>
      <c r="AY442" s="39">
        <f t="shared" si="246"/>
        <v>0</v>
      </c>
      <c r="AZ442" s="32">
        <f t="shared" si="247"/>
        <v>0</v>
      </c>
      <c r="BA442" s="32">
        <f t="shared" si="248"/>
        <v>0</v>
      </c>
      <c r="BB442" s="32">
        <f t="shared" si="249"/>
        <v>0</v>
      </c>
      <c r="BC442" s="32">
        <f t="shared" si="250"/>
        <v>0</v>
      </c>
      <c r="BD442" s="32">
        <f t="shared" si="251"/>
        <v>0</v>
      </c>
      <c r="BE442" s="32">
        <f t="shared" si="252"/>
        <v>0</v>
      </c>
      <c r="BF442" s="32">
        <f t="shared" si="253"/>
        <v>0</v>
      </c>
      <c r="BG442" s="32">
        <f t="shared" si="254"/>
        <v>0</v>
      </c>
      <c r="BH442" s="32">
        <f t="shared" si="255"/>
        <v>0</v>
      </c>
      <c r="BI442" s="32">
        <f t="shared" si="256"/>
        <v>0</v>
      </c>
      <c r="BJ442" s="32">
        <f t="shared" si="257"/>
        <v>0</v>
      </c>
      <c r="BK442" s="32">
        <f t="shared" si="258"/>
        <v>0</v>
      </c>
      <c r="BL442" s="32">
        <f t="shared" si="259"/>
        <v>0</v>
      </c>
      <c r="BM442" s="32">
        <f t="shared" si="260"/>
        <v>0</v>
      </c>
      <c r="BN442" s="32">
        <f t="shared" si="261"/>
        <v>0</v>
      </c>
      <c r="BO442" s="32">
        <f t="shared" si="262"/>
        <v>0</v>
      </c>
      <c r="BP442" s="32">
        <f t="shared" si="263"/>
        <v>0</v>
      </c>
      <c r="BQ442" s="32">
        <f t="shared" si="264"/>
        <v>0</v>
      </c>
      <c r="BR442" s="32">
        <f t="shared" si="265"/>
        <v>0</v>
      </c>
      <c r="BS442" s="32">
        <f t="shared" si="266"/>
        <v>0</v>
      </c>
      <c r="BT442" s="40">
        <f t="shared" si="267"/>
        <v>0</v>
      </c>
    </row>
    <row r="443" spans="1:72">
      <c r="A443" s="6"/>
      <c r="B443" s="31"/>
      <c r="C443" s="31"/>
      <c r="D443" s="1629"/>
      <c r="E443" s="32">
        <f t="shared" si="239"/>
        <v>0</v>
      </c>
      <c r="F443" s="33"/>
      <c r="G443" s="34">
        <f t="shared" si="240"/>
        <v>0</v>
      </c>
      <c r="H443" s="35">
        <f t="shared" si="241"/>
        <v>0</v>
      </c>
      <c r="I443" s="36"/>
      <c r="J443" s="36"/>
      <c r="K443" s="36"/>
      <c r="L443" s="36"/>
      <c r="M443" s="36"/>
      <c r="N443" s="36"/>
      <c r="O443" s="36"/>
      <c r="P443" s="36"/>
      <c r="Q443" s="36"/>
      <c r="R443" s="36"/>
      <c r="S443" s="36"/>
      <c r="T443" s="36"/>
      <c r="U443" s="36"/>
      <c r="V443" s="36"/>
      <c r="W443" s="36"/>
      <c r="X443" s="36"/>
      <c r="Y443" s="36"/>
      <c r="Z443" s="36"/>
      <c r="AA443" s="36"/>
      <c r="AB443" s="36"/>
      <c r="AC443" s="32">
        <f t="shared" si="242"/>
        <v>0</v>
      </c>
      <c r="AD443" s="37"/>
      <c r="AE443" s="37"/>
      <c r="AF443" s="37"/>
      <c r="AG443" s="37"/>
      <c r="AH443" s="37"/>
      <c r="AI443" s="37"/>
      <c r="AJ443" s="37"/>
      <c r="AK443" s="37"/>
      <c r="AL443" s="37"/>
      <c r="AM443" s="37"/>
      <c r="AN443" s="37"/>
      <c r="AO443" s="37"/>
      <c r="AP443" s="37"/>
      <c r="AQ443" s="37"/>
      <c r="AR443" s="37"/>
      <c r="AS443" s="37"/>
      <c r="AT443" s="38"/>
      <c r="AU443" s="1630"/>
      <c r="AV443" s="1342">
        <f t="shared" si="243"/>
        <v>0</v>
      </c>
      <c r="AW443" s="1342">
        <f t="shared" si="244"/>
        <v>0</v>
      </c>
      <c r="AX443" s="1342">
        <f t="shared" si="245"/>
        <v>0</v>
      </c>
      <c r="AY443" s="39">
        <f t="shared" si="246"/>
        <v>0</v>
      </c>
      <c r="AZ443" s="32">
        <f t="shared" si="247"/>
        <v>0</v>
      </c>
      <c r="BA443" s="32">
        <f t="shared" si="248"/>
        <v>0</v>
      </c>
      <c r="BB443" s="32">
        <f t="shared" si="249"/>
        <v>0</v>
      </c>
      <c r="BC443" s="32">
        <f t="shared" si="250"/>
        <v>0</v>
      </c>
      <c r="BD443" s="32">
        <f t="shared" si="251"/>
        <v>0</v>
      </c>
      <c r="BE443" s="32">
        <f t="shared" si="252"/>
        <v>0</v>
      </c>
      <c r="BF443" s="32">
        <f t="shared" si="253"/>
        <v>0</v>
      </c>
      <c r="BG443" s="32">
        <f t="shared" si="254"/>
        <v>0</v>
      </c>
      <c r="BH443" s="32">
        <f t="shared" si="255"/>
        <v>0</v>
      </c>
      <c r="BI443" s="32">
        <f t="shared" si="256"/>
        <v>0</v>
      </c>
      <c r="BJ443" s="32">
        <f t="shared" si="257"/>
        <v>0</v>
      </c>
      <c r="BK443" s="32">
        <f t="shared" si="258"/>
        <v>0</v>
      </c>
      <c r="BL443" s="32">
        <f t="shared" si="259"/>
        <v>0</v>
      </c>
      <c r="BM443" s="32">
        <f t="shared" si="260"/>
        <v>0</v>
      </c>
      <c r="BN443" s="32">
        <f t="shared" si="261"/>
        <v>0</v>
      </c>
      <c r="BO443" s="32">
        <f t="shared" si="262"/>
        <v>0</v>
      </c>
      <c r="BP443" s="32">
        <f t="shared" si="263"/>
        <v>0</v>
      </c>
      <c r="BQ443" s="32">
        <f t="shared" si="264"/>
        <v>0</v>
      </c>
      <c r="BR443" s="32">
        <f t="shared" si="265"/>
        <v>0</v>
      </c>
      <c r="BS443" s="32">
        <f t="shared" si="266"/>
        <v>0</v>
      </c>
      <c r="BT443" s="40">
        <f t="shared" si="267"/>
        <v>0</v>
      </c>
    </row>
    <row r="444" spans="1:72">
      <c r="A444" s="6"/>
      <c r="B444" s="31"/>
      <c r="C444" s="31"/>
      <c r="D444" s="1629"/>
      <c r="E444" s="32">
        <f t="shared" si="239"/>
        <v>0</v>
      </c>
      <c r="F444" s="33"/>
      <c r="G444" s="34">
        <f t="shared" si="240"/>
        <v>0</v>
      </c>
      <c r="H444" s="35">
        <f t="shared" si="241"/>
        <v>0</v>
      </c>
      <c r="I444" s="36"/>
      <c r="J444" s="36"/>
      <c r="K444" s="36"/>
      <c r="L444" s="36"/>
      <c r="M444" s="36"/>
      <c r="N444" s="36"/>
      <c r="O444" s="36"/>
      <c r="P444" s="36"/>
      <c r="Q444" s="36"/>
      <c r="R444" s="36"/>
      <c r="S444" s="36"/>
      <c r="T444" s="36"/>
      <c r="U444" s="36"/>
      <c r="V444" s="36"/>
      <c r="W444" s="36"/>
      <c r="X444" s="36"/>
      <c r="Y444" s="36"/>
      <c r="Z444" s="36"/>
      <c r="AA444" s="36"/>
      <c r="AB444" s="36"/>
      <c r="AC444" s="32">
        <f t="shared" si="242"/>
        <v>0</v>
      </c>
      <c r="AD444" s="37"/>
      <c r="AE444" s="37"/>
      <c r="AF444" s="37"/>
      <c r="AG444" s="37"/>
      <c r="AH444" s="37"/>
      <c r="AI444" s="37"/>
      <c r="AJ444" s="37"/>
      <c r="AK444" s="37"/>
      <c r="AL444" s="37"/>
      <c r="AM444" s="37"/>
      <c r="AN444" s="37"/>
      <c r="AO444" s="37"/>
      <c r="AP444" s="37"/>
      <c r="AQ444" s="37"/>
      <c r="AR444" s="37"/>
      <c r="AS444" s="37"/>
      <c r="AT444" s="38"/>
      <c r="AU444" s="1630"/>
      <c r="AV444" s="1342">
        <f t="shared" si="243"/>
        <v>0</v>
      </c>
      <c r="AW444" s="1342">
        <f t="shared" si="244"/>
        <v>0</v>
      </c>
      <c r="AX444" s="1342">
        <f t="shared" si="245"/>
        <v>0</v>
      </c>
      <c r="AY444" s="39">
        <f t="shared" si="246"/>
        <v>0</v>
      </c>
      <c r="AZ444" s="32">
        <f t="shared" si="247"/>
        <v>0</v>
      </c>
      <c r="BA444" s="32">
        <f t="shared" si="248"/>
        <v>0</v>
      </c>
      <c r="BB444" s="32">
        <f t="shared" si="249"/>
        <v>0</v>
      </c>
      <c r="BC444" s="32">
        <f t="shared" si="250"/>
        <v>0</v>
      </c>
      <c r="BD444" s="32">
        <f t="shared" si="251"/>
        <v>0</v>
      </c>
      <c r="BE444" s="32">
        <f t="shared" si="252"/>
        <v>0</v>
      </c>
      <c r="BF444" s="32">
        <f t="shared" si="253"/>
        <v>0</v>
      </c>
      <c r="BG444" s="32">
        <f t="shared" si="254"/>
        <v>0</v>
      </c>
      <c r="BH444" s="32">
        <f t="shared" si="255"/>
        <v>0</v>
      </c>
      <c r="BI444" s="32">
        <f t="shared" si="256"/>
        <v>0</v>
      </c>
      <c r="BJ444" s="32">
        <f t="shared" si="257"/>
        <v>0</v>
      </c>
      <c r="BK444" s="32">
        <f t="shared" si="258"/>
        <v>0</v>
      </c>
      <c r="BL444" s="32">
        <f t="shared" si="259"/>
        <v>0</v>
      </c>
      <c r="BM444" s="32">
        <f t="shared" si="260"/>
        <v>0</v>
      </c>
      <c r="BN444" s="32">
        <f t="shared" si="261"/>
        <v>0</v>
      </c>
      <c r="BO444" s="32">
        <f t="shared" si="262"/>
        <v>0</v>
      </c>
      <c r="BP444" s="32">
        <f t="shared" si="263"/>
        <v>0</v>
      </c>
      <c r="BQ444" s="32">
        <f t="shared" si="264"/>
        <v>0</v>
      </c>
      <c r="BR444" s="32">
        <f t="shared" si="265"/>
        <v>0</v>
      </c>
      <c r="BS444" s="32">
        <f t="shared" si="266"/>
        <v>0</v>
      </c>
      <c r="BT444" s="40">
        <f t="shared" si="267"/>
        <v>0</v>
      </c>
    </row>
    <row r="445" spans="1:72">
      <c r="A445" s="6"/>
      <c r="B445" s="31"/>
      <c r="C445" s="31"/>
      <c r="D445" s="1629"/>
      <c r="E445" s="32">
        <f t="shared" si="239"/>
        <v>0</v>
      </c>
      <c r="F445" s="33"/>
      <c r="G445" s="34">
        <f t="shared" si="240"/>
        <v>0</v>
      </c>
      <c r="H445" s="35">
        <f t="shared" si="241"/>
        <v>0</v>
      </c>
      <c r="I445" s="36"/>
      <c r="J445" s="36"/>
      <c r="K445" s="36"/>
      <c r="L445" s="36"/>
      <c r="M445" s="36"/>
      <c r="N445" s="36"/>
      <c r="O445" s="36"/>
      <c r="P445" s="36"/>
      <c r="Q445" s="36"/>
      <c r="R445" s="36"/>
      <c r="S445" s="36"/>
      <c r="T445" s="36"/>
      <c r="U445" s="36"/>
      <c r="V445" s="36"/>
      <c r="W445" s="36"/>
      <c r="X445" s="36"/>
      <c r="Y445" s="36"/>
      <c r="Z445" s="36"/>
      <c r="AA445" s="36"/>
      <c r="AB445" s="36"/>
      <c r="AC445" s="32">
        <f t="shared" si="242"/>
        <v>0</v>
      </c>
      <c r="AD445" s="37"/>
      <c r="AE445" s="37"/>
      <c r="AF445" s="37"/>
      <c r="AG445" s="37"/>
      <c r="AH445" s="37"/>
      <c r="AI445" s="37"/>
      <c r="AJ445" s="37"/>
      <c r="AK445" s="37"/>
      <c r="AL445" s="37"/>
      <c r="AM445" s="37"/>
      <c r="AN445" s="37"/>
      <c r="AO445" s="37"/>
      <c r="AP445" s="37"/>
      <c r="AQ445" s="37"/>
      <c r="AR445" s="37"/>
      <c r="AS445" s="37"/>
      <c r="AT445" s="38"/>
      <c r="AU445" s="1630"/>
      <c r="AV445" s="1342">
        <f t="shared" si="243"/>
        <v>0</v>
      </c>
      <c r="AW445" s="1342">
        <f t="shared" si="244"/>
        <v>0</v>
      </c>
      <c r="AX445" s="1342">
        <f t="shared" si="245"/>
        <v>0</v>
      </c>
      <c r="AY445" s="39">
        <f t="shared" si="246"/>
        <v>0</v>
      </c>
      <c r="AZ445" s="32">
        <f t="shared" si="247"/>
        <v>0</v>
      </c>
      <c r="BA445" s="32">
        <f t="shared" si="248"/>
        <v>0</v>
      </c>
      <c r="BB445" s="32">
        <f t="shared" si="249"/>
        <v>0</v>
      </c>
      <c r="BC445" s="32">
        <f t="shared" si="250"/>
        <v>0</v>
      </c>
      <c r="BD445" s="32">
        <f t="shared" si="251"/>
        <v>0</v>
      </c>
      <c r="BE445" s="32">
        <f t="shared" si="252"/>
        <v>0</v>
      </c>
      <c r="BF445" s="32">
        <f t="shared" si="253"/>
        <v>0</v>
      </c>
      <c r="BG445" s="32">
        <f t="shared" si="254"/>
        <v>0</v>
      </c>
      <c r="BH445" s="32">
        <f t="shared" si="255"/>
        <v>0</v>
      </c>
      <c r="BI445" s="32">
        <f t="shared" si="256"/>
        <v>0</v>
      </c>
      <c r="BJ445" s="32">
        <f t="shared" si="257"/>
        <v>0</v>
      </c>
      <c r="BK445" s="32">
        <f t="shared" si="258"/>
        <v>0</v>
      </c>
      <c r="BL445" s="32">
        <f t="shared" si="259"/>
        <v>0</v>
      </c>
      <c r="BM445" s="32">
        <f t="shared" si="260"/>
        <v>0</v>
      </c>
      <c r="BN445" s="32">
        <f t="shared" si="261"/>
        <v>0</v>
      </c>
      <c r="BO445" s="32">
        <f t="shared" si="262"/>
        <v>0</v>
      </c>
      <c r="BP445" s="32">
        <f t="shared" si="263"/>
        <v>0</v>
      </c>
      <c r="BQ445" s="32">
        <f t="shared" si="264"/>
        <v>0</v>
      </c>
      <c r="BR445" s="32">
        <f t="shared" si="265"/>
        <v>0</v>
      </c>
      <c r="BS445" s="32">
        <f t="shared" si="266"/>
        <v>0</v>
      </c>
      <c r="BT445" s="40">
        <f t="shared" si="267"/>
        <v>0</v>
      </c>
    </row>
    <row r="446" spans="1:72">
      <c r="A446" s="6"/>
      <c r="B446" s="31"/>
      <c r="C446" s="31"/>
      <c r="D446" s="1629"/>
      <c r="E446" s="32">
        <f t="shared" si="239"/>
        <v>0</v>
      </c>
      <c r="F446" s="33"/>
      <c r="G446" s="34">
        <f t="shared" si="240"/>
        <v>0</v>
      </c>
      <c r="H446" s="35">
        <f t="shared" si="241"/>
        <v>0</v>
      </c>
      <c r="I446" s="36"/>
      <c r="J446" s="36"/>
      <c r="K446" s="36"/>
      <c r="L446" s="36"/>
      <c r="M446" s="36"/>
      <c r="N446" s="36"/>
      <c r="O446" s="36"/>
      <c r="P446" s="36"/>
      <c r="Q446" s="36"/>
      <c r="R446" s="36"/>
      <c r="S446" s="36"/>
      <c r="T446" s="36"/>
      <c r="U446" s="36"/>
      <c r="V446" s="36"/>
      <c r="W446" s="36"/>
      <c r="X446" s="36"/>
      <c r="Y446" s="36"/>
      <c r="Z446" s="36"/>
      <c r="AA446" s="36"/>
      <c r="AB446" s="36"/>
      <c r="AC446" s="32">
        <f t="shared" si="242"/>
        <v>0</v>
      </c>
      <c r="AD446" s="37"/>
      <c r="AE446" s="37"/>
      <c r="AF446" s="37"/>
      <c r="AG446" s="37"/>
      <c r="AH446" s="37"/>
      <c r="AI446" s="37"/>
      <c r="AJ446" s="37"/>
      <c r="AK446" s="37"/>
      <c r="AL446" s="37"/>
      <c r="AM446" s="37"/>
      <c r="AN446" s="37"/>
      <c r="AO446" s="37"/>
      <c r="AP446" s="37"/>
      <c r="AQ446" s="37"/>
      <c r="AR446" s="37"/>
      <c r="AS446" s="37"/>
      <c r="AT446" s="38"/>
      <c r="AU446" s="1630"/>
      <c r="AV446" s="1342">
        <f t="shared" si="243"/>
        <v>0</v>
      </c>
      <c r="AW446" s="1342">
        <f t="shared" si="244"/>
        <v>0</v>
      </c>
      <c r="AX446" s="1342">
        <f t="shared" si="245"/>
        <v>0</v>
      </c>
      <c r="AY446" s="39">
        <f t="shared" si="246"/>
        <v>0</v>
      </c>
      <c r="AZ446" s="32">
        <f t="shared" si="247"/>
        <v>0</v>
      </c>
      <c r="BA446" s="32">
        <f t="shared" si="248"/>
        <v>0</v>
      </c>
      <c r="BB446" s="32">
        <f t="shared" si="249"/>
        <v>0</v>
      </c>
      <c r="BC446" s="32">
        <f t="shared" si="250"/>
        <v>0</v>
      </c>
      <c r="BD446" s="32">
        <f t="shared" si="251"/>
        <v>0</v>
      </c>
      <c r="BE446" s="32">
        <f t="shared" si="252"/>
        <v>0</v>
      </c>
      <c r="BF446" s="32">
        <f t="shared" si="253"/>
        <v>0</v>
      </c>
      <c r="BG446" s="32">
        <f t="shared" si="254"/>
        <v>0</v>
      </c>
      <c r="BH446" s="32">
        <f t="shared" si="255"/>
        <v>0</v>
      </c>
      <c r="BI446" s="32">
        <f t="shared" si="256"/>
        <v>0</v>
      </c>
      <c r="BJ446" s="32">
        <f t="shared" si="257"/>
        <v>0</v>
      </c>
      <c r="BK446" s="32">
        <f t="shared" si="258"/>
        <v>0</v>
      </c>
      <c r="BL446" s="32">
        <f t="shared" si="259"/>
        <v>0</v>
      </c>
      <c r="BM446" s="32">
        <f t="shared" si="260"/>
        <v>0</v>
      </c>
      <c r="BN446" s="32">
        <f t="shared" si="261"/>
        <v>0</v>
      </c>
      <c r="BO446" s="32">
        <f t="shared" si="262"/>
        <v>0</v>
      </c>
      <c r="BP446" s="32">
        <f t="shared" si="263"/>
        <v>0</v>
      </c>
      <c r="BQ446" s="32">
        <f t="shared" si="264"/>
        <v>0</v>
      </c>
      <c r="BR446" s="32">
        <f t="shared" si="265"/>
        <v>0</v>
      </c>
      <c r="BS446" s="32">
        <f t="shared" si="266"/>
        <v>0</v>
      </c>
      <c r="BT446" s="40">
        <f t="shared" si="267"/>
        <v>0</v>
      </c>
    </row>
    <row r="447" spans="1:72">
      <c r="A447" s="6"/>
      <c r="B447" s="31"/>
      <c r="C447" s="31"/>
      <c r="D447" s="1629"/>
      <c r="E447" s="32">
        <f t="shared" si="239"/>
        <v>0</v>
      </c>
      <c r="F447" s="33"/>
      <c r="G447" s="34">
        <f t="shared" si="240"/>
        <v>0</v>
      </c>
      <c r="H447" s="35">
        <f t="shared" si="241"/>
        <v>0</v>
      </c>
      <c r="I447" s="36"/>
      <c r="J447" s="36"/>
      <c r="K447" s="36"/>
      <c r="L447" s="36"/>
      <c r="M447" s="36"/>
      <c r="N447" s="36"/>
      <c r="O447" s="36"/>
      <c r="P447" s="36"/>
      <c r="Q447" s="36"/>
      <c r="R447" s="36"/>
      <c r="S447" s="36"/>
      <c r="T447" s="36"/>
      <c r="U447" s="36"/>
      <c r="V447" s="36"/>
      <c r="W447" s="36"/>
      <c r="X447" s="36"/>
      <c r="Y447" s="36"/>
      <c r="Z447" s="36"/>
      <c r="AA447" s="36"/>
      <c r="AB447" s="36"/>
      <c r="AC447" s="32">
        <f t="shared" si="242"/>
        <v>0</v>
      </c>
      <c r="AD447" s="37"/>
      <c r="AE447" s="37"/>
      <c r="AF447" s="37"/>
      <c r="AG447" s="37"/>
      <c r="AH447" s="37"/>
      <c r="AI447" s="37"/>
      <c r="AJ447" s="37"/>
      <c r="AK447" s="37"/>
      <c r="AL447" s="37"/>
      <c r="AM447" s="37"/>
      <c r="AN447" s="37"/>
      <c r="AO447" s="37"/>
      <c r="AP447" s="37"/>
      <c r="AQ447" s="37"/>
      <c r="AR447" s="37"/>
      <c r="AS447" s="37"/>
      <c r="AT447" s="38"/>
      <c r="AU447" s="1630"/>
      <c r="AV447" s="1342">
        <f t="shared" si="243"/>
        <v>0</v>
      </c>
      <c r="AW447" s="1342">
        <f t="shared" si="244"/>
        <v>0</v>
      </c>
      <c r="AX447" s="1342">
        <f t="shared" si="245"/>
        <v>0</v>
      </c>
      <c r="AY447" s="39">
        <f t="shared" si="246"/>
        <v>0</v>
      </c>
      <c r="AZ447" s="32">
        <f t="shared" si="247"/>
        <v>0</v>
      </c>
      <c r="BA447" s="32">
        <f t="shared" si="248"/>
        <v>0</v>
      </c>
      <c r="BB447" s="32">
        <f t="shared" si="249"/>
        <v>0</v>
      </c>
      <c r="BC447" s="32">
        <f t="shared" si="250"/>
        <v>0</v>
      </c>
      <c r="BD447" s="32">
        <f t="shared" si="251"/>
        <v>0</v>
      </c>
      <c r="BE447" s="32">
        <f t="shared" si="252"/>
        <v>0</v>
      </c>
      <c r="BF447" s="32">
        <f t="shared" si="253"/>
        <v>0</v>
      </c>
      <c r="BG447" s="32">
        <f t="shared" si="254"/>
        <v>0</v>
      </c>
      <c r="BH447" s="32">
        <f t="shared" si="255"/>
        <v>0</v>
      </c>
      <c r="BI447" s="32">
        <f t="shared" si="256"/>
        <v>0</v>
      </c>
      <c r="BJ447" s="32">
        <f t="shared" si="257"/>
        <v>0</v>
      </c>
      <c r="BK447" s="32">
        <f t="shared" si="258"/>
        <v>0</v>
      </c>
      <c r="BL447" s="32">
        <f t="shared" si="259"/>
        <v>0</v>
      </c>
      <c r="BM447" s="32">
        <f t="shared" si="260"/>
        <v>0</v>
      </c>
      <c r="BN447" s="32">
        <f t="shared" si="261"/>
        <v>0</v>
      </c>
      <c r="BO447" s="32">
        <f t="shared" si="262"/>
        <v>0</v>
      </c>
      <c r="BP447" s="32">
        <f t="shared" si="263"/>
        <v>0</v>
      </c>
      <c r="BQ447" s="32">
        <f t="shared" si="264"/>
        <v>0</v>
      </c>
      <c r="BR447" s="32">
        <f t="shared" si="265"/>
        <v>0</v>
      </c>
      <c r="BS447" s="32">
        <f t="shared" si="266"/>
        <v>0</v>
      </c>
      <c r="BT447" s="40">
        <f t="shared" si="267"/>
        <v>0</v>
      </c>
    </row>
    <row r="448" spans="1:72">
      <c r="A448" s="6"/>
      <c r="B448" s="31"/>
      <c r="C448" s="31"/>
      <c r="D448" s="1629"/>
      <c r="E448" s="32">
        <f t="shared" si="239"/>
        <v>0</v>
      </c>
      <c r="F448" s="33"/>
      <c r="G448" s="34">
        <f t="shared" si="240"/>
        <v>0</v>
      </c>
      <c r="H448" s="35">
        <f t="shared" si="241"/>
        <v>0</v>
      </c>
      <c r="I448" s="36"/>
      <c r="J448" s="36"/>
      <c r="K448" s="36"/>
      <c r="L448" s="36"/>
      <c r="M448" s="36"/>
      <c r="N448" s="36"/>
      <c r="O448" s="36"/>
      <c r="P448" s="36"/>
      <c r="Q448" s="36"/>
      <c r="R448" s="36"/>
      <c r="S448" s="36"/>
      <c r="T448" s="36"/>
      <c r="U448" s="36"/>
      <c r="V448" s="36"/>
      <c r="W448" s="36"/>
      <c r="X448" s="36"/>
      <c r="Y448" s="36"/>
      <c r="Z448" s="36"/>
      <c r="AA448" s="36"/>
      <c r="AB448" s="36"/>
      <c r="AC448" s="32">
        <f t="shared" si="242"/>
        <v>0</v>
      </c>
      <c r="AD448" s="37"/>
      <c r="AE448" s="37"/>
      <c r="AF448" s="37"/>
      <c r="AG448" s="37"/>
      <c r="AH448" s="37"/>
      <c r="AI448" s="37"/>
      <c r="AJ448" s="37"/>
      <c r="AK448" s="37"/>
      <c r="AL448" s="37"/>
      <c r="AM448" s="37"/>
      <c r="AN448" s="37"/>
      <c r="AO448" s="37"/>
      <c r="AP448" s="37"/>
      <c r="AQ448" s="37"/>
      <c r="AR448" s="37"/>
      <c r="AS448" s="37"/>
      <c r="AT448" s="38"/>
      <c r="AU448" s="1630"/>
      <c r="AV448" s="1342">
        <f t="shared" si="243"/>
        <v>0</v>
      </c>
      <c r="AW448" s="1342">
        <f t="shared" si="244"/>
        <v>0</v>
      </c>
      <c r="AX448" s="1342">
        <f t="shared" si="245"/>
        <v>0</v>
      </c>
      <c r="AY448" s="39">
        <f t="shared" si="246"/>
        <v>0</v>
      </c>
      <c r="AZ448" s="32">
        <f t="shared" si="247"/>
        <v>0</v>
      </c>
      <c r="BA448" s="32">
        <f t="shared" si="248"/>
        <v>0</v>
      </c>
      <c r="BB448" s="32">
        <f t="shared" si="249"/>
        <v>0</v>
      </c>
      <c r="BC448" s="32">
        <f t="shared" si="250"/>
        <v>0</v>
      </c>
      <c r="BD448" s="32">
        <f t="shared" si="251"/>
        <v>0</v>
      </c>
      <c r="BE448" s="32">
        <f t="shared" si="252"/>
        <v>0</v>
      </c>
      <c r="BF448" s="32">
        <f t="shared" si="253"/>
        <v>0</v>
      </c>
      <c r="BG448" s="32">
        <f t="shared" si="254"/>
        <v>0</v>
      </c>
      <c r="BH448" s="32">
        <f t="shared" si="255"/>
        <v>0</v>
      </c>
      <c r="BI448" s="32">
        <f t="shared" si="256"/>
        <v>0</v>
      </c>
      <c r="BJ448" s="32">
        <f t="shared" si="257"/>
        <v>0</v>
      </c>
      <c r="BK448" s="32">
        <f t="shared" si="258"/>
        <v>0</v>
      </c>
      <c r="BL448" s="32">
        <f t="shared" si="259"/>
        <v>0</v>
      </c>
      <c r="BM448" s="32">
        <f t="shared" si="260"/>
        <v>0</v>
      </c>
      <c r="BN448" s="32">
        <f t="shared" si="261"/>
        <v>0</v>
      </c>
      <c r="BO448" s="32">
        <f t="shared" si="262"/>
        <v>0</v>
      </c>
      <c r="BP448" s="32">
        <f t="shared" si="263"/>
        <v>0</v>
      </c>
      <c r="BQ448" s="32">
        <f t="shared" si="264"/>
        <v>0</v>
      </c>
      <c r="BR448" s="32">
        <f t="shared" si="265"/>
        <v>0</v>
      </c>
      <c r="BS448" s="32">
        <f t="shared" si="266"/>
        <v>0</v>
      </c>
      <c r="BT448" s="40">
        <f t="shared" si="267"/>
        <v>0</v>
      </c>
    </row>
    <row r="449" spans="1:72">
      <c r="A449" s="6"/>
      <c r="B449" s="31"/>
      <c r="C449" s="31"/>
      <c r="D449" s="1629"/>
      <c r="E449" s="32">
        <f t="shared" si="239"/>
        <v>0</v>
      </c>
      <c r="F449" s="33"/>
      <c r="G449" s="34">
        <f t="shared" si="240"/>
        <v>0</v>
      </c>
      <c r="H449" s="35">
        <f t="shared" si="241"/>
        <v>0</v>
      </c>
      <c r="I449" s="36"/>
      <c r="J449" s="36"/>
      <c r="K449" s="36"/>
      <c r="L449" s="36"/>
      <c r="M449" s="36"/>
      <c r="N449" s="36"/>
      <c r="O449" s="36"/>
      <c r="P449" s="36"/>
      <c r="Q449" s="36"/>
      <c r="R449" s="36"/>
      <c r="S449" s="36"/>
      <c r="T449" s="36"/>
      <c r="U449" s="36"/>
      <c r="V449" s="36"/>
      <c r="W449" s="36"/>
      <c r="X449" s="36"/>
      <c r="Y449" s="36"/>
      <c r="Z449" s="36"/>
      <c r="AA449" s="36"/>
      <c r="AB449" s="36"/>
      <c r="AC449" s="32">
        <f t="shared" si="242"/>
        <v>0</v>
      </c>
      <c r="AD449" s="37"/>
      <c r="AE449" s="37"/>
      <c r="AF449" s="37"/>
      <c r="AG449" s="37"/>
      <c r="AH449" s="37"/>
      <c r="AI449" s="37"/>
      <c r="AJ449" s="37"/>
      <c r="AK449" s="37"/>
      <c r="AL449" s="37"/>
      <c r="AM449" s="37"/>
      <c r="AN449" s="37"/>
      <c r="AO449" s="37"/>
      <c r="AP449" s="37"/>
      <c r="AQ449" s="37"/>
      <c r="AR449" s="37"/>
      <c r="AS449" s="37"/>
      <c r="AT449" s="38"/>
      <c r="AU449" s="1630"/>
      <c r="AV449" s="1342">
        <f t="shared" si="243"/>
        <v>0</v>
      </c>
      <c r="AW449" s="1342">
        <f t="shared" si="244"/>
        <v>0</v>
      </c>
      <c r="AX449" s="1342">
        <f t="shared" si="245"/>
        <v>0</v>
      </c>
      <c r="AY449" s="39">
        <f t="shared" si="246"/>
        <v>0</v>
      </c>
      <c r="AZ449" s="32">
        <f t="shared" si="247"/>
        <v>0</v>
      </c>
      <c r="BA449" s="32">
        <f t="shared" si="248"/>
        <v>0</v>
      </c>
      <c r="BB449" s="32">
        <f t="shared" si="249"/>
        <v>0</v>
      </c>
      <c r="BC449" s="32">
        <f t="shared" si="250"/>
        <v>0</v>
      </c>
      <c r="BD449" s="32">
        <f t="shared" si="251"/>
        <v>0</v>
      </c>
      <c r="BE449" s="32">
        <f t="shared" si="252"/>
        <v>0</v>
      </c>
      <c r="BF449" s="32">
        <f t="shared" si="253"/>
        <v>0</v>
      </c>
      <c r="BG449" s="32">
        <f t="shared" si="254"/>
        <v>0</v>
      </c>
      <c r="BH449" s="32">
        <f t="shared" si="255"/>
        <v>0</v>
      </c>
      <c r="BI449" s="32">
        <f t="shared" si="256"/>
        <v>0</v>
      </c>
      <c r="BJ449" s="32">
        <f t="shared" si="257"/>
        <v>0</v>
      </c>
      <c r="BK449" s="32">
        <f t="shared" si="258"/>
        <v>0</v>
      </c>
      <c r="BL449" s="32">
        <f t="shared" si="259"/>
        <v>0</v>
      </c>
      <c r="BM449" s="32">
        <f t="shared" si="260"/>
        <v>0</v>
      </c>
      <c r="BN449" s="32">
        <f t="shared" si="261"/>
        <v>0</v>
      </c>
      <c r="BO449" s="32">
        <f t="shared" si="262"/>
        <v>0</v>
      </c>
      <c r="BP449" s="32">
        <f t="shared" si="263"/>
        <v>0</v>
      </c>
      <c r="BQ449" s="32">
        <f t="shared" si="264"/>
        <v>0</v>
      </c>
      <c r="BR449" s="32">
        <f t="shared" si="265"/>
        <v>0</v>
      </c>
      <c r="BS449" s="32">
        <f t="shared" si="266"/>
        <v>0</v>
      </c>
      <c r="BT449" s="40">
        <f t="shared" si="267"/>
        <v>0</v>
      </c>
    </row>
    <row r="450" spans="1:72">
      <c r="A450" s="6"/>
      <c r="B450" s="31"/>
      <c r="C450" s="31"/>
      <c r="D450" s="1629"/>
      <c r="E450" s="32">
        <f t="shared" si="239"/>
        <v>0</v>
      </c>
      <c r="F450" s="33"/>
      <c r="G450" s="34">
        <f t="shared" si="240"/>
        <v>0</v>
      </c>
      <c r="H450" s="35">
        <f t="shared" si="241"/>
        <v>0</v>
      </c>
      <c r="I450" s="36"/>
      <c r="J450" s="36"/>
      <c r="K450" s="36"/>
      <c r="L450" s="36"/>
      <c r="M450" s="36"/>
      <c r="N450" s="36"/>
      <c r="O450" s="36"/>
      <c r="P450" s="36"/>
      <c r="Q450" s="36"/>
      <c r="R450" s="36"/>
      <c r="S450" s="36"/>
      <c r="T450" s="36"/>
      <c r="U450" s="36"/>
      <c r="V450" s="36"/>
      <c r="W450" s="36"/>
      <c r="X450" s="36"/>
      <c r="Y450" s="36"/>
      <c r="Z450" s="36"/>
      <c r="AA450" s="36"/>
      <c r="AB450" s="36"/>
      <c r="AC450" s="32">
        <f t="shared" si="242"/>
        <v>0</v>
      </c>
      <c r="AD450" s="37"/>
      <c r="AE450" s="37"/>
      <c r="AF450" s="37"/>
      <c r="AG450" s="37"/>
      <c r="AH450" s="37"/>
      <c r="AI450" s="37"/>
      <c r="AJ450" s="37"/>
      <c r="AK450" s="37"/>
      <c r="AL450" s="37"/>
      <c r="AM450" s="37"/>
      <c r="AN450" s="37"/>
      <c r="AO450" s="37"/>
      <c r="AP450" s="37"/>
      <c r="AQ450" s="37"/>
      <c r="AR450" s="37"/>
      <c r="AS450" s="37"/>
      <c r="AT450" s="38"/>
      <c r="AU450" s="1630"/>
      <c r="AV450" s="1342">
        <f t="shared" si="243"/>
        <v>0</v>
      </c>
      <c r="AW450" s="1342">
        <f t="shared" si="244"/>
        <v>0</v>
      </c>
      <c r="AX450" s="1342">
        <f t="shared" si="245"/>
        <v>0</v>
      </c>
      <c r="AY450" s="39">
        <f t="shared" si="246"/>
        <v>0</v>
      </c>
      <c r="AZ450" s="32">
        <f t="shared" si="247"/>
        <v>0</v>
      </c>
      <c r="BA450" s="32">
        <f t="shared" si="248"/>
        <v>0</v>
      </c>
      <c r="BB450" s="32">
        <f t="shared" si="249"/>
        <v>0</v>
      </c>
      <c r="BC450" s="32">
        <f t="shared" si="250"/>
        <v>0</v>
      </c>
      <c r="BD450" s="32">
        <f t="shared" si="251"/>
        <v>0</v>
      </c>
      <c r="BE450" s="32">
        <f t="shared" si="252"/>
        <v>0</v>
      </c>
      <c r="BF450" s="32">
        <f t="shared" si="253"/>
        <v>0</v>
      </c>
      <c r="BG450" s="32">
        <f t="shared" si="254"/>
        <v>0</v>
      </c>
      <c r="BH450" s="32">
        <f t="shared" si="255"/>
        <v>0</v>
      </c>
      <c r="BI450" s="32">
        <f t="shared" si="256"/>
        <v>0</v>
      </c>
      <c r="BJ450" s="32">
        <f t="shared" si="257"/>
        <v>0</v>
      </c>
      <c r="BK450" s="32">
        <f t="shared" si="258"/>
        <v>0</v>
      </c>
      <c r="BL450" s="32">
        <f t="shared" si="259"/>
        <v>0</v>
      </c>
      <c r="BM450" s="32">
        <f t="shared" si="260"/>
        <v>0</v>
      </c>
      <c r="BN450" s="32">
        <f t="shared" si="261"/>
        <v>0</v>
      </c>
      <c r="BO450" s="32">
        <f t="shared" si="262"/>
        <v>0</v>
      </c>
      <c r="BP450" s="32">
        <f t="shared" si="263"/>
        <v>0</v>
      </c>
      <c r="BQ450" s="32">
        <f t="shared" si="264"/>
        <v>0</v>
      </c>
      <c r="BR450" s="32">
        <f t="shared" si="265"/>
        <v>0</v>
      </c>
      <c r="BS450" s="32">
        <f t="shared" si="266"/>
        <v>0</v>
      </c>
      <c r="BT450" s="40">
        <f t="shared" si="267"/>
        <v>0</v>
      </c>
    </row>
    <row r="451" spans="1:72">
      <c r="A451" s="6"/>
      <c r="B451" s="31"/>
      <c r="C451" s="31"/>
      <c r="D451" s="1629"/>
      <c r="E451" s="32">
        <f t="shared" si="239"/>
        <v>0</v>
      </c>
      <c r="F451" s="33"/>
      <c r="G451" s="34">
        <f t="shared" si="240"/>
        <v>0</v>
      </c>
      <c r="H451" s="35">
        <f t="shared" si="241"/>
        <v>0</v>
      </c>
      <c r="I451" s="36"/>
      <c r="J451" s="36"/>
      <c r="K451" s="36"/>
      <c r="L451" s="36"/>
      <c r="M451" s="36"/>
      <c r="N451" s="36"/>
      <c r="O451" s="36"/>
      <c r="P451" s="36"/>
      <c r="Q451" s="36"/>
      <c r="R451" s="36"/>
      <c r="S451" s="36"/>
      <c r="T451" s="36"/>
      <c r="U451" s="36"/>
      <c r="V451" s="36"/>
      <c r="W451" s="36"/>
      <c r="X451" s="36"/>
      <c r="Y451" s="36"/>
      <c r="Z451" s="36"/>
      <c r="AA451" s="36"/>
      <c r="AB451" s="36"/>
      <c r="AC451" s="32">
        <f t="shared" si="242"/>
        <v>0</v>
      </c>
      <c r="AD451" s="37"/>
      <c r="AE451" s="37"/>
      <c r="AF451" s="37"/>
      <c r="AG451" s="37"/>
      <c r="AH451" s="37"/>
      <c r="AI451" s="37"/>
      <c r="AJ451" s="37"/>
      <c r="AK451" s="37"/>
      <c r="AL451" s="37"/>
      <c r="AM451" s="37"/>
      <c r="AN451" s="37"/>
      <c r="AO451" s="37"/>
      <c r="AP451" s="37"/>
      <c r="AQ451" s="37"/>
      <c r="AR451" s="37"/>
      <c r="AS451" s="37"/>
      <c r="AT451" s="38"/>
      <c r="AU451" s="1630"/>
      <c r="AV451" s="1342">
        <f t="shared" si="243"/>
        <v>0</v>
      </c>
      <c r="AW451" s="1342">
        <f t="shared" si="244"/>
        <v>0</v>
      </c>
      <c r="AX451" s="1342">
        <f t="shared" si="245"/>
        <v>0</v>
      </c>
      <c r="AY451" s="39">
        <f t="shared" si="246"/>
        <v>0</v>
      </c>
      <c r="AZ451" s="32">
        <f t="shared" si="247"/>
        <v>0</v>
      </c>
      <c r="BA451" s="32">
        <f t="shared" si="248"/>
        <v>0</v>
      </c>
      <c r="BB451" s="32">
        <f t="shared" si="249"/>
        <v>0</v>
      </c>
      <c r="BC451" s="32">
        <f t="shared" si="250"/>
        <v>0</v>
      </c>
      <c r="BD451" s="32">
        <f t="shared" si="251"/>
        <v>0</v>
      </c>
      <c r="BE451" s="32">
        <f t="shared" si="252"/>
        <v>0</v>
      </c>
      <c r="BF451" s="32">
        <f t="shared" si="253"/>
        <v>0</v>
      </c>
      <c r="BG451" s="32">
        <f t="shared" si="254"/>
        <v>0</v>
      </c>
      <c r="BH451" s="32">
        <f t="shared" si="255"/>
        <v>0</v>
      </c>
      <c r="BI451" s="32">
        <f t="shared" si="256"/>
        <v>0</v>
      </c>
      <c r="BJ451" s="32">
        <f t="shared" si="257"/>
        <v>0</v>
      </c>
      <c r="BK451" s="32">
        <f t="shared" si="258"/>
        <v>0</v>
      </c>
      <c r="BL451" s="32">
        <f t="shared" si="259"/>
        <v>0</v>
      </c>
      <c r="BM451" s="32">
        <f t="shared" si="260"/>
        <v>0</v>
      </c>
      <c r="BN451" s="32">
        <f t="shared" si="261"/>
        <v>0</v>
      </c>
      <c r="BO451" s="32">
        <f t="shared" si="262"/>
        <v>0</v>
      </c>
      <c r="BP451" s="32">
        <f t="shared" si="263"/>
        <v>0</v>
      </c>
      <c r="BQ451" s="32">
        <f t="shared" si="264"/>
        <v>0</v>
      </c>
      <c r="BR451" s="32">
        <f t="shared" si="265"/>
        <v>0</v>
      </c>
      <c r="BS451" s="32">
        <f t="shared" si="266"/>
        <v>0</v>
      </c>
      <c r="BT451" s="40">
        <f t="shared" si="267"/>
        <v>0</v>
      </c>
    </row>
    <row r="452" spans="1:72">
      <c r="A452" s="6"/>
      <c r="B452" s="31"/>
      <c r="C452" s="31"/>
      <c r="D452" s="1629"/>
      <c r="E452" s="32">
        <f t="shared" si="239"/>
        <v>0</v>
      </c>
      <c r="F452" s="33"/>
      <c r="G452" s="34">
        <f t="shared" si="240"/>
        <v>0</v>
      </c>
      <c r="H452" s="35">
        <f t="shared" si="241"/>
        <v>0</v>
      </c>
      <c r="I452" s="36"/>
      <c r="J452" s="36"/>
      <c r="K452" s="36"/>
      <c r="L452" s="36"/>
      <c r="M452" s="36"/>
      <c r="N452" s="36"/>
      <c r="O452" s="36"/>
      <c r="P452" s="36"/>
      <c r="Q452" s="36"/>
      <c r="R452" s="36"/>
      <c r="S452" s="36"/>
      <c r="T452" s="36"/>
      <c r="U452" s="36"/>
      <c r="V452" s="36"/>
      <c r="W452" s="36"/>
      <c r="X452" s="36"/>
      <c r="Y452" s="36"/>
      <c r="Z452" s="36"/>
      <c r="AA452" s="36"/>
      <c r="AB452" s="36"/>
      <c r="AC452" s="32">
        <f t="shared" si="242"/>
        <v>0</v>
      </c>
      <c r="AD452" s="37"/>
      <c r="AE452" s="37"/>
      <c r="AF452" s="37"/>
      <c r="AG452" s="37"/>
      <c r="AH452" s="37"/>
      <c r="AI452" s="37"/>
      <c r="AJ452" s="37"/>
      <c r="AK452" s="37"/>
      <c r="AL452" s="37"/>
      <c r="AM452" s="37"/>
      <c r="AN452" s="37"/>
      <c r="AO452" s="37"/>
      <c r="AP452" s="37"/>
      <c r="AQ452" s="37"/>
      <c r="AR452" s="37"/>
      <c r="AS452" s="37"/>
      <c r="AT452" s="38"/>
      <c r="AU452" s="1630"/>
      <c r="AV452" s="1342">
        <f t="shared" si="243"/>
        <v>0</v>
      </c>
      <c r="AW452" s="1342">
        <f t="shared" si="244"/>
        <v>0</v>
      </c>
      <c r="AX452" s="1342">
        <f t="shared" si="245"/>
        <v>0</v>
      </c>
      <c r="AY452" s="39">
        <f t="shared" si="246"/>
        <v>0</v>
      </c>
      <c r="AZ452" s="32">
        <f t="shared" si="247"/>
        <v>0</v>
      </c>
      <c r="BA452" s="32">
        <f t="shared" si="248"/>
        <v>0</v>
      </c>
      <c r="BB452" s="32">
        <f t="shared" si="249"/>
        <v>0</v>
      </c>
      <c r="BC452" s="32">
        <f t="shared" si="250"/>
        <v>0</v>
      </c>
      <c r="BD452" s="32">
        <f t="shared" si="251"/>
        <v>0</v>
      </c>
      <c r="BE452" s="32">
        <f t="shared" si="252"/>
        <v>0</v>
      </c>
      <c r="BF452" s="32">
        <f t="shared" si="253"/>
        <v>0</v>
      </c>
      <c r="BG452" s="32">
        <f t="shared" si="254"/>
        <v>0</v>
      </c>
      <c r="BH452" s="32">
        <f t="shared" si="255"/>
        <v>0</v>
      </c>
      <c r="BI452" s="32">
        <f t="shared" si="256"/>
        <v>0</v>
      </c>
      <c r="BJ452" s="32">
        <f t="shared" si="257"/>
        <v>0</v>
      </c>
      <c r="BK452" s="32">
        <f t="shared" si="258"/>
        <v>0</v>
      </c>
      <c r="BL452" s="32">
        <f t="shared" si="259"/>
        <v>0</v>
      </c>
      <c r="BM452" s="32">
        <f t="shared" si="260"/>
        <v>0</v>
      </c>
      <c r="BN452" s="32">
        <f t="shared" si="261"/>
        <v>0</v>
      </c>
      <c r="BO452" s="32">
        <f t="shared" si="262"/>
        <v>0</v>
      </c>
      <c r="BP452" s="32">
        <f t="shared" si="263"/>
        <v>0</v>
      </c>
      <c r="BQ452" s="32">
        <f t="shared" si="264"/>
        <v>0</v>
      </c>
      <c r="BR452" s="32">
        <f t="shared" si="265"/>
        <v>0</v>
      </c>
      <c r="BS452" s="32">
        <f t="shared" si="266"/>
        <v>0</v>
      </c>
      <c r="BT452" s="40">
        <f t="shared" si="267"/>
        <v>0</v>
      </c>
    </row>
    <row r="453" spans="1:72">
      <c r="A453" s="6"/>
      <c r="B453" s="31"/>
      <c r="C453" s="31"/>
      <c r="D453" s="1629"/>
      <c r="E453" s="32">
        <f t="shared" si="239"/>
        <v>0</v>
      </c>
      <c r="F453" s="33"/>
      <c r="G453" s="34">
        <f t="shared" si="240"/>
        <v>0</v>
      </c>
      <c r="H453" s="35">
        <f t="shared" si="241"/>
        <v>0</v>
      </c>
      <c r="I453" s="36"/>
      <c r="J453" s="36"/>
      <c r="K453" s="36"/>
      <c r="L453" s="36"/>
      <c r="M453" s="36"/>
      <c r="N453" s="36"/>
      <c r="O453" s="36"/>
      <c r="P453" s="36"/>
      <c r="Q453" s="36"/>
      <c r="R453" s="36"/>
      <c r="S453" s="36"/>
      <c r="T453" s="36"/>
      <c r="U453" s="36"/>
      <c r="V453" s="36"/>
      <c r="W453" s="36"/>
      <c r="X453" s="36"/>
      <c r="Y453" s="36"/>
      <c r="Z453" s="36"/>
      <c r="AA453" s="36"/>
      <c r="AB453" s="36"/>
      <c r="AC453" s="32">
        <f t="shared" si="242"/>
        <v>0</v>
      </c>
      <c r="AD453" s="37"/>
      <c r="AE453" s="37"/>
      <c r="AF453" s="37"/>
      <c r="AG453" s="37"/>
      <c r="AH453" s="37"/>
      <c r="AI453" s="37"/>
      <c r="AJ453" s="37"/>
      <c r="AK453" s="37"/>
      <c r="AL453" s="37"/>
      <c r="AM453" s="37"/>
      <c r="AN453" s="37"/>
      <c r="AO453" s="37"/>
      <c r="AP453" s="37"/>
      <c r="AQ453" s="37"/>
      <c r="AR453" s="37"/>
      <c r="AS453" s="37"/>
      <c r="AT453" s="38"/>
      <c r="AU453" s="1630"/>
      <c r="AV453" s="1342">
        <f t="shared" si="243"/>
        <v>0</v>
      </c>
      <c r="AW453" s="1342">
        <f t="shared" si="244"/>
        <v>0</v>
      </c>
      <c r="AX453" s="1342">
        <f t="shared" si="245"/>
        <v>0</v>
      </c>
      <c r="AY453" s="39">
        <f t="shared" si="246"/>
        <v>0</v>
      </c>
      <c r="AZ453" s="32">
        <f t="shared" si="247"/>
        <v>0</v>
      </c>
      <c r="BA453" s="32">
        <f t="shared" si="248"/>
        <v>0</v>
      </c>
      <c r="BB453" s="32">
        <f t="shared" si="249"/>
        <v>0</v>
      </c>
      <c r="BC453" s="32">
        <f t="shared" si="250"/>
        <v>0</v>
      </c>
      <c r="BD453" s="32">
        <f t="shared" si="251"/>
        <v>0</v>
      </c>
      <c r="BE453" s="32">
        <f t="shared" si="252"/>
        <v>0</v>
      </c>
      <c r="BF453" s="32">
        <f t="shared" si="253"/>
        <v>0</v>
      </c>
      <c r="BG453" s="32">
        <f t="shared" si="254"/>
        <v>0</v>
      </c>
      <c r="BH453" s="32">
        <f t="shared" si="255"/>
        <v>0</v>
      </c>
      <c r="BI453" s="32">
        <f t="shared" si="256"/>
        <v>0</v>
      </c>
      <c r="BJ453" s="32">
        <f t="shared" si="257"/>
        <v>0</v>
      </c>
      <c r="BK453" s="32">
        <f t="shared" si="258"/>
        <v>0</v>
      </c>
      <c r="BL453" s="32">
        <f t="shared" si="259"/>
        <v>0</v>
      </c>
      <c r="BM453" s="32">
        <f t="shared" si="260"/>
        <v>0</v>
      </c>
      <c r="BN453" s="32">
        <f t="shared" si="261"/>
        <v>0</v>
      </c>
      <c r="BO453" s="32">
        <f t="shared" si="262"/>
        <v>0</v>
      </c>
      <c r="BP453" s="32">
        <f t="shared" si="263"/>
        <v>0</v>
      </c>
      <c r="BQ453" s="32">
        <f t="shared" si="264"/>
        <v>0</v>
      </c>
      <c r="BR453" s="32">
        <f t="shared" si="265"/>
        <v>0</v>
      </c>
      <c r="BS453" s="32">
        <f t="shared" si="266"/>
        <v>0</v>
      </c>
      <c r="BT453" s="40">
        <f t="shared" si="267"/>
        <v>0</v>
      </c>
    </row>
    <row r="454" spans="1:72">
      <c r="A454" s="6"/>
      <c r="B454" s="31"/>
      <c r="C454" s="31"/>
      <c r="D454" s="1629"/>
      <c r="E454" s="32">
        <f t="shared" si="239"/>
        <v>0</v>
      </c>
      <c r="F454" s="33"/>
      <c r="G454" s="34">
        <f t="shared" si="240"/>
        <v>0</v>
      </c>
      <c r="H454" s="35">
        <f t="shared" si="241"/>
        <v>0</v>
      </c>
      <c r="I454" s="36"/>
      <c r="J454" s="36"/>
      <c r="K454" s="36"/>
      <c r="L454" s="36"/>
      <c r="M454" s="36"/>
      <c r="N454" s="36"/>
      <c r="O454" s="36"/>
      <c r="P454" s="36"/>
      <c r="Q454" s="36"/>
      <c r="R454" s="36"/>
      <c r="S454" s="36"/>
      <c r="T454" s="36"/>
      <c r="U454" s="36"/>
      <c r="V454" s="36"/>
      <c r="W454" s="36"/>
      <c r="X454" s="36"/>
      <c r="Y454" s="36"/>
      <c r="Z454" s="36"/>
      <c r="AA454" s="36"/>
      <c r="AB454" s="36"/>
      <c r="AC454" s="32">
        <f t="shared" si="242"/>
        <v>0</v>
      </c>
      <c r="AD454" s="37"/>
      <c r="AE454" s="37"/>
      <c r="AF454" s="37"/>
      <c r="AG454" s="37"/>
      <c r="AH454" s="37"/>
      <c r="AI454" s="37"/>
      <c r="AJ454" s="37"/>
      <c r="AK454" s="37"/>
      <c r="AL454" s="37"/>
      <c r="AM454" s="37"/>
      <c r="AN454" s="37"/>
      <c r="AO454" s="37"/>
      <c r="AP454" s="37"/>
      <c r="AQ454" s="37"/>
      <c r="AR454" s="37"/>
      <c r="AS454" s="37"/>
      <c r="AT454" s="38"/>
      <c r="AU454" s="1630"/>
      <c r="AV454" s="1342">
        <f t="shared" si="243"/>
        <v>0</v>
      </c>
      <c r="AW454" s="1342">
        <f t="shared" si="244"/>
        <v>0</v>
      </c>
      <c r="AX454" s="1342">
        <f t="shared" si="245"/>
        <v>0</v>
      </c>
      <c r="AY454" s="39">
        <f t="shared" si="246"/>
        <v>0</v>
      </c>
      <c r="AZ454" s="32">
        <f t="shared" si="247"/>
        <v>0</v>
      </c>
      <c r="BA454" s="32">
        <f t="shared" si="248"/>
        <v>0</v>
      </c>
      <c r="BB454" s="32">
        <f t="shared" si="249"/>
        <v>0</v>
      </c>
      <c r="BC454" s="32">
        <f t="shared" si="250"/>
        <v>0</v>
      </c>
      <c r="BD454" s="32">
        <f t="shared" si="251"/>
        <v>0</v>
      </c>
      <c r="BE454" s="32">
        <f t="shared" si="252"/>
        <v>0</v>
      </c>
      <c r="BF454" s="32">
        <f t="shared" si="253"/>
        <v>0</v>
      </c>
      <c r="BG454" s="32">
        <f t="shared" si="254"/>
        <v>0</v>
      </c>
      <c r="BH454" s="32">
        <f t="shared" si="255"/>
        <v>0</v>
      </c>
      <c r="BI454" s="32">
        <f t="shared" si="256"/>
        <v>0</v>
      </c>
      <c r="BJ454" s="32">
        <f t="shared" si="257"/>
        <v>0</v>
      </c>
      <c r="BK454" s="32">
        <f t="shared" si="258"/>
        <v>0</v>
      </c>
      <c r="BL454" s="32">
        <f t="shared" si="259"/>
        <v>0</v>
      </c>
      <c r="BM454" s="32">
        <f t="shared" si="260"/>
        <v>0</v>
      </c>
      <c r="BN454" s="32">
        <f t="shared" si="261"/>
        <v>0</v>
      </c>
      <c r="BO454" s="32">
        <f t="shared" si="262"/>
        <v>0</v>
      </c>
      <c r="BP454" s="32">
        <f t="shared" si="263"/>
        <v>0</v>
      </c>
      <c r="BQ454" s="32">
        <f t="shared" si="264"/>
        <v>0</v>
      </c>
      <c r="BR454" s="32">
        <f t="shared" si="265"/>
        <v>0</v>
      </c>
      <c r="BS454" s="32">
        <f t="shared" si="266"/>
        <v>0</v>
      </c>
      <c r="BT454" s="40">
        <f t="shared" si="267"/>
        <v>0</v>
      </c>
    </row>
    <row r="455" spans="1:72">
      <c r="A455" s="6"/>
      <c r="B455" s="31"/>
      <c r="C455" s="31"/>
      <c r="D455" s="1629"/>
      <c r="E455" s="32">
        <f t="shared" si="239"/>
        <v>0</v>
      </c>
      <c r="F455" s="33"/>
      <c r="G455" s="34">
        <f t="shared" si="240"/>
        <v>0</v>
      </c>
      <c r="H455" s="35">
        <f t="shared" si="241"/>
        <v>0</v>
      </c>
      <c r="I455" s="36"/>
      <c r="J455" s="36"/>
      <c r="K455" s="36"/>
      <c r="L455" s="36"/>
      <c r="M455" s="36"/>
      <c r="N455" s="36"/>
      <c r="O455" s="36"/>
      <c r="P455" s="36"/>
      <c r="Q455" s="36"/>
      <c r="R455" s="36"/>
      <c r="S455" s="36"/>
      <c r="T455" s="36"/>
      <c r="U455" s="36"/>
      <c r="V455" s="36"/>
      <c r="W455" s="36"/>
      <c r="X455" s="36"/>
      <c r="Y455" s="36"/>
      <c r="Z455" s="36"/>
      <c r="AA455" s="36"/>
      <c r="AB455" s="36"/>
      <c r="AC455" s="32">
        <f t="shared" si="242"/>
        <v>0</v>
      </c>
      <c r="AD455" s="37"/>
      <c r="AE455" s="37"/>
      <c r="AF455" s="37"/>
      <c r="AG455" s="37"/>
      <c r="AH455" s="37"/>
      <c r="AI455" s="37"/>
      <c r="AJ455" s="37"/>
      <c r="AK455" s="37"/>
      <c r="AL455" s="37"/>
      <c r="AM455" s="37"/>
      <c r="AN455" s="37"/>
      <c r="AO455" s="37"/>
      <c r="AP455" s="37"/>
      <c r="AQ455" s="37"/>
      <c r="AR455" s="37"/>
      <c r="AS455" s="37"/>
      <c r="AT455" s="38"/>
      <c r="AU455" s="1630"/>
      <c r="AV455" s="1342">
        <f t="shared" si="243"/>
        <v>0</v>
      </c>
      <c r="AW455" s="1342">
        <f t="shared" si="244"/>
        <v>0</v>
      </c>
      <c r="AX455" s="1342">
        <f t="shared" si="245"/>
        <v>0</v>
      </c>
      <c r="AY455" s="39">
        <f t="shared" si="246"/>
        <v>0</v>
      </c>
      <c r="AZ455" s="32">
        <f t="shared" si="247"/>
        <v>0</v>
      </c>
      <c r="BA455" s="32">
        <f t="shared" si="248"/>
        <v>0</v>
      </c>
      <c r="BB455" s="32">
        <f t="shared" si="249"/>
        <v>0</v>
      </c>
      <c r="BC455" s="32">
        <f t="shared" si="250"/>
        <v>0</v>
      </c>
      <c r="BD455" s="32">
        <f t="shared" si="251"/>
        <v>0</v>
      </c>
      <c r="BE455" s="32">
        <f t="shared" si="252"/>
        <v>0</v>
      </c>
      <c r="BF455" s="32">
        <f t="shared" si="253"/>
        <v>0</v>
      </c>
      <c r="BG455" s="32">
        <f t="shared" si="254"/>
        <v>0</v>
      </c>
      <c r="BH455" s="32">
        <f t="shared" si="255"/>
        <v>0</v>
      </c>
      <c r="BI455" s="32">
        <f t="shared" si="256"/>
        <v>0</v>
      </c>
      <c r="BJ455" s="32">
        <f t="shared" si="257"/>
        <v>0</v>
      </c>
      <c r="BK455" s="32">
        <f t="shared" si="258"/>
        <v>0</v>
      </c>
      <c r="BL455" s="32">
        <f t="shared" si="259"/>
        <v>0</v>
      </c>
      <c r="BM455" s="32">
        <f t="shared" si="260"/>
        <v>0</v>
      </c>
      <c r="BN455" s="32">
        <f t="shared" si="261"/>
        <v>0</v>
      </c>
      <c r="BO455" s="32">
        <f t="shared" si="262"/>
        <v>0</v>
      </c>
      <c r="BP455" s="32">
        <f t="shared" si="263"/>
        <v>0</v>
      </c>
      <c r="BQ455" s="32">
        <f t="shared" si="264"/>
        <v>0</v>
      </c>
      <c r="BR455" s="32">
        <f t="shared" si="265"/>
        <v>0</v>
      </c>
      <c r="BS455" s="32">
        <f t="shared" si="266"/>
        <v>0</v>
      </c>
      <c r="BT455" s="40">
        <f t="shared" si="267"/>
        <v>0</v>
      </c>
    </row>
    <row r="456" spans="1:72">
      <c r="A456" s="6"/>
      <c r="B456" s="31"/>
      <c r="C456" s="31"/>
      <c r="D456" s="1629"/>
      <c r="E456" s="32">
        <f t="shared" si="239"/>
        <v>0</v>
      </c>
      <c r="F456" s="33"/>
      <c r="G456" s="34">
        <f t="shared" si="240"/>
        <v>0</v>
      </c>
      <c r="H456" s="35">
        <f t="shared" si="241"/>
        <v>0</v>
      </c>
      <c r="I456" s="36"/>
      <c r="J456" s="36"/>
      <c r="K456" s="36"/>
      <c r="L456" s="36"/>
      <c r="M456" s="36"/>
      <c r="N456" s="36"/>
      <c r="O456" s="36"/>
      <c r="P456" s="36"/>
      <c r="Q456" s="36"/>
      <c r="R456" s="36"/>
      <c r="S456" s="36"/>
      <c r="T456" s="36"/>
      <c r="U456" s="36"/>
      <c r="V456" s="36"/>
      <c r="W456" s="36"/>
      <c r="X456" s="36"/>
      <c r="Y456" s="36"/>
      <c r="Z456" s="36"/>
      <c r="AA456" s="36"/>
      <c r="AB456" s="36"/>
      <c r="AC456" s="32">
        <f t="shared" si="242"/>
        <v>0</v>
      </c>
      <c r="AD456" s="37"/>
      <c r="AE456" s="37"/>
      <c r="AF456" s="37"/>
      <c r="AG456" s="37"/>
      <c r="AH456" s="37"/>
      <c r="AI456" s="37"/>
      <c r="AJ456" s="37"/>
      <c r="AK456" s="37"/>
      <c r="AL456" s="37"/>
      <c r="AM456" s="37"/>
      <c r="AN456" s="37"/>
      <c r="AO456" s="37"/>
      <c r="AP456" s="37"/>
      <c r="AQ456" s="37"/>
      <c r="AR456" s="37"/>
      <c r="AS456" s="37"/>
      <c r="AT456" s="38"/>
      <c r="AU456" s="1630"/>
      <c r="AV456" s="1342">
        <f t="shared" si="243"/>
        <v>0</v>
      </c>
      <c r="AW456" s="1342">
        <f t="shared" si="244"/>
        <v>0</v>
      </c>
      <c r="AX456" s="1342">
        <f t="shared" si="245"/>
        <v>0</v>
      </c>
      <c r="AY456" s="39">
        <f t="shared" si="246"/>
        <v>0</v>
      </c>
      <c r="AZ456" s="32">
        <f t="shared" si="247"/>
        <v>0</v>
      </c>
      <c r="BA456" s="32">
        <f t="shared" si="248"/>
        <v>0</v>
      </c>
      <c r="BB456" s="32">
        <f t="shared" si="249"/>
        <v>0</v>
      </c>
      <c r="BC456" s="32">
        <f t="shared" si="250"/>
        <v>0</v>
      </c>
      <c r="BD456" s="32">
        <f t="shared" si="251"/>
        <v>0</v>
      </c>
      <c r="BE456" s="32">
        <f t="shared" si="252"/>
        <v>0</v>
      </c>
      <c r="BF456" s="32">
        <f t="shared" si="253"/>
        <v>0</v>
      </c>
      <c r="BG456" s="32">
        <f t="shared" si="254"/>
        <v>0</v>
      </c>
      <c r="BH456" s="32">
        <f t="shared" si="255"/>
        <v>0</v>
      </c>
      <c r="BI456" s="32">
        <f t="shared" si="256"/>
        <v>0</v>
      </c>
      <c r="BJ456" s="32">
        <f t="shared" si="257"/>
        <v>0</v>
      </c>
      <c r="BK456" s="32">
        <f t="shared" si="258"/>
        <v>0</v>
      </c>
      <c r="BL456" s="32">
        <f t="shared" si="259"/>
        <v>0</v>
      </c>
      <c r="BM456" s="32">
        <f t="shared" si="260"/>
        <v>0</v>
      </c>
      <c r="BN456" s="32">
        <f t="shared" si="261"/>
        <v>0</v>
      </c>
      <c r="BO456" s="32">
        <f t="shared" si="262"/>
        <v>0</v>
      </c>
      <c r="BP456" s="32">
        <f t="shared" si="263"/>
        <v>0</v>
      </c>
      <c r="BQ456" s="32">
        <f t="shared" si="264"/>
        <v>0</v>
      </c>
      <c r="BR456" s="32">
        <f t="shared" si="265"/>
        <v>0</v>
      </c>
      <c r="BS456" s="32">
        <f t="shared" si="266"/>
        <v>0</v>
      </c>
      <c r="BT456" s="40">
        <f t="shared" si="267"/>
        <v>0</v>
      </c>
    </row>
    <row r="457" spans="1:72">
      <c r="A457" s="6"/>
      <c r="B457" s="31"/>
      <c r="C457" s="31"/>
      <c r="D457" s="1629"/>
      <c r="E457" s="32">
        <f t="shared" si="239"/>
        <v>0</v>
      </c>
      <c r="F457" s="33"/>
      <c r="G457" s="34">
        <f t="shared" si="240"/>
        <v>0</v>
      </c>
      <c r="H457" s="35">
        <f t="shared" si="241"/>
        <v>0</v>
      </c>
      <c r="I457" s="36"/>
      <c r="J457" s="36"/>
      <c r="K457" s="36"/>
      <c r="L457" s="36"/>
      <c r="M457" s="36"/>
      <c r="N457" s="36"/>
      <c r="O457" s="36"/>
      <c r="P457" s="36"/>
      <c r="Q457" s="36"/>
      <c r="R457" s="36"/>
      <c r="S457" s="36"/>
      <c r="T457" s="36"/>
      <c r="U457" s="36"/>
      <c r="V457" s="36"/>
      <c r="W457" s="36"/>
      <c r="X457" s="36"/>
      <c r="Y457" s="36"/>
      <c r="Z457" s="36"/>
      <c r="AA457" s="36"/>
      <c r="AB457" s="36"/>
      <c r="AC457" s="32">
        <f t="shared" si="242"/>
        <v>0</v>
      </c>
      <c r="AD457" s="37"/>
      <c r="AE457" s="37"/>
      <c r="AF457" s="37"/>
      <c r="AG457" s="37"/>
      <c r="AH457" s="37"/>
      <c r="AI457" s="37"/>
      <c r="AJ457" s="37"/>
      <c r="AK457" s="37"/>
      <c r="AL457" s="37"/>
      <c r="AM457" s="37"/>
      <c r="AN457" s="37"/>
      <c r="AO457" s="37"/>
      <c r="AP457" s="37"/>
      <c r="AQ457" s="37"/>
      <c r="AR457" s="37"/>
      <c r="AS457" s="37"/>
      <c r="AT457" s="38"/>
      <c r="AU457" s="1630"/>
      <c r="AV457" s="1342">
        <f t="shared" si="243"/>
        <v>0</v>
      </c>
      <c r="AW457" s="1342">
        <f t="shared" si="244"/>
        <v>0</v>
      </c>
      <c r="AX457" s="1342">
        <f t="shared" si="245"/>
        <v>0</v>
      </c>
      <c r="AY457" s="39">
        <f t="shared" si="246"/>
        <v>0</v>
      </c>
      <c r="AZ457" s="32">
        <f t="shared" si="247"/>
        <v>0</v>
      </c>
      <c r="BA457" s="32">
        <f t="shared" si="248"/>
        <v>0</v>
      </c>
      <c r="BB457" s="32">
        <f t="shared" si="249"/>
        <v>0</v>
      </c>
      <c r="BC457" s="32">
        <f t="shared" si="250"/>
        <v>0</v>
      </c>
      <c r="BD457" s="32">
        <f t="shared" si="251"/>
        <v>0</v>
      </c>
      <c r="BE457" s="32">
        <f t="shared" si="252"/>
        <v>0</v>
      </c>
      <c r="BF457" s="32">
        <f t="shared" si="253"/>
        <v>0</v>
      </c>
      <c r="BG457" s="32">
        <f t="shared" si="254"/>
        <v>0</v>
      </c>
      <c r="BH457" s="32">
        <f t="shared" si="255"/>
        <v>0</v>
      </c>
      <c r="BI457" s="32">
        <f t="shared" si="256"/>
        <v>0</v>
      </c>
      <c r="BJ457" s="32">
        <f t="shared" si="257"/>
        <v>0</v>
      </c>
      <c r="BK457" s="32">
        <f t="shared" si="258"/>
        <v>0</v>
      </c>
      <c r="BL457" s="32">
        <f t="shared" si="259"/>
        <v>0</v>
      </c>
      <c r="BM457" s="32">
        <f t="shared" si="260"/>
        <v>0</v>
      </c>
      <c r="BN457" s="32">
        <f t="shared" si="261"/>
        <v>0</v>
      </c>
      <c r="BO457" s="32">
        <f t="shared" si="262"/>
        <v>0</v>
      </c>
      <c r="BP457" s="32">
        <f t="shared" si="263"/>
        <v>0</v>
      </c>
      <c r="BQ457" s="32">
        <f t="shared" si="264"/>
        <v>0</v>
      </c>
      <c r="BR457" s="32">
        <f t="shared" si="265"/>
        <v>0</v>
      </c>
      <c r="BS457" s="32">
        <f t="shared" si="266"/>
        <v>0</v>
      </c>
      <c r="BT457" s="40">
        <f t="shared" si="267"/>
        <v>0</v>
      </c>
    </row>
    <row r="458" spans="1:72">
      <c r="A458" s="6"/>
      <c r="B458" s="31"/>
      <c r="C458" s="31"/>
      <c r="D458" s="1629"/>
      <c r="E458" s="32">
        <f t="shared" si="239"/>
        <v>0</v>
      </c>
      <c r="F458" s="33"/>
      <c r="G458" s="34">
        <f t="shared" si="240"/>
        <v>0</v>
      </c>
      <c r="H458" s="35">
        <f t="shared" si="241"/>
        <v>0</v>
      </c>
      <c r="I458" s="36"/>
      <c r="J458" s="36"/>
      <c r="K458" s="36"/>
      <c r="L458" s="36"/>
      <c r="M458" s="36"/>
      <c r="N458" s="36"/>
      <c r="O458" s="36"/>
      <c r="P458" s="36"/>
      <c r="Q458" s="36"/>
      <c r="R458" s="36"/>
      <c r="S458" s="36"/>
      <c r="T458" s="36"/>
      <c r="U458" s="36"/>
      <c r="V458" s="36"/>
      <c r="W458" s="36"/>
      <c r="X458" s="36"/>
      <c r="Y458" s="36"/>
      <c r="Z458" s="36"/>
      <c r="AA458" s="36"/>
      <c r="AB458" s="36"/>
      <c r="AC458" s="32">
        <f t="shared" si="242"/>
        <v>0</v>
      </c>
      <c r="AD458" s="37"/>
      <c r="AE458" s="37"/>
      <c r="AF458" s="37"/>
      <c r="AG458" s="37"/>
      <c r="AH458" s="37"/>
      <c r="AI458" s="37"/>
      <c r="AJ458" s="37"/>
      <c r="AK458" s="37"/>
      <c r="AL458" s="37"/>
      <c r="AM458" s="37"/>
      <c r="AN458" s="37"/>
      <c r="AO458" s="37"/>
      <c r="AP458" s="37"/>
      <c r="AQ458" s="37"/>
      <c r="AR458" s="37"/>
      <c r="AS458" s="37"/>
      <c r="AT458" s="38"/>
      <c r="AU458" s="1630"/>
      <c r="AV458" s="1342">
        <f t="shared" si="243"/>
        <v>0</v>
      </c>
      <c r="AW458" s="1342">
        <f t="shared" si="244"/>
        <v>0</v>
      </c>
      <c r="AX458" s="1342">
        <f t="shared" si="245"/>
        <v>0</v>
      </c>
      <c r="AY458" s="39">
        <f t="shared" si="246"/>
        <v>0</v>
      </c>
      <c r="AZ458" s="32">
        <f t="shared" si="247"/>
        <v>0</v>
      </c>
      <c r="BA458" s="32">
        <f t="shared" si="248"/>
        <v>0</v>
      </c>
      <c r="BB458" s="32">
        <f t="shared" si="249"/>
        <v>0</v>
      </c>
      <c r="BC458" s="32">
        <f t="shared" si="250"/>
        <v>0</v>
      </c>
      <c r="BD458" s="32">
        <f t="shared" si="251"/>
        <v>0</v>
      </c>
      <c r="BE458" s="32">
        <f t="shared" si="252"/>
        <v>0</v>
      </c>
      <c r="BF458" s="32">
        <f t="shared" si="253"/>
        <v>0</v>
      </c>
      <c r="BG458" s="32">
        <f t="shared" si="254"/>
        <v>0</v>
      </c>
      <c r="BH458" s="32">
        <f t="shared" si="255"/>
        <v>0</v>
      </c>
      <c r="BI458" s="32">
        <f t="shared" si="256"/>
        <v>0</v>
      </c>
      <c r="BJ458" s="32">
        <f t="shared" si="257"/>
        <v>0</v>
      </c>
      <c r="BK458" s="32">
        <f t="shared" si="258"/>
        <v>0</v>
      </c>
      <c r="BL458" s="32">
        <f t="shared" si="259"/>
        <v>0</v>
      </c>
      <c r="BM458" s="32">
        <f t="shared" si="260"/>
        <v>0</v>
      </c>
      <c r="BN458" s="32">
        <f t="shared" si="261"/>
        <v>0</v>
      </c>
      <c r="BO458" s="32">
        <f t="shared" si="262"/>
        <v>0</v>
      </c>
      <c r="BP458" s="32">
        <f t="shared" si="263"/>
        <v>0</v>
      </c>
      <c r="BQ458" s="32">
        <f t="shared" si="264"/>
        <v>0</v>
      </c>
      <c r="BR458" s="32">
        <f t="shared" si="265"/>
        <v>0</v>
      </c>
      <c r="BS458" s="32">
        <f t="shared" si="266"/>
        <v>0</v>
      </c>
      <c r="BT458" s="40">
        <f t="shared" si="267"/>
        <v>0</v>
      </c>
    </row>
    <row r="459" spans="1:72">
      <c r="A459" s="6"/>
      <c r="B459" s="31"/>
      <c r="C459" s="31"/>
      <c r="D459" s="1629"/>
      <c r="E459" s="32">
        <f t="shared" si="239"/>
        <v>0</v>
      </c>
      <c r="F459" s="33"/>
      <c r="G459" s="34">
        <f t="shared" si="240"/>
        <v>0</v>
      </c>
      <c r="H459" s="35">
        <f t="shared" si="241"/>
        <v>0</v>
      </c>
      <c r="I459" s="36"/>
      <c r="J459" s="36"/>
      <c r="K459" s="36"/>
      <c r="L459" s="36"/>
      <c r="M459" s="36"/>
      <c r="N459" s="36"/>
      <c r="O459" s="36"/>
      <c r="P459" s="36"/>
      <c r="Q459" s="36"/>
      <c r="R459" s="36"/>
      <c r="S459" s="36"/>
      <c r="T459" s="36"/>
      <c r="U459" s="36"/>
      <c r="V459" s="36"/>
      <c r="W459" s="36"/>
      <c r="X459" s="36"/>
      <c r="Y459" s="36"/>
      <c r="Z459" s="36"/>
      <c r="AA459" s="36"/>
      <c r="AB459" s="36"/>
      <c r="AC459" s="32">
        <f t="shared" si="242"/>
        <v>0</v>
      </c>
      <c r="AD459" s="37"/>
      <c r="AE459" s="37"/>
      <c r="AF459" s="37"/>
      <c r="AG459" s="37"/>
      <c r="AH459" s="37"/>
      <c r="AI459" s="37"/>
      <c r="AJ459" s="37"/>
      <c r="AK459" s="37"/>
      <c r="AL459" s="37"/>
      <c r="AM459" s="37"/>
      <c r="AN459" s="37"/>
      <c r="AO459" s="37"/>
      <c r="AP459" s="37"/>
      <c r="AQ459" s="37"/>
      <c r="AR459" s="37"/>
      <c r="AS459" s="37"/>
      <c r="AT459" s="38"/>
      <c r="AU459" s="1630"/>
      <c r="AV459" s="1342">
        <f t="shared" si="243"/>
        <v>0</v>
      </c>
      <c r="AW459" s="1342">
        <f t="shared" si="244"/>
        <v>0</v>
      </c>
      <c r="AX459" s="1342">
        <f t="shared" si="245"/>
        <v>0</v>
      </c>
      <c r="AY459" s="39">
        <f t="shared" si="246"/>
        <v>0</v>
      </c>
      <c r="AZ459" s="32">
        <f t="shared" si="247"/>
        <v>0</v>
      </c>
      <c r="BA459" s="32">
        <f t="shared" si="248"/>
        <v>0</v>
      </c>
      <c r="BB459" s="32">
        <f t="shared" si="249"/>
        <v>0</v>
      </c>
      <c r="BC459" s="32">
        <f t="shared" si="250"/>
        <v>0</v>
      </c>
      <c r="BD459" s="32">
        <f t="shared" si="251"/>
        <v>0</v>
      </c>
      <c r="BE459" s="32">
        <f t="shared" si="252"/>
        <v>0</v>
      </c>
      <c r="BF459" s="32">
        <f t="shared" si="253"/>
        <v>0</v>
      </c>
      <c r="BG459" s="32">
        <f t="shared" si="254"/>
        <v>0</v>
      </c>
      <c r="BH459" s="32">
        <f t="shared" si="255"/>
        <v>0</v>
      </c>
      <c r="BI459" s="32">
        <f t="shared" si="256"/>
        <v>0</v>
      </c>
      <c r="BJ459" s="32">
        <f t="shared" si="257"/>
        <v>0</v>
      </c>
      <c r="BK459" s="32">
        <f t="shared" si="258"/>
        <v>0</v>
      </c>
      <c r="BL459" s="32">
        <f t="shared" si="259"/>
        <v>0</v>
      </c>
      <c r="BM459" s="32">
        <f t="shared" si="260"/>
        <v>0</v>
      </c>
      <c r="BN459" s="32">
        <f t="shared" si="261"/>
        <v>0</v>
      </c>
      <c r="BO459" s="32">
        <f t="shared" si="262"/>
        <v>0</v>
      </c>
      <c r="BP459" s="32">
        <f t="shared" si="263"/>
        <v>0</v>
      </c>
      <c r="BQ459" s="32">
        <f t="shared" si="264"/>
        <v>0</v>
      </c>
      <c r="BR459" s="32">
        <f t="shared" si="265"/>
        <v>0</v>
      </c>
      <c r="BS459" s="32">
        <f t="shared" si="266"/>
        <v>0</v>
      </c>
      <c r="BT459" s="40">
        <f t="shared" si="267"/>
        <v>0</v>
      </c>
    </row>
    <row r="460" spans="1:72">
      <c r="A460" s="6"/>
      <c r="B460" s="31"/>
      <c r="C460" s="31"/>
      <c r="D460" s="1629"/>
      <c r="E460" s="32">
        <f t="shared" si="239"/>
        <v>0</v>
      </c>
      <c r="F460" s="33"/>
      <c r="G460" s="34">
        <f t="shared" si="240"/>
        <v>0</v>
      </c>
      <c r="H460" s="35">
        <f t="shared" si="241"/>
        <v>0</v>
      </c>
      <c r="I460" s="36"/>
      <c r="J460" s="36"/>
      <c r="K460" s="36"/>
      <c r="L460" s="36"/>
      <c r="M460" s="36"/>
      <c r="N460" s="36"/>
      <c r="O460" s="36"/>
      <c r="P460" s="36"/>
      <c r="Q460" s="36"/>
      <c r="R460" s="36"/>
      <c r="S460" s="36"/>
      <c r="T460" s="36"/>
      <c r="U460" s="36"/>
      <c r="V460" s="36"/>
      <c r="W460" s="36"/>
      <c r="X460" s="36"/>
      <c r="Y460" s="36"/>
      <c r="Z460" s="36"/>
      <c r="AA460" s="36"/>
      <c r="AB460" s="36"/>
      <c r="AC460" s="32">
        <f t="shared" si="242"/>
        <v>0</v>
      </c>
      <c r="AD460" s="37"/>
      <c r="AE460" s="37"/>
      <c r="AF460" s="37"/>
      <c r="AG460" s="37"/>
      <c r="AH460" s="37"/>
      <c r="AI460" s="37"/>
      <c r="AJ460" s="37"/>
      <c r="AK460" s="37"/>
      <c r="AL460" s="37"/>
      <c r="AM460" s="37"/>
      <c r="AN460" s="37"/>
      <c r="AO460" s="37"/>
      <c r="AP460" s="37"/>
      <c r="AQ460" s="37"/>
      <c r="AR460" s="37"/>
      <c r="AS460" s="37"/>
      <c r="AT460" s="38"/>
      <c r="AU460" s="1630"/>
      <c r="AV460" s="1342">
        <f t="shared" si="243"/>
        <v>0</v>
      </c>
      <c r="AW460" s="1342">
        <f t="shared" si="244"/>
        <v>0</v>
      </c>
      <c r="AX460" s="1342">
        <f t="shared" si="245"/>
        <v>0</v>
      </c>
      <c r="AY460" s="39">
        <f t="shared" si="246"/>
        <v>0</v>
      </c>
      <c r="AZ460" s="32">
        <f t="shared" si="247"/>
        <v>0</v>
      </c>
      <c r="BA460" s="32">
        <f t="shared" si="248"/>
        <v>0</v>
      </c>
      <c r="BB460" s="32">
        <f t="shared" si="249"/>
        <v>0</v>
      </c>
      <c r="BC460" s="32">
        <f t="shared" si="250"/>
        <v>0</v>
      </c>
      <c r="BD460" s="32">
        <f t="shared" si="251"/>
        <v>0</v>
      </c>
      <c r="BE460" s="32">
        <f t="shared" si="252"/>
        <v>0</v>
      </c>
      <c r="BF460" s="32">
        <f t="shared" si="253"/>
        <v>0</v>
      </c>
      <c r="BG460" s="32">
        <f t="shared" si="254"/>
        <v>0</v>
      </c>
      <c r="BH460" s="32">
        <f t="shared" si="255"/>
        <v>0</v>
      </c>
      <c r="BI460" s="32">
        <f t="shared" si="256"/>
        <v>0</v>
      </c>
      <c r="BJ460" s="32">
        <f t="shared" si="257"/>
        <v>0</v>
      </c>
      <c r="BK460" s="32">
        <f t="shared" si="258"/>
        <v>0</v>
      </c>
      <c r="BL460" s="32">
        <f t="shared" si="259"/>
        <v>0</v>
      </c>
      <c r="BM460" s="32">
        <f t="shared" si="260"/>
        <v>0</v>
      </c>
      <c r="BN460" s="32">
        <f t="shared" si="261"/>
        <v>0</v>
      </c>
      <c r="BO460" s="32">
        <f t="shared" si="262"/>
        <v>0</v>
      </c>
      <c r="BP460" s="32">
        <f t="shared" si="263"/>
        <v>0</v>
      </c>
      <c r="BQ460" s="32">
        <f t="shared" si="264"/>
        <v>0</v>
      </c>
      <c r="BR460" s="32">
        <f t="shared" si="265"/>
        <v>0</v>
      </c>
      <c r="BS460" s="32">
        <f t="shared" si="266"/>
        <v>0</v>
      </c>
      <c r="BT460" s="40">
        <f t="shared" si="267"/>
        <v>0</v>
      </c>
    </row>
    <row r="461" spans="1:72">
      <c r="A461" s="6"/>
      <c r="B461" s="31"/>
      <c r="C461" s="31"/>
      <c r="D461" s="1629"/>
      <c r="E461" s="32">
        <f t="shared" si="239"/>
        <v>0</v>
      </c>
      <c r="F461" s="33"/>
      <c r="G461" s="34">
        <f t="shared" si="240"/>
        <v>0</v>
      </c>
      <c r="H461" s="35">
        <f t="shared" si="241"/>
        <v>0</v>
      </c>
      <c r="I461" s="36"/>
      <c r="J461" s="36"/>
      <c r="K461" s="36"/>
      <c r="L461" s="36"/>
      <c r="M461" s="36"/>
      <c r="N461" s="36"/>
      <c r="O461" s="36"/>
      <c r="P461" s="36"/>
      <c r="Q461" s="36"/>
      <c r="R461" s="36"/>
      <c r="S461" s="36"/>
      <c r="T461" s="36"/>
      <c r="U461" s="36"/>
      <c r="V461" s="36"/>
      <c r="W461" s="36"/>
      <c r="X461" s="36"/>
      <c r="Y461" s="36"/>
      <c r="Z461" s="36"/>
      <c r="AA461" s="36"/>
      <c r="AB461" s="36"/>
      <c r="AC461" s="32">
        <f t="shared" si="242"/>
        <v>0</v>
      </c>
      <c r="AD461" s="37"/>
      <c r="AE461" s="37"/>
      <c r="AF461" s="37"/>
      <c r="AG461" s="37"/>
      <c r="AH461" s="37"/>
      <c r="AI461" s="37"/>
      <c r="AJ461" s="37"/>
      <c r="AK461" s="37"/>
      <c r="AL461" s="37"/>
      <c r="AM461" s="37"/>
      <c r="AN461" s="37"/>
      <c r="AO461" s="37"/>
      <c r="AP461" s="37"/>
      <c r="AQ461" s="37"/>
      <c r="AR461" s="37"/>
      <c r="AS461" s="37"/>
      <c r="AT461" s="38"/>
      <c r="AU461" s="1630"/>
      <c r="AV461" s="1342">
        <f t="shared" si="243"/>
        <v>0</v>
      </c>
      <c r="AW461" s="1342">
        <f t="shared" si="244"/>
        <v>0</v>
      </c>
      <c r="AX461" s="1342">
        <f t="shared" si="245"/>
        <v>0</v>
      </c>
      <c r="AY461" s="39">
        <f t="shared" si="246"/>
        <v>0</v>
      </c>
      <c r="AZ461" s="32">
        <f t="shared" si="247"/>
        <v>0</v>
      </c>
      <c r="BA461" s="32">
        <f t="shared" si="248"/>
        <v>0</v>
      </c>
      <c r="BB461" s="32">
        <f t="shared" si="249"/>
        <v>0</v>
      </c>
      <c r="BC461" s="32">
        <f t="shared" si="250"/>
        <v>0</v>
      </c>
      <c r="BD461" s="32">
        <f t="shared" si="251"/>
        <v>0</v>
      </c>
      <c r="BE461" s="32">
        <f t="shared" si="252"/>
        <v>0</v>
      </c>
      <c r="BF461" s="32">
        <f t="shared" si="253"/>
        <v>0</v>
      </c>
      <c r="BG461" s="32">
        <f t="shared" si="254"/>
        <v>0</v>
      </c>
      <c r="BH461" s="32">
        <f t="shared" si="255"/>
        <v>0</v>
      </c>
      <c r="BI461" s="32">
        <f t="shared" si="256"/>
        <v>0</v>
      </c>
      <c r="BJ461" s="32">
        <f t="shared" si="257"/>
        <v>0</v>
      </c>
      <c r="BK461" s="32">
        <f t="shared" si="258"/>
        <v>0</v>
      </c>
      <c r="BL461" s="32">
        <f t="shared" si="259"/>
        <v>0</v>
      </c>
      <c r="BM461" s="32">
        <f t="shared" si="260"/>
        <v>0</v>
      </c>
      <c r="BN461" s="32">
        <f t="shared" si="261"/>
        <v>0</v>
      </c>
      <c r="BO461" s="32">
        <f t="shared" si="262"/>
        <v>0</v>
      </c>
      <c r="BP461" s="32">
        <f t="shared" si="263"/>
        <v>0</v>
      </c>
      <c r="BQ461" s="32">
        <f t="shared" si="264"/>
        <v>0</v>
      </c>
      <c r="BR461" s="32">
        <f t="shared" si="265"/>
        <v>0</v>
      </c>
      <c r="BS461" s="32">
        <f t="shared" si="266"/>
        <v>0</v>
      </c>
      <c r="BT461" s="40">
        <f t="shared" si="267"/>
        <v>0</v>
      </c>
    </row>
    <row r="462" spans="1:72">
      <c r="A462" s="6"/>
      <c r="B462" s="31"/>
      <c r="C462" s="31"/>
      <c r="D462" s="1629"/>
      <c r="E462" s="32">
        <f t="shared" si="239"/>
        <v>0</v>
      </c>
      <c r="F462" s="33"/>
      <c r="G462" s="34">
        <f t="shared" si="240"/>
        <v>0</v>
      </c>
      <c r="H462" s="35">
        <f t="shared" si="241"/>
        <v>0</v>
      </c>
      <c r="I462" s="36"/>
      <c r="J462" s="36"/>
      <c r="K462" s="36"/>
      <c r="L462" s="36"/>
      <c r="M462" s="36"/>
      <c r="N462" s="36"/>
      <c r="O462" s="36"/>
      <c r="P462" s="36"/>
      <c r="Q462" s="36"/>
      <c r="R462" s="36"/>
      <c r="S462" s="36"/>
      <c r="T462" s="36"/>
      <c r="U462" s="36"/>
      <c r="V462" s="36"/>
      <c r="W462" s="36"/>
      <c r="X462" s="36"/>
      <c r="Y462" s="36"/>
      <c r="Z462" s="36"/>
      <c r="AA462" s="36"/>
      <c r="AB462" s="36"/>
      <c r="AC462" s="32">
        <f t="shared" si="242"/>
        <v>0</v>
      </c>
      <c r="AD462" s="37"/>
      <c r="AE462" s="37"/>
      <c r="AF462" s="37"/>
      <c r="AG462" s="37"/>
      <c r="AH462" s="37"/>
      <c r="AI462" s="37"/>
      <c r="AJ462" s="37"/>
      <c r="AK462" s="37"/>
      <c r="AL462" s="37"/>
      <c r="AM462" s="37"/>
      <c r="AN462" s="37"/>
      <c r="AO462" s="37"/>
      <c r="AP462" s="37"/>
      <c r="AQ462" s="37"/>
      <c r="AR462" s="37"/>
      <c r="AS462" s="37"/>
      <c r="AT462" s="38"/>
      <c r="AU462" s="1630"/>
      <c r="AV462" s="1342">
        <f t="shared" si="243"/>
        <v>0</v>
      </c>
      <c r="AW462" s="1342">
        <f t="shared" si="244"/>
        <v>0</v>
      </c>
      <c r="AX462" s="1342">
        <f t="shared" si="245"/>
        <v>0</v>
      </c>
      <c r="AY462" s="39">
        <f t="shared" si="246"/>
        <v>0</v>
      </c>
      <c r="AZ462" s="32">
        <f t="shared" si="247"/>
        <v>0</v>
      </c>
      <c r="BA462" s="32">
        <f t="shared" si="248"/>
        <v>0</v>
      </c>
      <c r="BB462" s="32">
        <f t="shared" si="249"/>
        <v>0</v>
      </c>
      <c r="BC462" s="32">
        <f t="shared" si="250"/>
        <v>0</v>
      </c>
      <c r="BD462" s="32">
        <f t="shared" si="251"/>
        <v>0</v>
      </c>
      <c r="BE462" s="32">
        <f t="shared" si="252"/>
        <v>0</v>
      </c>
      <c r="BF462" s="32">
        <f t="shared" si="253"/>
        <v>0</v>
      </c>
      <c r="BG462" s="32">
        <f t="shared" si="254"/>
        <v>0</v>
      </c>
      <c r="BH462" s="32">
        <f t="shared" si="255"/>
        <v>0</v>
      </c>
      <c r="BI462" s="32">
        <f t="shared" si="256"/>
        <v>0</v>
      </c>
      <c r="BJ462" s="32">
        <f t="shared" si="257"/>
        <v>0</v>
      </c>
      <c r="BK462" s="32">
        <f t="shared" si="258"/>
        <v>0</v>
      </c>
      <c r="BL462" s="32">
        <f t="shared" si="259"/>
        <v>0</v>
      </c>
      <c r="BM462" s="32">
        <f t="shared" si="260"/>
        <v>0</v>
      </c>
      <c r="BN462" s="32">
        <f t="shared" si="261"/>
        <v>0</v>
      </c>
      <c r="BO462" s="32">
        <f t="shared" si="262"/>
        <v>0</v>
      </c>
      <c r="BP462" s="32">
        <f t="shared" si="263"/>
        <v>0</v>
      </c>
      <c r="BQ462" s="32">
        <f t="shared" si="264"/>
        <v>0</v>
      </c>
      <c r="BR462" s="32">
        <f t="shared" si="265"/>
        <v>0</v>
      </c>
      <c r="BS462" s="32">
        <f t="shared" si="266"/>
        <v>0</v>
      </c>
      <c r="BT462" s="40">
        <f t="shared" si="267"/>
        <v>0</v>
      </c>
    </row>
    <row r="463" spans="1:72">
      <c r="A463" s="6"/>
      <c r="B463" s="31"/>
      <c r="C463" s="31"/>
      <c r="D463" s="1629"/>
      <c r="E463" s="32">
        <f t="shared" si="239"/>
        <v>0</v>
      </c>
      <c r="F463" s="33"/>
      <c r="G463" s="34">
        <f t="shared" si="240"/>
        <v>0</v>
      </c>
      <c r="H463" s="35">
        <f t="shared" si="241"/>
        <v>0</v>
      </c>
      <c r="I463" s="36"/>
      <c r="J463" s="36"/>
      <c r="K463" s="36"/>
      <c r="L463" s="36"/>
      <c r="M463" s="36"/>
      <c r="N463" s="36"/>
      <c r="O463" s="36"/>
      <c r="P463" s="36"/>
      <c r="Q463" s="36"/>
      <c r="R463" s="36"/>
      <c r="S463" s="36"/>
      <c r="T463" s="36"/>
      <c r="U463" s="36"/>
      <c r="V463" s="36"/>
      <c r="W463" s="36"/>
      <c r="X463" s="36"/>
      <c r="Y463" s="36"/>
      <c r="Z463" s="36"/>
      <c r="AA463" s="36"/>
      <c r="AB463" s="36"/>
      <c r="AC463" s="32">
        <f t="shared" si="242"/>
        <v>0</v>
      </c>
      <c r="AD463" s="37"/>
      <c r="AE463" s="37"/>
      <c r="AF463" s="37"/>
      <c r="AG463" s="37"/>
      <c r="AH463" s="37"/>
      <c r="AI463" s="37"/>
      <c r="AJ463" s="37"/>
      <c r="AK463" s="37"/>
      <c r="AL463" s="37"/>
      <c r="AM463" s="37"/>
      <c r="AN463" s="37"/>
      <c r="AO463" s="37"/>
      <c r="AP463" s="37"/>
      <c r="AQ463" s="37"/>
      <c r="AR463" s="37"/>
      <c r="AS463" s="37"/>
      <c r="AT463" s="38"/>
      <c r="AU463" s="1630"/>
      <c r="AV463" s="1342">
        <f t="shared" si="243"/>
        <v>0</v>
      </c>
      <c r="AW463" s="1342">
        <f t="shared" si="244"/>
        <v>0</v>
      </c>
      <c r="AX463" s="1342">
        <f t="shared" si="245"/>
        <v>0</v>
      </c>
      <c r="AY463" s="39">
        <f t="shared" si="246"/>
        <v>0</v>
      </c>
      <c r="AZ463" s="32">
        <f t="shared" si="247"/>
        <v>0</v>
      </c>
      <c r="BA463" s="32">
        <f t="shared" si="248"/>
        <v>0</v>
      </c>
      <c r="BB463" s="32">
        <f t="shared" si="249"/>
        <v>0</v>
      </c>
      <c r="BC463" s="32">
        <f t="shared" si="250"/>
        <v>0</v>
      </c>
      <c r="BD463" s="32">
        <f t="shared" si="251"/>
        <v>0</v>
      </c>
      <c r="BE463" s="32">
        <f t="shared" si="252"/>
        <v>0</v>
      </c>
      <c r="BF463" s="32">
        <f t="shared" si="253"/>
        <v>0</v>
      </c>
      <c r="BG463" s="32">
        <f t="shared" si="254"/>
        <v>0</v>
      </c>
      <c r="BH463" s="32">
        <f t="shared" si="255"/>
        <v>0</v>
      </c>
      <c r="BI463" s="32">
        <f t="shared" si="256"/>
        <v>0</v>
      </c>
      <c r="BJ463" s="32">
        <f t="shared" si="257"/>
        <v>0</v>
      </c>
      <c r="BK463" s="32">
        <f t="shared" si="258"/>
        <v>0</v>
      </c>
      <c r="BL463" s="32">
        <f t="shared" si="259"/>
        <v>0</v>
      </c>
      <c r="BM463" s="32">
        <f t="shared" si="260"/>
        <v>0</v>
      </c>
      <c r="BN463" s="32">
        <f t="shared" si="261"/>
        <v>0</v>
      </c>
      <c r="BO463" s="32">
        <f t="shared" si="262"/>
        <v>0</v>
      </c>
      <c r="BP463" s="32">
        <f t="shared" si="263"/>
        <v>0</v>
      </c>
      <c r="BQ463" s="32">
        <f t="shared" si="264"/>
        <v>0</v>
      </c>
      <c r="BR463" s="32">
        <f t="shared" si="265"/>
        <v>0</v>
      </c>
      <c r="BS463" s="32">
        <f t="shared" si="266"/>
        <v>0</v>
      </c>
      <c r="BT463" s="40">
        <f t="shared" si="267"/>
        <v>0</v>
      </c>
    </row>
    <row r="464" spans="1:72">
      <c r="A464" s="6"/>
      <c r="B464" s="31"/>
      <c r="C464" s="31"/>
      <c r="D464" s="1629"/>
      <c r="E464" s="32">
        <f t="shared" si="239"/>
        <v>0</v>
      </c>
      <c r="F464" s="33"/>
      <c r="G464" s="34">
        <f t="shared" si="240"/>
        <v>0</v>
      </c>
      <c r="H464" s="35">
        <f t="shared" si="241"/>
        <v>0</v>
      </c>
      <c r="I464" s="36"/>
      <c r="J464" s="36"/>
      <c r="K464" s="36"/>
      <c r="L464" s="36"/>
      <c r="M464" s="36"/>
      <c r="N464" s="36"/>
      <c r="O464" s="36"/>
      <c r="P464" s="36"/>
      <c r="Q464" s="36"/>
      <c r="R464" s="36"/>
      <c r="S464" s="36"/>
      <c r="T464" s="36"/>
      <c r="U464" s="36"/>
      <c r="V464" s="36"/>
      <c r="W464" s="36"/>
      <c r="X464" s="36"/>
      <c r="Y464" s="36"/>
      <c r="Z464" s="36"/>
      <c r="AA464" s="36"/>
      <c r="AB464" s="36"/>
      <c r="AC464" s="32">
        <f t="shared" si="242"/>
        <v>0</v>
      </c>
      <c r="AD464" s="37"/>
      <c r="AE464" s="37"/>
      <c r="AF464" s="37"/>
      <c r="AG464" s="37"/>
      <c r="AH464" s="37"/>
      <c r="AI464" s="37"/>
      <c r="AJ464" s="37"/>
      <c r="AK464" s="37"/>
      <c r="AL464" s="37"/>
      <c r="AM464" s="37"/>
      <c r="AN464" s="37"/>
      <c r="AO464" s="37"/>
      <c r="AP464" s="37"/>
      <c r="AQ464" s="37"/>
      <c r="AR464" s="37"/>
      <c r="AS464" s="37"/>
      <c r="AT464" s="38"/>
      <c r="AU464" s="1630"/>
      <c r="AV464" s="1342">
        <f t="shared" si="243"/>
        <v>0</v>
      </c>
      <c r="AW464" s="1342">
        <f t="shared" si="244"/>
        <v>0</v>
      </c>
      <c r="AX464" s="1342">
        <f t="shared" si="245"/>
        <v>0</v>
      </c>
      <c r="AY464" s="39">
        <f t="shared" si="246"/>
        <v>0</v>
      </c>
      <c r="AZ464" s="32">
        <f t="shared" si="247"/>
        <v>0</v>
      </c>
      <c r="BA464" s="32">
        <f t="shared" si="248"/>
        <v>0</v>
      </c>
      <c r="BB464" s="32">
        <f t="shared" si="249"/>
        <v>0</v>
      </c>
      <c r="BC464" s="32">
        <f t="shared" si="250"/>
        <v>0</v>
      </c>
      <c r="BD464" s="32">
        <f t="shared" si="251"/>
        <v>0</v>
      </c>
      <c r="BE464" s="32">
        <f t="shared" si="252"/>
        <v>0</v>
      </c>
      <c r="BF464" s="32">
        <f t="shared" si="253"/>
        <v>0</v>
      </c>
      <c r="BG464" s="32">
        <f t="shared" si="254"/>
        <v>0</v>
      </c>
      <c r="BH464" s="32">
        <f t="shared" si="255"/>
        <v>0</v>
      </c>
      <c r="BI464" s="32">
        <f t="shared" si="256"/>
        <v>0</v>
      </c>
      <c r="BJ464" s="32">
        <f t="shared" si="257"/>
        <v>0</v>
      </c>
      <c r="BK464" s="32">
        <f t="shared" si="258"/>
        <v>0</v>
      </c>
      <c r="BL464" s="32">
        <f t="shared" si="259"/>
        <v>0</v>
      </c>
      <c r="BM464" s="32">
        <f t="shared" si="260"/>
        <v>0</v>
      </c>
      <c r="BN464" s="32">
        <f t="shared" si="261"/>
        <v>0</v>
      </c>
      <c r="BO464" s="32">
        <f t="shared" si="262"/>
        <v>0</v>
      </c>
      <c r="BP464" s="32">
        <f t="shared" si="263"/>
        <v>0</v>
      </c>
      <c r="BQ464" s="32">
        <f t="shared" si="264"/>
        <v>0</v>
      </c>
      <c r="BR464" s="32">
        <f t="shared" si="265"/>
        <v>0</v>
      </c>
      <c r="BS464" s="32">
        <f t="shared" si="266"/>
        <v>0</v>
      </c>
      <c r="BT464" s="40">
        <f t="shared" si="267"/>
        <v>0</v>
      </c>
    </row>
    <row r="465" spans="1:72">
      <c r="A465" s="6"/>
      <c r="B465" s="31"/>
      <c r="C465" s="31"/>
      <c r="D465" s="1629"/>
      <c r="E465" s="32">
        <f t="shared" si="239"/>
        <v>0</v>
      </c>
      <c r="F465" s="33"/>
      <c r="G465" s="34">
        <f t="shared" si="240"/>
        <v>0</v>
      </c>
      <c r="H465" s="35">
        <f t="shared" si="241"/>
        <v>0</v>
      </c>
      <c r="I465" s="36"/>
      <c r="J465" s="36"/>
      <c r="K465" s="36"/>
      <c r="L465" s="36"/>
      <c r="M465" s="36"/>
      <c r="N465" s="36"/>
      <c r="O465" s="36"/>
      <c r="P465" s="36"/>
      <c r="Q465" s="36"/>
      <c r="R465" s="36"/>
      <c r="S465" s="36"/>
      <c r="T465" s="36"/>
      <c r="U465" s="36"/>
      <c r="V465" s="36"/>
      <c r="W465" s="36"/>
      <c r="X465" s="36"/>
      <c r="Y465" s="36"/>
      <c r="Z465" s="36"/>
      <c r="AA465" s="36"/>
      <c r="AB465" s="36"/>
      <c r="AC465" s="32">
        <f t="shared" si="242"/>
        <v>0</v>
      </c>
      <c r="AD465" s="37"/>
      <c r="AE465" s="37"/>
      <c r="AF465" s="37"/>
      <c r="AG465" s="37"/>
      <c r="AH465" s="37"/>
      <c r="AI465" s="37"/>
      <c r="AJ465" s="37"/>
      <c r="AK465" s="37"/>
      <c r="AL465" s="37"/>
      <c r="AM465" s="37"/>
      <c r="AN465" s="37"/>
      <c r="AO465" s="37"/>
      <c r="AP465" s="37"/>
      <c r="AQ465" s="37"/>
      <c r="AR465" s="37"/>
      <c r="AS465" s="37"/>
      <c r="AT465" s="38"/>
      <c r="AU465" s="1630"/>
      <c r="AV465" s="1342">
        <f t="shared" si="243"/>
        <v>0</v>
      </c>
      <c r="AW465" s="1342">
        <f t="shared" si="244"/>
        <v>0</v>
      </c>
      <c r="AX465" s="1342">
        <f t="shared" si="245"/>
        <v>0</v>
      </c>
      <c r="AY465" s="39">
        <f t="shared" si="246"/>
        <v>0</v>
      </c>
      <c r="AZ465" s="32">
        <f t="shared" si="247"/>
        <v>0</v>
      </c>
      <c r="BA465" s="32">
        <f t="shared" si="248"/>
        <v>0</v>
      </c>
      <c r="BB465" s="32">
        <f t="shared" si="249"/>
        <v>0</v>
      </c>
      <c r="BC465" s="32">
        <f t="shared" si="250"/>
        <v>0</v>
      </c>
      <c r="BD465" s="32">
        <f t="shared" si="251"/>
        <v>0</v>
      </c>
      <c r="BE465" s="32">
        <f t="shared" si="252"/>
        <v>0</v>
      </c>
      <c r="BF465" s="32">
        <f t="shared" si="253"/>
        <v>0</v>
      </c>
      <c r="BG465" s="32">
        <f t="shared" si="254"/>
        <v>0</v>
      </c>
      <c r="BH465" s="32">
        <f t="shared" si="255"/>
        <v>0</v>
      </c>
      <c r="BI465" s="32">
        <f t="shared" si="256"/>
        <v>0</v>
      </c>
      <c r="BJ465" s="32">
        <f t="shared" si="257"/>
        <v>0</v>
      </c>
      <c r="BK465" s="32">
        <f t="shared" si="258"/>
        <v>0</v>
      </c>
      <c r="BL465" s="32">
        <f t="shared" si="259"/>
        <v>0</v>
      </c>
      <c r="BM465" s="32">
        <f t="shared" si="260"/>
        <v>0</v>
      </c>
      <c r="BN465" s="32">
        <f t="shared" si="261"/>
        <v>0</v>
      </c>
      <c r="BO465" s="32">
        <f t="shared" si="262"/>
        <v>0</v>
      </c>
      <c r="BP465" s="32">
        <f t="shared" si="263"/>
        <v>0</v>
      </c>
      <c r="BQ465" s="32">
        <f t="shared" si="264"/>
        <v>0</v>
      </c>
      <c r="BR465" s="32">
        <f t="shared" si="265"/>
        <v>0</v>
      </c>
      <c r="BS465" s="32">
        <f t="shared" si="266"/>
        <v>0</v>
      </c>
      <c r="BT465" s="40">
        <f t="shared" si="267"/>
        <v>0</v>
      </c>
    </row>
    <row r="466" spans="1:72">
      <c r="A466" s="6"/>
      <c r="B466" s="31"/>
      <c r="C466" s="31"/>
      <c r="D466" s="1629"/>
      <c r="E466" s="32">
        <f t="shared" si="239"/>
        <v>0</v>
      </c>
      <c r="F466" s="33"/>
      <c r="G466" s="34">
        <f t="shared" si="240"/>
        <v>0</v>
      </c>
      <c r="H466" s="35">
        <f t="shared" si="241"/>
        <v>0</v>
      </c>
      <c r="I466" s="36"/>
      <c r="J466" s="36"/>
      <c r="K466" s="36"/>
      <c r="L466" s="36"/>
      <c r="M466" s="36"/>
      <c r="N466" s="36"/>
      <c r="O466" s="36"/>
      <c r="P466" s="36"/>
      <c r="Q466" s="36"/>
      <c r="R466" s="36"/>
      <c r="S466" s="36"/>
      <c r="T466" s="36"/>
      <c r="U466" s="36"/>
      <c r="V466" s="36"/>
      <c r="W466" s="36"/>
      <c r="X466" s="36"/>
      <c r="Y466" s="36"/>
      <c r="Z466" s="36"/>
      <c r="AA466" s="36"/>
      <c r="AB466" s="36"/>
      <c r="AC466" s="32">
        <f t="shared" si="242"/>
        <v>0</v>
      </c>
      <c r="AD466" s="37"/>
      <c r="AE466" s="37"/>
      <c r="AF466" s="37"/>
      <c r="AG466" s="37"/>
      <c r="AH466" s="37"/>
      <c r="AI466" s="37"/>
      <c r="AJ466" s="37"/>
      <c r="AK466" s="37"/>
      <c r="AL466" s="37"/>
      <c r="AM466" s="37"/>
      <c r="AN466" s="37"/>
      <c r="AO466" s="37"/>
      <c r="AP466" s="37"/>
      <c r="AQ466" s="37"/>
      <c r="AR466" s="37"/>
      <c r="AS466" s="37"/>
      <c r="AT466" s="38"/>
      <c r="AU466" s="1630"/>
      <c r="AV466" s="1342">
        <f t="shared" si="243"/>
        <v>0</v>
      </c>
      <c r="AW466" s="1342">
        <f t="shared" si="244"/>
        <v>0</v>
      </c>
      <c r="AX466" s="1342">
        <f t="shared" si="245"/>
        <v>0</v>
      </c>
      <c r="AY466" s="39">
        <f t="shared" si="246"/>
        <v>0</v>
      </c>
      <c r="AZ466" s="32">
        <f t="shared" si="247"/>
        <v>0</v>
      </c>
      <c r="BA466" s="32">
        <f t="shared" si="248"/>
        <v>0</v>
      </c>
      <c r="BB466" s="32">
        <f t="shared" si="249"/>
        <v>0</v>
      </c>
      <c r="BC466" s="32">
        <f t="shared" si="250"/>
        <v>0</v>
      </c>
      <c r="BD466" s="32">
        <f t="shared" si="251"/>
        <v>0</v>
      </c>
      <c r="BE466" s="32">
        <f t="shared" si="252"/>
        <v>0</v>
      </c>
      <c r="BF466" s="32">
        <f t="shared" si="253"/>
        <v>0</v>
      </c>
      <c r="BG466" s="32">
        <f t="shared" si="254"/>
        <v>0</v>
      </c>
      <c r="BH466" s="32">
        <f t="shared" si="255"/>
        <v>0</v>
      </c>
      <c r="BI466" s="32">
        <f t="shared" si="256"/>
        <v>0</v>
      </c>
      <c r="BJ466" s="32">
        <f t="shared" si="257"/>
        <v>0</v>
      </c>
      <c r="BK466" s="32">
        <f t="shared" si="258"/>
        <v>0</v>
      </c>
      <c r="BL466" s="32">
        <f t="shared" si="259"/>
        <v>0</v>
      </c>
      <c r="BM466" s="32">
        <f t="shared" si="260"/>
        <v>0</v>
      </c>
      <c r="BN466" s="32">
        <f t="shared" si="261"/>
        <v>0</v>
      </c>
      <c r="BO466" s="32">
        <f t="shared" si="262"/>
        <v>0</v>
      </c>
      <c r="BP466" s="32">
        <f t="shared" si="263"/>
        <v>0</v>
      </c>
      <c r="BQ466" s="32">
        <f t="shared" si="264"/>
        <v>0</v>
      </c>
      <c r="BR466" s="32">
        <f t="shared" si="265"/>
        <v>0</v>
      </c>
      <c r="BS466" s="32">
        <f t="shared" si="266"/>
        <v>0</v>
      </c>
      <c r="BT466" s="40">
        <f t="shared" si="267"/>
        <v>0</v>
      </c>
    </row>
    <row r="467" spans="1:72">
      <c r="A467" s="6"/>
      <c r="B467" s="31"/>
      <c r="C467" s="31"/>
      <c r="D467" s="1629"/>
      <c r="E467" s="32">
        <f t="shared" si="239"/>
        <v>0</v>
      </c>
      <c r="F467" s="33"/>
      <c r="G467" s="34">
        <f t="shared" si="240"/>
        <v>0</v>
      </c>
      <c r="H467" s="35">
        <f t="shared" si="241"/>
        <v>0</v>
      </c>
      <c r="I467" s="36"/>
      <c r="J467" s="36"/>
      <c r="K467" s="36"/>
      <c r="L467" s="36"/>
      <c r="M467" s="36"/>
      <c r="N467" s="36"/>
      <c r="O467" s="36"/>
      <c r="P467" s="36"/>
      <c r="Q467" s="36"/>
      <c r="R467" s="36"/>
      <c r="S467" s="36"/>
      <c r="T467" s="36"/>
      <c r="U467" s="36"/>
      <c r="V467" s="36"/>
      <c r="W467" s="36"/>
      <c r="X467" s="36"/>
      <c r="Y467" s="36"/>
      <c r="Z467" s="36"/>
      <c r="AA467" s="36"/>
      <c r="AB467" s="36"/>
      <c r="AC467" s="32">
        <f t="shared" si="242"/>
        <v>0</v>
      </c>
      <c r="AD467" s="37"/>
      <c r="AE467" s="37"/>
      <c r="AF467" s="37"/>
      <c r="AG467" s="37"/>
      <c r="AH467" s="37"/>
      <c r="AI467" s="37"/>
      <c r="AJ467" s="37"/>
      <c r="AK467" s="37"/>
      <c r="AL467" s="37"/>
      <c r="AM467" s="37"/>
      <c r="AN467" s="37"/>
      <c r="AO467" s="37"/>
      <c r="AP467" s="37"/>
      <c r="AQ467" s="37"/>
      <c r="AR467" s="37"/>
      <c r="AS467" s="37"/>
      <c r="AT467" s="38"/>
      <c r="AU467" s="1630"/>
      <c r="AV467" s="1342">
        <f t="shared" si="243"/>
        <v>0</v>
      </c>
      <c r="AW467" s="1342">
        <f t="shared" si="244"/>
        <v>0</v>
      </c>
      <c r="AX467" s="1342">
        <f t="shared" si="245"/>
        <v>0</v>
      </c>
      <c r="AY467" s="39">
        <f t="shared" si="246"/>
        <v>0</v>
      </c>
      <c r="AZ467" s="32">
        <f t="shared" si="247"/>
        <v>0</v>
      </c>
      <c r="BA467" s="32">
        <f t="shared" si="248"/>
        <v>0</v>
      </c>
      <c r="BB467" s="32">
        <f t="shared" si="249"/>
        <v>0</v>
      </c>
      <c r="BC467" s="32">
        <f t="shared" si="250"/>
        <v>0</v>
      </c>
      <c r="BD467" s="32">
        <f t="shared" si="251"/>
        <v>0</v>
      </c>
      <c r="BE467" s="32">
        <f t="shared" si="252"/>
        <v>0</v>
      </c>
      <c r="BF467" s="32">
        <f t="shared" si="253"/>
        <v>0</v>
      </c>
      <c r="BG467" s="32">
        <f t="shared" si="254"/>
        <v>0</v>
      </c>
      <c r="BH467" s="32">
        <f t="shared" si="255"/>
        <v>0</v>
      </c>
      <c r="BI467" s="32">
        <f t="shared" si="256"/>
        <v>0</v>
      </c>
      <c r="BJ467" s="32">
        <f t="shared" si="257"/>
        <v>0</v>
      </c>
      <c r="BK467" s="32">
        <f t="shared" si="258"/>
        <v>0</v>
      </c>
      <c r="BL467" s="32">
        <f t="shared" si="259"/>
        <v>0</v>
      </c>
      <c r="BM467" s="32">
        <f t="shared" si="260"/>
        <v>0</v>
      </c>
      <c r="BN467" s="32">
        <f t="shared" si="261"/>
        <v>0</v>
      </c>
      <c r="BO467" s="32">
        <f t="shared" si="262"/>
        <v>0</v>
      </c>
      <c r="BP467" s="32">
        <f t="shared" si="263"/>
        <v>0</v>
      </c>
      <c r="BQ467" s="32">
        <f t="shared" si="264"/>
        <v>0</v>
      </c>
      <c r="BR467" s="32">
        <f t="shared" si="265"/>
        <v>0</v>
      </c>
      <c r="BS467" s="32">
        <f t="shared" si="266"/>
        <v>0</v>
      </c>
      <c r="BT467" s="40">
        <f t="shared" si="267"/>
        <v>0</v>
      </c>
    </row>
    <row r="468" spans="1:72">
      <c r="A468" s="6"/>
      <c r="B468" s="31"/>
      <c r="C468" s="31"/>
      <c r="D468" s="1629"/>
      <c r="E468" s="32">
        <f t="shared" si="239"/>
        <v>0</v>
      </c>
      <c r="F468" s="33"/>
      <c r="G468" s="34">
        <f t="shared" si="240"/>
        <v>0</v>
      </c>
      <c r="H468" s="35">
        <f t="shared" si="241"/>
        <v>0</v>
      </c>
      <c r="I468" s="36"/>
      <c r="J468" s="36"/>
      <c r="K468" s="36"/>
      <c r="L468" s="36"/>
      <c r="M468" s="36"/>
      <c r="N468" s="36"/>
      <c r="O468" s="36"/>
      <c r="P468" s="36"/>
      <c r="Q468" s="36"/>
      <c r="R468" s="36"/>
      <c r="S468" s="36"/>
      <c r="T468" s="36"/>
      <c r="U468" s="36"/>
      <c r="V468" s="36"/>
      <c r="W468" s="36"/>
      <c r="X468" s="36"/>
      <c r="Y468" s="36"/>
      <c r="Z468" s="36"/>
      <c r="AA468" s="36"/>
      <c r="AB468" s="36"/>
      <c r="AC468" s="32">
        <f t="shared" si="242"/>
        <v>0</v>
      </c>
      <c r="AD468" s="37"/>
      <c r="AE468" s="37"/>
      <c r="AF468" s="37"/>
      <c r="AG468" s="37"/>
      <c r="AH468" s="37"/>
      <c r="AI468" s="37"/>
      <c r="AJ468" s="37"/>
      <c r="AK468" s="37"/>
      <c r="AL468" s="37"/>
      <c r="AM468" s="37"/>
      <c r="AN468" s="37"/>
      <c r="AO468" s="37"/>
      <c r="AP468" s="37"/>
      <c r="AQ468" s="37"/>
      <c r="AR468" s="37"/>
      <c r="AS468" s="37"/>
      <c r="AT468" s="38"/>
      <c r="AU468" s="1630"/>
      <c r="AV468" s="1342">
        <f t="shared" si="243"/>
        <v>0</v>
      </c>
      <c r="AW468" s="1342">
        <f t="shared" si="244"/>
        <v>0</v>
      </c>
      <c r="AX468" s="1342">
        <f t="shared" si="245"/>
        <v>0</v>
      </c>
      <c r="AY468" s="39">
        <f t="shared" si="246"/>
        <v>0</v>
      </c>
      <c r="AZ468" s="32">
        <f t="shared" si="247"/>
        <v>0</v>
      </c>
      <c r="BA468" s="32">
        <f t="shared" si="248"/>
        <v>0</v>
      </c>
      <c r="BB468" s="32">
        <f t="shared" si="249"/>
        <v>0</v>
      </c>
      <c r="BC468" s="32">
        <f t="shared" si="250"/>
        <v>0</v>
      </c>
      <c r="BD468" s="32">
        <f t="shared" si="251"/>
        <v>0</v>
      </c>
      <c r="BE468" s="32">
        <f t="shared" si="252"/>
        <v>0</v>
      </c>
      <c r="BF468" s="32">
        <f t="shared" si="253"/>
        <v>0</v>
      </c>
      <c r="BG468" s="32">
        <f t="shared" si="254"/>
        <v>0</v>
      </c>
      <c r="BH468" s="32">
        <f t="shared" si="255"/>
        <v>0</v>
      </c>
      <c r="BI468" s="32">
        <f t="shared" si="256"/>
        <v>0</v>
      </c>
      <c r="BJ468" s="32">
        <f t="shared" si="257"/>
        <v>0</v>
      </c>
      <c r="BK468" s="32">
        <f t="shared" si="258"/>
        <v>0</v>
      </c>
      <c r="BL468" s="32">
        <f t="shared" si="259"/>
        <v>0</v>
      </c>
      <c r="BM468" s="32">
        <f t="shared" si="260"/>
        <v>0</v>
      </c>
      <c r="BN468" s="32">
        <f t="shared" si="261"/>
        <v>0</v>
      </c>
      <c r="BO468" s="32">
        <f t="shared" si="262"/>
        <v>0</v>
      </c>
      <c r="BP468" s="32">
        <f t="shared" si="263"/>
        <v>0</v>
      </c>
      <c r="BQ468" s="32">
        <f t="shared" si="264"/>
        <v>0</v>
      </c>
      <c r="BR468" s="32">
        <f t="shared" si="265"/>
        <v>0</v>
      </c>
      <c r="BS468" s="32">
        <f t="shared" si="266"/>
        <v>0</v>
      </c>
      <c r="BT468" s="40">
        <f t="shared" si="267"/>
        <v>0</v>
      </c>
    </row>
    <row r="469" spans="1:72">
      <c r="A469" s="6"/>
      <c r="B469" s="31"/>
      <c r="C469" s="31"/>
      <c r="D469" s="1629"/>
      <c r="E469" s="32">
        <f t="shared" si="239"/>
        <v>0</v>
      </c>
      <c r="F469" s="33"/>
      <c r="G469" s="34">
        <f t="shared" si="240"/>
        <v>0</v>
      </c>
      <c r="H469" s="35">
        <f t="shared" si="241"/>
        <v>0</v>
      </c>
      <c r="I469" s="36"/>
      <c r="J469" s="36"/>
      <c r="K469" s="36"/>
      <c r="L469" s="36"/>
      <c r="M469" s="36"/>
      <c r="N469" s="36"/>
      <c r="O469" s="36"/>
      <c r="P469" s="36"/>
      <c r="Q469" s="36"/>
      <c r="R469" s="36"/>
      <c r="S469" s="36"/>
      <c r="T469" s="36"/>
      <c r="U469" s="36"/>
      <c r="V469" s="36"/>
      <c r="W469" s="36"/>
      <c r="X469" s="36"/>
      <c r="Y469" s="36"/>
      <c r="Z469" s="36"/>
      <c r="AA469" s="36"/>
      <c r="AB469" s="36"/>
      <c r="AC469" s="32">
        <f t="shared" si="242"/>
        <v>0</v>
      </c>
      <c r="AD469" s="37"/>
      <c r="AE469" s="37"/>
      <c r="AF469" s="37"/>
      <c r="AG469" s="37"/>
      <c r="AH469" s="37"/>
      <c r="AI469" s="37"/>
      <c r="AJ469" s="37"/>
      <c r="AK469" s="37"/>
      <c r="AL469" s="37"/>
      <c r="AM469" s="37"/>
      <c r="AN469" s="37"/>
      <c r="AO469" s="37"/>
      <c r="AP469" s="37"/>
      <c r="AQ469" s="37"/>
      <c r="AR469" s="37"/>
      <c r="AS469" s="37"/>
      <c r="AT469" s="38"/>
      <c r="AU469" s="1630"/>
      <c r="AV469" s="1342">
        <f t="shared" si="243"/>
        <v>0</v>
      </c>
      <c r="AW469" s="1342">
        <f t="shared" si="244"/>
        <v>0</v>
      </c>
      <c r="AX469" s="1342">
        <f t="shared" si="245"/>
        <v>0</v>
      </c>
      <c r="AY469" s="39">
        <f t="shared" si="246"/>
        <v>0</v>
      </c>
      <c r="AZ469" s="32">
        <f t="shared" si="247"/>
        <v>0</v>
      </c>
      <c r="BA469" s="32">
        <f t="shared" si="248"/>
        <v>0</v>
      </c>
      <c r="BB469" s="32">
        <f t="shared" si="249"/>
        <v>0</v>
      </c>
      <c r="BC469" s="32">
        <f t="shared" si="250"/>
        <v>0</v>
      </c>
      <c r="BD469" s="32">
        <f t="shared" si="251"/>
        <v>0</v>
      </c>
      <c r="BE469" s="32">
        <f t="shared" si="252"/>
        <v>0</v>
      </c>
      <c r="BF469" s="32">
        <f t="shared" si="253"/>
        <v>0</v>
      </c>
      <c r="BG469" s="32">
        <f t="shared" si="254"/>
        <v>0</v>
      </c>
      <c r="BH469" s="32">
        <f t="shared" si="255"/>
        <v>0</v>
      </c>
      <c r="BI469" s="32">
        <f t="shared" si="256"/>
        <v>0</v>
      </c>
      <c r="BJ469" s="32">
        <f t="shared" si="257"/>
        <v>0</v>
      </c>
      <c r="BK469" s="32">
        <f t="shared" si="258"/>
        <v>0</v>
      </c>
      <c r="BL469" s="32">
        <f t="shared" si="259"/>
        <v>0</v>
      </c>
      <c r="BM469" s="32">
        <f t="shared" si="260"/>
        <v>0</v>
      </c>
      <c r="BN469" s="32">
        <f t="shared" si="261"/>
        <v>0</v>
      </c>
      <c r="BO469" s="32">
        <f t="shared" si="262"/>
        <v>0</v>
      </c>
      <c r="BP469" s="32">
        <f t="shared" si="263"/>
        <v>0</v>
      </c>
      <c r="BQ469" s="32">
        <f t="shared" si="264"/>
        <v>0</v>
      </c>
      <c r="BR469" s="32">
        <f t="shared" si="265"/>
        <v>0</v>
      </c>
      <c r="BS469" s="32">
        <f t="shared" si="266"/>
        <v>0</v>
      </c>
      <c r="BT469" s="40">
        <f t="shared" si="267"/>
        <v>0</v>
      </c>
    </row>
    <row r="470" spans="1:72">
      <c r="A470" s="6"/>
      <c r="B470" s="31"/>
      <c r="C470" s="31"/>
      <c r="D470" s="1629"/>
      <c r="E470" s="32">
        <f t="shared" si="239"/>
        <v>0</v>
      </c>
      <c r="F470" s="33"/>
      <c r="G470" s="34">
        <f t="shared" si="240"/>
        <v>0</v>
      </c>
      <c r="H470" s="35">
        <f t="shared" si="241"/>
        <v>0</v>
      </c>
      <c r="I470" s="36"/>
      <c r="J470" s="36"/>
      <c r="K470" s="36"/>
      <c r="L470" s="36"/>
      <c r="M470" s="36"/>
      <c r="N470" s="36"/>
      <c r="O470" s="36"/>
      <c r="P470" s="36"/>
      <c r="Q470" s="36"/>
      <c r="R470" s="36"/>
      <c r="S470" s="36"/>
      <c r="T470" s="36"/>
      <c r="U470" s="36"/>
      <c r="V470" s="36"/>
      <c r="W470" s="36"/>
      <c r="X470" s="36"/>
      <c r="Y470" s="36"/>
      <c r="Z470" s="36"/>
      <c r="AA470" s="36"/>
      <c r="AB470" s="36"/>
      <c r="AC470" s="32">
        <f t="shared" si="242"/>
        <v>0</v>
      </c>
      <c r="AD470" s="37"/>
      <c r="AE470" s="37"/>
      <c r="AF470" s="37"/>
      <c r="AG470" s="37"/>
      <c r="AH470" s="37"/>
      <c r="AI470" s="37"/>
      <c r="AJ470" s="37"/>
      <c r="AK470" s="37"/>
      <c r="AL470" s="37"/>
      <c r="AM470" s="37"/>
      <c r="AN470" s="37"/>
      <c r="AO470" s="37"/>
      <c r="AP470" s="37"/>
      <c r="AQ470" s="37"/>
      <c r="AR470" s="37"/>
      <c r="AS470" s="37"/>
      <c r="AT470" s="38"/>
      <c r="AU470" s="1630"/>
      <c r="AV470" s="1342">
        <f t="shared" si="243"/>
        <v>0</v>
      </c>
      <c r="AW470" s="1342">
        <f t="shared" si="244"/>
        <v>0</v>
      </c>
      <c r="AX470" s="1342">
        <f t="shared" si="245"/>
        <v>0</v>
      </c>
      <c r="AY470" s="39">
        <f t="shared" si="246"/>
        <v>0</v>
      </c>
      <c r="AZ470" s="32">
        <f t="shared" si="247"/>
        <v>0</v>
      </c>
      <c r="BA470" s="32">
        <f t="shared" si="248"/>
        <v>0</v>
      </c>
      <c r="BB470" s="32">
        <f t="shared" si="249"/>
        <v>0</v>
      </c>
      <c r="BC470" s="32">
        <f t="shared" si="250"/>
        <v>0</v>
      </c>
      <c r="BD470" s="32">
        <f t="shared" si="251"/>
        <v>0</v>
      </c>
      <c r="BE470" s="32">
        <f t="shared" si="252"/>
        <v>0</v>
      </c>
      <c r="BF470" s="32">
        <f t="shared" si="253"/>
        <v>0</v>
      </c>
      <c r="BG470" s="32">
        <f t="shared" si="254"/>
        <v>0</v>
      </c>
      <c r="BH470" s="32">
        <f t="shared" si="255"/>
        <v>0</v>
      </c>
      <c r="BI470" s="32">
        <f t="shared" si="256"/>
        <v>0</v>
      </c>
      <c r="BJ470" s="32">
        <f t="shared" si="257"/>
        <v>0</v>
      </c>
      <c r="BK470" s="32">
        <f t="shared" si="258"/>
        <v>0</v>
      </c>
      <c r="BL470" s="32">
        <f t="shared" si="259"/>
        <v>0</v>
      </c>
      <c r="BM470" s="32">
        <f t="shared" si="260"/>
        <v>0</v>
      </c>
      <c r="BN470" s="32">
        <f t="shared" si="261"/>
        <v>0</v>
      </c>
      <c r="BO470" s="32">
        <f t="shared" si="262"/>
        <v>0</v>
      </c>
      <c r="BP470" s="32">
        <f t="shared" si="263"/>
        <v>0</v>
      </c>
      <c r="BQ470" s="32">
        <f t="shared" si="264"/>
        <v>0</v>
      </c>
      <c r="BR470" s="32">
        <f t="shared" si="265"/>
        <v>0</v>
      </c>
      <c r="BS470" s="32">
        <f t="shared" si="266"/>
        <v>0</v>
      </c>
      <c r="BT470" s="40">
        <f t="shared" si="267"/>
        <v>0</v>
      </c>
    </row>
    <row r="471" spans="1:72">
      <c r="A471" s="6"/>
      <c r="B471" s="31"/>
      <c r="C471" s="31"/>
      <c r="D471" s="1629"/>
      <c r="E471" s="32">
        <f t="shared" si="239"/>
        <v>0</v>
      </c>
      <c r="F471" s="33"/>
      <c r="G471" s="34">
        <f t="shared" si="240"/>
        <v>0</v>
      </c>
      <c r="H471" s="35">
        <f t="shared" si="241"/>
        <v>0</v>
      </c>
      <c r="I471" s="36"/>
      <c r="J471" s="36"/>
      <c r="K471" s="36"/>
      <c r="L471" s="36"/>
      <c r="M471" s="36"/>
      <c r="N471" s="36"/>
      <c r="O471" s="36"/>
      <c r="P471" s="36"/>
      <c r="Q471" s="36"/>
      <c r="R471" s="36"/>
      <c r="S471" s="36"/>
      <c r="T471" s="36"/>
      <c r="U471" s="36"/>
      <c r="V471" s="36"/>
      <c r="W471" s="36"/>
      <c r="X471" s="36"/>
      <c r="Y471" s="36"/>
      <c r="Z471" s="36"/>
      <c r="AA471" s="36"/>
      <c r="AB471" s="36"/>
      <c r="AC471" s="32">
        <f t="shared" si="242"/>
        <v>0</v>
      </c>
      <c r="AD471" s="37"/>
      <c r="AE471" s="37"/>
      <c r="AF471" s="37"/>
      <c r="AG471" s="37"/>
      <c r="AH471" s="37"/>
      <c r="AI471" s="37"/>
      <c r="AJ471" s="37"/>
      <c r="AK471" s="37"/>
      <c r="AL471" s="37"/>
      <c r="AM471" s="37"/>
      <c r="AN471" s="37"/>
      <c r="AO471" s="37"/>
      <c r="AP471" s="37"/>
      <c r="AQ471" s="37"/>
      <c r="AR471" s="37"/>
      <c r="AS471" s="37"/>
      <c r="AT471" s="38"/>
      <c r="AU471" s="1630"/>
      <c r="AV471" s="1342">
        <f t="shared" si="243"/>
        <v>0</v>
      </c>
      <c r="AW471" s="1342">
        <f t="shared" si="244"/>
        <v>0</v>
      </c>
      <c r="AX471" s="1342">
        <f t="shared" si="245"/>
        <v>0</v>
      </c>
      <c r="AY471" s="39">
        <f t="shared" si="246"/>
        <v>0</v>
      </c>
      <c r="AZ471" s="32">
        <f t="shared" si="247"/>
        <v>0</v>
      </c>
      <c r="BA471" s="32">
        <f t="shared" si="248"/>
        <v>0</v>
      </c>
      <c r="BB471" s="32">
        <f t="shared" si="249"/>
        <v>0</v>
      </c>
      <c r="BC471" s="32">
        <f t="shared" si="250"/>
        <v>0</v>
      </c>
      <c r="BD471" s="32">
        <f t="shared" si="251"/>
        <v>0</v>
      </c>
      <c r="BE471" s="32">
        <f t="shared" si="252"/>
        <v>0</v>
      </c>
      <c r="BF471" s="32">
        <f t="shared" si="253"/>
        <v>0</v>
      </c>
      <c r="BG471" s="32">
        <f t="shared" si="254"/>
        <v>0</v>
      </c>
      <c r="BH471" s="32">
        <f t="shared" si="255"/>
        <v>0</v>
      </c>
      <c r="BI471" s="32">
        <f t="shared" si="256"/>
        <v>0</v>
      </c>
      <c r="BJ471" s="32">
        <f t="shared" si="257"/>
        <v>0</v>
      </c>
      <c r="BK471" s="32">
        <f t="shared" si="258"/>
        <v>0</v>
      </c>
      <c r="BL471" s="32">
        <f t="shared" si="259"/>
        <v>0</v>
      </c>
      <c r="BM471" s="32">
        <f t="shared" si="260"/>
        <v>0</v>
      </c>
      <c r="BN471" s="32">
        <f t="shared" si="261"/>
        <v>0</v>
      </c>
      <c r="BO471" s="32">
        <f t="shared" si="262"/>
        <v>0</v>
      </c>
      <c r="BP471" s="32">
        <f t="shared" si="263"/>
        <v>0</v>
      </c>
      <c r="BQ471" s="32">
        <f t="shared" si="264"/>
        <v>0</v>
      </c>
      <c r="BR471" s="32">
        <f t="shared" si="265"/>
        <v>0</v>
      </c>
      <c r="BS471" s="32">
        <f t="shared" si="266"/>
        <v>0</v>
      </c>
      <c r="BT471" s="40">
        <f t="shared" si="267"/>
        <v>0</v>
      </c>
    </row>
    <row r="472" spans="1:72">
      <c r="A472" s="6"/>
      <c r="B472" s="31"/>
      <c r="C472" s="31"/>
      <c r="D472" s="1629"/>
      <c r="E472" s="32">
        <f t="shared" si="239"/>
        <v>0</v>
      </c>
      <c r="F472" s="33"/>
      <c r="G472" s="34">
        <f t="shared" si="240"/>
        <v>0</v>
      </c>
      <c r="H472" s="35">
        <f t="shared" si="241"/>
        <v>0</v>
      </c>
      <c r="I472" s="36"/>
      <c r="J472" s="36"/>
      <c r="K472" s="36"/>
      <c r="L472" s="36"/>
      <c r="M472" s="36"/>
      <c r="N472" s="36"/>
      <c r="O472" s="36"/>
      <c r="P472" s="36"/>
      <c r="Q472" s="36"/>
      <c r="R472" s="36"/>
      <c r="S472" s="36"/>
      <c r="T472" s="36"/>
      <c r="U472" s="36"/>
      <c r="V472" s="36"/>
      <c r="W472" s="36"/>
      <c r="X472" s="36"/>
      <c r="Y472" s="36"/>
      <c r="Z472" s="36"/>
      <c r="AA472" s="36"/>
      <c r="AB472" s="36"/>
      <c r="AC472" s="32">
        <f t="shared" si="242"/>
        <v>0</v>
      </c>
      <c r="AD472" s="37"/>
      <c r="AE472" s="37"/>
      <c r="AF472" s="37"/>
      <c r="AG472" s="37"/>
      <c r="AH472" s="37"/>
      <c r="AI472" s="37"/>
      <c r="AJ472" s="37"/>
      <c r="AK472" s="37"/>
      <c r="AL472" s="37"/>
      <c r="AM472" s="37"/>
      <c r="AN472" s="37"/>
      <c r="AO472" s="37"/>
      <c r="AP472" s="37"/>
      <c r="AQ472" s="37"/>
      <c r="AR472" s="37"/>
      <c r="AS472" s="37"/>
      <c r="AT472" s="38"/>
      <c r="AU472" s="1630"/>
      <c r="AV472" s="1342">
        <f t="shared" si="243"/>
        <v>0</v>
      </c>
      <c r="AW472" s="1342">
        <f t="shared" si="244"/>
        <v>0</v>
      </c>
      <c r="AX472" s="1342">
        <f t="shared" si="245"/>
        <v>0</v>
      </c>
      <c r="AY472" s="39">
        <f t="shared" si="246"/>
        <v>0</v>
      </c>
      <c r="AZ472" s="32">
        <f t="shared" si="247"/>
        <v>0</v>
      </c>
      <c r="BA472" s="32">
        <f t="shared" si="248"/>
        <v>0</v>
      </c>
      <c r="BB472" s="32">
        <f t="shared" si="249"/>
        <v>0</v>
      </c>
      <c r="BC472" s="32">
        <f t="shared" si="250"/>
        <v>0</v>
      </c>
      <c r="BD472" s="32">
        <f t="shared" si="251"/>
        <v>0</v>
      </c>
      <c r="BE472" s="32">
        <f t="shared" si="252"/>
        <v>0</v>
      </c>
      <c r="BF472" s="32">
        <f t="shared" si="253"/>
        <v>0</v>
      </c>
      <c r="BG472" s="32">
        <f t="shared" si="254"/>
        <v>0</v>
      </c>
      <c r="BH472" s="32">
        <f t="shared" si="255"/>
        <v>0</v>
      </c>
      <c r="BI472" s="32">
        <f t="shared" si="256"/>
        <v>0</v>
      </c>
      <c r="BJ472" s="32">
        <f t="shared" si="257"/>
        <v>0</v>
      </c>
      <c r="BK472" s="32">
        <f t="shared" si="258"/>
        <v>0</v>
      </c>
      <c r="BL472" s="32">
        <f t="shared" si="259"/>
        <v>0</v>
      </c>
      <c r="BM472" s="32">
        <f t="shared" si="260"/>
        <v>0</v>
      </c>
      <c r="BN472" s="32">
        <f t="shared" si="261"/>
        <v>0</v>
      </c>
      <c r="BO472" s="32">
        <f t="shared" si="262"/>
        <v>0</v>
      </c>
      <c r="BP472" s="32">
        <f t="shared" si="263"/>
        <v>0</v>
      </c>
      <c r="BQ472" s="32">
        <f t="shared" si="264"/>
        <v>0</v>
      </c>
      <c r="BR472" s="32">
        <f t="shared" si="265"/>
        <v>0</v>
      </c>
      <c r="BS472" s="32">
        <f t="shared" si="266"/>
        <v>0</v>
      </c>
      <c r="BT472" s="40">
        <f t="shared" si="267"/>
        <v>0</v>
      </c>
    </row>
    <row r="473" spans="1:72">
      <c r="A473" s="6"/>
      <c r="B473" s="31"/>
      <c r="C473" s="31"/>
      <c r="D473" s="1629"/>
      <c r="E473" s="32">
        <f t="shared" si="239"/>
        <v>0</v>
      </c>
      <c r="F473" s="33"/>
      <c r="G473" s="34">
        <f t="shared" si="240"/>
        <v>0</v>
      </c>
      <c r="H473" s="35">
        <f t="shared" si="241"/>
        <v>0</v>
      </c>
      <c r="I473" s="36"/>
      <c r="J473" s="36"/>
      <c r="K473" s="36"/>
      <c r="L473" s="36"/>
      <c r="M473" s="36"/>
      <c r="N473" s="36"/>
      <c r="O473" s="36"/>
      <c r="P473" s="36"/>
      <c r="Q473" s="36"/>
      <c r="R473" s="36"/>
      <c r="S473" s="36"/>
      <c r="T473" s="36"/>
      <c r="U473" s="36"/>
      <c r="V473" s="36"/>
      <c r="W473" s="36"/>
      <c r="X473" s="36"/>
      <c r="Y473" s="36"/>
      <c r="Z473" s="36"/>
      <c r="AA473" s="36"/>
      <c r="AB473" s="36"/>
      <c r="AC473" s="32">
        <f t="shared" si="242"/>
        <v>0</v>
      </c>
      <c r="AD473" s="37"/>
      <c r="AE473" s="37"/>
      <c r="AF473" s="37"/>
      <c r="AG473" s="37"/>
      <c r="AH473" s="37"/>
      <c r="AI473" s="37"/>
      <c r="AJ473" s="37"/>
      <c r="AK473" s="37"/>
      <c r="AL473" s="37"/>
      <c r="AM473" s="37"/>
      <c r="AN473" s="37"/>
      <c r="AO473" s="37"/>
      <c r="AP473" s="37"/>
      <c r="AQ473" s="37"/>
      <c r="AR473" s="37"/>
      <c r="AS473" s="37"/>
      <c r="AT473" s="38"/>
      <c r="AU473" s="1630"/>
      <c r="AV473" s="1342">
        <f t="shared" si="243"/>
        <v>0</v>
      </c>
      <c r="AW473" s="1342">
        <f t="shared" si="244"/>
        <v>0</v>
      </c>
      <c r="AX473" s="1342">
        <f t="shared" si="245"/>
        <v>0</v>
      </c>
      <c r="AY473" s="39">
        <f t="shared" si="246"/>
        <v>0</v>
      </c>
      <c r="AZ473" s="32">
        <f t="shared" si="247"/>
        <v>0</v>
      </c>
      <c r="BA473" s="32">
        <f t="shared" si="248"/>
        <v>0</v>
      </c>
      <c r="BB473" s="32">
        <f t="shared" si="249"/>
        <v>0</v>
      </c>
      <c r="BC473" s="32">
        <f t="shared" si="250"/>
        <v>0</v>
      </c>
      <c r="BD473" s="32">
        <f t="shared" si="251"/>
        <v>0</v>
      </c>
      <c r="BE473" s="32">
        <f t="shared" si="252"/>
        <v>0</v>
      </c>
      <c r="BF473" s="32">
        <f t="shared" si="253"/>
        <v>0</v>
      </c>
      <c r="BG473" s="32">
        <f t="shared" si="254"/>
        <v>0</v>
      </c>
      <c r="BH473" s="32">
        <f t="shared" si="255"/>
        <v>0</v>
      </c>
      <c r="BI473" s="32">
        <f t="shared" si="256"/>
        <v>0</v>
      </c>
      <c r="BJ473" s="32">
        <f t="shared" si="257"/>
        <v>0</v>
      </c>
      <c r="BK473" s="32">
        <f t="shared" si="258"/>
        <v>0</v>
      </c>
      <c r="BL473" s="32">
        <f t="shared" si="259"/>
        <v>0</v>
      </c>
      <c r="BM473" s="32">
        <f t="shared" si="260"/>
        <v>0</v>
      </c>
      <c r="BN473" s="32">
        <f t="shared" si="261"/>
        <v>0</v>
      </c>
      <c r="BO473" s="32">
        <f t="shared" si="262"/>
        <v>0</v>
      </c>
      <c r="BP473" s="32">
        <f t="shared" si="263"/>
        <v>0</v>
      </c>
      <c r="BQ473" s="32">
        <f t="shared" si="264"/>
        <v>0</v>
      </c>
      <c r="BR473" s="32">
        <f t="shared" si="265"/>
        <v>0</v>
      </c>
      <c r="BS473" s="32">
        <f t="shared" si="266"/>
        <v>0</v>
      </c>
      <c r="BT473" s="40">
        <f t="shared" si="267"/>
        <v>0</v>
      </c>
    </row>
    <row r="474" spans="1:72">
      <c r="A474" s="6"/>
      <c r="B474" s="31"/>
      <c r="C474" s="31"/>
      <c r="D474" s="1629"/>
      <c r="E474" s="32">
        <f t="shared" si="239"/>
        <v>0</v>
      </c>
      <c r="F474" s="33"/>
      <c r="G474" s="34">
        <f t="shared" si="240"/>
        <v>0</v>
      </c>
      <c r="H474" s="35">
        <f t="shared" si="241"/>
        <v>0</v>
      </c>
      <c r="I474" s="36"/>
      <c r="J474" s="36"/>
      <c r="K474" s="36"/>
      <c r="L474" s="36"/>
      <c r="M474" s="36"/>
      <c r="N474" s="36"/>
      <c r="O474" s="36"/>
      <c r="P474" s="36"/>
      <c r="Q474" s="36"/>
      <c r="R474" s="36"/>
      <c r="S474" s="36"/>
      <c r="T474" s="36"/>
      <c r="U474" s="36"/>
      <c r="V474" s="36"/>
      <c r="W474" s="36"/>
      <c r="X474" s="36"/>
      <c r="Y474" s="36"/>
      <c r="Z474" s="36"/>
      <c r="AA474" s="36"/>
      <c r="AB474" s="36"/>
      <c r="AC474" s="32">
        <f t="shared" si="242"/>
        <v>0</v>
      </c>
      <c r="AD474" s="37"/>
      <c r="AE474" s="37"/>
      <c r="AF474" s="37"/>
      <c r="AG474" s="37"/>
      <c r="AH474" s="37"/>
      <c r="AI474" s="37"/>
      <c r="AJ474" s="37"/>
      <c r="AK474" s="37"/>
      <c r="AL474" s="37"/>
      <c r="AM474" s="37"/>
      <c r="AN474" s="37"/>
      <c r="AO474" s="37"/>
      <c r="AP474" s="37"/>
      <c r="AQ474" s="37"/>
      <c r="AR474" s="37"/>
      <c r="AS474" s="37"/>
      <c r="AT474" s="38"/>
      <c r="AU474" s="1630"/>
      <c r="AV474" s="1342">
        <f t="shared" si="243"/>
        <v>0</v>
      </c>
      <c r="AW474" s="1342">
        <f t="shared" si="244"/>
        <v>0</v>
      </c>
      <c r="AX474" s="1342">
        <f t="shared" si="245"/>
        <v>0</v>
      </c>
      <c r="AY474" s="39">
        <f t="shared" si="246"/>
        <v>0</v>
      </c>
      <c r="AZ474" s="32">
        <f t="shared" si="247"/>
        <v>0</v>
      </c>
      <c r="BA474" s="32">
        <f t="shared" si="248"/>
        <v>0</v>
      </c>
      <c r="BB474" s="32">
        <f t="shared" si="249"/>
        <v>0</v>
      </c>
      <c r="BC474" s="32">
        <f t="shared" si="250"/>
        <v>0</v>
      </c>
      <c r="BD474" s="32">
        <f t="shared" si="251"/>
        <v>0</v>
      </c>
      <c r="BE474" s="32">
        <f t="shared" si="252"/>
        <v>0</v>
      </c>
      <c r="BF474" s="32">
        <f t="shared" si="253"/>
        <v>0</v>
      </c>
      <c r="BG474" s="32">
        <f t="shared" si="254"/>
        <v>0</v>
      </c>
      <c r="BH474" s="32">
        <f t="shared" si="255"/>
        <v>0</v>
      </c>
      <c r="BI474" s="32">
        <f t="shared" si="256"/>
        <v>0</v>
      </c>
      <c r="BJ474" s="32">
        <f t="shared" si="257"/>
        <v>0</v>
      </c>
      <c r="BK474" s="32">
        <f t="shared" si="258"/>
        <v>0</v>
      </c>
      <c r="BL474" s="32">
        <f t="shared" si="259"/>
        <v>0</v>
      </c>
      <c r="BM474" s="32">
        <f t="shared" si="260"/>
        <v>0</v>
      </c>
      <c r="BN474" s="32">
        <f t="shared" si="261"/>
        <v>0</v>
      </c>
      <c r="BO474" s="32">
        <f t="shared" si="262"/>
        <v>0</v>
      </c>
      <c r="BP474" s="32">
        <f t="shared" si="263"/>
        <v>0</v>
      </c>
      <c r="BQ474" s="32">
        <f t="shared" si="264"/>
        <v>0</v>
      </c>
      <c r="BR474" s="32">
        <f t="shared" si="265"/>
        <v>0</v>
      </c>
      <c r="BS474" s="32">
        <f t="shared" si="266"/>
        <v>0</v>
      </c>
      <c r="BT474" s="40">
        <f t="shared" si="267"/>
        <v>0</v>
      </c>
    </row>
    <row r="475" spans="1:72">
      <c r="A475" s="6"/>
      <c r="B475" s="31"/>
      <c r="C475" s="31"/>
      <c r="D475" s="1629"/>
      <c r="E475" s="32">
        <f t="shared" si="239"/>
        <v>0</v>
      </c>
      <c r="F475" s="33"/>
      <c r="G475" s="34">
        <f t="shared" si="240"/>
        <v>0</v>
      </c>
      <c r="H475" s="35">
        <f t="shared" si="241"/>
        <v>0</v>
      </c>
      <c r="I475" s="36"/>
      <c r="J475" s="36"/>
      <c r="K475" s="36"/>
      <c r="L475" s="36"/>
      <c r="M475" s="36"/>
      <c r="N475" s="36"/>
      <c r="O475" s="36"/>
      <c r="P475" s="36"/>
      <c r="Q475" s="36"/>
      <c r="R475" s="36"/>
      <c r="S475" s="36"/>
      <c r="T475" s="36"/>
      <c r="U475" s="36"/>
      <c r="V475" s="36"/>
      <c r="W475" s="36"/>
      <c r="X475" s="36"/>
      <c r="Y475" s="36"/>
      <c r="Z475" s="36"/>
      <c r="AA475" s="36"/>
      <c r="AB475" s="36"/>
      <c r="AC475" s="32">
        <f t="shared" si="242"/>
        <v>0</v>
      </c>
      <c r="AD475" s="37"/>
      <c r="AE475" s="37"/>
      <c r="AF475" s="37"/>
      <c r="AG475" s="37"/>
      <c r="AH475" s="37"/>
      <c r="AI475" s="37"/>
      <c r="AJ475" s="37"/>
      <c r="AK475" s="37"/>
      <c r="AL475" s="37"/>
      <c r="AM475" s="37"/>
      <c r="AN475" s="37"/>
      <c r="AO475" s="37"/>
      <c r="AP475" s="37"/>
      <c r="AQ475" s="37"/>
      <c r="AR475" s="37"/>
      <c r="AS475" s="37"/>
      <c r="AT475" s="38"/>
      <c r="AU475" s="1630"/>
      <c r="AV475" s="1342">
        <f t="shared" si="243"/>
        <v>0</v>
      </c>
      <c r="AW475" s="1342">
        <f t="shared" si="244"/>
        <v>0</v>
      </c>
      <c r="AX475" s="1342">
        <f t="shared" si="245"/>
        <v>0</v>
      </c>
      <c r="AY475" s="39">
        <f t="shared" si="246"/>
        <v>0</v>
      </c>
      <c r="AZ475" s="32">
        <f t="shared" si="247"/>
        <v>0</v>
      </c>
      <c r="BA475" s="32">
        <f t="shared" si="248"/>
        <v>0</v>
      </c>
      <c r="BB475" s="32">
        <f t="shared" si="249"/>
        <v>0</v>
      </c>
      <c r="BC475" s="32">
        <f t="shared" si="250"/>
        <v>0</v>
      </c>
      <c r="BD475" s="32">
        <f t="shared" si="251"/>
        <v>0</v>
      </c>
      <c r="BE475" s="32">
        <f t="shared" si="252"/>
        <v>0</v>
      </c>
      <c r="BF475" s="32">
        <f t="shared" si="253"/>
        <v>0</v>
      </c>
      <c r="BG475" s="32">
        <f t="shared" si="254"/>
        <v>0</v>
      </c>
      <c r="BH475" s="32">
        <f t="shared" si="255"/>
        <v>0</v>
      </c>
      <c r="BI475" s="32">
        <f t="shared" si="256"/>
        <v>0</v>
      </c>
      <c r="BJ475" s="32">
        <f t="shared" si="257"/>
        <v>0</v>
      </c>
      <c r="BK475" s="32">
        <f t="shared" si="258"/>
        <v>0</v>
      </c>
      <c r="BL475" s="32">
        <f t="shared" si="259"/>
        <v>0</v>
      </c>
      <c r="BM475" s="32">
        <f t="shared" si="260"/>
        <v>0</v>
      </c>
      <c r="BN475" s="32">
        <f t="shared" si="261"/>
        <v>0</v>
      </c>
      <c r="BO475" s="32">
        <f t="shared" si="262"/>
        <v>0</v>
      </c>
      <c r="BP475" s="32">
        <f t="shared" si="263"/>
        <v>0</v>
      </c>
      <c r="BQ475" s="32">
        <f t="shared" si="264"/>
        <v>0</v>
      </c>
      <c r="BR475" s="32">
        <f t="shared" si="265"/>
        <v>0</v>
      </c>
      <c r="BS475" s="32">
        <f t="shared" si="266"/>
        <v>0</v>
      </c>
      <c r="BT475" s="40">
        <f t="shared" si="267"/>
        <v>0</v>
      </c>
    </row>
    <row r="476" spans="1:72">
      <c r="A476" s="6"/>
      <c r="B476" s="31"/>
      <c r="C476" s="31"/>
      <c r="D476" s="1629"/>
      <c r="E476" s="32">
        <f t="shared" si="239"/>
        <v>0</v>
      </c>
      <c r="F476" s="33"/>
      <c r="G476" s="34">
        <f t="shared" si="240"/>
        <v>0</v>
      </c>
      <c r="H476" s="35">
        <f t="shared" si="241"/>
        <v>0</v>
      </c>
      <c r="I476" s="36"/>
      <c r="J476" s="36"/>
      <c r="K476" s="36"/>
      <c r="L476" s="36"/>
      <c r="M476" s="36"/>
      <c r="N476" s="36"/>
      <c r="O476" s="36"/>
      <c r="P476" s="36"/>
      <c r="Q476" s="36"/>
      <c r="R476" s="36"/>
      <c r="S476" s="36"/>
      <c r="T476" s="36"/>
      <c r="U476" s="36"/>
      <c r="V476" s="36"/>
      <c r="W476" s="36"/>
      <c r="X476" s="36"/>
      <c r="Y476" s="36"/>
      <c r="Z476" s="36"/>
      <c r="AA476" s="36"/>
      <c r="AB476" s="36"/>
      <c r="AC476" s="32">
        <f t="shared" si="242"/>
        <v>0</v>
      </c>
      <c r="AD476" s="37"/>
      <c r="AE476" s="37"/>
      <c r="AF476" s="37"/>
      <c r="AG476" s="37"/>
      <c r="AH476" s="37"/>
      <c r="AI476" s="37"/>
      <c r="AJ476" s="37"/>
      <c r="AK476" s="37"/>
      <c r="AL476" s="37"/>
      <c r="AM476" s="37"/>
      <c r="AN476" s="37"/>
      <c r="AO476" s="37"/>
      <c r="AP476" s="37"/>
      <c r="AQ476" s="37"/>
      <c r="AR476" s="37"/>
      <c r="AS476" s="37"/>
      <c r="AT476" s="38"/>
      <c r="AU476" s="1630"/>
      <c r="AV476" s="1342">
        <f t="shared" si="243"/>
        <v>0</v>
      </c>
      <c r="AW476" s="1342">
        <f t="shared" si="244"/>
        <v>0</v>
      </c>
      <c r="AX476" s="1342">
        <f t="shared" si="245"/>
        <v>0</v>
      </c>
      <c r="AY476" s="39">
        <f t="shared" si="246"/>
        <v>0</v>
      </c>
      <c r="AZ476" s="32">
        <f t="shared" si="247"/>
        <v>0</v>
      </c>
      <c r="BA476" s="32">
        <f t="shared" si="248"/>
        <v>0</v>
      </c>
      <c r="BB476" s="32">
        <f t="shared" si="249"/>
        <v>0</v>
      </c>
      <c r="BC476" s="32">
        <f t="shared" si="250"/>
        <v>0</v>
      </c>
      <c r="BD476" s="32">
        <f t="shared" si="251"/>
        <v>0</v>
      </c>
      <c r="BE476" s="32">
        <f t="shared" si="252"/>
        <v>0</v>
      </c>
      <c r="BF476" s="32">
        <f t="shared" si="253"/>
        <v>0</v>
      </c>
      <c r="BG476" s="32">
        <f t="shared" si="254"/>
        <v>0</v>
      </c>
      <c r="BH476" s="32">
        <f t="shared" si="255"/>
        <v>0</v>
      </c>
      <c r="BI476" s="32">
        <f t="shared" si="256"/>
        <v>0</v>
      </c>
      <c r="BJ476" s="32">
        <f t="shared" si="257"/>
        <v>0</v>
      </c>
      <c r="BK476" s="32">
        <f t="shared" si="258"/>
        <v>0</v>
      </c>
      <c r="BL476" s="32">
        <f t="shared" si="259"/>
        <v>0</v>
      </c>
      <c r="BM476" s="32">
        <f t="shared" si="260"/>
        <v>0</v>
      </c>
      <c r="BN476" s="32">
        <f t="shared" si="261"/>
        <v>0</v>
      </c>
      <c r="BO476" s="32">
        <f t="shared" si="262"/>
        <v>0</v>
      </c>
      <c r="BP476" s="32">
        <f t="shared" si="263"/>
        <v>0</v>
      </c>
      <c r="BQ476" s="32">
        <f t="shared" si="264"/>
        <v>0</v>
      </c>
      <c r="BR476" s="32">
        <f t="shared" si="265"/>
        <v>0</v>
      </c>
      <c r="BS476" s="32">
        <f t="shared" si="266"/>
        <v>0</v>
      </c>
      <c r="BT476" s="40">
        <f t="shared" si="267"/>
        <v>0</v>
      </c>
    </row>
    <row r="477" spans="1:72">
      <c r="A477" s="6"/>
      <c r="B477" s="31"/>
      <c r="C477" s="31"/>
      <c r="D477" s="1629"/>
      <c r="E477" s="32">
        <f t="shared" si="239"/>
        <v>0</v>
      </c>
      <c r="F477" s="33"/>
      <c r="G477" s="34">
        <f t="shared" si="240"/>
        <v>0</v>
      </c>
      <c r="H477" s="35">
        <f t="shared" si="241"/>
        <v>0</v>
      </c>
      <c r="I477" s="36"/>
      <c r="J477" s="36"/>
      <c r="K477" s="36"/>
      <c r="L477" s="36"/>
      <c r="M477" s="36"/>
      <c r="N477" s="36"/>
      <c r="O477" s="36"/>
      <c r="P477" s="36"/>
      <c r="Q477" s="36"/>
      <c r="R477" s="36"/>
      <c r="S477" s="36"/>
      <c r="T477" s="36"/>
      <c r="U477" s="36"/>
      <c r="V477" s="36"/>
      <c r="W477" s="36"/>
      <c r="X477" s="36"/>
      <c r="Y477" s="36"/>
      <c r="Z477" s="36"/>
      <c r="AA477" s="36"/>
      <c r="AB477" s="36"/>
      <c r="AC477" s="32">
        <f t="shared" si="242"/>
        <v>0</v>
      </c>
      <c r="AD477" s="37"/>
      <c r="AE477" s="37"/>
      <c r="AF477" s="37"/>
      <c r="AG477" s="37"/>
      <c r="AH477" s="37"/>
      <c r="AI477" s="37"/>
      <c r="AJ477" s="37"/>
      <c r="AK477" s="37"/>
      <c r="AL477" s="37"/>
      <c r="AM477" s="37"/>
      <c r="AN477" s="37"/>
      <c r="AO477" s="37"/>
      <c r="AP477" s="37"/>
      <c r="AQ477" s="37"/>
      <c r="AR477" s="37"/>
      <c r="AS477" s="37"/>
      <c r="AT477" s="38"/>
      <c r="AU477" s="1630"/>
      <c r="AV477" s="1342">
        <f t="shared" si="243"/>
        <v>0</v>
      </c>
      <c r="AW477" s="1342">
        <f t="shared" si="244"/>
        <v>0</v>
      </c>
      <c r="AX477" s="1342">
        <f t="shared" si="245"/>
        <v>0</v>
      </c>
      <c r="AY477" s="39">
        <f t="shared" si="246"/>
        <v>0</v>
      </c>
      <c r="AZ477" s="32">
        <f t="shared" si="247"/>
        <v>0</v>
      </c>
      <c r="BA477" s="32">
        <f t="shared" si="248"/>
        <v>0</v>
      </c>
      <c r="BB477" s="32">
        <f t="shared" si="249"/>
        <v>0</v>
      </c>
      <c r="BC477" s="32">
        <f t="shared" si="250"/>
        <v>0</v>
      </c>
      <c r="BD477" s="32">
        <f t="shared" si="251"/>
        <v>0</v>
      </c>
      <c r="BE477" s="32">
        <f t="shared" si="252"/>
        <v>0</v>
      </c>
      <c r="BF477" s="32">
        <f t="shared" si="253"/>
        <v>0</v>
      </c>
      <c r="BG477" s="32">
        <f t="shared" si="254"/>
        <v>0</v>
      </c>
      <c r="BH477" s="32">
        <f t="shared" si="255"/>
        <v>0</v>
      </c>
      <c r="BI477" s="32">
        <f t="shared" si="256"/>
        <v>0</v>
      </c>
      <c r="BJ477" s="32">
        <f t="shared" si="257"/>
        <v>0</v>
      </c>
      <c r="BK477" s="32">
        <f t="shared" si="258"/>
        <v>0</v>
      </c>
      <c r="BL477" s="32">
        <f t="shared" si="259"/>
        <v>0</v>
      </c>
      <c r="BM477" s="32">
        <f t="shared" si="260"/>
        <v>0</v>
      </c>
      <c r="BN477" s="32">
        <f t="shared" si="261"/>
        <v>0</v>
      </c>
      <c r="BO477" s="32">
        <f t="shared" si="262"/>
        <v>0</v>
      </c>
      <c r="BP477" s="32">
        <f t="shared" si="263"/>
        <v>0</v>
      </c>
      <c r="BQ477" s="32">
        <f t="shared" si="264"/>
        <v>0</v>
      </c>
      <c r="BR477" s="32">
        <f t="shared" si="265"/>
        <v>0</v>
      </c>
      <c r="BS477" s="32">
        <f t="shared" si="266"/>
        <v>0</v>
      </c>
      <c r="BT477" s="40">
        <f t="shared" si="267"/>
        <v>0</v>
      </c>
    </row>
    <row r="478" spans="1:72">
      <c r="A478" s="6"/>
      <c r="B478" s="31"/>
      <c r="C478" s="31"/>
      <c r="D478" s="1629"/>
      <c r="E478" s="32">
        <f t="shared" si="239"/>
        <v>0</v>
      </c>
      <c r="F478" s="33"/>
      <c r="G478" s="34">
        <f t="shared" si="240"/>
        <v>0</v>
      </c>
      <c r="H478" s="35">
        <f t="shared" si="241"/>
        <v>0</v>
      </c>
      <c r="I478" s="36"/>
      <c r="J478" s="36"/>
      <c r="K478" s="36"/>
      <c r="L478" s="36"/>
      <c r="M478" s="36"/>
      <c r="N478" s="36"/>
      <c r="O478" s="36"/>
      <c r="P478" s="36"/>
      <c r="Q478" s="36"/>
      <c r="R478" s="36"/>
      <c r="S478" s="36"/>
      <c r="T478" s="36"/>
      <c r="U478" s="36"/>
      <c r="V478" s="36"/>
      <c r="W478" s="36"/>
      <c r="X478" s="36"/>
      <c r="Y478" s="36"/>
      <c r="Z478" s="36"/>
      <c r="AA478" s="36"/>
      <c r="AB478" s="36"/>
      <c r="AC478" s="32">
        <f t="shared" si="242"/>
        <v>0</v>
      </c>
      <c r="AD478" s="37"/>
      <c r="AE478" s="37"/>
      <c r="AF478" s="37"/>
      <c r="AG478" s="37"/>
      <c r="AH478" s="37"/>
      <c r="AI478" s="37"/>
      <c r="AJ478" s="37"/>
      <c r="AK478" s="37"/>
      <c r="AL478" s="37"/>
      <c r="AM478" s="37"/>
      <c r="AN478" s="37"/>
      <c r="AO478" s="37"/>
      <c r="AP478" s="37"/>
      <c r="AQ478" s="37"/>
      <c r="AR478" s="37"/>
      <c r="AS478" s="37"/>
      <c r="AT478" s="38"/>
      <c r="AU478" s="1630"/>
      <c r="AV478" s="1342">
        <f t="shared" si="243"/>
        <v>0</v>
      </c>
      <c r="AW478" s="1342">
        <f t="shared" si="244"/>
        <v>0</v>
      </c>
      <c r="AX478" s="1342">
        <f t="shared" si="245"/>
        <v>0</v>
      </c>
      <c r="AY478" s="39">
        <f t="shared" si="246"/>
        <v>0</v>
      </c>
      <c r="AZ478" s="32">
        <f t="shared" si="247"/>
        <v>0</v>
      </c>
      <c r="BA478" s="32">
        <f t="shared" si="248"/>
        <v>0</v>
      </c>
      <c r="BB478" s="32">
        <f t="shared" si="249"/>
        <v>0</v>
      </c>
      <c r="BC478" s="32">
        <f t="shared" si="250"/>
        <v>0</v>
      </c>
      <c r="BD478" s="32">
        <f t="shared" si="251"/>
        <v>0</v>
      </c>
      <c r="BE478" s="32">
        <f t="shared" si="252"/>
        <v>0</v>
      </c>
      <c r="BF478" s="32">
        <f t="shared" si="253"/>
        <v>0</v>
      </c>
      <c r="BG478" s="32">
        <f t="shared" si="254"/>
        <v>0</v>
      </c>
      <c r="BH478" s="32">
        <f t="shared" si="255"/>
        <v>0</v>
      </c>
      <c r="BI478" s="32">
        <f t="shared" si="256"/>
        <v>0</v>
      </c>
      <c r="BJ478" s="32">
        <f t="shared" si="257"/>
        <v>0</v>
      </c>
      <c r="BK478" s="32">
        <f t="shared" si="258"/>
        <v>0</v>
      </c>
      <c r="BL478" s="32">
        <f t="shared" si="259"/>
        <v>0</v>
      </c>
      <c r="BM478" s="32">
        <f t="shared" si="260"/>
        <v>0</v>
      </c>
      <c r="BN478" s="32">
        <f t="shared" si="261"/>
        <v>0</v>
      </c>
      <c r="BO478" s="32">
        <f t="shared" si="262"/>
        <v>0</v>
      </c>
      <c r="BP478" s="32">
        <f t="shared" si="263"/>
        <v>0</v>
      </c>
      <c r="BQ478" s="32">
        <f t="shared" si="264"/>
        <v>0</v>
      </c>
      <c r="BR478" s="32">
        <f t="shared" si="265"/>
        <v>0</v>
      </c>
      <c r="BS478" s="32">
        <f t="shared" si="266"/>
        <v>0</v>
      </c>
      <c r="BT478" s="40">
        <f t="shared" si="267"/>
        <v>0</v>
      </c>
    </row>
    <row r="479" spans="1:72">
      <c r="A479" s="6"/>
      <c r="B479" s="31"/>
      <c r="C479" s="31"/>
      <c r="D479" s="1629"/>
      <c r="E479" s="32">
        <f t="shared" si="239"/>
        <v>0</v>
      </c>
      <c r="F479" s="33"/>
      <c r="G479" s="34">
        <f t="shared" si="240"/>
        <v>0</v>
      </c>
      <c r="H479" s="35">
        <f t="shared" si="241"/>
        <v>0</v>
      </c>
      <c r="I479" s="36"/>
      <c r="J479" s="36"/>
      <c r="K479" s="36"/>
      <c r="L479" s="36"/>
      <c r="M479" s="36"/>
      <c r="N479" s="36"/>
      <c r="O479" s="36"/>
      <c r="P479" s="36"/>
      <c r="Q479" s="36"/>
      <c r="R479" s="36"/>
      <c r="S479" s="36"/>
      <c r="T479" s="36"/>
      <c r="U479" s="36"/>
      <c r="V479" s="36"/>
      <c r="W479" s="36"/>
      <c r="X479" s="36"/>
      <c r="Y479" s="36"/>
      <c r="Z479" s="36"/>
      <c r="AA479" s="36"/>
      <c r="AB479" s="36"/>
      <c r="AC479" s="32">
        <f t="shared" si="242"/>
        <v>0</v>
      </c>
      <c r="AD479" s="37"/>
      <c r="AE479" s="37"/>
      <c r="AF479" s="37"/>
      <c r="AG479" s="37"/>
      <c r="AH479" s="37"/>
      <c r="AI479" s="37"/>
      <c r="AJ479" s="37"/>
      <c r="AK479" s="37"/>
      <c r="AL479" s="37"/>
      <c r="AM479" s="37"/>
      <c r="AN479" s="37"/>
      <c r="AO479" s="37"/>
      <c r="AP479" s="37"/>
      <c r="AQ479" s="37"/>
      <c r="AR479" s="37"/>
      <c r="AS479" s="37"/>
      <c r="AT479" s="38"/>
      <c r="AU479" s="1630"/>
      <c r="AV479" s="1342">
        <f t="shared" si="243"/>
        <v>0</v>
      </c>
      <c r="AW479" s="1342">
        <f t="shared" si="244"/>
        <v>0</v>
      </c>
      <c r="AX479" s="1342">
        <f t="shared" si="245"/>
        <v>0</v>
      </c>
      <c r="AY479" s="39">
        <f t="shared" si="246"/>
        <v>0</v>
      </c>
      <c r="AZ479" s="32">
        <f t="shared" si="247"/>
        <v>0</v>
      </c>
      <c r="BA479" s="32">
        <f t="shared" si="248"/>
        <v>0</v>
      </c>
      <c r="BB479" s="32">
        <f t="shared" si="249"/>
        <v>0</v>
      </c>
      <c r="BC479" s="32">
        <f t="shared" si="250"/>
        <v>0</v>
      </c>
      <c r="BD479" s="32">
        <f t="shared" si="251"/>
        <v>0</v>
      </c>
      <c r="BE479" s="32">
        <f t="shared" si="252"/>
        <v>0</v>
      </c>
      <c r="BF479" s="32">
        <f t="shared" si="253"/>
        <v>0</v>
      </c>
      <c r="BG479" s="32">
        <f t="shared" si="254"/>
        <v>0</v>
      </c>
      <c r="BH479" s="32">
        <f t="shared" si="255"/>
        <v>0</v>
      </c>
      <c r="BI479" s="32">
        <f t="shared" si="256"/>
        <v>0</v>
      </c>
      <c r="BJ479" s="32">
        <f t="shared" si="257"/>
        <v>0</v>
      </c>
      <c r="BK479" s="32">
        <f t="shared" si="258"/>
        <v>0</v>
      </c>
      <c r="BL479" s="32">
        <f t="shared" si="259"/>
        <v>0</v>
      </c>
      <c r="BM479" s="32">
        <f t="shared" si="260"/>
        <v>0</v>
      </c>
      <c r="BN479" s="32">
        <f t="shared" si="261"/>
        <v>0</v>
      </c>
      <c r="BO479" s="32">
        <f t="shared" si="262"/>
        <v>0</v>
      </c>
      <c r="BP479" s="32">
        <f t="shared" si="263"/>
        <v>0</v>
      </c>
      <c r="BQ479" s="32">
        <f t="shared" si="264"/>
        <v>0</v>
      </c>
      <c r="BR479" s="32">
        <f t="shared" si="265"/>
        <v>0</v>
      </c>
      <c r="BS479" s="32">
        <f t="shared" si="266"/>
        <v>0</v>
      </c>
      <c r="BT479" s="40">
        <f t="shared" si="267"/>
        <v>0</v>
      </c>
    </row>
    <row r="480" spans="1:72">
      <c r="A480" s="6"/>
      <c r="B480" s="31"/>
      <c r="C480" s="31"/>
      <c r="D480" s="1629"/>
      <c r="E480" s="32">
        <f t="shared" si="239"/>
        <v>0</v>
      </c>
      <c r="F480" s="33"/>
      <c r="G480" s="34">
        <f t="shared" si="240"/>
        <v>0</v>
      </c>
      <c r="H480" s="35">
        <f t="shared" si="241"/>
        <v>0</v>
      </c>
      <c r="I480" s="36"/>
      <c r="J480" s="36"/>
      <c r="K480" s="36"/>
      <c r="L480" s="36"/>
      <c r="M480" s="36"/>
      <c r="N480" s="36"/>
      <c r="O480" s="36"/>
      <c r="P480" s="36"/>
      <c r="Q480" s="36"/>
      <c r="R480" s="36"/>
      <c r="S480" s="36"/>
      <c r="T480" s="36"/>
      <c r="U480" s="36"/>
      <c r="V480" s="36"/>
      <c r="W480" s="36"/>
      <c r="X480" s="36"/>
      <c r="Y480" s="36"/>
      <c r="Z480" s="36"/>
      <c r="AA480" s="36"/>
      <c r="AB480" s="36"/>
      <c r="AC480" s="32">
        <f t="shared" si="242"/>
        <v>0</v>
      </c>
      <c r="AD480" s="37"/>
      <c r="AE480" s="37"/>
      <c r="AF480" s="37"/>
      <c r="AG480" s="37"/>
      <c r="AH480" s="37"/>
      <c r="AI480" s="37"/>
      <c r="AJ480" s="37"/>
      <c r="AK480" s="37"/>
      <c r="AL480" s="37"/>
      <c r="AM480" s="37"/>
      <c r="AN480" s="37"/>
      <c r="AO480" s="37"/>
      <c r="AP480" s="37"/>
      <c r="AQ480" s="37"/>
      <c r="AR480" s="37"/>
      <c r="AS480" s="37"/>
      <c r="AT480" s="38"/>
      <c r="AU480" s="1630"/>
      <c r="AV480" s="1342">
        <f t="shared" si="243"/>
        <v>0</v>
      </c>
      <c r="AW480" s="1342">
        <f t="shared" si="244"/>
        <v>0</v>
      </c>
      <c r="AX480" s="1342">
        <f t="shared" si="245"/>
        <v>0</v>
      </c>
      <c r="AY480" s="39">
        <f t="shared" si="246"/>
        <v>0</v>
      </c>
      <c r="AZ480" s="32">
        <f t="shared" si="247"/>
        <v>0</v>
      </c>
      <c r="BA480" s="32">
        <f t="shared" si="248"/>
        <v>0</v>
      </c>
      <c r="BB480" s="32">
        <f t="shared" si="249"/>
        <v>0</v>
      </c>
      <c r="BC480" s="32">
        <f t="shared" si="250"/>
        <v>0</v>
      </c>
      <c r="BD480" s="32">
        <f t="shared" si="251"/>
        <v>0</v>
      </c>
      <c r="BE480" s="32">
        <f t="shared" si="252"/>
        <v>0</v>
      </c>
      <c r="BF480" s="32">
        <f t="shared" si="253"/>
        <v>0</v>
      </c>
      <c r="BG480" s="32">
        <f t="shared" si="254"/>
        <v>0</v>
      </c>
      <c r="BH480" s="32">
        <f t="shared" si="255"/>
        <v>0</v>
      </c>
      <c r="BI480" s="32">
        <f t="shared" si="256"/>
        <v>0</v>
      </c>
      <c r="BJ480" s="32">
        <f t="shared" si="257"/>
        <v>0</v>
      </c>
      <c r="BK480" s="32">
        <f t="shared" si="258"/>
        <v>0</v>
      </c>
      <c r="BL480" s="32">
        <f t="shared" si="259"/>
        <v>0</v>
      </c>
      <c r="BM480" s="32">
        <f t="shared" si="260"/>
        <v>0</v>
      </c>
      <c r="BN480" s="32">
        <f t="shared" si="261"/>
        <v>0</v>
      </c>
      <c r="BO480" s="32">
        <f t="shared" si="262"/>
        <v>0</v>
      </c>
      <c r="BP480" s="32">
        <f t="shared" si="263"/>
        <v>0</v>
      </c>
      <c r="BQ480" s="32">
        <f t="shared" si="264"/>
        <v>0</v>
      </c>
      <c r="BR480" s="32">
        <f t="shared" si="265"/>
        <v>0</v>
      </c>
      <c r="BS480" s="32">
        <f t="shared" si="266"/>
        <v>0</v>
      </c>
      <c r="BT480" s="40">
        <f t="shared" si="267"/>
        <v>0</v>
      </c>
    </row>
    <row r="481" spans="1:72">
      <c r="A481" s="6"/>
      <c r="B481" s="31"/>
      <c r="C481" s="31"/>
      <c r="D481" s="1629"/>
      <c r="E481" s="32">
        <f t="shared" si="239"/>
        <v>0</v>
      </c>
      <c r="F481" s="33"/>
      <c r="G481" s="34">
        <f t="shared" si="240"/>
        <v>0</v>
      </c>
      <c r="H481" s="35">
        <f t="shared" si="241"/>
        <v>0</v>
      </c>
      <c r="I481" s="36"/>
      <c r="J481" s="36"/>
      <c r="K481" s="36"/>
      <c r="L481" s="36"/>
      <c r="M481" s="36"/>
      <c r="N481" s="36"/>
      <c r="O481" s="36"/>
      <c r="P481" s="36"/>
      <c r="Q481" s="36"/>
      <c r="R481" s="36"/>
      <c r="S481" s="36"/>
      <c r="T481" s="36"/>
      <c r="U481" s="36"/>
      <c r="V481" s="36"/>
      <c r="W481" s="36"/>
      <c r="X481" s="36"/>
      <c r="Y481" s="36"/>
      <c r="Z481" s="36"/>
      <c r="AA481" s="36"/>
      <c r="AB481" s="36"/>
      <c r="AC481" s="32">
        <f t="shared" si="242"/>
        <v>0</v>
      </c>
      <c r="AD481" s="37"/>
      <c r="AE481" s="37"/>
      <c r="AF481" s="37"/>
      <c r="AG481" s="37"/>
      <c r="AH481" s="37"/>
      <c r="AI481" s="37"/>
      <c r="AJ481" s="37"/>
      <c r="AK481" s="37"/>
      <c r="AL481" s="37"/>
      <c r="AM481" s="37"/>
      <c r="AN481" s="37"/>
      <c r="AO481" s="37"/>
      <c r="AP481" s="37"/>
      <c r="AQ481" s="37"/>
      <c r="AR481" s="37"/>
      <c r="AS481" s="37"/>
      <c r="AT481" s="38"/>
      <c r="AU481" s="1630"/>
      <c r="AV481" s="1342">
        <f t="shared" si="243"/>
        <v>0</v>
      </c>
      <c r="AW481" s="1342">
        <f t="shared" si="244"/>
        <v>0</v>
      </c>
      <c r="AX481" s="1342">
        <f t="shared" si="245"/>
        <v>0</v>
      </c>
      <c r="AY481" s="39">
        <f t="shared" si="246"/>
        <v>0</v>
      </c>
      <c r="AZ481" s="32">
        <f t="shared" si="247"/>
        <v>0</v>
      </c>
      <c r="BA481" s="32">
        <f t="shared" si="248"/>
        <v>0</v>
      </c>
      <c r="BB481" s="32">
        <f t="shared" si="249"/>
        <v>0</v>
      </c>
      <c r="BC481" s="32">
        <f t="shared" si="250"/>
        <v>0</v>
      </c>
      <c r="BD481" s="32">
        <f t="shared" si="251"/>
        <v>0</v>
      </c>
      <c r="BE481" s="32">
        <f t="shared" si="252"/>
        <v>0</v>
      </c>
      <c r="BF481" s="32">
        <f t="shared" si="253"/>
        <v>0</v>
      </c>
      <c r="BG481" s="32">
        <f t="shared" si="254"/>
        <v>0</v>
      </c>
      <c r="BH481" s="32">
        <f t="shared" si="255"/>
        <v>0</v>
      </c>
      <c r="BI481" s="32">
        <f t="shared" si="256"/>
        <v>0</v>
      </c>
      <c r="BJ481" s="32">
        <f t="shared" si="257"/>
        <v>0</v>
      </c>
      <c r="BK481" s="32">
        <f t="shared" si="258"/>
        <v>0</v>
      </c>
      <c r="BL481" s="32">
        <f t="shared" si="259"/>
        <v>0</v>
      </c>
      <c r="BM481" s="32">
        <f t="shared" si="260"/>
        <v>0</v>
      </c>
      <c r="BN481" s="32">
        <f t="shared" si="261"/>
        <v>0</v>
      </c>
      <c r="BO481" s="32">
        <f t="shared" si="262"/>
        <v>0</v>
      </c>
      <c r="BP481" s="32">
        <f t="shared" si="263"/>
        <v>0</v>
      </c>
      <c r="BQ481" s="32">
        <f t="shared" si="264"/>
        <v>0</v>
      </c>
      <c r="BR481" s="32">
        <f t="shared" si="265"/>
        <v>0</v>
      </c>
      <c r="BS481" s="32">
        <f t="shared" si="266"/>
        <v>0</v>
      </c>
      <c r="BT481" s="40">
        <f t="shared" si="267"/>
        <v>0</v>
      </c>
    </row>
    <row r="482" spans="1:72">
      <c r="A482" s="6"/>
      <c r="B482" s="31"/>
      <c r="C482" s="31"/>
      <c r="D482" s="1629"/>
      <c r="E482" s="32">
        <f t="shared" si="239"/>
        <v>0</v>
      </c>
      <c r="F482" s="33"/>
      <c r="G482" s="34">
        <f t="shared" si="240"/>
        <v>0</v>
      </c>
      <c r="H482" s="35">
        <f t="shared" si="241"/>
        <v>0</v>
      </c>
      <c r="I482" s="36"/>
      <c r="J482" s="36"/>
      <c r="K482" s="36"/>
      <c r="L482" s="36"/>
      <c r="M482" s="36"/>
      <c r="N482" s="36"/>
      <c r="O482" s="36"/>
      <c r="P482" s="36"/>
      <c r="Q482" s="36"/>
      <c r="R482" s="36"/>
      <c r="S482" s="36"/>
      <c r="T482" s="36"/>
      <c r="U482" s="36"/>
      <c r="V482" s="36"/>
      <c r="W482" s="36"/>
      <c r="X482" s="36"/>
      <c r="Y482" s="36"/>
      <c r="Z482" s="36"/>
      <c r="AA482" s="36"/>
      <c r="AB482" s="36"/>
      <c r="AC482" s="32">
        <f t="shared" si="242"/>
        <v>0</v>
      </c>
      <c r="AD482" s="37"/>
      <c r="AE482" s="37"/>
      <c r="AF482" s="37"/>
      <c r="AG482" s="37"/>
      <c r="AH482" s="37"/>
      <c r="AI482" s="37"/>
      <c r="AJ482" s="37"/>
      <c r="AK482" s="37"/>
      <c r="AL482" s="37"/>
      <c r="AM482" s="37"/>
      <c r="AN482" s="37"/>
      <c r="AO482" s="37"/>
      <c r="AP482" s="37"/>
      <c r="AQ482" s="37"/>
      <c r="AR482" s="37"/>
      <c r="AS482" s="37"/>
      <c r="AT482" s="38"/>
      <c r="AU482" s="1630"/>
      <c r="AV482" s="1342">
        <f t="shared" si="243"/>
        <v>0</v>
      </c>
      <c r="AW482" s="1342">
        <f t="shared" si="244"/>
        <v>0</v>
      </c>
      <c r="AX482" s="1342">
        <f t="shared" si="245"/>
        <v>0</v>
      </c>
      <c r="AY482" s="39">
        <f t="shared" si="246"/>
        <v>0</v>
      </c>
      <c r="AZ482" s="32">
        <f t="shared" si="247"/>
        <v>0</v>
      </c>
      <c r="BA482" s="32">
        <f t="shared" si="248"/>
        <v>0</v>
      </c>
      <c r="BB482" s="32">
        <f t="shared" si="249"/>
        <v>0</v>
      </c>
      <c r="BC482" s="32">
        <f t="shared" si="250"/>
        <v>0</v>
      </c>
      <c r="BD482" s="32">
        <f t="shared" si="251"/>
        <v>0</v>
      </c>
      <c r="BE482" s="32">
        <f t="shared" si="252"/>
        <v>0</v>
      </c>
      <c r="BF482" s="32">
        <f t="shared" si="253"/>
        <v>0</v>
      </c>
      <c r="BG482" s="32">
        <f t="shared" si="254"/>
        <v>0</v>
      </c>
      <c r="BH482" s="32">
        <f t="shared" si="255"/>
        <v>0</v>
      </c>
      <c r="BI482" s="32">
        <f t="shared" si="256"/>
        <v>0</v>
      </c>
      <c r="BJ482" s="32">
        <f t="shared" si="257"/>
        <v>0</v>
      </c>
      <c r="BK482" s="32">
        <f t="shared" si="258"/>
        <v>0</v>
      </c>
      <c r="BL482" s="32">
        <f t="shared" si="259"/>
        <v>0</v>
      </c>
      <c r="BM482" s="32">
        <f t="shared" si="260"/>
        <v>0</v>
      </c>
      <c r="BN482" s="32">
        <f t="shared" si="261"/>
        <v>0</v>
      </c>
      <c r="BO482" s="32">
        <f t="shared" si="262"/>
        <v>0</v>
      </c>
      <c r="BP482" s="32">
        <f t="shared" si="263"/>
        <v>0</v>
      </c>
      <c r="BQ482" s="32">
        <f t="shared" si="264"/>
        <v>0</v>
      </c>
      <c r="BR482" s="32">
        <f t="shared" si="265"/>
        <v>0</v>
      </c>
      <c r="BS482" s="32">
        <f t="shared" si="266"/>
        <v>0</v>
      </c>
      <c r="BT482" s="40">
        <f t="shared" si="267"/>
        <v>0</v>
      </c>
    </row>
    <row r="483" spans="1:72">
      <c r="A483" s="6"/>
      <c r="B483" s="31"/>
      <c r="C483" s="31"/>
      <c r="D483" s="1629"/>
      <c r="E483" s="32">
        <f t="shared" si="239"/>
        <v>0</v>
      </c>
      <c r="F483" s="33"/>
      <c r="G483" s="34">
        <f t="shared" si="240"/>
        <v>0</v>
      </c>
      <c r="H483" s="35">
        <f t="shared" si="241"/>
        <v>0</v>
      </c>
      <c r="I483" s="36"/>
      <c r="J483" s="36"/>
      <c r="K483" s="36"/>
      <c r="L483" s="36"/>
      <c r="M483" s="36"/>
      <c r="N483" s="36"/>
      <c r="O483" s="36"/>
      <c r="P483" s="36"/>
      <c r="Q483" s="36"/>
      <c r="R483" s="36"/>
      <c r="S483" s="36"/>
      <c r="T483" s="36"/>
      <c r="U483" s="36"/>
      <c r="V483" s="36"/>
      <c r="W483" s="36"/>
      <c r="X483" s="36"/>
      <c r="Y483" s="36"/>
      <c r="Z483" s="36"/>
      <c r="AA483" s="36"/>
      <c r="AB483" s="36"/>
      <c r="AC483" s="32">
        <f t="shared" si="242"/>
        <v>0</v>
      </c>
      <c r="AD483" s="37"/>
      <c r="AE483" s="37"/>
      <c r="AF483" s="37"/>
      <c r="AG483" s="37"/>
      <c r="AH483" s="37"/>
      <c r="AI483" s="37"/>
      <c r="AJ483" s="37"/>
      <c r="AK483" s="37"/>
      <c r="AL483" s="37"/>
      <c r="AM483" s="37"/>
      <c r="AN483" s="37"/>
      <c r="AO483" s="37"/>
      <c r="AP483" s="37"/>
      <c r="AQ483" s="37"/>
      <c r="AR483" s="37"/>
      <c r="AS483" s="37"/>
      <c r="AT483" s="38"/>
      <c r="AU483" s="1630"/>
      <c r="AV483" s="1342">
        <f t="shared" si="243"/>
        <v>0</v>
      </c>
      <c r="AW483" s="1342">
        <f t="shared" si="244"/>
        <v>0</v>
      </c>
      <c r="AX483" s="1342">
        <f t="shared" si="245"/>
        <v>0</v>
      </c>
      <c r="AY483" s="39">
        <f t="shared" si="246"/>
        <v>0</v>
      </c>
      <c r="AZ483" s="32">
        <f t="shared" si="247"/>
        <v>0</v>
      </c>
      <c r="BA483" s="32">
        <f t="shared" si="248"/>
        <v>0</v>
      </c>
      <c r="BB483" s="32">
        <f t="shared" si="249"/>
        <v>0</v>
      </c>
      <c r="BC483" s="32">
        <f t="shared" si="250"/>
        <v>0</v>
      </c>
      <c r="BD483" s="32">
        <f t="shared" si="251"/>
        <v>0</v>
      </c>
      <c r="BE483" s="32">
        <f t="shared" si="252"/>
        <v>0</v>
      </c>
      <c r="BF483" s="32">
        <f t="shared" si="253"/>
        <v>0</v>
      </c>
      <c r="BG483" s="32">
        <f t="shared" si="254"/>
        <v>0</v>
      </c>
      <c r="BH483" s="32">
        <f t="shared" si="255"/>
        <v>0</v>
      </c>
      <c r="BI483" s="32">
        <f t="shared" si="256"/>
        <v>0</v>
      </c>
      <c r="BJ483" s="32">
        <f t="shared" si="257"/>
        <v>0</v>
      </c>
      <c r="BK483" s="32">
        <f t="shared" si="258"/>
        <v>0</v>
      </c>
      <c r="BL483" s="32">
        <f t="shared" si="259"/>
        <v>0</v>
      </c>
      <c r="BM483" s="32">
        <f t="shared" si="260"/>
        <v>0</v>
      </c>
      <c r="BN483" s="32">
        <f t="shared" si="261"/>
        <v>0</v>
      </c>
      <c r="BO483" s="32">
        <f t="shared" si="262"/>
        <v>0</v>
      </c>
      <c r="BP483" s="32">
        <f t="shared" si="263"/>
        <v>0</v>
      </c>
      <c r="BQ483" s="32">
        <f t="shared" si="264"/>
        <v>0</v>
      </c>
      <c r="BR483" s="32">
        <f t="shared" si="265"/>
        <v>0</v>
      </c>
      <c r="BS483" s="32">
        <f t="shared" si="266"/>
        <v>0</v>
      </c>
      <c r="BT483" s="40">
        <f t="shared" si="267"/>
        <v>0</v>
      </c>
    </row>
    <row r="484" spans="1:72">
      <c r="A484" s="6"/>
      <c r="B484" s="31"/>
      <c r="C484" s="31"/>
      <c r="D484" s="1629"/>
      <c r="E484" s="32">
        <f t="shared" si="239"/>
        <v>0</v>
      </c>
      <c r="F484" s="33"/>
      <c r="G484" s="34">
        <f t="shared" si="240"/>
        <v>0</v>
      </c>
      <c r="H484" s="35">
        <f t="shared" si="241"/>
        <v>0</v>
      </c>
      <c r="I484" s="36"/>
      <c r="J484" s="36"/>
      <c r="K484" s="36"/>
      <c r="L484" s="36"/>
      <c r="M484" s="36"/>
      <c r="N484" s="36"/>
      <c r="O484" s="36"/>
      <c r="P484" s="36"/>
      <c r="Q484" s="36"/>
      <c r="R484" s="36"/>
      <c r="S484" s="36"/>
      <c r="T484" s="36"/>
      <c r="U484" s="36"/>
      <c r="V484" s="36"/>
      <c r="W484" s="36"/>
      <c r="X484" s="36"/>
      <c r="Y484" s="36"/>
      <c r="Z484" s="36"/>
      <c r="AA484" s="36"/>
      <c r="AB484" s="36"/>
      <c r="AC484" s="32">
        <f t="shared" si="242"/>
        <v>0</v>
      </c>
      <c r="AD484" s="37"/>
      <c r="AE484" s="37"/>
      <c r="AF484" s="37"/>
      <c r="AG484" s="37"/>
      <c r="AH484" s="37"/>
      <c r="AI484" s="37"/>
      <c r="AJ484" s="37"/>
      <c r="AK484" s="37"/>
      <c r="AL484" s="37"/>
      <c r="AM484" s="37"/>
      <c r="AN484" s="37"/>
      <c r="AO484" s="37"/>
      <c r="AP484" s="37"/>
      <c r="AQ484" s="37"/>
      <c r="AR484" s="37"/>
      <c r="AS484" s="37"/>
      <c r="AT484" s="38"/>
      <c r="AU484" s="1630"/>
      <c r="AV484" s="1342">
        <f t="shared" si="243"/>
        <v>0</v>
      </c>
      <c r="AW484" s="1342">
        <f t="shared" si="244"/>
        <v>0</v>
      </c>
      <c r="AX484" s="1342">
        <f t="shared" si="245"/>
        <v>0</v>
      </c>
      <c r="AY484" s="39">
        <f t="shared" si="246"/>
        <v>0</v>
      </c>
      <c r="AZ484" s="32">
        <f t="shared" si="247"/>
        <v>0</v>
      </c>
      <c r="BA484" s="32">
        <f t="shared" si="248"/>
        <v>0</v>
      </c>
      <c r="BB484" s="32">
        <f t="shared" si="249"/>
        <v>0</v>
      </c>
      <c r="BC484" s="32">
        <f t="shared" si="250"/>
        <v>0</v>
      </c>
      <c r="BD484" s="32">
        <f t="shared" si="251"/>
        <v>0</v>
      </c>
      <c r="BE484" s="32">
        <f t="shared" si="252"/>
        <v>0</v>
      </c>
      <c r="BF484" s="32">
        <f t="shared" si="253"/>
        <v>0</v>
      </c>
      <c r="BG484" s="32">
        <f t="shared" si="254"/>
        <v>0</v>
      </c>
      <c r="BH484" s="32">
        <f t="shared" si="255"/>
        <v>0</v>
      </c>
      <c r="BI484" s="32">
        <f t="shared" si="256"/>
        <v>0</v>
      </c>
      <c r="BJ484" s="32">
        <f t="shared" si="257"/>
        <v>0</v>
      </c>
      <c r="BK484" s="32">
        <f t="shared" si="258"/>
        <v>0</v>
      </c>
      <c r="BL484" s="32">
        <f t="shared" si="259"/>
        <v>0</v>
      </c>
      <c r="BM484" s="32">
        <f t="shared" si="260"/>
        <v>0</v>
      </c>
      <c r="BN484" s="32">
        <f t="shared" si="261"/>
        <v>0</v>
      </c>
      <c r="BO484" s="32">
        <f t="shared" si="262"/>
        <v>0</v>
      </c>
      <c r="BP484" s="32">
        <f t="shared" si="263"/>
        <v>0</v>
      </c>
      <c r="BQ484" s="32">
        <f t="shared" si="264"/>
        <v>0</v>
      </c>
      <c r="BR484" s="32">
        <f t="shared" si="265"/>
        <v>0</v>
      </c>
      <c r="BS484" s="32">
        <f t="shared" si="266"/>
        <v>0</v>
      </c>
      <c r="BT484" s="40">
        <f t="shared" si="267"/>
        <v>0</v>
      </c>
    </row>
    <row r="485" spans="1:72">
      <c r="A485" s="6"/>
      <c r="B485" s="31"/>
      <c r="C485" s="31"/>
      <c r="D485" s="1629"/>
      <c r="E485" s="32">
        <f t="shared" si="239"/>
        <v>0</v>
      </c>
      <c r="F485" s="33"/>
      <c r="G485" s="34">
        <f t="shared" si="240"/>
        <v>0</v>
      </c>
      <c r="H485" s="35">
        <f t="shared" si="241"/>
        <v>0</v>
      </c>
      <c r="I485" s="36"/>
      <c r="J485" s="36"/>
      <c r="K485" s="36"/>
      <c r="L485" s="36"/>
      <c r="M485" s="36"/>
      <c r="N485" s="36"/>
      <c r="O485" s="36"/>
      <c r="P485" s="36"/>
      <c r="Q485" s="36"/>
      <c r="R485" s="36"/>
      <c r="S485" s="36"/>
      <c r="T485" s="36"/>
      <c r="U485" s="36"/>
      <c r="V485" s="36"/>
      <c r="W485" s="36"/>
      <c r="X485" s="36"/>
      <c r="Y485" s="36"/>
      <c r="Z485" s="36"/>
      <c r="AA485" s="36"/>
      <c r="AB485" s="36"/>
      <c r="AC485" s="32">
        <f t="shared" si="242"/>
        <v>0</v>
      </c>
      <c r="AD485" s="37"/>
      <c r="AE485" s="37"/>
      <c r="AF485" s="37"/>
      <c r="AG485" s="37"/>
      <c r="AH485" s="37"/>
      <c r="AI485" s="37"/>
      <c r="AJ485" s="37"/>
      <c r="AK485" s="37"/>
      <c r="AL485" s="37"/>
      <c r="AM485" s="37"/>
      <c r="AN485" s="37"/>
      <c r="AO485" s="37"/>
      <c r="AP485" s="37"/>
      <c r="AQ485" s="37"/>
      <c r="AR485" s="37"/>
      <c r="AS485" s="37"/>
      <c r="AT485" s="38"/>
      <c r="AU485" s="1630"/>
      <c r="AV485" s="1342">
        <f t="shared" si="243"/>
        <v>0</v>
      </c>
      <c r="AW485" s="1342">
        <f t="shared" si="244"/>
        <v>0</v>
      </c>
      <c r="AX485" s="1342">
        <f t="shared" si="245"/>
        <v>0</v>
      </c>
      <c r="AY485" s="39">
        <f t="shared" si="246"/>
        <v>0</v>
      </c>
      <c r="AZ485" s="32">
        <f t="shared" si="247"/>
        <v>0</v>
      </c>
      <c r="BA485" s="32">
        <f t="shared" si="248"/>
        <v>0</v>
      </c>
      <c r="BB485" s="32">
        <f t="shared" si="249"/>
        <v>0</v>
      </c>
      <c r="BC485" s="32">
        <f t="shared" si="250"/>
        <v>0</v>
      </c>
      <c r="BD485" s="32">
        <f t="shared" si="251"/>
        <v>0</v>
      </c>
      <c r="BE485" s="32">
        <f t="shared" si="252"/>
        <v>0</v>
      </c>
      <c r="BF485" s="32">
        <f t="shared" si="253"/>
        <v>0</v>
      </c>
      <c r="BG485" s="32">
        <f t="shared" si="254"/>
        <v>0</v>
      </c>
      <c r="BH485" s="32">
        <f t="shared" si="255"/>
        <v>0</v>
      </c>
      <c r="BI485" s="32">
        <f t="shared" si="256"/>
        <v>0</v>
      </c>
      <c r="BJ485" s="32">
        <f t="shared" si="257"/>
        <v>0</v>
      </c>
      <c r="BK485" s="32">
        <f t="shared" si="258"/>
        <v>0</v>
      </c>
      <c r="BL485" s="32">
        <f t="shared" si="259"/>
        <v>0</v>
      </c>
      <c r="BM485" s="32">
        <f t="shared" si="260"/>
        <v>0</v>
      </c>
      <c r="BN485" s="32">
        <f t="shared" si="261"/>
        <v>0</v>
      </c>
      <c r="BO485" s="32">
        <f t="shared" si="262"/>
        <v>0</v>
      </c>
      <c r="BP485" s="32">
        <f t="shared" si="263"/>
        <v>0</v>
      </c>
      <c r="BQ485" s="32">
        <f t="shared" si="264"/>
        <v>0</v>
      </c>
      <c r="BR485" s="32">
        <f t="shared" si="265"/>
        <v>0</v>
      </c>
      <c r="BS485" s="32">
        <f t="shared" si="266"/>
        <v>0</v>
      </c>
      <c r="BT485" s="40">
        <f t="shared" si="267"/>
        <v>0</v>
      </c>
    </row>
    <row r="486" spans="1:72">
      <c r="A486" s="6"/>
      <c r="B486" s="31"/>
      <c r="C486" s="31"/>
      <c r="D486" s="1629"/>
      <c r="E486" s="32">
        <f t="shared" si="239"/>
        <v>0</v>
      </c>
      <c r="F486" s="33"/>
      <c r="G486" s="34">
        <f t="shared" si="240"/>
        <v>0</v>
      </c>
      <c r="H486" s="35">
        <f t="shared" si="241"/>
        <v>0</v>
      </c>
      <c r="I486" s="36"/>
      <c r="J486" s="36"/>
      <c r="K486" s="36"/>
      <c r="L486" s="36"/>
      <c r="M486" s="36"/>
      <c r="N486" s="36"/>
      <c r="O486" s="36"/>
      <c r="P486" s="36"/>
      <c r="Q486" s="36"/>
      <c r="R486" s="36"/>
      <c r="S486" s="36"/>
      <c r="T486" s="36"/>
      <c r="U486" s="36"/>
      <c r="V486" s="36"/>
      <c r="W486" s="36"/>
      <c r="X486" s="36"/>
      <c r="Y486" s="36"/>
      <c r="Z486" s="36"/>
      <c r="AA486" s="36"/>
      <c r="AB486" s="36"/>
      <c r="AC486" s="32">
        <f t="shared" si="242"/>
        <v>0</v>
      </c>
      <c r="AD486" s="37"/>
      <c r="AE486" s="37"/>
      <c r="AF486" s="37"/>
      <c r="AG486" s="37"/>
      <c r="AH486" s="37"/>
      <c r="AI486" s="37"/>
      <c r="AJ486" s="37"/>
      <c r="AK486" s="37"/>
      <c r="AL486" s="37"/>
      <c r="AM486" s="37"/>
      <c r="AN486" s="37"/>
      <c r="AO486" s="37"/>
      <c r="AP486" s="37"/>
      <c r="AQ486" s="37"/>
      <c r="AR486" s="37"/>
      <c r="AS486" s="37"/>
      <c r="AT486" s="38"/>
      <c r="AU486" s="1630"/>
      <c r="AV486" s="1342">
        <f t="shared" si="243"/>
        <v>0</v>
      </c>
      <c r="AW486" s="1342">
        <f t="shared" si="244"/>
        <v>0</v>
      </c>
      <c r="AX486" s="1342">
        <f t="shared" si="245"/>
        <v>0</v>
      </c>
      <c r="AY486" s="39">
        <f t="shared" si="246"/>
        <v>0</v>
      </c>
      <c r="AZ486" s="32">
        <f t="shared" si="247"/>
        <v>0</v>
      </c>
      <c r="BA486" s="32">
        <f t="shared" si="248"/>
        <v>0</v>
      </c>
      <c r="BB486" s="32">
        <f t="shared" si="249"/>
        <v>0</v>
      </c>
      <c r="BC486" s="32">
        <f t="shared" si="250"/>
        <v>0</v>
      </c>
      <c r="BD486" s="32">
        <f t="shared" si="251"/>
        <v>0</v>
      </c>
      <c r="BE486" s="32">
        <f t="shared" si="252"/>
        <v>0</v>
      </c>
      <c r="BF486" s="32">
        <f t="shared" si="253"/>
        <v>0</v>
      </c>
      <c r="BG486" s="32">
        <f t="shared" si="254"/>
        <v>0</v>
      </c>
      <c r="BH486" s="32">
        <f t="shared" si="255"/>
        <v>0</v>
      </c>
      <c r="BI486" s="32">
        <f t="shared" si="256"/>
        <v>0</v>
      </c>
      <c r="BJ486" s="32">
        <f t="shared" si="257"/>
        <v>0</v>
      </c>
      <c r="BK486" s="32">
        <f t="shared" si="258"/>
        <v>0</v>
      </c>
      <c r="BL486" s="32">
        <f t="shared" si="259"/>
        <v>0</v>
      </c>
      <c r="BM486" s="32">
        <f t="shared" si="260"/>
        <v>0</v>
      </c>
      <c r="BN486" s="32">
        <f t="shared" si="261"/>
        <v>0</v>
      </c>
      <c r="BO486" s="32">
        <f t="shared" si="262"/>
        <v>0</v>
      </c>
      <c r="BP486" s="32">
        <f t="shared" si="263"/>
        <v>0</v>
      </c>
      <c r="BQ486" s="32">
        <f t="shared" si="264"/>
        <v>0</v>
      </c>
      <c r="BR486" s="32">
        <f t="shared" si="265"/>
        <v>0</v>
      </c>
      <c r="BS486" s="32">
        <f t="shared" si="266"/>
        <v>0</v>
      </c>
      <c r="BT486" s="40">
        <f t="shared" si="267"/>
        <v>0</v>
      </c>
    </row>
    <row r="487" spans="1:72">
      <c r="A487" s="6"/>
      <c r="B487" s="31"/>
      <c r="C487" s="31"/>
      <c r="D487" s="1629"/>
      <c r="E487" s="32">
        <f t="shared" si="239"/>
        <v>0</v>
      </c>
      <c r="F487" s="33"/>
      <c r="G487" s="34">
        <f t="shared" si="240"/>
        <v>0</v>
      </c>
      <c r="H487" s="35">
        <f t="shared" si="241"/>
        <v>0</v>
      </c>
      <c r="I487" s="36"/>
      <c r="J487" s="36"/>
      <c r="K487" s="36"/>
      <c r="L487" s="36"/>
      <c r="M487" s="36"/>
      <c r="N487" s="36"/>
      <c r="O487" s="36"/>
      <c r="P487" s="36"/>
      <c r="Q487" s="36"/>
      <c r="R487" s="36"/>
      <c r="S487" s="36"/>
      <c r="T487" s="36"/>
      <c r="U487" s="36"/>
      <c r="V487" s="36"/>
      <c r="W487" s="36"/>
      <c r="X487" s="36"/>
      <c r="Y487" s="36"/>
      <c r="Z487" s="36"/>
      <c r="AA487" s="36"/>
      <c r="AB487" s="36"/>
      <c r="AC487" s="32">
        <f t="shared" si="242"/>
        <v>0</v>
      </c>
      <c r="AD487" s="37"/>
      <c r="AE487" s="37"/>
      <c r="AF487" s="37"/>
      <c r="AG487" s="37"/>
      <c r="AH487" s="37"/>
      <c r="AI487" s="37"/>
      <c r="AJ487" s="37"/>
      <c r="AK487" s="37"/>
      <c r="AL487" s="37"/>
      <c r="AM487" s="37"/>
      <c r="AN487" s="37"/>
      <c r="AO487" s="37"/>
      <c r="AP487" s="37"/>
      <c r="AQ487" s="37"/>
      <c r="AR487" s="37"/>
      <c r="AS487" s="37"/>
      <c r="AT487" s="38"/>
      <c r="AU487" s="1630"/>
      <c r="AV487" s="1342">
        <f t="shared" si="243"/>
        <v>0</v>
      </c>
      <c r="AW487" s="1342">
        <f t="shared" si="244"/>
        <v>0</v>
      </c>
      <c r="AX487" s="1342">
        <f t="shared" si="245"/>
        <v>0</v>
      </c>
      <c r="AY487" s="39">
        <f t="shared" si="246"/>
        <v>0</v>
      </c>
      <c r="AZ487" s="32">
        <f t="shared" si="247"/>
        <v>0</v>
      </c>
      <c r="BA487" s="32">
        <f t="shared" si="248"/>
        <v>0</v>
      </c>
      <c r="BB487" s="32">
        <f t="shared" si="249"/>
        <v>0</v>
      </c>
      <c r="BC487" s="32">
        <f t="shared" si="250"/>
        <v>0</v>
      </c>
      <c r="BD487" s="32">
        <f t="shared" si="251"/>
        <v>0</v>
      </c>
      <c r="BE487" s="32">
        <f t="shared" si="252"/>
        <v>0</v>
      </c>
      <c r="BF487" s="32">
        <f t="shared" si="253"/>
        <v>0</v>
      </c>
      <c r="BG487" s="32">
        <f t="shared" si="254"/>
        <v>0</v>
      </c>
      <c r="BH487" s="32">
        <f t="shared" si="255"/>
        <v>0</v>
      </c>
      <c r="BI487" s="32">
        <f t="shared" si="256"/>
        <v>0</v>
      </c>
      <c r="BJ487" s="32">
        <f t="shared" si="257"/>
        <v>0</v>
      </c>
      <c r="BK487" s="32">
        <f t="shared" si="258"/>
        <v>0</v>
      </c>
      <c r="BL487" s="32">
        <f t="shared" si="259"/>
        <v>0</v>
      </c>
      <c r="BM487" s="32">
        <f t="shared" si="260"/>
        <v>0</v>
      </c>
      <c r="BN487" s="32">
        <f t="shared" si="261"/>
        <v>0</v>
      </c>
      <c r="BO487" s="32">
        <f t="shared" si="262"/>
        <v>0</v>
      </c>
      <c r="BP487" s="32">
        <f t="shared" si="263"/>
        <v>0</v>
      </c>
      <c r="BQ487" s="32">
        <f t="shared" si="264"/>
        <v>0</v>
      </c>
      <c r="BR487" s="32">
        <f t="shared" si="265"/>
        <v>0</v>
      </c>
      <c r="BS487" s="32">
        <f t="shared" si="266"/>
        <v>0</v>
      </c>
      <c r="BT487" s="40">
        <f t="shared" si="267"/>
        <v>0</v>
      </c>
    </row>
    <row r="488" spans="1:72">
      <c r="A488" s="6"/>
      <c r="B488" s="31"/>
      <c r="C488" s="31"/>
      <c r="D488" s="1629"/>
      <c r="E488" s="32">
        <f t="shared" si="239"/>
        <v>0</v>
      </c>
      <c r="F488" s="33"/>
      <c r="G488" s="34">
        <f t="shared" si="240"/>
        <v>0</v>
      </c>
      <c r="H488" s="35">
        <f t="shared" si="241"/>
        <v>0</v>
      </c>
      <c r="I488" s="36"/>
      <c r="J488" s="36"/>
      <c r="K488" s="36"/>
      <c r="L488" s="36"/>
      <c r="M488" s="36"/>
      <c r="N488" s="36"/>
      <c r="O488" s="36"/>
      <c r="P488" s="36"/>
      <c r="Q488" s="36"/>
      <c r="R488" s="36"/>
      <c r="S488" s="36"/>
      <c r="T488" s="36"/>
      <c r="U488" s="36"/>
      <c r="V488" s="36"/>
      <c r="W488" s="36"/>
      <c r="X488" s="36"/>
      <c r="Y488" s="36"/>
      <c r="Z488" s="36"/>
      <c r="AA488" s="36"/>
      <c r="AB488" s="36"/>
      <c r="AC488" s="32">
        <f t="shared" si="242"/>
        <v>0</v>
      </c>
      <c r="AD488" s="37"/>
      <c r="AE488" s="37"/>
      <c r="AF488" s="37"/>
      <c r="AG488" s="37"/>
      <c r="AH488" s="37"/>
      <c r="AI488" s="37"/>
      <c r="AJ488" s="37"/>
      <c r="AK488" s="37"/>
      <c r="AL488" s="37"/>
      <c r="AM488" s="37"/>
      <c r="AN488" s="37"/>
      <c r="AO488" s="37"/>
      <c r="AP488" s="37"/>
      <c r="AQ488" s="37"/>
      <c r="AR488" s="37"/>
      <c r="AS488" s="37"/>
      <c r="AT488" s="38"/>
      <c r="AU488" s="1630"/>
      <c r="AV488" s="1342">
        <f t="shared" si="243"/>
        <v>0</v>
      </c>
      <c r="AW488" s="1342">
        <f t="shared" si="244"/>
        <v>0</v>
      </c>
      <c r="AX488" s="1342">
        <f t="shared" si="245"/>
        <v>0</v>
      </c>
      <c r="AY488" s="39">
        <f t="shared" si="246"/>
        <v>0</v>
      </c>
      <c r="AZ488" s="32">
        <f t="shared" si="247"/>
        <v>0</v>
      </c>
      <c r="BA488" s="32">
        <f t="shared" si="248"/>
        <v>0</v>
      </c>
      <c r="BB488" s="32">
        <f t="shared" si="249"/>
        <v>0</v>
      </c>
      <c r="BC488" s="32">
        <f t="shared" si="250"/>
        <v>0</v>
      </c>
      <c r="BD488" s="32">
        <f t="shared" si="251"/>
        <v>0</v>
      </c>
      <c r="BE488" s="32">
        <f t="shared" si="252"/>
        <v>0</v>
      </c>
      <c r="BF488" s="32">
        <f t="shared" si="253"/>
        <v>0</v>
      </c>
      <c r="BG488" s="32">
        <f t="shared" si="254"/>
        <v>0</v>
      </c>
      <c r="BH488" s="32">
        <f t="shared" si="255"/>
        <v>0</v>
      </c>
      <c r="BI488" s="32">
        <f t="shared" si="256"/>
        <v>0</v>
      </c>
      <c r="BJ488" s="32">
        <f t="shared" si="257"/>
        <v>0</v>
      </c>
      <c r="BK488" s="32">
        <f t="shared" si="258"/>
        <v>0</v>
      </c>
      <c r="BL488" s="32">
        <f t="shared" si="259"/>
        <v>0</v>
      </c>
      <c r="BM488" s="32">
        <f t="shared" si="260"/>
        <v>0</v>
      </c>
      <c r="BN488" s="32">
        <f t="shared" si="261"/>
        <v>0</v>
      </c>
      <c r="BO488" s="32">
        <f t="shared" si="262"/>
        <v>0</v>
      </c>
      <c r="BP488" s="32">
        <f t="shared" si="263"/>
        <v>0</v>
      </c>
      <c r="BQ488" s="32">
        <f t="shared" si="264"/>
        <v>0</v>
      </c>
      <c r="BR488" s="32">
        <f t="shared" si="265"/>
        <v>0</v>
      </c>
      <c r="BS488" s="32">
        <f t="shared" si="266"/>
        <v>0</v>
      </c>
      <c r="BT488" s="40">
        <f t="shared" si="267"/>
        <v>0</v>
      </c>
    </row>
    <row r="489" spans="1:72">
      <c r="A489" s="6"/>
      <c r="B489" s="31"/>
      <c r="C489" s="31"/>
      <c r="D489" s="1629"/>
      <c r="E489" s="32">
        <f t="shared" si="239"/>
        <v>0</v>
      </c>
      <c r="F489" s="33"/>
      <c r="G489" s="34">
        <f t="shared" si="240"/>
        <v>0</v>
      </c>
      <c r="H489" s="35">
        <f t="shared" si="241"/>
        <v>0</v>
      </c>
      <c r="I489" s="36"/>
      <c r="J489" s="36"/>
      <c r="K489" s="36"/>
      <c r="L489" s="36"/>
      <c r="M489" s="36"/>
      <c r="N489" s="36"/>
      <c r="O489" s="36"/>
      <c r="P489" s="36"/>
      <c r="Q489" s="36"/>
      <c r="R489" s="36"/>
      <c r="S489" s="36"/>
      <c r="T489" s="36"/>
      <c r="U489" s="36"/>
      <c r="V489" s="36"/>
      <c r="W489" s="36"/>
      <c r="X489" s="36"/>
      <c r="Y489" s="36"/>
      <c r="Z489" s="36"/>
      <c r="AA489" s="36"/>
      <c r="AB489" s="36"/>
      <c r="AC489" s="32">
        <f t="shared" si="242"/>
        <v>0</v>
      </c>
      <c r="AD489" s="37"/>
      <c r="AE489" s="37"/>
      <c r="AF489" s="37"/>
      <c r="AG489" s="37"/>
      <c r="AH489" s="37"/>
      <c r="AI489" s="37"/>
      <c r="AJ489" s="37"/>
      <c r="AK489" s="37"/>
      <c r="AL489" s="37"/>
      <c r="AM489" s="37"/>
      <c r="AN489" s="37"/>
      <c r="AO489" s="37"/>
      <c r="AP489" s="37"/>
      <c r="AQ489" s="37"/>
      <c r="AR489" s="37"/>
      <c r="AS489" s="37"/>
      <c r="AT489" s="38"/>
      <c r="AU489" s="1630"/>
      <c r="AV489" s="1342">
        <f t="shared" si="243"/>
        <v>0</v>
      </c>
      <c r="AW489" s="1342">
        <f t="shared" si="244"/>
        <v>0</v>
      </c>
      <c r="AX489" s="1342">
        <f t="shared" si="245"/>
        <v>0</v>
      </c>
      <c r="AY489" s="39">
        <f t="shared" si="246"/>
        <v>0</v>
      </c>
      <c r="AZ489" s="32">
        <f t="shared" si="247"/>
        <v>0</v>
      </c>
      <c r="BA489" s="32">
        <f t="shared" si="248"/>
        <v>0</v>
      </c>
      <c r="BB489" s="32">
        <f t="shared" si="249"/>
        <v>0</v>
      </c>
      <c r="BC489" s="32">
        <f t="shared" si="250"/>
        <v>0</v>
      </c>
      <c r="BD489" s="32">
        <f t="shared" si="251"/>
        <v>0</v>
      </c>
      <c r="BE489" s="32">
        <f t="shared" si="252"/>
        <v>0</v>
      </c>
      <c r="BF489" s="32">
        <f t="shared" si="253"/>
        <v>0</v>
      </c>
      <c r="BG489" s="32">
        <f t="shared" si="254"/>
        <v>0</v>
      </c>
      <c r="BH489" s="32">
        <f t="shared" si="255"/>
        <v>0</v>
      </c>
      <c r="BI489" s="32">
        <f t="shared" si="256"/>
        <v>0</v>
      </c>
      <c r="BJ489" s="32">
        <f t="shared" si="257"/>
        <v>0</v>
      </c>
      <c r="BK489" s="32">
        <f t="shared" si="258"/>
        <v>0</v>
      </c>
      <c r="BL489" s="32">
        <f t="shared" si="259"/>
        <v>0</v>
      </c>
      <c r="BM489" s="32">
        <f t="shared" si="260"/>
        <v>0</v>
      </c>
      <c r="BN489" s="32">
        <f t="shared" si="261"/>
        <v>0</v>
      </c>
      <c r="BO489" s="32">
        <f t="shared" si="262"/>
        <v>0</v>
      </c>
      <c r="BP489" s="32">
        <f t="shared" si="263"/>
        <v>0</v>
      </c>
      <c r="BQ489" s="32">
        <f t="shared" si="264"/>
        <v>0</v>
      </c>
      <c r="BR489" s="32">
        <f t="shared" si="265"/>
        <v>0</v>
      </c>
      <c r="BS489" s="32">
        <f t="shared" si="266"/>
        <v>0</v>
      </c>
      <c r="BT489" s="40">
        <f t="shared" si="267"/>
        <v>0</v>
      </c>
    </row>
    <row r="490" spans="1:72">
      <c r="A490" s="6"/>
      <c r="B490" s="6"/>
      <c r="C490" s="6"/>
      <c r="D490" s="1629"/>
      <c r="E490" s="32">
        <f t="shared" si="239"/>
        <v>0</v>
      </c>
      <c r="F490" s="41"/>
      <c r="G490" s="34">
        <f t="shared" ref="G490:G521" si="268">H490+AC490+AT490</f>
        <v>0</v>
      </c>
      <c r="H490" s="35">
        <f t="shared" ref="H490:H521" si="269">SUMIF(I$12:AB$12,"总值",I490:AB490)</f>
        <v>0</v>
      </c>
      <c r="I490" s="7"/>
      <c r="J490" s="7"/>
      <c r="K490" s="36"/>
      <c r="L490" s="36"/>
      <c r="M490" s="36"/>
      <c r="N490" s="36"/>
      <c r="O490" s="36"/>
      <c r="P490" s="36"/>
      <c r="Q490" s="36"/>
      <c r="R490" s="36"/>
      <c r="S490" s="36"/>
      <c r="T490" s="36"/>
      <c r="U490" s="36"/>
      <c r="V490" s="36"/>
      <c r="W490" s="36"/>
      <c r="X490" s="36"/>
      <c r="Y490" s="36"/>
      <c r="Z490" s="36"/>
      <c r="AA490" s="36"/>
      <c r="AB490" s="36"/>
      <c r="AC490" s="32">
        <f t="shared" ref="AC490:AC521" si="270">SUMIF(AD$12:AS$12,"总值",AD490:AS490)</f>
        <v>0</v>
      </c>
      <c r="AD490" s="37"/>
      <c r="AE490" s="37"/>
      <c r="AF490" s="37"/>
      <c r="AG490" s="37"/>
      <c r="AH490" s="37"/>
      <c r="AI490" s="37"/>
      <c r="AJ490" s="37"/>
      <c r="AK490" s="37"/>
      <c r="AL490" s="37"/>
      <c r="AM490" s="37"/>
      <c r="AN490" s="37"/>
      <c r="AO490" s="37"/>
      <c r="AP490" s="37"/>
      <c r="AQ490" s="37"/>
      <c r="AR490" s="37"/>
      <c r="AS490" s="37"/>
      <c r="AT490" s="37"/>
      <c r="AU490" s="1570"/>
      <c r="AV490" s="1342">
        <f t="shared" si="243"/>
        <v>0</v>
      </c>
      <c r="AW490" s="1342">
        <f t="shared" si="244"/>
        <v>0</v>
      </c>
      <c r="AX490" s="1342">
        <f t="shared" si="245"/>
        <v>0</v>
      </c>
      <c r="AY490" s="39">
        <f t="shared" ref="AY490:AY521" si="271">ROUND($AY$6*AZ490/$AZ$5,2)</f>
        <v>0</v>
      </c>
      <c r="AZ490" s="32">
        <f t="shared" ref="AZ490:AZ521" si="272">BA490+BL490</f>
        <v>0</v>
      </c>
      <c r="BA490" s="32">
        <f t="shared" ref="BA490:BA521" si="273">SUM(BB490:BK490)</f>
        <v>0</v>
      </c>
      <c r="BB490" s="32">
        <f t="shared" ref="BB490:BB521" si="274">IF($D490="是",I490-J490,0)</f>
        <v>0</v>
      </c>
      <c r="BC490" s="32">
        <f t="shared" ref="BC490:BC521" si="275">IF($D490="是",K490-L490,0)</f>
        <v>0</v>
      </c>
      <c r="BD490" s="32">
        <f t="shared" ref="BD490:BD521" si="276">IF($D490="是",M490-N490,0)</f>
        <v>0</v>
      </c>
      <c r="BE490" s="32">
        <f t="shared" ref="BE490:BE521" si="277">IF($D490="是",O490-P490,0)</f>
        <v>0</v>
      </c>
      <c r="BF490" s="32">
        <f t="shared" ref="BF490:BF521" si="278">IF($D490="是",Q490-R490,0)</f>
        <v>0</v>
      </c>
      <c r="BG490" s="32">
        <f t="shared" ref="BG490:BG521" si="279">IF($D490="是",S490-T490,0)</f>
        <v>0</v>
      </c>
      <c r="BH490" s="32">
        <f t="shared" ref="BH490:BH521" si="280">IF($D490="是",U490-V490,0)</f>
        <v>0</v>
      </c>
      <c r="BI490" s="32">
        <f t="shared" ref="BI490:BI521" si="281">IF($D490="是",W490-X490,0)</f>
        <v>0</v>
      </c>
      <c r="BJ490" s="32">
        <f t="shared" ref="BJ490:BJ521" si="282">IF($D490="是",Y490-Z490,0)</f>
        <v>0</v>
      </c>
      <c r="BK490" s="32">
        <f t="shared" ref="BK490:BK521" si="283">IF($D490="是",AA490-AB490,0)</f>
        <v>0</v>
      </c>
      <c r="BL490" s="32">
        <f t="shared" ref="BL490:BL521" si="284">SUM(BM490:BT490)</f>
        <v>0</v>
      </c>
      <c r="BM490" s="32">
        <f t="shared" ref="BM490:BM521" si="285">IF($D490="是",AD490-AE490,0)</f>
        <v>0</v>
      </c>
      <c r="BN490" s="32">
        <f t="shared" ref="BN490:BN521" si="286">IF($D490="是",AF490-AG490,0)</f>
        <v>0</v>
      </c>
      <c r="BO490" s="32">
        <f t="shared" ref="BO490:BO521" si="287">IF($D490="是",AH490-AI490,0)</f>
        <v>0</v>
      </c>
      <c r="BP490" s="32">
        <f t="shared" ref="BP490:BP521" si="288">IF($D490="是",AJ490-AK490,0)</f>
        <v>0</v>
      </c>
      <c r="BQ490" s="32">
        <f t="shared" ref="BQ490:BQ521" si="289">IF($D490="是",AL490-AM490,0)</f>
        <v>0</v>
      </c>
      <c r="BR490" s="32">
        <f t="shared" ref="BR490:BR521" si="290">IF($D490="是",AN490-AO490,0)</f>
        <v>0</v>
      </c>
      <c r="BS490" s="32">
        <f t="shared" ref="BS490:BS521" si="291">IF($D490="是",AP490-AQ490,0)</f>
        <v>0</v>
      </c>
      <c r="BT490" s="40">
        <f t="shared" ref="BT490:BT521" si="292">IF($D490="是",AR490-AS490,0)</f>
        <v>0</v>
      </c>
    </row>
    <row r="491" spans="1:72">
      <c r="A491" s="6"/>
      <c r="B491" s="6"/>
      <c r="C491" s="6"/>
      <c r="D491" s="1629"/>
      <c r="E491" s="32">
        <f t="shared" si="239"/>
        <v>0</v>
      </c>
      <c r="F491" s="41"/>
      <c r="G491" s="34">
        <f t="shared" si="268"/>
        <v>0</v>
      </c>
      <c r="H491" s="35">
        <f t="shared" si="269"/>
        <v>0</v>
      </c>
      <c r="I491" s="36"/>
      <c r="J491" s="36"/>
      <c r="K491" s="36"/>
      <c r="L491" s="36"/>
      <c r="M491" s="36"/>
      <c r="N491" s="36"/>
      <c r="O491" s="36"/>
      <c r="P491" s="36"/>
      <c r="Q491" s="36"/>
      <c r="R491" s="36"/>
      <c r="S491" s="36"/>
      <c r="T491" s="36"/>
      <c r="U491" s="36"/>
      <c r="V491" s="36"/>
      <c r="W491" s="36"/>
      <c r="X491" s="36"/>
      <c r="Y491" s="36"/>
      <c r="Z491" s="36"/>
      <c r="AA491" s="36"/>
      <c r="AB491" s="36"/>
      <c r="AC491" s="32">
        <f t="shared" si="270"/>
        <v>0</v>
      </c>
      <c r="AD491" s="37"/>
      <c r="AE491" s="37"/>
      <c r="AF491" s="37"/>
      <c r="AG491" s="37"/>
      <c r="AH491" s="37"/>
      <c r="AI491" s="37"/>
      <c r="AJ491" s="37"/>
      <c r="AK491" s="37"/>
      <c r="AL491" s="37"/>
      <c r="AM491" s="37"/>
      <c r="AN491" s="37"/>
      <c r="AO491" s="37"/>
      <c r="AP491" s="37"/>
      <c r="AQ491" s="37"/>
      <c r="AR491" s="37"/>
      <c r="AS491" s="37"/>
      <c r="AT491" s="37"/>
      <c r="AU491" s="1570"/>
      <c r="AV491" s="1342">
        <f t="shared" si="243"/>
        <v>0</v>
      </c>
      <c r="AW491" s="1342">
        <f t="shared" si="244"/>
        <v>0</v>
      </c>
      <c r="AX491" s="1342">
        <f t="shared" si="245"/>
        <v>0</v>
      </c>
      <c r="AY491" s="39">
        <f t="shared" si="271"/>
        <v>0</v>
      </c>
      <c r="AZ491" s="32">
        <f t="shared" si="272"/>
        <v>0</v>
      </c>
      <c r="BA491" s="32">
        <f t="shared" si="273"/>
        <v>0</v>
      </c>
      <c r="BB491" s="32">
        <f t="shared" si="274"/>
        <v>0</v>
      </c>
      <c r="BC491" s="32">
        <f t="shared" si="275"/>
        <v>0</v>
      </c>
      <c r="BD491" s="32">
        <f t="shared" si="276"/>
        <v>0</v>
      </c>
      <c r="BE491" s="32">
        <f t="shared" si="277"/>
        <v>0</v>
      </c>
      <c r="BF491" s="32">
        <f t="shared" si="278"/>
        <v>0</v>
      </c>
      <c r="BG491" s="32">
        <f t="shared" si="279"/>
        <v>0</v>
      </c>
      <c r="BH491" s="32">
        <f t="shared" si="280"/>
        <v>0</v>
      </c>
      <c r="BI491" s="32">
        <f t="shared" si="281"/>
        <v>0</v>
      </c>
      <c r="BJ491" s="32">
        <f t="shared" si="282"/>
        <v>0</v>
      </c>
      <c r="BK491" s="32">
        <f t="shared" si="283"/>
        <v>0</v>
      </c>
      <c r="BL491" s="32">
        <f t="shared" si="284"/>
        <v>0</v>
      </c>
      <c r="BM491" s="32">
        <f t="shared" si="285"/>
        <v>0</v>
      </c>
      <c r="BN491" s="32">
        <f t="shared" si="286"/>
        <v>0</v>
      </c>
      <c r="BO491" s="32">
        <f t="shared" si="287"/>
        <v>0</v>
      </c>
      <c r="BP491" s="32">
        <f t="shared" si="288"/>
        <v>0</v>
      </c>
      <c r="BQ491" s="32">
        <f t="shared" si="289"/>
        <v>0</v>
      </c>
      <c r="BR491" s="32">
        <f t="shared" si="290"/>
        <v>0</v>
      </c>
      <c r="BS491" s="32">
        <f t="shared" si="291"/>
        <v>0</v>
      </c>
      <c r="BT491" s="40">
        <f t="shared" si="292"/>
        <v>0</v>
      </c>
    </row>
    <row r="492" spans="1:72">
      <c r="A492" s="6"/>
      <c r="B492" s="6"/>
      <c r="C492" s="6"/>
      <c r="D492" s="1629"/>
      <c r="E492" s="32">
        <f t="shared" si="239"/>
        <v>0</v>
      </c>
      <c r="F492" s="41"/>
      <c r="G492" s="34">
        <f t="shared" si="268"/>
        <v>0</v>
      </c>
      <c r="H492" s="35">
        <f t="shared" si="269"/>
        <v>0</v>
      </c>
      <c r="I492" s="36"/>
      <c r="J492" s="36"/>
      <c r="K492" s="36"/>
      <c r="L492" s="36"/>
      <c r="M492" s="36"/>
      <c r="N492" s="36"/>
      <c r="O492" s="36"/>
      <c r="P492" s="36"/>
      <c r="Q492" s="36"/>
      <c r="R492" s="36"/>
      <c r="S492" s="36"/>
      <c r="T492" s="36"/>
      <c r="U492" s="36"/>
      <c r="V492" s="36"/>
      <c r="W492" s="36"/>
      <c r="X492" s="36"/>
      <c r="Y492" s="36"/>
      <c r="Z492" s="36"/>
      <c r="AA492" s="36"/>
      <c r="AB492" s="36"/>
      <c r="AC492" s="32">
        <f t="shared" si="270"/>
        <v>0</v>
      </c>
      <c r="AD492" s="37"/>
      <c r="AE492" s="37"/>
      <c r="AF492" s="37"/>
      <c r="AG492" s="37"/>
      <c r="AH492" s="37"/>
      <c r="AI492" s="37"/>
      <c r="AJ492" s="37"/>
      <c r="AK492" s="37"/>
      <c r="AL492" s="37"/>
      <c r="AM492" s="37"/>
      <c r="AN492" s="37"/>
      <c r="AO492" s="37"/>
      <c r="AP492" s="37"/>
      <c r="AQ492" s="37"/>
      <c r="AR492" s="37"/>
      <c r="AS492" s="37"/>
      <c r="AT492" s="37"/>
      <c r="AU492" s="1570"/>
      <c r="AV492" s="1342">
        <f t="shared" si="243"/>
        <v>0</v>
      </c>
      <c r="AW492" s="1342">
        <f t="shared" si="244"/>
        <v>0</v>
      </c>
      <c r="AX492" s="1342">
        <f t="shared" si="245"/>
        <v>0</v>
      </c>
      <c r="AY492" s="39">
        <f t="shared" si="271"/>
        <v>0</v>
      </c>
      <c r="AZ492" s="32">
        <f t="shared" si="272"/>
        <v>0</v>
      </c>
      <c r="BA492" s="32">
        <f t="shared" si="273"/>
        <v>0</v>
      </c>
      <c r="BB492" s="32">
        <f t="shared" si="274"/>
        <v>0</v>
      </c>
      <c r="BC492" s="32">
        <f t="shared" si="275"/>
        <v>0</v>
      </c>
      <c r="BD492" s="32">
        <f t="shared" si="276"/>
        <v>0</v>
      </c>
      <c r="BE492" s="32">
        <f t="shared" si="277"/>
        <v>0</v>
      </c>
      <c r="BF492" s="32">
        <f t="shared" si="278"/>
        <v>0</v>
      </c>
      <c r="BG492" s="32">
        <f t="shared" si="279"/>
        <v>0</v>
      </c>
      <c r="BH492" s="32">
        <f t="shared" si="280"/>
        <v>0</v>
      </c>
      <c r="BI492" s="32">
        <f t="shared" si="281"/>
        <v>0</v>
      </c>
      <c r="BJ492" s="32">
        <f t="shared" si="282"/>
        <v>0</v>
      </c>
      <c r="BK492" s="32">
        <f t="shared" si="283"/>
        <v>0</v>
      </c>
      <c r="BL492" s="32">
        <f t="shared" si="284"/>
        <v>0</v>
      </c>
      <c r="BM492" s="32">
        <f t="shared" si="285"/>
        <v>0</v>
      </c>
      <c r="BN492" s="32">
        <f t="shared" si="286"/>
        <v>0</v>
      </c>
      <c r="BO492" s="32">
        <f t="shared" si="287"/>
        <v>0</v>
      </c>
      <c r="BP492" s="32">
        <f t="shared" si="288"/>
        <v>0</v>
      </c>
      <c r="BQ492" s="32">
        <f t="shared" si="289"/>
        <v>0</v>
      </c>
      <c r="BR492" s="32">
        <f t="shared" si="290"/>
        <v>0</v>
      </c>
      <c r="BS492" s="32">
        <f t="shared" si="291"/>
        <v>0</v>
      </c>
      <c r="BT492" s="40">
        <f t="shared" si="292"/>
        <v>0</v>
      </c>
    </row>
    <row r="493" spans="1:72">
      <c r="A493" s="6"/>
      <c r="B493" s="31"/>
      <c r="C493" s="31"/>
      <c r="D493" s="1629"/>
      <c r="E493" s="32">
        <f t="shared" ref="E493:E519" si="293">IF($C$3="是",ROUND($A$3*G493/$B$3,2),ROUND($A$3*(G493-AT493)/$B$3,2))</f>
        <v>0</v>
      </c>
      <c r="F493" s="33"/>
      <c r="G493" s="34">
        <f t="shared" si="268"/>
        <v>0</v>
      </c>
      <c r="H493" s="35">
        <f t="shared" si="269"/>
        <v>0</v>
      </c>
      <c r="I493" s="36"/>
      <c r="J493" s="36"/>
      <c r="K493" s="36"/>
      <c r="L493" s="36"/>
      <c r="M493" s="36"/>
      <c r="N493" s="36"/>
      <c r="O493" s="36"/>
      <c r="P493" s="36"/>
      <c r="Q493" s="36"/>
      <c r="R493" s="36"/>
      <c r="S493" s="36"/>
      <c r="T493" s="36"/>
      <c r="U493" s="36"/>
      <c r="V493" s="36"/>
      <c r="W493" s="36"/>
      <c r="X493" s="36"/>
      <c r="Y493" s="36"/>
      <c r="Z493" s="36"/>
      <c r="AA493" s="36"/>
      <c r="AB493" s="36"/>
      <c r="AC493" s="32">
        <f t="shared" si="270"/>
        <v>0</v>
      </c>
      <c r="AD493" s="37"/>
      <c r="AE493" s="37"/>
      <c r="AF493" s="37"/>
      <c r="AG493" s="37"/>
      <c r="AH493" s="37"/>
      <c r="AI493" s="37"/>
      <c r="AJ493" s="37"/>
      <c r="AK493" s="37"/>
      <c r="AL493" s="37"/>
      <c r="AM493" s="37"/>
      <c r="AN493" s="37"/>
      <c r="AO493" s="37"/>
      <c r="AP493" s="37"/>
      <c r="AQ493" s="37"/>
      <c r="AR493" s="37"/>
      <c r="AS493" s="37"/>
      <c r="AT493" s="38"/>
      <c r="AU493" s="1630"/>
      <c r="AV493" s="1342">
        <f t="shared" ref="AV493:AV520" si="294">A493</f>
        <v>0</v>
      </c>
      <c r="AW493" s="1342">
        <f t="shared" ref="AW493:AW520" si="295">B493</f>
        <v>0</v>
      </c>
      <c r="AX493" s="1342">
        <f t="shared" ref="AX493:AX520" si="296">C493</f>
        <v>0</v>
      </c>
      <c r="AY493" s="39">
        <f t="shared" si="271"/>
        <v>0</v>
      </c>
      <c r="AZ493" s="32">
        <f t="shared" si="272"/>
        <v>0</v>
      </c>
      <c r="BA493" s="32">
        <f t="shared" si="273"/>
        <v>0</v>
      </c>
      <c r="BB493" s="32">
        <f t="shared" si="274"/>
        <v>0</v>
      </c>
      <c r="BC493" s="32">
        <f t="shared" si="275"/>
        <v>0</v>
      </c>
      <c r="BD493" s="32">
        <f t="shared" si="276"/>
        <v>0</v>
      </c>
      <c r="BE493" s="32">
        <f t="shared" si="277"/>
        <v>0</v>
      </c>
      <c r="BF493" s="32">
        <f t="shared" si="278"/>
        <v>0</v>
      </c>
      <c r="BG493" s="32">
        <f t="shared" si="279"/>
        <v>0</v>
      </c>
      <c r="BH493" s="32">
        <f t="shared" si="280"/>
        <v>0</v>
      </c>
      <c r="BI493" s="32">
        <f t="shared" si="281"/>
        <v>0</v>
      </c>
      <c r="BJ493" s="32">
        <f t="shared" si="282"/>
        <v>0</v>
      </c>
      <c r="BK493" s="32">
        <f t="shared" si="283"/>
        <v>0</v>
      </c>
      <c r="BL493" s="32">
        <f t="shared" si="284"/>
        <v>0</v>
      </c>
      <c r="BM493" s="32">
        <f t="shared" si="285"/>
        <v>0</v>
      </c>
      <c r="BN493" s="32">
        <f t="shared" si="286"/>
        <v>0</v>
      </c>
      <c r="BO493" s="32">
        <f t="shared" si="287"/>
        <v>0</v>
      </c>
      <c r="BP493" s="32">
        <f t="shared" si="288"/>
        <v>0</v>
      </c>
      <c r="BQ493" s="32">
        <f t="shared" si="289"/>
        <v>0</v>
      </c>
      <c r="BR493" s="32">
        <f t="shared" si="290"/>
        <v>0</v>
      </c>
      <c r="BS493" s="32">
        <f t="shared" si="291"/>
        <v>0</v>
      </c>
      <c r="BT493" s="40">
        <f t="shared" si="292"/>
        <v>0</v>
      </c>
    </row>
    <row r="494" spans="1:72">
      <c r="A494" s="6"/>
      <c r="B494" s="31"/>
      <c r="C494" s="31"/>
      <c r="D494" s="1629"/>
      <c r="E494" s="32">
        <f t="shared" si="293"/>
        <v>0</v>
      </c>
      <c r="F494" s="33"/>
      <c r="G494" s="34">
        <f t="shared" si="268"/>
        <v>0</v>
      </c>
      <c r="H494" s="35">
        <f t="shared" si="269"/>
        <v>0</v>
      </c>
      <c r="I494" s="36"/>
      <c r="J494" s="36"/>
      <c r="K494" s="36"/>
      <c r="L494" s="36"/>
      <c r="M494" s="36"/>
      <c r="N494" s="36"/>
      <c r="O494" s="36"/>
      <c r="P494" s="36"/>
      <c r="Q494" s="36"/>
      <c r="R494" s="36"/>
      <c r="S494" s="36"/>
      <c r="T494" s="36"/>
      <c r="U494" s="36"/>
      <c r="V494" s="36"/>
      <c r="W494" s="36"/>
      <c r="X494" s="36"/>
      <c r="Y494" s="36"/>
      <c r="Z494" s="36"/>
      <c r="AA494" s="36"/>
      <c r="AB494" s="36"/>
      <c r="AC494" s="32">
        <f t="shared" si="270"/>
        <v>0</v>
      </c>
      <c r="AD494" s="37"/>
      <c r="AE494" s="37"/>
      <c r="AF494" s="37"/>
      <c r="AG494" s="37"/>
      <c r="AH494" s="37"/>
      <c r="AI494" s="37"/>
      <c r="AJ494" s="37"/>
      <c r="AK494" s="37"/>
      <c r="AL494" s="37"/>
      <c r="AM494" s="37"/>
      <c r="AN494" s="37"/>
      <c r="AO494" s="37"/>
      <c r="AP494" s="37"/>
      <c r="AQ494" s="37"/>
      <c r="AR494" s="37"/>
      <c r="AS494" s="37"/>
      <c r="AT494" s="38"/>
      <c r="AU494" s="1630"/>
      <c r="AV494" s="1342">
        <f t="shared" si="294"/>
        <v>0</v>
      </c>
      <c r="AW494" s="1342">
        <f t="shared" si="295"/>
        <v>0</v>
      </c>
      <c r="AX494" s="1342">
        <f t="shared" si="296"/>
        <v>0</v>
      </c>
      <c r="AY494" s="39">
        <f t="shared" si="271"/>
        <v>0</v>
      </c>
      <c r="AZ494" s="32">
        <f t="shared" si="272"/>
        <v>0</v>
      </c>
      <c r="BA494" s="32">
        <f t="shared" si="273"/>
        <v>0</v>
      </c>
      <c r="BB494" s="32">
        <f t="shared" si="274"/>
        <v>0</v>
      </c>
      <c r="BC494" s="32">
        <f t="shared" si="275"/>
        <v>0</v>
      </c>
      <c r="BD494" s="32">
        <f t="shared" si="276"/>
        <v>0</v>
      </c>
      <c r="BE494" s="32">
        <f t="shared" si="277"/>
        <v>0</v>
      </c>
      <c r="BF494" s="32">
        <f t="shared" si="278"/>
        <v>0</v>
      </c>
      <c r="BG494" s="32">
        <f t="shared" si="279"/>
        <v>0</v>
      </c>
      <c r="BH494" s="32">
        <f t="shared" si="280"/>
        <v>0</v>
      </c>
      <c r="BI494" s="32">
        <f t="shared" si="281"/>
        <v>0</v>
      </c>
      <c r="BJ494" s="32">
        <f t="shared" si="282"/>
        <v>0</v>
      </c>
      <c r="BK494" s="32">
        <f t="shared" si="283"/>
        <v>0</v>
      </c>
      <c r="BL494" s="32">
        <f t="shared" si="284"/>
        <v>0</v>
      </c>
      <c r="BM494" s="32">
        <f t="shared" si="285"/>
        <v>0</v>
      </c>
      <c r="BN494" s="32">
        <f t="shared" si="286"/>
        <v>0</v>
      </c>
      <c r="BO494" s="32">
        <f t="shared" si="287"/>
        <v>0</v>
      </c>
      <c r="BP494" s="32">
        <f t="shared" si="288"/>
        <v>0</v>
      </c>
      <c r="BQ494" s="32">
        <f t="shared" si="289"/>
        <v>0</v>
      </c>
      <c r="BR494" s="32">
        <f t="shared" si="290"/>
        <v>0</v>
      </c>
      <c r="BS494" s="32">
        <f t="shared" si="291"/>
        <v>0</v>
      </c>
      <c r="BT494" s="40">
        <f t="shared" si="292"/>
        <v>0</v>
      </c>
    </row>
    <row r="495" spans="1:72">
      <c r="A495" s="6"/>
      <c r="B495" s="31"/>
      <c r="C495" s="31"/>
      <c r="D495" s="1629"/>
      <c r="E495" s="32">
        <f t="shared" si="293"/>
        <v>0</v>
      </c>
      <c r="F495" s="33"/>
      <c r="G495" s="34">
        <f t="shared" si="268"/>
        <v>0</v>
      </c>
      <c r="H495" s="35">
        <f t="shared" si="269"/>
        <v>0</v>
      </c>
      <c r="I495" s="36"/>
      <c r="J495" s="36"/>
      <c r="K495" s="36"/>
      <c r="L495" s="36"/>
      <c r="M495" s="36"/>
      <c r="N495" s="36"/>
      <c r="O495" s="36"/>
      <c r="P495" s="36"/>
      <c r="Q495" s="36"/>
      <c r="R495" s="36"/>
      <c r="S495" s="36"/>
      <c r="T495" s="36"/>
      <c r="U495" s="36"/>
      <c r="V495" s="36"/>
      <c r="W495" s="36"/>
      <c r="X495" s="36"/>
      <c r="Y495" s="36"/>
      <c r="Z495" s="36"/>
      <c r="AA495" s="36"/>
      <c r="AB495" s="36"/>
      <c r="AC495" s="32">
        <f t="shared" si="270"/>
        <v>0</v>
      </c>
      <c r="AD495" s="37"/>
      <c r="AE495" s="37"/>
      <c r="AF495" s="37"/>
      <c r="AG495" s="37"/>
      <c r="AH495" s="37"/>
      <c r="AI495" s="37"/>
      <c r="AJ495" s="37"/>
      <c r="AK495" s="37"/>
      <c r="AL495" s="37"/>
      <c r="AM495" s="37"/>
      <c r="AN495" s="37"/>
      <c r="AO495" s="37"/>
      <c r="AP495" s="37"/>
      <c r="AQ495" s="37"/>
      <c r="AR495" s="37"/>
      <c r="AS495" s="37"/>
      <c r="AT495" s="38"/>
      <c r="AU495" s="1630"/>
      <c r="AV495" s="1342">
        <f t="shared" si="294"/>
        <v>0</v>
      </c>
      <c r="AW495" s="1342">
        <f t="shared" si="295"/>
        <v>0</v>
      </c>
      <c r="AX495" s="1342">
        <f t="shared" si="296"/>
        <v>0</v>
      </c>
      <c r="AY495" s="39">
        <f t="shared" si="271"/>
        <v>0</v>
      </c>
      <c r="AZ495" s="32">
        <f t="shared" si="272"/>
        <v>0</v>
      </c>
      <c r="BA495" s="32">
        <f t="shared" si="273"/>
        <v>0</v>
      </c>
      <c r="BB495" s="32">
        <f t="shared" si="274"/>
        <v>0</v>
      </c>
      <c r="BC495" s="32">
        <f t="shared" si="275"/>
        <v>0</v>
      </c>
      <c r="BD495" s="32">
        <f t="shared" si="276"/>
        <v>0</v>
      </c>
      <c r="BE495" s="32">
        <f t="shared" si="277"/>
        <v>0</v>
      </c>
      <c r="BF495" s="32">
        <f t="shared" si="278"/>
        <v>0</v>
      </c>
      <c r="BG495" s="32">
        <f t="shared" si="279"/>
        <v>0</v>
      </c>
      <c r="BH495" s="32">
        <f t="shared" si="280"/>
        <v>0</v>
      </c>
      <c r="BI495" s="32">
        <f t="shared" si="281"/>
        <v>0</v>
      </c>
      <c r="BJ495" s="32">
        <f t="shared" si="282"/>
        <v>0</v>
      </c>
      <c r="BK495" s="32">
        <f t="shared" si="283"/>
        <v>0</v>
      </c>
      <c r="BL495" s="32">
        <f t="shared" si="284"/>
        <v>0</v>
      </c>
      <c r="BM495" s="32">
        <f t="shared" si="285"/>
        <v>0</v>
      </c>
      <c r="BN495" s="32">
        <f t="shared" si="286"/>
        <v>0</v>
      </c>
      <c r="BO495" s="32">
        <f t="shared" si="287"/>
        <v>0</v>
      </c>
      <c r="BP495" s="32">
        <f t="shared" si="288"/>
        <v>0</v>
      </c>
      <c r="BQ495" s="32">
        <f t="shared" si="289"/>
        <v>0</v>
      </c>
      <c r="BR495" s="32">
        <f t="shared" si="290"/>
        <v>0</v>
      </c>
      <c r="BS495" s="32">
        <f t="shared" si="291"/>
        <v>0</v>
      </c>
      <c r="BT495" s="40">
        <f t="shared" si="292"/>
        <v>0</v>
      </c>
    </row>
    <row r="496" spans="1:72">
      <c r="A496" s="6"/>
      <c r="B496" s="31"/>
      <c r="C496" s="31"/>
      <c r="D496" s="1629"/>
      <c r="E496" s="32">
        <f t="shared" si="293"/>
        <v>0</v>
      </c>
      <c r="F496" s="33"/>
      <c r="G496" s="34">
        <f t="shared" si="268"/>
        <v>0</v>
      </c>
      <c r="H496" s="35">
        <f t="shared" si="269"/>
        <v>0</v>
      </c>
      <c r="I496" s="36"/>
      <c r="J496" s="36"/>
      <c r="K496" s="36"/>
      <c r="L496" s="36"/>
      <c r="M496" s="36"/>
      <c r="N496" s="36"/>
      <c r="O496" s="36"/>
      <c r="P496" s="36"/>
      <c r="Q496" s="36"/>
      <c r="R496" s="36"/>
      <c r="S496" s="36"/>
      <c r="T496" s="36"/>
      <c r="U496" s="36"/>
      <c r="V496" s="36"/>
      <c r="W496" s="36"/>
      <c r="X496" s="36"/>
      <c r="Y496" s="36"/>
      <c r="Z496" s="36"/>
      <c r="AA496" s="36"/>
      <c r="AB496" s="36"/>
      <c r="AC496" s="32">
        <f t="shared" si="270"/>
        <v>0</v>
      </c>
      <c r="AD496" s="37"/>
      <c r="AE496" s="37"/>
      <c r="AF496" s="37"/>
      <c r="AG496" s="37"/>
      <c r="AH496" s="37"/>
      <c r="AI496" s="37"/>
      <c r="AJ496" s="37"/>
      <c r="AK496" s="37"/>
      <c r="AL496" s="37"/>
      <c r="AM496" s="37"/>
      <c r="AN496" s="37"/>
      <c r="AO496" s="37"/>
      <c r="AP496" s="37"/>
      <c r="AQ496" s="37"/>
      <c r="AR496" s="37"/>
      <c r="AS496" s="37"/>
      <c r="AT496" s="38"/>
      <c r="AU496" s="1630"/>
      <c r="AV496" s="1342">
        <f t="shared" si="294"/>
        <v>0</v>
      </c>
      <c r="AW496" s="1342">
        <f t="shared" si="295"/>
        <v>0</v>
      </c>
      <c r="AX496" s="1342">
        <f t="shared" si="296"/>
        <v>0</v>
      </c>
      <c r="AY496" s="39">
        <f t="shared" si="271"/>
        <v>0</v>
      </c>
      <c r="AZ496" s="32">
        <f t="shared" si="272"/>
        <v>0</v>
      </c>
      <c r="BA496" s="32">
        <f t="shared" si="273"/>
        <v>0</v>
      </c>
      <c r="BB496" s="32">
        <f t="shared" si="274"/>
        <v>0</v>
      </c>
      <c r="BC496" s="32">
        <f t="shared" si="275"/>
        <v>0</v>
      </c>
      <c r="BD496" s="32">
        <f t="shared" si="276"/>
        <v>0</v>
      </c>
      <c r="BE496" s="32">
        <f t="shared" si="277"/>
        <v>0</v>
      </c>
      <c r="BF496" s="32">
        <f t="shared" si="278"/>
        <v>0</v>
      </c>
      <c r="BG496" s="32">
        <f t="shared" si="279"/>
        <v>0</v>
      </c>
      <c r="BH496" s="32">
        <f t="shared" si="280"/>
        <v>0</v>
      </c>
      <c r="BI496" s="32">
        <f t="shared" si="281"/>
        <v>0</v>
      </c>
      <c r="BJ496" s="32">
        <f t="shared" si="282"/>
        <v>0</v>
      </c>
      <c r="BK496" s="32">
        <f t="shared" si="283"/>
        <v>0</v>
      </c>
      <c r="BL496" s="32">
        <f t="shared" si="284"/>
        <v>0</v>
      </c>
      <c r="BM496" s="32">
        <f t="shared" si="285"/>
        <v>0</v>
      </c>
      <c r="BN496" s="32">
        <f t="shared" si="286"/>
        <v>0</v>
      </c>
      <c r="BO496" s="32">
        <f t="shared" si="287"/>
        <v>0</v>
      </c>
      <c r="BP496" s="32">
        <f t="shared" si="288"/>
        <v>0</v>
      </c>
      <c r="BQ496" s="32">
        <f t="shared" si="289"/>
        <v>0</v>
      </c>
      <c r="BR496" s="32">
        <f t="shared" si="290"/>
        <v>0</v>
      </c>
      <c r="BS496" s="32">
        <f t="shared" si="291"/>
        <v>0</v>
      </c>
      <c r="BT496" s="40">
        <f t="shared" si="292"/>
        <v>0</v>
      </c>
    </row>
    <row r="497" spans="1:72">
      <c r="A497" s="6"/>
      <c r="B497" s="31"/>
      <c r="C497" s="31"/>
      <c r="D497" s="1629"/>
      <c r="E497" s="32">
        <f t="shared" si="293"/>
        <v>0</v>
      </c>
      <c r="F497" s="33"/>
      <c r="G497" s="34">
        <f t="shared" si="268"/>
        <v>0</v>
      </c>
      <c r="H497" s="35">
        <f t="shared" si="269"/>
        <v>0</v>
      </c>
      <c r="I497" s="36"/>
      <c r="J497" s="36"/>
      <c r="K497" s="36"/>
      <c r="L497" s="36"/>
      <c r="M497" s="36"/>
      <c r="N497" s="36"/>
      <c r="O497" s="36"/>
      <c r="P497" s="36"/>
      <c r="Q497" s="36"/>
      <c r="R497" s="36"/>
      <c r="S497" s="36"/>
      <c r="T497" s="36"/>
      <c r="U497" s="36"/>
      <c r="V497" s="36"/>
      <c r="W497" s="36"/>
      <c r="X497" s="36"/>
      <c r="Y497" s="36"/>
      <c r="Z497" s="36"/>
      <c r="AA497" s="36"/>
      <c r="AB497" s="36"/>
      <c r="AC497" s="32">
        <f t="shared" si="270"/>
        <v>0</v>
      </c>
      <c r="AD497" s="37"/>
      <c r="AE497" s="37"/>
      <c r="AF497" s="37"/>
      <c r="AG497" s="37"/>
      <c r="AH497" s="37"/>
      <c r="AI497" s="37"/>
      <c r="AJ497" s="37"/>
      <c r="AK497" s="37"/>
      <c r="AL497" s="37"/>
      <c r="AM497" s="37"/>
      <c r="AN497" s="37"/>
      <c r="AO497" s="37"/>
      <c r="AP497" s="37"/>
      <c r="AQ497" s="37"/>
      <c r="AR497" s="37"/>
      <c r="AS497" s="37"/>
      <c r="AT497" s="38"/>
      <c r="AU497" s="1630"/>
      <c r="AV497" s="1342">
        <f t="shared" si="294"/>
        <v>0</v>
      </c>
      <c r="AW497" s="1342">
        <f t="shared" si="295"/>
        <v>0</v>
      </c>
      <c r="AX497" s="1342">
        <f t="shared" si="296"/>
        <v>0</v>
      </c>
      <c r="AY497" s="39">
        <f t="shared" si="271"/>
        <v>0</v>
      </c>
      <c r="AZ497" s="32">
        <f t="shared" si="272"/>
        <v>0</v>
      </c>
      <c r="BA497" s="32">
        <f t="shared" si="273"/>
        <v>0</v>
      </c>
      <c r="BB497" s="32">
        <f t="shared" si="274"/>
        <v>0</v>
      </c>
      <c r="BC497" s="32">
        <f t="shared" si="275"/>
        <v>0</v>
      </c>
      <c r="BD497" s="32">
        <f t="shared" si="276"/>
        <v>0</v>
      </c>
      <c r="BE497" s="32">
        <f t="shared" si="277"/>
        <v>0</v>
      </c>
      <c r="BF497" s="32">
        <f t="shared" si="278"/>
        <v>0</v>
      </c>
      <c r="BG497" s="32">
        <f t="shared" si="279"/>
        <v>0</v>
      </c>
      <c r="BH497" s="32">
        <f t="shared" si="280"/>
        <v>0</v>
      </c>
      <c r="BI497" s="32">
        <f t="shared" si="281"/>
        <v>0</v>
      </c>
      <c r="BJ497" s="32">
        <f t="shared" si="282"/>
        <v>0</v>
      </c>
      <c r="BK497" s="32">
        <f t="shared" si="283"/>
        <v>0</v>
      </c>
      <c r="BL497" s="32">
        <f t="shared" si="284"/>
        <v>0</v>
      </c>
      <c r="BM497" s="32">
        <f t="shared" si="285"/>
        <v>0</v>
      </c>
      <c r="BN497" s="32">
        <f t="shared" si="286"/>
        <v>0</v>
      </c>
      <c r="BO497" s="32">
        <f t="shared" si="287"/>
        <v>0</v>
      </c>
      <c r="BP497" s="32">
        <f t="shared" si="288"/>
        <v>0</v>
      </c>
      <c r="BQ497" s="32">
        <f t="shared" si="289"/>
        <v>0</v>
      </c>
      <c r="BR497" s="32">
        <f t="shared" si="290"/>
        <v>0</v>
      </c>
      <c r="BS497" s="32">
        <f t="shared" si="291"/>
        <v>0</v>
      </c>
      <c r="BT497" s="40">
        <f t="shared" si="292"/>
        <v>0</v>
      </c>
    </row>
    <row r="498" spans="1:72">
      <c r="A498" s="6"/>
      <c r="B498" s="31"/>
      <c r="C498" s="31"/>
      <c r="D498" s="1629"/>
      <c r="E498" s="32">
        <f t="shared" si="293"/>
        <v>0</v>
      </c>
      <c r="F498" s="33"/>
      <c r="G498" s="34">
        <f t="shared" si="268"/>
        <v>0</v>
      </c>
      <c r="H498" s="35">
        <f t="shared" si="269"/>
        <v>0</v>
      </c>
      <c r="I498" s="36"/>
      <c r="J498" s="36"/>
      <c r="K498" s="36"/>
      <c r="L498" s="36"/>
      <c r="M498" s="36"/>
      <c r="N498" s="36"/>
      <c r="O498" s="36"/>
      <c r="P498" s="36"/>
      <c r="Q498" s="36"/>
      <c r="R498" s="36"/>
      <c r="S498" s="36"/>
      <c r="T498" s="36"/>
      <c r="U498" s="36"/>
      <c r="V498" s="36"/>
      <c r="W498" s="36"/>
      <c r="X498" s="36"/>
      <c r="Y498" s="36"/>
      <c r="Z498" s="36"/>
      <c r="AA498" s="36"/>
      <c r="AB498" s="36"/>
      <c r="AC498" s="32">
        <f t="shared" si="270"/>
        <v>0</v>
      </c>
      <c r="AD498" s="37"/>
      <c r="AE498" s="37"/>
      <c r="AF498" s="37"/>
      <c r="AG498" s="37"/>
      <c r="AH498" s="37"/>
      <c r="AI498" s="37"/>
      <c r="AJ498" s="37"/>
      <c r="AK498" s="37"/>
      <c r="AL498" s="37"/>
      <c r="AM498" s="37"/>
      <c r="AN498" s="37"/>
      <c r="AO498" s="37"/>
      <c r="AP498" s="37"/>
      <c r="AQ498" s="37"/>
      <c r="AR498" s="37"/>
      <c r="AS498" s="37"/>
      <c r="AT498" s="38"/>
      <c r="AU498" s="1630"/>
      <c r="AV498" s="1342">
        <f t="shared" si="294"/>
        <v>0</v>
      </c>
      <c r="AW498" s="1342">
        <f t="shared" si="295"/>
        <v>0</v>
      </c>
      <c r="AX498" s="1342">
        <f t="shared" si="296"/>
        <v>0</v>
      </c>
      <c r="AY498" s="39">
        <f t="shared" si="271"/>
        <v>0</v>
      </c>
      <c r="AZ498" s="32">
        <f t="shared" si="272"/>
        <v>0</v>
      </c>
      <c r="BA498" s="32">
        <f t="shared" si="273"/>
        <v>0</v>
      </c>
      <c r="BB498" s="32">
        <f t="shared" si="274"/>
        <v>0</v>
      </c>
      <c r="BC498" s="32">
        <f t="shared" si="275"/>
        <v>0</v>
      </c>
      <c r="BD498" s="32">
        <f t="shared" si="276"/>
        <v>0</v>
      </c>
      <c r="BE498" s="32">
        <f t="shared" si="277"/>
        <v>0</v>
      </c>
      <c r="BF498" s="32">
        <f t="shared" si="278"/>
        <v>0</v>
      </c>
      <c r="BG498" s="32">
        <f t="shared" si="279"/>
        <v>0</v>
      </c>
      <c r="BH498" s="32">
        <f t="shared" si="280"/>
        <v>0</v>
      </c>
      <c r="BI498" s="32">
        <f t="shared" si="281"/>
        <v>0</v>
      </c>
      <c r="BJ498" s="32">
        <f t="shared" si="282"/>
        <v>0</v>
      </c>
      <c r="BK498" s="32">
        <f t="shared" si="283"/>
        <v>0</v>
      </c>
      <c r="BL498" s="32">
        <f t="shared" si="284"/>
        <v>0</v>
      </c>
      <c r="BM498" s="32">
        <f t="shared" si="285"/>
        <v>0</v>
      </c>
      <c r="BN498" s="32">
        <f t="shared" si="286"/>
        <v>0</v>
      </c>
      <c r="BO498" s="32">
        <f t="shared" si="287"/>
        <v>0</v>
      </c>
      <c r="BP498" s="32">
        <f t="shared" si="288"/>
        <v>0</v>
      </c>
      <c r="BQ498" s="32">
        <f t="shared" si="289"/>
        <v>0</v>
      </c>
      <c r="BR498" s="32">
        <f t="shared" si="290"/>
        <v>0</v>
      </c>
      <c r="BS498" s="32">
        <f t="shared" si="291"/>
        <v>0</v>
      </c>
      <c r="BT498" s="40">
        <f t="shared" si="292"/>
        <v>0</v>
      </c>
    </row>
    <row r="499" spans="1:72">
      <c r="A499" s="6"/>
      <c r="B499" s="31"/>
      <c r="C499" s="31"/>
      <c r="D499" s="1629"/>
      <c r="E499" s="32">
        <f t="shared" si="293"/>
        <v>0</v>
      </c>
      <c r="F499" s="33"/>
      <c r="G499" s="34">
        <f t="shared" si="268"/>
        <v>0</v>
      </c>
      <c r="H499" s="35">
        <f t="shared" si="269"/>
        <v>0</v>
      </c>
      <c r="I499" s="36"/>
      <c r="J499" s="36"/>
      <c r="K499" s="36"/>
      <c r="L499" s="36"/>
      <c r="M499" s="36"/>
      <c r="N499" s="36"/>
      <c r="O499" s="36"/>
      <c r="P499" s="36"/>
      <c r="Q499" s="36"/>
      <c r="R499" s="36"/>
      <c r="S499" s="36"/>
      <c r="T499" s="36"/>
      <c r="U499" s="36"/>
      <c r="V499" s="36"/>
      <c r="W499" s="36"/>
      <c r="X499" s="36"/>
      <c r="Y499" s="36"/>
      <c r="Z499" s="36"/>
      <c r="AA499" s="36"/>
      <c r="AB499" s="36"/>
      <c r="AC499" s="32">
        <f t="shared" si="270"/>
        <v>0</v>
      </c>
      <c r="AD499" s="37"/>
      <c r="AE499" s="37"/>
      <c r="AF499" s="37"/>
      <c r="AG499" s="37"/>
      <c r="AH499" s="37"/>
      <c r="AI499" s="37"/>
      <c r="AJ499" s="37"/>
      <c r="AK499" s="37"/>
      <c r="AL499" s="37"/>
      <c r="AM499" s="37"/>
      <c r="AN499" s="37"/>
      <c r="AO499" s="37"/>
      <c r="AP499" s="37"/>
      <c r="AQ499" s="37"/>
      <c r="AR499" s="37"/>
      <c r="AS499" s="37"/>
      <c r="AT499" s="38"/>
      <c r="AU499" s="1630"/>
      <c r="AV499" s="1342">
        <f t="shared" si="294"/>
        <v>0</v>
      </c>
      <c r="AW499" s="1342">
        <f t="shared" si="295"/>
        <v>0</v>
      </c>
      <c r="AX499" s="1342">
        <f t="shared" si="296"/>
        <v>0</v>
      </c>
      <c r="AY499" s="39">
        <f t="shared" si="271"/>
        <v>0</v>
      </c>
      <c r="AZ499" s="32">
        <f t="shared" si="272"/>
        <v>0</v>
      </c>
      <c r="BA499" s="32">
        <f t="shared" si="273"/>
        <v>0</v>
      </c>
      <c r="BB499" s="32">
        <f t="shared" si="274"/>
        <v>0</v>
      </c>
      <c r="BC499" s="32">
        <f t="shared" si="275"/>
        <v>0</v>
      </c>
      <c r="BD499" s="32">
        <f t="shared" si="276"/>
        <v>0</v>
      </c>
      <c r="BE499" s="32">
        <f t="shared" si="277"/>
        <v>0</v>
      </c>
      <c r="BF499" s="32">
        <f t="shared" si="278"/>
        <v>0</v>
      </c>
      <c r="BG499" s="32">
        <f t="shared" si="279"/>
        <v>0</v>
      </c>
      <c r="BH499" s="32">
        <f t="shared" si="280"/>
        <v>0</v>
      </c>
      <c r="BI499" s="32">
        <f t="shared" si="281"/>
        <v>0</v>
      </c>
      <c r="BJ499" s="32">
        <f t="shared" si="282"/>
        <v>0</v>
      </c>
      <c r="BK499" s="32">
        <f t="shared" si="283"/>
        <v>0</v>
      </c>
      <c r="BL499" s="32">
        <f t="shared" si="284"/>
        <v>0</v>
      </c>
      <c r="BM499" s="32">
        <f t="shared" si="285"/>
        <v>0</v>
      </c>
      <c r="BN499" s="32">
        <f t="shared" si="286"/>
        <v>0</v>
      </c>
      <c r="BO499" s="32">
        <f t="shared" si="287"/>
        <v>0</v>
      </c>
      <c r="BP499" s="32">
        <f t="shared" si="288"/>
        <v>0</v>
      </c>
      <c r="BQ499" s="32">
        <f t="shared" si="289"/>
        <v>0</v>
      </c>
      <c r="BR499" s="32">
        <f t="shared" si="290"/>
        <v>0</v>
      </c>
      <c r="BS499" s="32">
        <f t="shared" si="291"/>
        <v>0</v>
      </c>
      <c r="BT499" s="40">
        <f t="shared" si="292"/>
        <v>0</v>
      </c>
    </row>
    <row r="500" spans="1:72">
      <c r="A500" s="6"/>
      <c r="B500" s="31"/>
      <c r="C500" s="31"/>
      <c r="D500" s="1629"/>
      <c r="E500" s="32">
        <f t="shared" si="293"/>
        <v>0</v>
      </c>
      <c r="F500" s="33"/>
      <c r="G500" s="34">
        <f t="shared" si="268"/>
        <v>0</v>
      </c>
      <c r="H500" s="35">
        <f t="shared" si="269"/>
        <v>0</v>
      </c>
      <c r="I500" s="36"/>
      <c r="J500" s="36"/>
      <c r="K500" s="36"/>
      <c r="L500" s="36"/>
      <c r="M500" s="36"/>
      <c r="N500" s="36"/>
      <c r="O500" s="36"/>
      <c r="P500" s="36"/>
      <c r="Q500" s="36"/>
      <c r="R500" s="36"/>
      <c r="S500" s="36"/>
      <c r="T500" s="36"/>
      <c r="U500" s="36"/>
      <c r="V500" s="36"/>
      <c r="W500" s="36"/>
      <c r="X500" s="36"/>
      <c r="Y500" s="36"/>
      <c r="Z500" s="36"/>
      <c r="AA500" s="36"/>
      <c r="AB500" s="36"/>
      <c r="AC500" s="32">
        <f t="shared" si="270"/>
        <v>0</v>
      </c>
      <c r="AD500" s="37"/>
      <c r="AE500" s="37"/>
      <c r="AF500" s="37"/>
      <c r="AG500" s="37"/>
      <c r="AH500" s="37"/>
      <c r="AI500" s="37"/>
      <c r="AJ500" s="37"/>
      <c r="AK500" s="37"/>
      <c r="AL500" s="37"/>
      <c r="AM500" s="37"/>
      <c r="AN500" s="37"/>
      <c r="AO500" s="37"/>
      <c r="AP500" s="37"/>
      <c r="AQ500" s="37"/>
      <c r="AR500" s="37"/>
      <c r="AS500" s="37"/>
      <c r="AT500" s="38"/>
      <c r="AU500" s="1630"/>
      <c r="AV500" s="1342">
        <f t="shared" si="294"/>
        <v>0</v>
      </c>
      <c r="AW500" s="1342">
        <f t="shared" si="295"/>
        <v>0</v>
      </c>
      <c r="AX500" s="1342">
        <f t="shared" si="296"/>
        <v>0</v>
      </c>
      <c r="AY500" s="39">
        <f t="shared" si="271"/>
        <v>0</v>
      </c>
      <c r="AZ500" s="32">
        <f t="shared" si="272"/>
        <v>0</v>
      </c>
      <c r="BA500" s="32">
        <f t="shared" si="273"/>
        <v>0</v>
      </c>
      <c r="BB500" s="32">
        <f t="shared" si="274"/>
        <v>0</v>
      </c>
      <c r="BC500" s="32">
        <f t="shared" si="275"/>
        <v>0</v>
      </c>
      <c r="BD500" s="32">
        <f t="shared" si="276"/>
        <v>0</v>
      </c>
      <c r="BE500" s="32">
        <f t="shared" si="277"/>
        <v>0</v>
      </c>
      <c r="BF500" s="32">
        <f t="shared" si="278"/>
        <v>0</v>
      </c>
      <c r="BG500" s="32">
        <f t="shared" si="279"/>
        <v>0</v>
      </c>
      <c r="BH500" s="32">
        <f t="shared" si="280"/>
        <v>0</v>
      </c>
      <c r="BI500" s="32">
        <f t="shared" si="281"/>
        <v>0</v>
      </c>
      <c r="BJ500" s="32">
        <f t="shared" si="282"/>
        <v>0</v>
      </c>
      <c r="BK500" s="32">
        <f t="shared" si="283"/>
        <v>0</v>
      </c>
      <c r="BL500" s="32">
        <f t="shared" si="284"/>
        <v>0</v>
      </c>
      <c r="BM500" s="32">
        <f t="shared" si="285"/>
        <v>0</v>
      </c>
      <c r="BN500" s="32">
        <f t="shared" si="286"/>
        <v>0</v>
      </c>
      <c r="BO500" s="32">
        <f t="shared" si="287"/>
        <v>0</v>
      </c>
      <c r="BP500" s="32">
        <f t="shared" si="288"/>
        <v>0</v>
      </c>
      <c r="BQ500" s="32">
        <f t="shared" si="289"/>
        <v>0</v>
      </c>
      <c r="BR500" s="32">
        <f t="shared" si="290"/>
        <v>0</v>
      </c>
      <c r="BS500" s="32">
        <f t="shared" si="291"/>
        <v>0</v>
      </c>
      <c r="BT500" s="40">
        <f t="shared" si="292"/>
        <v>0</v>
      </c>
    </row>
    <row r="501" spans="1:72">
      <c r="A501" s="6"/>
      <c r="B501" s="31"/>
      <c r="C501" s="31"/>
      <c r="D501" s="1629"/>
      <c r="E501" s="32">
        <f t="shared" si="293"/>
        <v>0</v>
      </c>
      <c r="F501" s="33"/>
      <c r="G501" s="34">
        <f t="shared" si="268"/>
        <v>0</v>
      </c>
      <c r="H501" s="35">
        <f t="shared" si="269"/>
        <v>0</v>
      </c>
      <c r="I501" s="36"/>
      <c r="J501" s="36"/>
      <c r="K501" s="36"/>
      <c r="L501" s="36"/>
      <c r="M501" s="36"/>
      <c r="N501" s="36"/>
      <c r="O501" s="36"/>
      <c r="P501" s="36"/>
      <c r="Q501" s="36"/>
      <c r="R501" s="36"/>
      <c r="S501" s="36"/>
      <c r="T501" s="36"/>
      <c r="U501" s="36"/>
      <c r="V501" s="36"/>
      <c r="W501" s="36"/>
      <c r="X501" s="36"/>
      <c r="Y501" s="36"/>
      <c r="Z501" s="36"/>
      <c r="AA501" s="36"/>
      <c r="AB501" s="36"/>
      <c r="AC501" s="32">
        <f t="shared" si="270"/>
        <v>0</v>
      </c>
      <c r="AD501" s="37"/>
      <c r="AE501" s="37"/>
      <c r="AF501" s="37"/>
      <c r="AG501" s="37"/>
      <c r="AH501" s="37"/>
      <c r="AI501" s="37"/>
      <c r="AJ501" s="37"/>
      <c r="AK501" s="37"/>
      <c r="AL501" s="37"/>
      <c r="AM501" s="37"/>
      <c r="AN501" s="37"/>
      <c r="AO501" s="37"/>
      <c r="AP501" s="37"/>
      <c r="AQ501" s="37"/>
      <c r="AR501" s="37"/>
      <c r="AS501" s="37"/>
      <c r="AT501" s="38"/>
      <c r="AU501" s="1630"/>
      <c r="AV501" s="1342">
        <f t="shared" si="294"/>
        <v>0</v>
      </c>
      <c r="AW501" s="1342">
        <f t="shared" si="295"/>
        <v>0</v>
      </c>
      <c r="AX501" s="1342">
        <f t="shared" si="296"/>
        <v>0</v>
      </c>
      <c r="AY501" s="39">
        <f t="shared" si="271"/>
        <v>0</v>
      </c>
      <c r="AZ501" s="32">
        <f t="shared" si="272"/>
        <v>0</v>
      </c>
      <c r="BA501" s="32">
        <f t="shared" si="273"/>
        <v>0</v>
      </c>
      <c r="BB501" s="32">
        <f t="shared" si="274"/>
        <v>0</v>
      </c>
      <c r="BC501" s="32">
        <f t="shared" si="275"/>
        <v>0</v>
      </c>
      <c r="BD501" s="32">
        <f t="shared" si="276"/>
        <v>0</v>
      </c>
      <c r="BE501" s="32">
        <f t="shared" si="277"/>
        <v>0</v>
      </c>
      <c r="BF501" s="32">
        <f t="shared" si="278"/>
        <v>0</v>
      </c>
      <c r="BG501" s="32">
        <f t="shared" si="279"/>
        <v>0</v>
      </c>
      <c r="BH501" s="32">
        <f t="shared" si="280"/>
        <v>0</v>
      </c>
      <c r="BI501" s="32">
        <f t="shared" si="281"/>
        <v>0</v>
      </c>
      <c r="BJ501" s="32">
        <f t="shared" si="282"/>
        <v>0</v>
      </c>
      <c r="BK501" s="32">
        <f t="shared" si="283"/>
        <v>0</v>
      </c>
      <c r="BL501" s="32">
        <f t="shared" si="284"/>
        <v>0</v>
      </c>
      <c r="BM501" s="32">
        <f t="shared" si="285"/>
        <v>0</v>
      </c>
      <c r="BN501" s="32">
        <f t="shared" si="286"/>
        <v>0</v>
      </c>
      <c r="BO501" s="32">
        <f t="shared" si="287"/>
        <v>0</v>
      </c>
      <c r="BP501" s="32">
        <f t="shared" si="288"/>
        <v>0</v>
      </c>
      <c r="BQ501" s="32">
        <f t="shared" si="289"/>
        <v>0</v>
      </c>
      <c r="BR501" s="32">
        <f t="shared" si="290"/>
        <v>0</v>
      </c>
      <c r="BS501" s="32">
        <f t="shared" si="291"/>
        <v>0</v>
      </c>
      <c r="BT501" s="40">
        <f t="shared" si="292"/>
        <v>0</v>
      </c>
    </row>
    <row r="502" spans="1:72">
      <c r="A502" s="6"/>
      <c r="B502" s="31"/>
      <c r="C502" s="31"/>
      <c r="D502" s="1629"/>
      <c r="E502" s="32">
        <f t="shared" si="293"/>
        <v>0</v>
      </c>
      <c r="F502" s="33"/>
      <c r="G502" s="34">
        <f t="shared" si="268"/>
        <v>0</v>
      </c>
      <c r="H502" s="35">
        <f t="shared" si="269"/>
        <v>0</v>
      </c>
      <c r="I502" s="36"/>
      <c r="J502" s="36"/>
      <c r="K502" s="36"/>
      <c r="L502" s="36"/>
      <c r="M502" s="36"/>
      <c r="N502" s="36"/>
      <c r="O502" s="36"/>
      <c r="P502" s="36"/>
      <c r="Q502" s="36"/>
      <c r="R502" s="36"/>
      <c r="S502" s="36"/>
      <c r="T502" s="36"/>
      <c r="U502" s="36"/>
      <c r="V502" s="36"/>
      <c r="W502" s="36"/>
      <c r="X502" s="36"/>
      <c r="Y502" s="36"/>
      <c r="Z502" s="36"/>
      <c r="AA502" s="36"/>
      <c r="AB502" s="36"/>
      <c r="AC502" s="32">
        <f t="shared" si="270"/>
        <v>0</v>
      </c>
      <c r="AD502" s="37"/>
      <c r="AE502" s="37"/>
      <c r="AF502" s="37"/>
      <c r="AG502" s="37"/>
      <c r="AH502" s="37"/>
      <c r="AI502" s="37"/>
      <c r="AJ502" s="37"/>
      <c r="AK502" s="37"/>
      <c r="AL502" s="37"/>
      <c r="AM502" s="37"/>
      <c r="AN502" s="37"/>
      <c r="AO502" s="37"/>
      <c r="AP502" s="37"/>
      <c r="AQ502" s="37"/>
      <c r="AR502" s="37"/>
      <c r="AS502" s="37"/>
      <c r="AT502" s="38"/>
      <c r="AU502" s="1630"/>
      <c r="AV502" s="1342">
        <f t="shared" si="294"/>
        <v>0</v>
      </c>
      <c r="AW502" s="1342">
        <f t="shared" si="295"/>
        <v>0</v>
      </c>
      <c r="AX502" s="1342">
        <f t="shared" si="296"/>
        <v>0</v>
      </c>
      <c r="AY502" s="39">
        <f t="shared" si="271"/>
        <v>0</v>
      </c>
      <c r="AZ502" s="32">
        <f t="shared" si="272"/>
        <v>0</v>
      </c>
      <c r="BA502" s="32">
        <f t="shared" si="273"/>
        <v>0</v>
      </c>
      <c r="BB502" s="32">
        <f t="shared" si="274"/>
        <v>0</v>
      </c>
      <c r="BC502" s="32">
        <f t="shared" si="275"/>
        <v>0</v>
      </c>
      <c r="BD502" s="32">
        <f t="shared" si="276"/>
        <v>0</v>
      </c>
      <c r="BE502" s="32">
        <f t="shared" si="277"/>
        <v>0</v>
      </c>
      <c r="BF502" s="32">
        <f t="shared" si="278"/>
        <v>0</v>
      </c>
      <c r="BG502" s="32">
        <f t="shared" si="279"/>
        <v>0</v>
      </c>
      <c r="BH502" s="32">
        <f t="shared" si="280"/>
        <v>0</v>
      </c>
      <c r="BI502" s="32">
        <f t="shared" si="281"/>
        <v>0</v>
      </c>
      <c r="BJ502" s="32">
        <f t="shared" si="282"/>
        <v>0</v>
      </c>
      <c r="BK502" s="32">
        <f t="shared" si="283"/>
        <v>0</v>
      </c>
      <c r="BL502" s="32">
        <f t="shared" si="284"/>
        <v>0</v>
      </c>
      <c r="BM502" s="32">
        <f t="shared" si="285"/>
        <v>0</v>
      </c>
      <c r="BN502" s="32">
        <f t="shared" si="286"/>
        <v>0</v>
      </c>
      <c r="BO502" s="32">
        <f t="shared" si="287"/>
        <v>0</v>
      </c>
      <c r="BP502" s="32">
        <f t="shared" si="288"/>
        <v>0</v>
      </c>
      <c r="BQ502" s="32">
        <f t="shared" si="289"/>
        <v>0</v>
      </c>
      <c r="BR502" s="32">
        <f t="shared" si="290"/>
        <v>0</v>
      </c>
      <c r="BS502" s="32">
        <f t="shared" si="291"/>
        <v>0</v>
      </c>
      <c r="BT502" s="40">
        <f t="shared" si="292"/>
        <v>0</v>
      </c>
    </row>
    <row r="503" spans="1:72">
      <c r="A503" s="6"/>
      <c r="B503" s="31"/>
      <c r="C503" s="31"/>
      <c r="D503" s="1629"/>
      <c r="E503" s="32">
        <f t="shared" si="293"/>
        <v>0</v>
      </c>
      <c r="F503" s="33"/>
      <c r="G503" s="34">
        <f t="shared" si="268"/>
        <v>0</v>
      </c>
      <c r="H503" s="35">
        <f t="shared" si="269"/>
        <v>0</v>
      </c>
      <c r="I503" s="36"/>
      <c r="J503" s="36"/>
      <c r="K503" s="36"/>
      <c r="L503" s="36"/>
      <c r="M503" s="36"/>
      <c r="N503" s="36"/>
      <c r="O503" s="36"/>
      <c r="P503" s="36"/>
      <c r="Q503" s="36"/>
      <c r="R503" s="36"/>
      <c r="S503" s="36"/>
      <c r="T503" s="36"/>
      <c r="U503" s="36"/>
      <c r="V503" s="36"/>
      <c r="W503" s="36"/>
      <c r="X503" s="36"/>
      <c r="Y503" s="36"/>
      <c r="Z503" s="36"/>
      <c r="AA503" s="36"/>
      <c r="AB503" s="36"/>
      <c r="AC503" s="32">
        <f t="shared" si="270"/>
        <v>0</v>
      </c>
      <c r="AD503" s="37"/>
      <c r="AE503" s="37"/>
      <c r="AF503" s="37"/>
      <c r="AG503" s="37"/>
      <c r="AH503" s="37"/>
      <c r="AI503" s="37"/>
      <c r="AJ503" s="37"/>
      <c r="AK503" s="37"/>
      <c r="AL503" s="37"/>
      <c r="AM503" s="37"/>
      <c r="AN503" s="37"/>
      <c r="AO503" s="37"/>
      <c r="AP503" s="37"/>
      <c r="AQ503" s="37"/>
      <c r="AR503" s="37"/>
      <c r="AS503" s="37"/>
      <c r="AT503" s="38"/>
      <c r="AU503" s="1630"/>
      <c r="AV503" s="1342">
        <f t="shared" si="294"/>
        <v>0</v>
      </c>
      <c r="AW503" s="1342">
        <f t="shared" si="295"/>
        <v>0</v>
      </c>
      <c r="AX503" s="1342">
        <f t="shared" si="296"/>
        <v>0</v>
      </c>
      <c r="AY503" s="39">
        <f t="shared" si="271"/>
        <v>0</v>
      </c>
      <c r="AZ503" s="32">
        <f t="shared" si="272"/>
        <v>0</v>
      </c>
      <c r="BA503" s="32">
        <f t="shared" si="273"/>
        <v>0</v>
      </c>
      <c r="BB503" s="32">
        <f t="shared" si="274"/>
        <v>0</v>
      </c>
      <c r="BC503" s="32">
        <f t="shared" si="275"/>
        <v>0</v>
      </c>
      <c r="BD503" s="32">
        <f t="shared" si="276"/>
        <v>0</v>
      </c>
      <c r="BE503" s="32">
        <f t="shared" si="277"/>
        <v>0</v>
      </c>
      <c r="BF503" s="32">
        <f t="shared" si="278"/>
        <v>0</v>
      </c>
      <c r="BG503" s="32">
        <f t="shared" si="279"/>
        <v>0</v>
      </c>
      <c r="BH503" s="32">
        <f t="shared" si="280"/>
        <v>0</v>
      </c>
      <c r="BI503" s="32">
        <f t="shared" si="281"/>
        <v>0</v>
      </c>
      <c r="BJ503" s="32">
        <f t="shared" si="282"/>
        <v>0</v>
      </c>
      <c r="BK503" s="32">
        <f t="shared" si="283"/>
        <v>0</v>
      </c>
      <c r="BL503" s="32">
        <f t="shared" si="284"/>
        <v>0</v>
      </c>
      <c r="BM503" s="32">
        <f t="shared" si="285"/>
        <v>0</v>
      </c>
      <c r="BN503" s="32">
        <f t="shared" si="286"/>
        <v>0</v>
      </c>
      <c r="BO503" s="32">
        <f t="shared" si="287"/>
        <v>0</v>
      </c>
      <c r="BP503" s="32">
        <f t="shared" si="288"/>
        <v>0</v>
      </c>
      <c r="BQ503" s="32">
        <f t="shared" si="289"/>
        <v>0</v>
      </c>
      <c r="BR503" s="32">
        <f t="shared" si="290"/>
        <v>0</v>
      </c>
      <c r="BS503" s="32">
        <f t="shared" si="291"/>
        <v>0</v>
      </c>
      <c r="BT503" s="40">
        <f t="shared" si="292"/>
        <v>0</v>
      </c>
    </row>
    <row r="504" spans="1:72">
      <c r="A504" s="6"/>
      <c r="B504" s="31"/>
      <c r="C504" s="31"/>
      <c r="D504" s="1629"/>
      <c r="E504" s="32">
        <f t="shared" si="293"/>
        <v>0</v>
      </c>
      <c r="F504" s="33"/>
      <c r="G504" s="34">
        <f t="shared" si="268"/>
        <v>0</v>
      </c>
      <c r="H504" s="35">
        <f t="shared" si="269"/>
        <v>0</v>
      </c>
      <c r="I504" s="36"/>
      <c r="J504" s="36"/>
      <c r="K504" s="36"/>
      <c r="L504" s="36"/>
      <c r="M504" s="36"/>
      <c r="N504" s="36"/>
      <c r="O504" s="36"/>
      <c r="P504" s="36"/>
      <c r="Q504" s="36"/>
      <c r="R504" s="36"/>
      <c r="S504" s="36"/>
      <c r="T504" s="36"/>
      <c r="U504" s="36"/>
      <c r="V504" s="36"/>
      <c r="W504" s="36"/>
      <c r="X504" s="36"/>
      <c r="Y504" s="36"/>
      <c r="Z504" s="36"/>
      <c r="AA504" s="36"/>
      <c r="AB504" s="36"/>
      <c r="AC504" s="32">
        <f t="shared" si="270"/>
        <v>0</v>
      </c>
      <c r="AD504" s="37"/>
      <c r="AE504" s="37"/>
      <c r="AF504" s="37"/>
      <c r="AG504" s="37"/>
      <c r="AH504" s="37"/>
      <c r="AI504" s="37"/>
      <c r="AJ504" s="37"/>
      <c r="AK504" s="37"/>
      <c r="AL504" s="37"/>
      <c r="AM504" s="37"/>
      <c r="AN504" s="37"/>
      <c r="AO504" s="37"/>
      <c r="AP504" s="37"/>
      <c r="AQ504" s="37"/>
      <c r="AR504" s="37"/>
      <c r="AS504" s="37"/>
      <c r="AT504" s="38"/>
      <c r="AU504" s="1630"/>
      <c r="AV504" s="1342">
        <f t="shared" si="294"/>
        <v>0</v>
      </c>
      <c r="AW504" s="1342">
        <f t="shared" si="295"/>
        <v>0</v>
      </c>
      <c r="AX504" s="1342">
        <f t="shared" si="296"/>
        <v>0</v>
      </c>
      <c r="AY504" s="39">
        <f t="shared" si="271"/>
        <v>0</v>
      </c>
      <c r="AZ504" s="32">
        <f t="shared" si="272"/>
        <v>0</v>
      </c>
      <c r="BA504" s="32">
        <f t="shared" si="273"/>
        <v>0</v>
      </c>
      <c r="BB504" s="32">
        <f t="shared" si="274"/>
        <v>0</v>
      </c>
      <c r="BC504" s="32">
        <f t="shared" si="275"/>
        <v>0</v>
      </c>
      <c r="BD504" s="32">
        <f t="shared" si="276"/>
        <v>0</v>
      </c>
      <c r="BE504" s="32">
        <f t="shared" si="277"/>
        <v>0</v>
      </c>
      <c r="BF504" s="32">
        <f t="shared" si="278"/>
        <v>0</v>
      </c>
      <c r="BG504" s="32">
        <f t="shared" si="279"/>
        <v>0</v>
      </c>
      <c r="BH504" s="32">
        <f t="shared" si="280"/>
        <v>0</v>
      </c>
      <c r="BI504" s="32">
        <f t="shared" si="281"/>
        <v>0</v>
      </c>
      <c r="BJ504" s="32">
        <f t="shared" si="282"/>
        <v>0</v>
      </c>
      <c r="BK504" s="32">
        <f t="shared" si="283"/>
        <v>0</v>
      </c>
      <c r="BL504" s="32">
        <f t="shared" si="284"/>
        <v>0</v>
      </c>
      <c r="BM504" s="32">
        <f t="shared" si="285"/>
        <v>0</v>
      </c>
      <c r="BN504" s="32">
        <f t="shared" si="286"/>
        <v>0</v>
      </c>
      <c r="BO504" s="32">
        <f t="shared" si="287"/>
        <v>0</v>
      </c>
      <c r="BP504" s="32">
        <f t="shared" si="288"/>
        <v>0</v>
      </c>
      <c r="BQ504" s="32">
        <f t="shared" si="289"/>
        <v>0</v>
      </c>
      <c r="BR504" s="32">
        <f t="shared" si="290"/>
        <v>0</v>
      </c>
      <c r="BS504" s="32">
        <f t="shared" si="291"/>
        <v>0</v>
      </c>
      <c r="BT504" s="40">
        <f t="shared" si="292"/>
        <v>0</v>
      </c>
    </row>
    <row r="505" spans="1:72">
      <c r="A505" s="6"/>
      <c r="B505" s="31"/>
      <c r="C505" s="31"/>
      <c r="D505" s="1629"/>
      <c r="E505" s="32">
        <f t="shared" si="293"/>
        <v>0</v>
      </c>
      <c r="F505" s="33"/>
      <c r="G505" s="34">
        <f t="shared" si="268"/>
        <v>0</v>
      </c>
      <c r="H505" s="35">
        <f t="shared" si="269"/>
        <v>0</v>
      </c>
      <c r="I505" s="36"/>
      <c r="J505" s="36"/>
      <c r="K505" s="36"/>
      <c r="L505" s="36"/>
      <c r="M505" s="36"/>
      <c r="N505" s="36"/>
      <c r="O505" s="36"/>
      <c r="P505" s="36"/>
      <c r="Q505" s="36"/>
      <c r="R505" s="36"/>
      <c r="S505" s="36"/>
      <c r="T505" s="36"/>
      <c r="U505" s="36"/>
      <c r="V505" s="36"/>
      <c r="W505" s="36"/>
      <c r="X505" s="36"/>
      <c r="Y505" s="36"/>
      <c r="Z505" s="36"/>
      <c r="AA505" s="36"/>
      <c r="AB505" s="36"/>
      <c r="AC505" s="32">
        <f t="shared" si="270"/>
        <v>0</v>
      </c>
      <c r="AD505" s="37"/>
      <c r="AE505" s="37"/>
      <c r="AF505" s="37"/>
      <c r="AG505" s="37"/>
      <c r="AH505" s="37"/>
      <c r="AI505" s="37"/>
      <c r="AJ505" s="37"/>
      <c r="AK505" s="37"/>
      <c r="AL505" s="37"/>
      <c r="AM505" s="37"/>
      <c r="AN505" s="37"/>
      <c r="AO505" s="37"/>
      <c r="AP505" s="37"/>
      <c r="AQ505" s="37"/>
      <c r="AR505" s="37"/>
      <c r="AS505" s="37"/>
      <c r="AT505" s="38"/>
      <c r="AU505" s="1630"/>
      <c r="AV505" s="1342">
        <f t="shared" si="294"/>
        <v>0</v>
      </c>
      <c r="AW505" s="1342">
        <f t="shared" si="295"/>
        <v>0</v>
      </c>
      <c r="AX505" s="1342">
        <f t="shared" si="296"/>
        <v>0</v>
      </c>
      <c r="AY505" s="39">
        <f t="shared" si="271"/>
        <v>0</v>
      </c>
      <c r="AZ505" s="32">
        <f t="shared" si="272"/>
        <v>0</v>
      </c>
      <c r="BA505" s="32">
        <f t="shared" si="273"/>
        <v>0</v>
      </c>
      <c r="BB505" s="32">
        <f t="shared" si="274"/>
        <v>0</v>
      </c>
      <c r="BC505" s="32">
        <f t="shared" si="275"/>
        <v>0</v>
      </c>
      <c r="BD505" s="32">
        <f t="shared" si="276"/>
        <v>0</v>
      </c>
      <c r="BE505" s="32">
        <f t="shared" si="277"/>
        <v>0</v>
      </c>
      <c r="BF505" s="32">
        <f t="shared" si="278"/>
        <v>0</v>
      </c>
      <c r="BG505" s="32">
        <f t="shared" si="279"/>
        <v>0</v>
      </c>
      <c r="BH505" s="32">
        <f t="shared" si="280"/>
        <v>0</v>
      </c>
      <c r="BI505" s="32">
        <f t="shared" si="281"/>
        <v>0</v>
      </c>
      <c r="BJ505" s="32">
        <f t="shared" si="282"/>
        <v>0</v>
      </c>
      <c r="BK505" s="32">
        <f t="shared" si="283"/>
        <v>0</v>
      </c>
      <c r="BL505" s="32">
        <f t="shared" si="284"/>
        <v>0</v>
      </c>
      <c r="BM505" s="32">
        <f t="shared" si="285"/>
        <v>0</v>
      </c>
      <c r="BN505" s="32">
        <f t="shared" si="286"/>
        <v>0</v>
      </c>
      <c r="BO505" s="32">
        <f t="shared" si="287"/>
        <v>0</v>
      </c>
      <c r="BP505" s="32">
        <f t="shared" si="288"/>
        <v>0</v>
      </c>
      <c r="BQ505" s="32">
        <f t="shared" si="289"/>
        <v>0</v>
      </c>
      <c r="BR505" s="32">
        <f t="shared" si="290"/>
        <v>0</v>
      </c>
      <c r="BS505" s="32">
        <f t="shared" si="291"/>
        <v>0</v>
      </c>
      <c r="BT505" s="40">
        <f t="shared" si="292"/>
        <v>0</v>
      </c>
    </row>
    <row r="506" spans="1:72">
      <c r="A506" s="6"/>
      <c r="B506" s="31"/>
      <c r="C506" s="31"/>
      <c r="D506" s="1629"/>
      <c r="E506" s="32">
        <f t="shared" si="293"/>
        <v>0</v>
      </c>
      <c r="F506" s="33"/>
      <c r="G506" s="34">
        <f t="shared" si="268"/>
        <v>0</v>
      </c>
      <c r="H506" s="35">
        <f t="shared" si="269"/>
        <v>0</v>
      </c>
      <c r="I506" s="36"/>
      <c r="J506" s="36"/>
      <c r="K506" s="36"/>
      <c r="L506" s="36"/>
      <c r="M506" s="36"/>
      <c r="N506" s="36"/>
      <c r="O506" s="36"/>
      <c r="P506" s="36"/>
      <c r="Q506" s="36"/>
      <c r="R506" s="36"/>
      <c r="S506" s="36"/>
      <c r="T506" s="36"/>
      <c r="U506" s="36"/>
      <c r="V506" s="36"/>
      <c r="W506" s="36"/>
      <c r="X506" s="36"/>
      <c r="Y506" s="36"/>
      <c r="Z506" s="36"/>
      <c r="AA506" s="36"/>
      <c r="AB506" s="36"/>
      <c r="AC506" s="32">
        <f t="shared" si="270"/>
        <v>0</v>
      </c>
      <c r="AD506" s="37"/>
      <c r="AE506" s="37"/>
      <c r="AF506" s="37"/>
      <c r="AG506" s="37"/>
      <c r="AH506" s="37"/>
      <c r="AI506" s="37"/>
      <c r="AJ506" s="37"/>
      <c r="AK506" s="37"/>
      <c r="AL506" s="37"/>
      <c r="AM506" s="37"/>
      <c r="AN506" s="37"/>
      <c r="AO506" s="37"/>
      <c r="AP506" s="37"/>
      <c r="AQ506" s="37"/>
      <c r="AR506" s="37"/>
      <c r="AS506" s="37"/>
      <c r="AT506" s="38"/>
      <c r="AU506" s="1630"/>
      <c r="AV506" s="1342">
        <f t="shared" si="294"/>
        <v>0</v>
      </c>
      <c r="AW506" s="1342">
        <f t="shared" si="295"/>
        <v>0</v>
      </c>
      <c r="AX506" s="1342">
        <f t="shared" si="296"/>
        <v>0</v>
      </c>
      <c r="AY506" s="39">
        <f t="shared" si="271"/>
        <v>0</v>
      </c>
      <c r="AZ506" s="32">
        <f t="shared" si="272"/>
        <v>0</v>
      </c>
      <c r="BA506" s="32">
        <f t="shared" si="273"/>
        <v>0</v>
      </c>
      <c r="BB506" s="32">
        <f t="shared" si="274"/>
        <v>0</v>
      </c>
      <c r="BC506" s="32">
        <f t="shared" si="275"/>
        <v>0</v>
      </c>
      <c r="BD506" s="32">
        <f t="shared" si="276"/>
        <v>0</v>
      </c>
      <c r="BE506" s="32">
        <f t="shared" si="277"/>
        <v>0</v>
      </c>
      <c r="BF506" s="32">
        <f t="shared" si="278"/>
        <v>0</v>
      </c>
      <c r="BG506" s="32">
        <f t="shared" si="279"/>
        <v>0</v>
      </c>
      <c r="BH506" s="32">
        <f t="shared" si="280"/>
        <v>0</v>
      </c>
      <c r="BI506" s="32">
        <f t="shared" si="281"/>
        <v>0</v>
      </c>
      <c r="BJ506" s="32">
        <f t="shared" si="282"/>
        <v>0</v>
      </c>
      <c r="BK506" s="32">
        <f t="shared" si="283"/>
        <v>0</v>
      </c>
      <c r="BL506" s="32">
        <f t="shared" si="284"/>
        <v>0</v>
      </c>
      <c r="BM506" s="32">
        <f t="shared" si="285"/>
        <v>0</v>
      </c>
      <c r="BN506" s="32">
        <f t="shared" si="286"/>
        <v>0</v>
      </c>
      <c r="BO506" s="32">
        <f t="shared" si="287"/>
        <v>0</v>
      </c>
      <c r="BP506" s="32">
        <f t="shared" si="288"/>
        <v>0</v>
      </c>
      <c r="BQ506" s="32">
        <f t="shared" si="289"/>
        <v>0</v>
      </c>
      <c r="BR506" s="32">
        <f t="shared" si="290"/>
        <v>0</v>
      </c>
      <c r="BS506" s="32">
        <f t="shared" si="291"/>
        <v>0</v>
      </c>
      <c r="BT506" s="40">
        <f t="shared" si="292"/>
        <v>0</v>
      </c>
    </row>
    <row r="507" spans="1:72">
      <c r="A507" s="6"/>
      <c r="B507" s="31"/>
      <c r="C507" s="31"/>
      <c r="D507" s="1629"/>
      <c r="E507" s="32">
        <f t="shared" si="293"/>
        <v>0</v>
      </c>
      <c r="F507" s="33"/>
      <c r="G507" s="34">
        <f t="shared" si="268"/>
        <v>0</v>
      </c>
      <c r="H507" s="35">
        <f t="shared" si="269"/>
        <v>0</v>
      </c>
      <c r="I507" s="36"/>
      <c r="J507" s="36"/>
      <c r="K507" s="36"/>
      <c r="L507" s="36"/>
      <c r="M507" s="36"/>
      <c r="N507" s="36"/>
      <c r="O507" s="36"/>
      <c r="P507" s="36"/>
      <c r="Q507" s="36"/>
      <c r="R507" s="36"/>
      <c r="S507" s="36"/>
      <c r="T507" s="36"/>
      <c r="U507" s="36"/>
      <c r="V507" s="36"/>
      <c r="W507" s="36"/>
      <c r="X507" s="36"/>
      <c r="Y507" s="36"/>
      <c r="Z507" s="36"/>
      <c r="AA507" s="36"/>
      <c r="AB507" s="36"/>
      <c r="AC507" s="32">
        <f t="shared" si="270"/>
        <v>0</v>
      </c>
      <c r="AD507" s="37"/>
      <c r="AE507" s="37"/>
      <c r="AF507" s="37"/>
      <c r="AG507" s="37"/>
      <c r="AH507" s="37"/>
      <c r="AI507" s="37"/>
      <c r="AJ507" s="37"/>
      <c r="AK507" s="37"/>
      <c r="AL507" s="37"/>
      <c r="AM507" s="37"/>
      <c r="AN507" s="37"/>
      <c r="AO507" s="37"/>
      <c r="AP507" s="37"/>
      <c r="AQ507" s="37"/>
      <c r="AR507" s="37"/>
      <c r="AS507" s="37"/>
      <c r="AT507" s="38"/>
      <c r="AU507" s="1630"/>
      <c r="AV507" s="1342">
        <f t="shared" si="294"/>
        <v>0</v>
      </c>
      <c r="AW507" s="1342">
        <f t="shared" si="295"/>
        <v>0</v>
      </c>
      <c r="AX507" s="1342">
        <f t="shared" si="296"/>
        <v>0</v>
      </c>
      <c r="AY507" s="39">
        <f t="shared" si="271"/>
        <v>0</v>
      </c>
      <c r="AZ507" s="32">
        <f t="shared" si="272"/>
        <v>0</v>
      </c>
      <c r="BA507" s="32">
        <f t="shared" si="273"/>
        <v>0</v>
      </c>
      <c r="BB507" s="32">
        <f t="shared" si="274"/>
        <v>0</v>
      </c>
      <c r="BC507" s="32">
        <f t="shared" si="275"/>
        <v>0</v>
      </c>
      <c r="BD507" s="32">
        <f t="shared" si="276"/>
        <v>0</v>
      </c>
      <c r="BE507" s="32">
        <f t="shared" si="277"/>
        <v>0</v>
      </c>
      <c r="BF507" s="32">
        <f t="shared" si="278"/>
        <v>0</v>
      </c>
      <c r="BG507" s="32">
        <f t="shared" si="279"/>
        <v>0</v>
      </c>
      <c r="BH507" s="32">
        <f t="shared" si="280"/>
        <v>0</v>
      </c>
      <c r="BI507" s="32">
        <f t="shared" si="281"/>
        <v>0</v>
      </c>
      <c r="BJ507" s="32">
        <f t="shared" si="282"/>
        <v>0</v>
      </c>
      <c r="BK507" s="32">
        <f t="shared" si="283"/>
        <v>0</v>
      </c>
      <c r="BL507" s="32">
        <f t="shared" si="284"/>
        <v>0</v>
      </c>
      <c r="BM507" s="32">
        <f t="shared" si="285"/>
        <v>0</v>
      </c>
      <c r="BN507" s="32">
        <f t="shared" si="286"/>
        <v>0</v>
      </c>
      <c r="BO507" s="32">
        <f t="shared" si="287"/>
        <v>0</v>
      </c>
      <c r="BP507" s="32">
        <f t="shared" si="288"/>
        <v>0</v>
      </c>
      <c r="BQ507" s="32">
        <f t="shared" si="289"/>
        <v>0</v>
      </c>
      <c r="BR507" s="32">
        <f t="shared" si="290"/>
        <v>0</v>
      </c>
      <c r="BS507" s="32">
        <f t="shared" si="291"/>
        <v>0</v>
      </c>
      <c r="BT507" s="40">
        <f t="shared" si="292"/>
        <v>0</v>
      </c>
    </row>
    <row r="508" spans="1:72">
      <c r="A508" s="6"/>
      <c r="B508" s="31"/>
      <c r="C508" s="31"/>
      <c r="D508" s="1629"/>
      <c r="E508" s="32">
        <f t="shared" si="293"/>
        <v>0</v>
      </c>
      <c r="F508" s="33"/>
      <c r="G508" s="34">
        <f t="shared" si="268"/>
        <v>0</v>
      </c>
      <c r="H508" s="35">
        <f t="shared" si="269"/>
        <v>0</v>
      </c>
      <c r="I508" s="36"/>
      <c r="J508" s="36"/>
      <c r="K508" s="36"/>
      <c r="L508" s="36"/>
      <c r="M508" s="36"/>
      <c r="N508" s="36"/>
      <c r="O508" s="36"/>
      <c r="P508" s="36"/>
      <c r="Q508" s="36"/>
      <c r="R508" s="36"/>
      <c r="S508" s="36"/>
      <c r="T508" s="36"/>
      <c r="U508" s="36"/>
      <c r="V508" s="36"/>
      <c r="W508" s="36"/>
      <c r="X508" s="36"/>
      <c r="Y508" s="36"/>
      <c r="Z508" s="36"/>
      <c r="AA508" s="36"/>
      <c r="AB508" s="36"/>
      <c r="AC508" s="32">
        <f t="shared" si="270"/>
        <v>0</v>
      </c>
      <c r="AD508" s="37"/>
      <c r="AE508" s="37"/>
      <c r="AF508" s="37"/>
      <c r="AG508" s="37"/>
      <c r="AH508" s="37"/>
      <c r="AI508" s="37"/>
      <c r="AJ508" s="37"/>
      <c r="AK508" s="37"/>
      <c r="AL508" s="37"/>
      <c r="AM508" s="37"/>
      <c r="AN508" s="37"/>
      <c r="AO508" s="37"/>
      <c r="AP508" s="37"/>
      <c r="AQ508" s="37"/>
      <c r="AR508" s="37"/>
      <c r="AS508" s="37"/>
      <c r="AT508" s="38"/>
      <c r="AU508" s="1630"/>
      <c r="AV508" s="1342">
        <f t="shared" si="294"/>
        <v>0</v>
      </c>
      <c r="AW508" s="1342">
        <f t="shared" si="295"/>
        <v>0</v>
      </c>
      <c r="AX508" s="1342">
        <f t="shared" si="296"/>
        <v>0</v>
      </c>
      <c r="AY508" s="39">
        <f t="shared" si="271"/>
        <v>0</v>
      </c>
      <c r="AZ508" s="32">
        <f t="shared" si="272"/>
        <v>0</v>
      </c>
      <c r="BA508" s="32">
        <f t="shared" si="273"/>
        <v>0</v>
      </c>
      <c r="BB508" s="32">
        <f t="shared" si="274"/>
        <v>0</v>
      </c>
      <c r="BC508" s="32">
        <f t="shared" si="275"/>
        <v>0</v>
      </c>
      <c r="BD508" s="32">
        <f t="shared" si="276"/>
        <v>0</v>
      </c>
      <c r="BE508" s="32">
        <f t="shared" si="277"/>
        <v>0</v>
      </c>
      <c r="BF508" s="32">
        <f t="shared" si="278"/>
        <v>0</v>
      </c>
      <c r="BG508" s="32">
        <f t="shared" si="279"/>
        <v>0</v>
      </c>
      <c r="BH508" s="32">
        <f t="shared" si="280"/>
        <v>0</v>
      </c>
      <c r="BI508" s="32">
        <f t="shared" si="281"/>
        <v>0</v>
      </c>
      <c r="BJ508" s="32">
        <f t="shared" si="282"/>
        <v>0</v>
      </c>
      <c r="BK508" s="32">
        <f t="shared" si="283"/>
        <v>0</v>
      </c>
      <c r="BL508" s="32">
        <f t="shared" si="284"/>
        <v>0</v>
      </c>
      <c r="BM508" s="32">
        <f t="shared" si="285"/>
        <v>0</v>
      </c>
      <c r="BN508" s="32">
        <f t="shared" si="286"/>
        <v>0</v>
      </c>
      <c r="BO508" s="32">
        <f t="shared" si="287"/>
        <v>0</v>
      </c>
      <c r="BP508" s="32">
        <f t="shared" si="288"/>
        <v>0</v>
      </c>
      <c r="BQ508" s="32">
        <f t="shared" si="289"/>
        <v>0</v>
      </c>
      <c r="BR508" s="32">
        <f t="shared" si="290"/>
        <v>0</v>
      </c>
      <c r="BS508" s="32">
        <f t="shared" si="291"/>
        <v>0</v>
      </c>
      <c r="BT508" s="40">
        <f t="shared" si="292"/>
        <v>0</v>
      </c>
    </row>
    <row r="509" spans="1:72">
      <c r="A509" s="6"/>
      <c r="B509" s="31"/>
      <c r="C509" s="31"/>
      <c r="D509" s="1629"/>
      <c r="E509" s="32">
        <f t="shared" si="293"/>
        <v>0</v>
      </c>
      <c r="F509" s="33"/>
      <c r="G509" s="34">
        <f t="shared" si="268"/>
        <v>0</v>
      </c>
      <c r="H509" s="35">
        <f t="shared" si="269"/>
        <v>0</v>
      </c>
      <c r="I509" s="36"/>
      <c r="J509" s="36"/>
      <c r="K509" s="36"/>
      <c r="L509" s="36"/>
      <c r="M509" s="36"/>
      <c r="N509" s="36"/>
      <c r="O509" s="36"/>
      <c r="P509" s="36"/>
      <c r="Q509" s="36"/>
      <c r="R509" s="36"/>
      <c r="S509" s="36"/>
      <c r="T509" s="36"/>
      <c r="U509" s="36"/>
      <c r="V509" s="36"/>
      <c r="W509" s="36"/>
      <c r="X509" s="36"/>
      <c r="Y509" s="36"/>
      <c r="Z509" s="36"/>
      <c r="AA509" s="36"/>
      <c r="AB509" s="36"/>
      <c r="AC509" s="32">
        <f t="shared" si="270"/>
        <v>0</v>
      </c>
      <c r="AD509" s="37"/>
      <c r="AE509" s="37"/>
      <c r="AF509" s="37"/>
      <c r="AG509" s="37"/>
      <c r="AH509" s="37"/>
      <c r="AI509" s="37"/>
      <c r="AJ509" s="37"/>
      <c r="AK509" s="37"/>
      <c r="AL509" s="37"/>
      <c r="AM509" s="37"/>
      <c r="AN509" s="37"/>
      <c r="AO509" s="37"/>
      <c r="AP509" s="37"/>
      <c r="AQ509" s="37"/>
      <c r="AR509" s="37"/>
      <c r="AS509" s="37"/>
      <c r="AT509" s="38"/>
      <c r="AU509" s="1630"/>
      <c r="AV509" s="1342">
        <f t="shared" si="294"/>
        <v>0</v>
      </c>
      <c r="AW509" s="1342">
        <f t="shared" si="295"/>
        <v>0</v>
      </c>
      <c r="AX509" s="1342">
        <f t="shared" si="296"/>
        <v>0</v>
      </c>
      <c r="AY509" s="39">
        <f t="shared" si="271"/>
        <v>0</v>
      </c>
      <c r="AZ509" s="32">
        <f t="shared" si="272"/>
        <v>0</v>
      </c>
      <c r="BA509" s="32">
        <f t="shared" si="273"/>
        <v>0</v>
      </c>
      <c r="BB509" s="32">
        <f t="shared" si="274"/>
        <v>0</v>
      </c>
      <c r="BC509" s="32">
        <f t="shared" si="275"/>
        <v>0</v>
      </c>
      <c r="BD509" s="32">
        <f t="shared" si="276"/>
        <v>0</v>
      </c>
      <c r="BE509" s="32">
        <f t="shared" si="277"/>
        <v>0</v>
      </c>
      <c r="BF509" s="32">
        <f t="shared" si="278"/>
        <v>0</v>
      </c>
      <c r="BG509" s="32">
        <f t="shared" si="279"/>
        <v>0</v>
      </c>
      <c r="BH509" s="32">
        <f t="shared" si="280"/>
        <v>0</v>
      </c>
      <c r="BI509" s="32">
        <f t="shared" si="281"/>
        <v>0</v>
      </c>
      <c r="BJ509" s="32">
        <f t="shared" si="282"/>
        <v>0</v>
      </c>
      <c r="BK509" s="32">
        <f t="shared" si="283"/>
        <v>0</v>
      </c>
      <c r="BL509" s="32">
        <f t="shared" si="284"/>
        <v>0</v>
      </c>
      <c r="BM509" s="32">
        <f t="shared" si="285"/>
        <v>0</v>
      </c>
      <c r="BN509" s="32">
        <f t="shared" si="286"/>
        <v>0</v>
      </c>
      <c r="BO509" s="32">
        <f t="shared" si="287"/>
        <v>0</v>
      </c>
      <c r="BP509" s="32">
        <f t="shared" si="288"/>
        <v>0</v>
      </c>
      <c r="BQ509" s="32">
        <f t="shared" si="289"/>
        <v>0</v>
      </c>
      <c r="BR509" s="32">
        <f t="shared" si="290"/>
        <v>0</v>
      </c>
      <c r="BS509" s="32">
        <f t="shared" si="291"/>
        <v>0</v>
      </c>
      <c r="BT509" s="40">
        <f t="shared" si="292"/>
        <v>0</v>
      </c>
    </row>
    <row r="510" spans="1:72">
      <c r="A510" s="6"/>
      <c r="B510" s="31"/>
      <c r="C510" s="31"/>
      <c r="D510" s="1629"/>
      <c r="E510" s="32">
        <f t="shared" si="293"/>
        <v>0</v>
      </c>
      <c r="F510" s="33"/>
      <c r="G510" s="34">
        <f t="shared" si="268"/>
        <v>0</v>
      </c>
      <c r="H510" s="35">
        <f t="shared" si="269"/>
        <v>0</v>
      </c>
      <c r="I510" s="36"/>
      <c r="J510" s="36"/>
      <c r="K510" s="36"/>
      <c r="L510" s="36"/>
      <c r="M510" s="36"/>
      <c r="N510" s="36"/>
      <c r="O510" s="36"/>
      <c r="P510" s="36"/>
      <c r="Q510" s="36"/>
      <c r="R510" s="36"/>
      <c r="S510" s="36"/>
      <c r="T510" s="36"/>
      <c r="U510" s="36"/>
      <c r="V510" s="36"/>
      <c r="W510" s="36"/>
      <c r="X510" s="36"/>
      <c r="Y510" s="36"/>
      <c r="Z510" s="36"/>
      <c r="AA510" s="36"/>
      <c r="AB510" s="36"/>
      <c r="AC510" s="32">
        <f t="shared" si="270"/>
        <v>0</v>
      </c>
      <c r="AD510" s="37"/>
      <c r="AE510" s="37"/>
      <c r="AF510" s="37"/>
      <c r="AG510" s="37"/>
      <c r="AH510" s="37"/>
      <c r="AI510" s="37"/>
      <c r="AJ510" s="37"/>
      <c r="AK510" s="37"/>
      <c r="AL510" s="37"/>
      <c r="AM510" s="37"/>
      <c r="AN510" s="37"/>
      <c r="AO510" s="37"/>
      <c r="AP510" s="37"/>
      <c r="AQ510" s="37"/>
      <c r="AR510" s="37"/>
      <c r="AS510" s="37"/>
      <c r="AT510" s="38"/>
      <c r="AU510" s="1630"/>
      <c r="AV510" s="1342">
        <f t="shared" si="294"/>
        <v>0</v>
      </c>
      <c r="AW510" s="1342">
        <f t="shared" si="295"/>
        <v>0</v>
      </c>
      <c r="AX510" s="1342">
        <f t="shared" si="296"/>
        <v>0</v>
      </c>
      <c r="AY510" s="39">
        <f t="shared" si="271"/>
        <v>0</v>
      </c>
      <c r="AZ510" s="32">
        <f t="shared" si="272"/>
        <v>0</v>
      </c>
      <c r="BA510" s="32">
        <f t="shared" si="273"/>
        <v>0</v>
      </c>
      <c r="BB510" s="32">
        <f t="shared" si="274"/>
        <v>0</v>
      </c>
      <c r="BC510" s="32">
        <f t="shared" si="275"/>
        <v>0</v>
      </c>
      <c r="BD510" s="32">
        <f t="shared" si="276"/>
        <v>0</v>
      </c>
      <c r="BE510" s="32">
        <f t="shared" si="277"/>
        <v>0</v>
      </c>
      <c r="BF510" s="32">
        <f t="shared" si="278"/>
        <v>0</v>
      </c>
      <c r="BG510" s="32">
        <f t="shared" si="279"/>
        <v>0</v>
      </c>
      <c r="BH510" s="32">
        <f t="shared" si="280"/>
        <v>0</v>
      </c>
      <c r="BI510" s="32">
        <f t="shared" si="281"/>
        <v>0</v>
      </c>
      <c r="BJ510" s="32">
        <f t="shared" si="282"/>
        <v>0</v>
      </c>
      <c r="BK510" s="32">
        <f t="shared" si="283"/>
        <v>0</v>
      </c>
      <c r="BL510" s="32">
        <f t="shared" si="284"/>
        <v>0</v>
      </c>
      <c r="BM510" s="32">
        <f t="shared" si="285"/>
        <v>0</v>
      </c>
      <c r="BN510" s="32">
        <f t="shared" si="286"/>
        <v>0</v>
      </c>
      <c r="BO510" s="32">
        <f t="shared" si="287"/>
        <v>0</v>
      </c>
      <c r="BP510" s="32">
        <f t="shared" si="288"/>
        <v>0</v>
      </c>
      <c r="BQ510" s="32">
        <f t="shared" si="289"/>
        <v>0</v>
      </c>
      <c r="BR510" s="32">
        <f t="shared" si="290"/>
        <v>0</v>
      </c>
      <c r="BS510" s="32">
        <f t="shared" si="291"/>
        <v>0</v>
      </c>
      <c r="BT510" s="40">
        <f t="shared" si="292"/>
        <v>0</v>
      </c>
    </row>
    <row r="511" spans="1:72">
      <c r="A511" s="6"/>
      <c r="B511" s="31"/>
      <c r="C511" s="31"/>
      <c r="D511" s="1629"/>
      <c r="E511" s="32">
        <f t="shared" si="293"/>
        <v>0</v>
      </c>
      <c r="F511" s="33"/>
      <c r="G511" s="34">
        <f t="shared" si="268"/>
        <v>0</v>
      </c>
      <c r="H511" s="35">
        <f t="shared" si="269"/>
        <v>0</v>
      </c>
      <c r="I511" s="36"/>
      <c r="J511" s="36"/>
      <c r="K511" s="36"/>
      <c r="L511" s="36"/>
      <c r="M511" s="36"/>
      <c r="N511" s="36"/>
      <c r="O511" s="36"/>
      <c r="P511" s="36"/>
      <c r="Q511" s="36"/>
      <c r="R511" s="36"/>
      <c r="S511" s="36"/>
      <c r="T511" s="36"/>
      <c r="U511" s="36"/>
      <c r="V511" s="36"/>
      <c r="W511" s="36"/>
      <c r="X511" s="36"/>
      <c r="Y511" s="36"/>
      <c r="Z511" s="36"/>
      <c r="AA511" s="36"/>
      <c r="AB511" s="36"/>
      <c r="AC511" s="32">
        <f t="shared" si="270"/>
        <v>0</v>
      </c>
      <c r="AD511" s="37"/>
      <c r="AE511" s="37"/>
      <c r="AF511" s="37"/>
      <c r="AG511" s="37"/>
      <c r="AH511" s="37"/>
      <c r="AI511" s="37"/>
      <c r="AJ511" s="37"/>
      <c r="AK511" s="37"/>
      <c r="AL511" s="37"/>
      <c r="AM511" s="37"/>
      <c r="AN511" s="37"/>
      <c r="AO511" s="37"/>
      <c r="AP511" s="37"/>
      <c r="AQ511" s="37"/>
      <c r="AR511" s="37"/>
      <c r="AS511" s="37"/>
      <c r="AT511" s="38"/>
      <c r="AU511" s="1630"/>
      <c r="AV511" s="1342">
        <f t="shared" si="294"/>
        <v>0</v>
      </c>
      <c r="AW511" s="1342">
        <f t="shared" si="295"/>
        <v>0</v>
      </c>
      <c r="AX511" s="1342">
        <f t="shared" si="296"/>
        <v>0</v>
      </c>
      <c r="AY511" s="39">
        <f t="shared" si="271"/>
        <v>0</v>
      </c>
      <c r="AZ511" s="32">
        <f t="shared" si="272"/>
        <v>0</v>
      </c>
      <c r="BA511" s="32">
        <f t="shared" si="273"/>
        <v>0</v>
      </c>
      <c r="BB511" s="32">
        <f t="shared" si="274"/>
        <v>0</v>
      </c>
      <c r="BC511" s="32">
        <f t="shared" si="275"/>
        <v>0</v>
      </c>
      <c r="BD511" s="32">
        <f t="shared" si="276"/>
        <v>0</v>
      </c>
      <c r="BE511" s="32">
        <f t="shared" si="277"/>
        <v>0</v>
      </c>
      <c r="BF511" s="32">
        <f t="shared" si="278"/>
        <v>0</v>
      </c>
      <c r="BG511" s="32">
        <f t="shared" si="279"/>
        <v>0</v>
      </c>
      <c r="BH511" s="32">
        <f t="shared" si="280"/>
        <v>0</v>
      </c>
      <c r="BI511" s="32">
        <f t="shared" si="281"/>
        <v>0</v>
      </c>
      <c r="BJ511" s="32">
        <f t="shared" si="282"/>
        <v>0</v>
      </c>
      <c r="BK511" s="32">
        <f t="shared" si="283"/>
        <v>0</v>
      </c>
      <c r="BL511" s="32">
        <f t="shared" si="284"/>
        <v>0</v>
      </c>
      <c r="BM511" s="32">
        <f t="shared" si="285"/>
        <v>0</v>
      </c>
      <c r="BN511" s="32">
        <f t="shared" si="286"/>
        <v>0</v>
      </c>
      <c r="BO511" s="32">
        <f t="shared" si="287"/>
        <v>0</v>
      </c>
      <c r="BP511" s="32">
        <f t="shared" si="288"/>
        <v>0</v>
      </c>
      <c r="BQ511" s="32">
        <f t="shared" si="289"/>
        <v>0</v>
      </c>
      <c r="BR511" s="32">
        <f t="shared" si="290"/>
        <v>0</v>
      </c>
      <c r="BS511" s="32">
        <f t="shared" si="291"/>
        <v>0</v>
      </c>
      <c r="BT511" s="40">
        <f t="shared" si="292"/>
        <v>0</v>
      </c>
    </row>
    <row r="512" spans="1:72">
      <c r="A512" s="6"/>
      <c r="B512" s="31"/>
      <c r="C512" s="31"/>
      <c r="D512" s="1629"/>
      <c r="E512" s="32">
        <f t="shared" si="293"/>
        <v>0</v>
      </c>
      <c r="F512" s="33"/>
      <c r="G512" s="34">
        <f t="shared" si="268"/>
        <v>0</v>
      </c>
      <c r="H512" s="35">
        <f t="shared" si="269"/>
        <v>0</v>
      </c>
      <c r="I512" s="36"/>
      <c r="J512" s="36"/>
      <c r="K512" s="36"/>
      <c r="L512" s="36"/>
      <c r="M512" s="36"/>
      <c r="N512" s="36"/>
      <c r="O512" s="36"/>
      <c r="P512" s="36"/>
      <c r="Q512" s="36"/>
      <c r="R512" s="36"/>
      <c r="S512" s="36"/>
      <c r="T512" s="36"/>
      <c r="U512" s="36"/>
      <c r="V512" s="36"/>
      <c r="W512" s="36"/>
      <c r="X512" s="36"/>
      <c r="Y512" s="36"/>
      <c r="Z512" s="36"/>
      <c r="AA512" s="36"/>
      <c r="AB512" s="36"/>
      <c r="AC512" s="32">
        <f t="shared" si="270"/>
        <v>0</v>
      </c>
      <c r="AD512" s="37"/>
      <c r="AE512" s="37"/>
      <c r="AF512" s="37"/>
      <c r="AG512" s="37"/>
      <c r="AH512" s="37"/>
      <c r="AI512" s="37"/>
      <c r="AJ512" s="37"/>
      <c r="AK512" s="37"/>
      <c r="AL512" s="37"/>
      <c r="AM512" s="37"/>
      <c r="AN512" s="37"/>
      <c r="AO512" s="37"/>
      <c r="AP512" s="37"/>
      <c r="AQ512" s="37"/>
      <c r="AR512" s="37"/>
      <c r="AS512" s="37"/>
      <c r="AT512" s="38"/>
      <c r="AU512" s="1630"/>
      <c r="AV512" s="1342">
        <f t="shared" si="294"/>
        <v>0</v>
      </c>
      <c r="AW512" s="1342">
        <f t="shared" si="295"/>
        <v>0</v>
      </c>
      <c r="AX512" s="1342">
        <f t="shared" si="296"/>
        <v>0</v>
      </c>
      <c r="AY512" s="39">
        <f t="shared" si="271"/>
        <v>0</v>
      </c>
      <c r="AZ512" s="32">
        <f t="shared" si="272"/>
        <v>0</v>
      </c>
      <c r="BA512" s="32">
        <f t="shared" si="273"/>
        <v>0</v>
      </c>
      <c r="BB512" s="32">
        <f t="shared" si="274"/>
        <v>0</v>
      </c>
      <c r="BC512" s="32">
        <f t="shared" si="275"/>
        <v>0</v>
      </c>
      <c r="BD512" s="32">
        <f t="shared" si="276"/>
        <v>0</v>
      </c>
      <c r="BE512" s="32">
        <f t="shared" si="277"/>
        <v>0</v>
      </c>
      <c r="BF512" s="32">
        <f t="shared" si="278"/>
        <v>0</v>
      </c>
      <c r="BG512" s="32">
        <f t="shared" si="279"/>
        <v>0</v>
      </c>
      <c r="BH512" s="32">
        <f t="shared" si="280"/>
        <v>0</v>
      </c>
      <c r="BI512" s="32">
        <f t="shared" si="281"/>
        <v>0</v>
      </c>
      <c r="BJ512" s="32">
        <f t="shared" si="282"/>
        <v>0</v>
      </c>
      <c r="BK512" s="32">
        <f t="shared" si="283"/>
        <v>0</v>
      </c>
      <c r="BL512" s="32">
        <f t="shared" si="284"/>
        <v>0</v>
      </c>
      <c r="BM512" s="32">
        <f t="shared" si="285"/>
        <v>0</v>
      </c>
      <c r="BN512" s="32">
        <f t="shared" si="286"/>
        <v>0</v>
      </c>
      <c r="BO512" s="32">
        <f t="shared" si="287"/>
        <v>0</v>
      </c>
      <c r="BP512" s="32">
        <f t="shared" si="288"/>
        <v>0</v>
      </c>
      <c r="BQ512" s="32">
        <f t="shared" si="289"/>
        <v>0</v>
      </c>
      <c r="BR512" s="32">
        <f t="shared" si="290"/>
        <v>0</v>
      </c>
      <c r="BS512" s="32">
        <f t="shared" si="291"/>
        <v>0</v>
      </c>
      <c r="BT512" s="40">
        <f t="shared" si="292"/>
        <v>0</v>
      </c>
    </row>
    <row r="513" spans="1:72">
      <c r="A513" s="6"/>
      <c r="B513" s="31"/>
      <c r="C513" s="31"/>
      <c r="D513" s="1629"/>
      <c r="E513" s="32">
        <f t="shared" si="293"/>
        <v>0</v>
      </c>
      <c r="F513" s="33"/>
      <c r="G513" s="34">
        <f t="shared" si="268"/>
        <v>0</v>
      </c>
      <c r="H513" s="35">
        <f t="shared" si="269"/>
        <v>0</v>
      </c>
      <c r="I513" s="36"/>
      <c r="J513" s="36"/>
      <c r="K513" s="36"/>
      <c r="L513" s="36"/>
      <c r="M513" s="36"/>
      <c r="N513" s="36"/>
      <c r="O513" s="36"/>
      <c r="P513" s="36"/>
      <c r="Q513" s="36"/>
      <c r="R513" s="36"/>
      <c r="S513" s="36"/>
      <c r="T513" s="36"/>
      <c r="U513" s="36"/>
      <c r="V513" s="36"/>
      <c r="W513" s="36"/>
      <c r="X513" s="36"/>
      <c r="Y513" s="36"/>
      <c r="Z513" s="36"/>
      <c r="AA513" s="36"/>
      <c r="AB513" s="36"/>
      <c r="AC513" s="32">
        <f t="shared" si="270"/>
        <v>0</v>
      </c>
      <c r="AD513" s="37"/>
      <c r="AE513" s="37"/>
      <c r="AF513" s="37"/>
      <c r="AG513" s="37"/>
      <c r="AH513" s="37"/>
      <c r="AI513" s="37"/>
      <c r="AJ513" s="37"/>
      <c r="AK513" s="37"/>
      <c r="AL513" s="37"/>
      <c r="AM513" s="37"/>
      <c r="AN513" s="37"/>
      <c r="AO513" s="37"/>
      <c r="AP513" s="37"/>
      <c r="AQ513" s="37"/>
      <c r="AR513" s="37"/>
      <c r="AS513" s="37"/>
      <c r="AT513" s="38"/>
      <c r="AU513" s="1630"/>
      <c r="AV513" s="1342">
        <f t="shared" si="294"/>
        <v>0</v>
      </c>
      <c r="AW513" s="1342">
        <f t="shared" si="295"/>
        <v>0</v>
      </c>
      <c r="AX513" s="1342">
        <f t="shared" si="296"/>
        <v>0</v>
      </c>
      <c r="AY513" s="39">
        <f t="shared" si="271"/>
        <v>0</v>
      </c>
      <c r="AZ513" s="32">
        <f t="shared" si="272"/>
        <v>0</v>
      </c>
      <c r="BA513" s="32">
        <f t="shared" si="273"/>
        <v>0</v>
      </c>
      <c r="BB513" s="32">
        <f t="shared" si="274"/>
        <v>0</v>
      </c>
      <c r="BC513" s="32">
        <f t="shared" si="275"/>
        <v>0</v>
      </c>
      <c r="BD513" s="32">
        <f t="shared" si="276"/>
        <v>0</v>
      </c>
      <c r="BE513" s="32">
        <f t="shared" si="277"/>
        <v>0</v>
      </c>
      <c r="BF513" s="32">
        <f t="shared" si="278"/>
        <v>0</v>
      </c>
      <c r="BG513" s="32">
        <f t="shared" si="279"/>
        <v>0</v>
      </c>
      <c r="BH513" s="32">
        <f t="shared" si="280"/>
        <v>0</v>
      </c>
      <c r="BI513" s="32">
        <f t="shared" si="281"/>
        <v>0</v>
      </c>
      <c r="BJ513" s="32">
        <f t="shared" si="282"/>
        <v>0</v>
      </c>
      <c r="BK513" s="32">
        <f t="shared" si="283"/>
        <v>0</v>
      </c>
      <c r="BL513" s="32">
        <f t="shared" si="284"/>
        <v>0</v>
      </c>
      <c r="BM513" s="32">
        <f t="shared" si="285"/>
        <v>0</v>
      </c>
      <c r="BN513" s="32">
        <f t="shared" si="286"/>
        <v>0</v>
      </c>
      <c r="BO513" s="32">
        <f t="shared" si="287"/>
        <v>0</v>
      </c>
      <c r="BP513" s="32">
        <f t="shared" si="288"/>
        <v>0</v>
      </c>
      <c r="BQ513" s="32">
        <f t="shared" si="289"/>
        <v>0</v>
      </c>
      <c r="BR513" s="32">
        <f t="shared" si="290"/>
        <v>0</v>
      </c>
      <c r="BS513" s="32">
        <f t="shared" si="291"/>
        <v>0</v>
      </c>
      <c r="BT513" s="40">
        <f t="shared" si="292"/>
        <v>0</v>
      </c>
    </row>
    <row r="514" spans="1:72">
      <c r="A514" s="6"/>
      <c r="B514" s="31"/>
      <c r="C514" s="31"/>
      <c r="D514" s="1629"/>
      <c r="E514" s="32">
        <f t="shared" si="293"/>
        <v>0</v>
      </c>
      <c r="F514" s="33"/>
      <c r="G514" s="34">
        <f t="shared" si="268"/>
        <v>0</v>
      </c>
      <c r="H514" s="35">
        <f t="shared" si="269"/>
        <v>0</v>
      </c>
      <c r="I514" s="36"/>
      <c r="J514" s="36"/>
      <c r="K514" s="36"/>
      <c r="L514" s="36"/>
      <c r="M514" s="36"/>
      <c r="N514" s="36"/>
      <c r="O514" s="36"/>
      <c r="P514" s="36"/>
      <c r="Q514" s="36"/>
      <c r="R514" s="36"/>
      <c r="S514" s="36"/>
      <c r="T514" s="36"/>
      <c r="U514" s="36"/>
      <c r="V514" s="36"/>
      <c r="W514" s="36"/>
      <c r="X514" s="36"/>
      <c r="Y514" s="36"/>
      <c r="Z514" s="36"/>
      <c r="AA514" s="36"/>
      <c r="AB514" s="36"/>
      <c r="AC514" s="32">
        <f t="shared" si="270"/>
        <v>0</v>
      </c>
      <c r="AD514" s="37"/>
      <c r="AE514" s="37"/>
      <c r="AF514" s="37"/>
      <c r="AG514" s="37"/>
      <c r="AH514" s="37"/>
      <c r="AI514" s="37"/>
      <c r="AJ514" s="37"/>
      <c r="AK514" s="37"/>
      <c r="AL514" s="37"/>
      <c r="AM514" s="37"/>
      <c r="AN514" s="37"/>
      <c r="AO514" s="37"/>
      <c r="AP514" s="37"/>
      <c r="AQ514" s="37"/>
      <c r="AR514" s="37"/>
      <c r="AS514" s="37"/>
      <c r="AT514" s="38"/>
      <c r="AU514" s="1630"/>
      <c r="AV514" s="1342">
        <f t="shared" si="294"/>
        <v>0</v>
      </c>
      <c r="AW514" s="1342">
        <f t="shared" si="295"/>
        <v>0</v>
      </c>
      <c r="AX514" s="1342">
        <f t="shared" si="296"/>
        <v>0</v>
      </c>
      <c r="AY514" s="39">
        <f t="shared" si="271"/>
        <v>0</v>
      </c>
      <c r="AZ514" s="32">
        <f t="shared" si="272"/>
        <v>0</v>
      </c>
      <c r="BA514" s="32">
        <f t="shared" si="273"/>
        <v>0</v>
      </c>
      <c r="BB514" s="32">
        <f t="shared" si="274"/>
        <v>0</v>
      </c>
      <c r="BC514" s="32">
        <f t="shared" si="275"/>
        <v>0</v>
      </c>
      <c r="BD514" s="32">
        <f t="shared" si="276"/>
        <v>0</v>
      </c>
      <c r="BE514" s="32">
        <f t="shared" si="277"/>
        <v>0</v>
      </c>
      <c r="BF514" s="32">
        <f t="shared" si="278"/>
        <v>0</v>
      </c>
      <c r="BG514" s="32">
        <f t="shared" si="279"/>
        <v>0</v>
      </c>
      <c r="BH514" s="32">
        <f t="shared" si="280"/>
        <v>0</v>
      </c>
      <c r="BI514" s="32">
        <f t="shared" si="281"/>
        <v>0</v>
      </c>
      <c r="BJ514" s="32">
        <f t="shared" si="282"/>
        <v>0</v>
      </c>
      <c r="BK514" s="32">
        <f t="shared" si="283"/>
        <v>0</v>
      </c>
      <c r="BL514" s="32">
        <f t="shared" si="284"/>
        <v>0</v>
      </c>
      <c r="BM514" s="32">
        <f t="shared" si="285"/>
        <v>0</v>
      </c>
      <c r="BN514" s="32">
        <f t="shared" si="286"/>
        <v>0</v>
      </c>
      <c r="BO514" s="32">
        <f t="shared" si="287"/>
        <v>0</v>
      </c>
      <c r="BP514" s="32">
        <f t="shared" si="288"/>
        <v>0</v>
      </c>
      <c r="BQ514" s="32">
        <f t="shared" si="289"/>
        <v>0</v>
      </c>
      <c r="BR514" s="32">
        <f t="shared" si="290"/>
        <v>0</v>
      </c>
      <c r="BS514" s="32">
        <f t="shared" si="291"/>
        <v>0</v>
      </c>
      <c r="BT514" s="40">
        <f t="shared" si="292"/>
        <v>0</v>
      </c>
    </row>
    <row r="515" spans="1:72">
      <c r="A515" s="6"/>
      <c r="B515" s="31"/>
      <c r="C515" s="31"/>
      <c r="D515" s="1629"/>
      <c r="E515" s="32">
        <f t="shared" si="293"/>
        <v>0</v>
      </c>
      <c r="F515" s="33"/>
      <c r="G515" s="34">
        <f t="shared" si="268"/>
        <v>0</v>
      </c>
      <c r="H515" s="35">
        <f t="shared" si="269"/>
        <v>0</v>
      </c>
      <c r="I515" s="36"/>
      <c r="J515" s="36"/>
      <c r="K515" s="36"/>
      <c r="L515" s="36"/>
      <c r="M515" s="36"/>
      <c r="N515" s="36"/>
      <c r="O515" s="36"/>
      <c r="P515" s="36"/>
      <c r="Q515" s="36"/>
      <c r="R515" s="36"/>
      <c r="S515" s="36"/>
      <c r="T515" s="36"/>
      <c r="U515" s="36"/>
      <c r="V515" s="36"/>
      <c r="W515" s="36"/>
      <c r="X515" s="36"/>
      <c r="Y515" s="36"/>
      <c r="Z515" s="36"/>
      <c r="AA515" s="36"/>
      <c r="AB515" s="36"/>
      <c r="AC515" s="32">
        <f t="shared" si="270"/>
        <v>0</v>
      </c>
      <c r="AD515" s="37"/>
      <c r="AE515" s="37"/>
      <c r="AF515" s="37"/>
      <c r="AG515" s="37"/>
      <c r="AH515" s="37"/>
      <c r="AI515" s="37"/>
      <c r="AJ515" s="37"/>
      <c r="AK515" s="37"/>
      <c r="AL515" s="37"/>
      <c r="AM515" s="37"/>
      <c r="AN515" s="37"/>
      <c r="AO515" s="37"/>
      <c r="AP515" s="37"/>
      <c r="AQ515" s="37"/>
      <c r="AR515" s="37"/>
      <c r="AS515" s="37"/>
      <c r="AT515" s="38"/>
      <c r="AU515" s="1630"/>
      <c r="AV515" s="1342">
        <f t="shared" si="294"/>
        <v>0</v>
      </c>
      <c r="AW515" s="1342">
        <f t="shared" si="295"/>
        <v>0</v>
      </c>
      <c r="AX515" s="1342">
        <f t="shared" si="296"/>
        <v>0</v>
      </c>
      <c r="AY515" s="39">
        <f t="shared" si="271"/>
        <v>0</v>
      </c>
      <c r="AZ515" s="32">
        <f t="shared" si="272"/>
        <v>0</v>
      </c>
      <c r="BA515" s="32">
        <f t="shared" si="273"/>
        <v>0</v>
      </c>
      <c r="BB515" s="32">
        <f t="shared" si="274"/>
        <v>0</v>
      </c>
      <c r="BC515" s="32">
        <f t="shared" si="275"/>
        <v>0</v>
      </c>
      <c r="BD515" s="32">
        <f t="shared" si="276"/>
        <v>0</v>
      </c>
      <c r="BE515" s="32">
        <f t="shared" si="277"/>
        <v>0</v>
      </c>
      <c r="BF515" s="32">
        <f t="shared" si="278"/>
        <v>0</v>
      </c>
      <c r="BG515" s="32">
        <f t="shared" si="279"/>
        <v>0</v>
      </c>
      <c r="BH515" s="32">
        <f t="shared" si="280"/>
        <v>0</v>
      </c>
      <c r="BI515" s="32">
        <f t="shared" si="281"/>
        <v>0</v>
      </c>
      <c r="BJ515" s="32">
        <f t="shared" si="282"/>
        <v>0</v>
      </c>
      <c r="BK515" s="32">
        <f t="shared" si="283"/>
        <v>0</v>
      </c>
      <c r="BL515" s="32">
        <f t="shared" si="284"/>
        <v>0</v>
      </c>
      <c r="BM515" s="32">
        <f t="shared" si="285"/>
        <v>0</v>
      </c>
      <c r="BN515" s="32">
        <f t="shared" si="286"/>
        <v>0</v>
      </c>
      <c r="BO515" s="32">
        <f t="shared" si="287"/>
        <v>0</v>
      </c>
      <c r="BP515" s="32">
        <f t="shared" si="288"/>
        <v>0</v>
      </c>
      <c r="BQ515" s="32">
        <f t="shared" si="289"/>
        <v>0</v>
      </c>
      <c r="BR515" s="32">
        <f t="shared" si="290"/>
        <v>0</v>
      </c>
      <c r="BS515" s="32">
        <f t="shared" si="291"/>
        <v>0</v>
      </c>
      <c r="BT515" s="40">
        <f t="shared" si="292"/>
        <v>0</v>
      </c>
    </row>
    <row r="516" spans="1:72">
      <c r="A516" s="6"/>
      <c r="B516" s="31"/>
      <c r="C516" s="31"/>
      <c r="D516" s="1629"/>
      <c r="E516" s="32">
        <f t="shared" si="293"/>
        <v>0</v>
      </c>
      <c r="F516" s="33"/>
      <c r="G516" s="34">
        <f t="shared" si="268"/>
        <v>0</v>
      </c>
      <c r="H516" s="35">
        <f t="shared" si="269"/>
        <v>0</v>
      </c>
      <c r="I516" s="36"/>
      <c r="J516" s="36"/>
      <c r="K516" s="36"/>
      <c r="L516" s="36"/>
      <c r="M516" s="36"/>
      <c r="N516" s="36"/>
      <c r="O516" s="36"/>
      <c r="P516" s="36"/>
      <c r="Q516" s="36"/>
      <c r="R516" s="36"/>
      <c r="S516" s="36"/>
      <c r="T516" s="36"/>
      <c r="U516" s="36"/>
      <c r="V516" s="36"/>
      <c r="W516" s="36"/>
      <c r="X516" s="36"/>
      <c r="Y516" s="36"/>
      <c r="Z516" s="36"/>
      <c r="AA516" s="36"/>
      <c r="AB516" s="36"/>
      <c r="AC516" s="32">
        <f t="shared" si="270"/>
        <v>0</v>
      </c>
      <c r="AD516" s="37"/>
      <c r="AE516" s="37"/>
      <c r="AF516" s="37"/>
      <c r="AG516" s="37"/>
      <c r="AH516" s="37"/>
      <c r="AI516" s="37"/>
      <c r="AJ516" s="37"/>
      <c r="AK516" s="37"/>
      <c r="AL516" s="37"/>
      <c r="AM516" s="37"/>
      <c r="AN516" s="37"/>
      <c r="AO516" s="37"/>
      <c r="AP516" s="37"/>
      <c r="AQ516" s="37"/>
      <c r="AR516" s="37"/>
      <c r="AS516" s="37"/>
      <c r="AT516" s="38"/>
      <c r="AU516" s="1630"/>
      <c r="AV516" s="1342">
        <f t="shared" si="294"/>
        <v>0</v>
      </c>
      <c r="AW516" s="1342">
        <f t="shared" si="295"/>
        <v>0</v>
      </c>
      <c r="AX516" s="1342">
        <f t="shared" si="296"/>
        <v>0</v>
      </c>
      <c r="AY516" s="39">
        <f t="shared" si="271"/>
        <v>0</v>
      </c>
      <c r="AZ516" s="32">
        <f t="shared" si="272"/>
        <v>0</v>
      </c>
      <c r="BA516" s="32">
        <f t="shared" si="273"/>
        <v>0</v>
      </c>
      <c r="BB516" s="32">
        <f t="shared" si="274"/>
        <v>0</v>
      </c>
      <c r="BC516" s="32">
        <f t="shared" si="275"/>
        <v>0</v>
      </c>
      <c r="BD516" s="32">
        <f t="shared" si="276"/>
        <v>0</v>
      </c>
      <c r="BE516" s="32">
        <f t="shared" si="277"/>
        <v>0</v>
      </c>
      <c r="BF516" s="32">
        <f t="shared" si="278"/>
        <v>0</v>
      </c>
      <c r="BG516" s="32">
        <f t="shared" si="279"/>
        <v>0</v>
      </c>
      <c r="BH516" s="32">
        <f t="shared" si="280"/>
        <v>0</v>
      </c>
      <c r="BI516" s="32">
        <f t="shared" si="281"/>
        <v>0</v>
      </c>
      <c r="BJ516" s="32">
        <f t="shared" si="282"/>
        <v>0</v>
      </c>
      <c r="BK516" s="32">
        <f t="shared" si="283"/>
        <v>0</v>
      </c>
      <c r="BL516" s="32">
        <f t="shared" si="284"/>
        <v>0</v>
      </c>
      <c r="BM516" s="32">
        <f t="shared" si="285"/>
        <v>0</v>
      </c>
      <c r="BN516" s="32">
        <f t="shared" si="286"/>
        <v>0</v>
      </c>
      <c r="BO516" s="32">
        <f t="shared" si="287"/>
        <v>0</v>
      </c>
      <c r="BP516" s="32">
        <f t="shared" si="288"/>
        <v>0</v>
      </c>
      <c r="BQ516" s="32">
        <f t="shared" si="289"/>
        <v>0</v>
      </c>
      <c r="BR516" s="32">
        <f t="shared" si="290"/>
        <v>0</v>
      </c>
      <c r="BS516" s="32">
        <f t="shared" si="291"/>
        <v>0</v>
      </c>
      <c r="BT516" s="40">
        <f t="shared" si="292"/>
        <v>0</v>
      </c>
    </row>
    <row r="517" spans="1:72">
      <c r="A517" s="6"/>
      <c r="B517" s="31"/>
      <c r="C517" s="31"/>
      <c r="D517" s="1629"/>
      <c r="E517" s="32">
        <f t="shared" si="293"/>
        <v>0</v>
      </c>
      <c r="F517" s="33"/>
      <c r="G517" s="34">
        <f t="shared" si="268"/>
        <v>0</v>
      </c>
      <c r="H517" s="35">
        <f t="shared" si="269"/>
        <v>0</v>
      </c>
      <c r="I517" s="36"/>
      <c r="J517" s="36"/>
      <c r="K517" s="36"/>
      <c r="L517" s="36"/>
      <c r="M517" s="36"/>
      <c r="N517" s="36"/>
      <c r="O517" s="36"/>
      <c r="P517" s="36"/>
      <c r="Q517" s="36"/>
      <c r="R517" s="36"/>
      <c r="S517" s="36"/>
      <c r="T517" s="36"/>
      <c r="U517" s="36"/>
      <c r="V517" s="36"/>
      <c r="W517" s="36"/>
      <c r="X517" s="36"/>
      <c r="Y517" s="36"/>
      <c r="Z517" s="36"/>
      <c r="AA517" s="36"/>
      <c r="AB517" s="36"/>
      <c r="AC517" s="32">
        <f t="shared" si="270"/>
        <v>0</v>
      </c>
      <c r="AD517" s="37"/>
      <c r="AE517" s="37"/>
      <c r="AF517" s="37"/>
      <c r="AG517" s="37"/>
      <c r="AH517" s="37"/>
      <c r="AI517" s="37"/>
      <c r="AJ517" s="37"/>
      <c r="AK517" s="37"/>
      <c r="AL517" s="37"/>
      <c r="AM517" s="37"/>
      <c r="AN517" s="37"/>
      <c r="AO517" s="37"/>
      <c r="AP517" s="37"/>
      <c r="AQ517" s="37"/>
      <c r="AR517" s="37"/>
      <c r="AS517" s="37"/>
      <c r="AT517" s="38"/>
      <c r="AU517" s="1630"/>
      <c r="AV517" s="1342">
        <f t="shared" si="294"/>
        <v>0</v>
      </c>
      <c r="AW517" s="1342">
        <f t="shared" si="295"/>
        <v>0</v>
      </c>
      <c r="AX517" s="1342">
        <f t="shared" si="296"/>
        <v>0</v>
      </c>
      <c r="AY517" s="39">
        <f t="shared" si="271"/>
        <v>0</v>
      </c>
      <c r="AZ517" s="32">
        <f t="shared" si="272"/>
        <v>0</v>
      </c>
      <c r="BA517" s="32">
        <f t="shared" si="273"/>
        <v>0</v>
      </c>
      <c r="BB517" s="32">
        <f t="shared" si="274"/>
        <v>0</v>
      </c>
      <c r="BC517" s="32">
        <f t="shared" si="275"/>
        <v>0</v>
      </c>
      <c r="BD517" s="32">
        <f t="shared" si="276"/>
        <v>0</v>
      </c>
      <c r="BE517" s="32">
        <f t="shared" si="277"/>
        <v>0</v>
      </c>
      <c r="BF517" s="32">
        <f t="shared" si="278"/>
        <v>0</v>
      </c>
      <c r="BG517" s="32">
        <f t="shared" si="279"/>
        <v>0</v>
      </c>
      <c r="BH517" s="32">
        <f t="shared" si="280"/>
        <v>0</v>
      </c>
      <c r="BI517" s="32">
        <f t="shared" si="281"/>
        <v>0</v>
      </c>
      <c r="BJ517" s="32">
        <f t="shared" si="282"/>
        <v>0</v>
      </c>
      <c r="BK517" s="32">
        <f t="shared" si="283"/>
        <v>0</v>
      </c>
      <c r="BL517" s="32">
        <f t="shared" si="284"/>
        <v>0</v>
      </c>
      <c r="BM517" s="32">
        <f t="shared" si="285"/>
        <v>0</v>
      </c>
      <c r="BN517" s="32">
        <f t="shared" si="286"/>
        <v>0</v>
      </c>
      <c r="BO517" s="32">
        <f t="shared" si="287"/>
        <v>0</v>
      </c>
      <c r="BP517" s="32">
        <f t="shared" si="288"/>
        <v>0</v>
      </c>
      <c r="BQ517" s="32">
        <f t="shared" si="289"/>
        <v>0</v>
      </c>
      <c r="BR517" s="32">
        <f t="shared" si="290"/>
        <v>0</v>
      </c>
      <c r="BS517" s="32">
        <f t="shared" si="291"/>
        <v>0</v>
      </c>
      <c r="BT517" s="40">
        <f t="shared" si="292"/>
        <v>0</v>
      </c>
    </row>
    <row r="518" spans="1:72">
      <c r="A518" s="6"/>
      <c r="B518" s="31"/>
      <c r="C518" s="31"/>
      <c r="D518" s="1629"/>
      <c r="E518" s="32">
        <f t="shared" si="293"/>
        <v>0</v>
      </c>
      <c r="F518" s="33"/>
      <c r="G518" s="34">
        <f t="shared" si="268"/>
        <v>0</v>
      </c>
      <c r="H518" s="35">
        <f t="shared" si="269"/>
        <v>0</v>
      </c>
      <c r="I518" s="36"/>
      <c r="J518" s="36"/>
      <c r="K518" s="36"/>
      <c r="L518" s="36"/>
      <c r="M518" s="36"/>
      <c r="N518" s="36"/>
      <c r="O518" s="36"/>
      <c r="P518" s="36"/>
      <c r="Q518" s="36"/>
      <c r="R518" s="36"/>
      <c r="S518" s="36"/>
      <c r="T518" s="36"/>
      <c r="U518" s="36"/>
      <c r="V518" s="36"/>
      <c r="W518" s="36"/>
      <c r="X518" s="36"/>
      <c r="Y518" s="36"/>
      <c r="Z518" s="36"/>
      <c r="AA518" s="36"/>
      <c r="AB518" s="36"/>
      <c r="AC518" s="32">
        <f t="shared" si="270"/>
        <v>0</v>
      </c>
      <c r="AD518" s="37"/>
      <c r="AE518" s="37"/>
      <c r="AF518" s="37"/>
      <c r="AG518" s="37"/>
      <c r="AH518" s="37"/>
      <c r="AI518" s="37"/>
      <c r="AJ518" s="37"/>
      <c r="AK518" s="37"/>
      <c r="AL518" s="37"/>
      <c r="AM518" s="37"/>
      <c r="AN518" s="37"/>
      <c r="AO518" s="37"/>
      <c r="AP518" s="37"/>
      <c r="AQ518" s="37"/>
      <c r="AR518" s="37"/>
      <c r="AS518" s="37"/>
      <c r="AT518" s="38"/>
      <c r="AU518" s="1630"/>
      <c r="AV518" s="1342">
        <f t="shared" si="294"/>
        <v>0</v>
      </c>
      <c r="AW518" s="1342">
        <f t="shared" si="295"/>
        <v>0</v>
      </c>
      <c r="AX518" s="1342">
        <f t="shared" si="296"/>
        <v>0</v>
      </c>
      <c r="AY518" s="39">
        <f t="shared" si="271"/>
        <v>0</v>
      </c>
      <c r="AZ518" s="32">
        <f t="shared" si="272"/>
        <v>0</v>
      </c>
      <c r="BA518" s="32">
        <f t="shared" si="273"/>
        <v>0</v>
      </c>
      <c r="BB518" s="32">
        <f t="shared" si="274"/>
        <v>0</v>
      </c>
      <c r="BC518" s="32">
        <f t="shared" si="275"/>
        <v>0</v>
      </c>
      <c r="BD518" s="32">
        <f t="shared" si="276"/>
        <v>0</v>
      </c>
      <c r="BE518" s="32">
        <f t="shared" si="277"/>
        <v>0</v>
      </c>
      <c r="BF518" s="32">
        <f t="shared" si="278"/>
        <v>0</v>
      </c>
      <c r="BG518" s="32">
        <f t="shared" si="279"/>
        <v>0</v>
      </c>
      <c r="BH518" s="32">
        <f t="shared" si="280"/>
        <v>0</v>
      </c>
      <c r="BI518" s="32">
        <f t="shared" si="281"/>
        <v>0</v>
      </c>
      <c r="BJ518" s="32">
        <f t="shared" si="282"/>
        <v>0</v>
      </c>
      <c r="BK518" s="32">
        <f t="shared" si="283"/>
        <v>0</v>
      </c>
      <c r="BL518" s="32">
        <f t="shared" si="284"/>
        <v>0</v>
      </c>
      <c r="BM518" s="32">
        <f t="shared" si="285"/>
        <v>0</v>
      </c>
      <c r="BN518" s="32">
        <f t="shared" si="286"/>
        <v>0</v>
      </c>
      <c r="BO518" s="32">
        <f t="shared" si="287"/>
        <v>0</v>
      </c>
      <c r="BP518" s="32">
        <f t="shared" si="288"/>
        <v>0</v>
      </c>
      <c r="BQ518" s="32">
        <f t="shared" si="289"/>
        <v>0</v>
      </c>
      <c r="BR518" s="32">
        <f t="shared" si="290"/>
        <v>0</v>
      </c>
      <c r="BS518" s="32">
        <f t="shared" si="291"/>
        <v>0</v>
      </c>
      <c r="BT518" s="40">
        <f t="shared" si="292"/>
        <v>0</v>
      </c>
    </row>
    <row r="519" spans="1:72">
      <c r="A519" s="6"/>
      <c r="B519" s="31"/>
      <c r="C519" s="31"/>
      <c r="D519" s="1629"/>
      <c r="E519" s="32">
        <f t="shared" si="293"/>
        <v>0</v>
      </c>
      <c r="F519" s="33"/>
      <c r="G519" s="34">
        <f t="shared" si="268"/>
        <v>0</v>
      </c>
      <c r="H519" s="35">
        <f t="shared" si="269"/>
        <v>0</v>
      </c>
      <c r="I519" s="36"/>
      <c r="J519" s="36"/>
      <c r="K519" s="36"/>
      <c r="L519" s="36"/>
      <c r="M519" s="36"/>
      <c r="N519" s="36"/>
      <c r="O519" s="36"/>
      <c r="P519" s="36"/>
      <c r="Q519" s="36"/>
      <c r="R519" s="36"/>
      <c r="S519" s="36"/>
      <c r="T519" s="36"/>
      <c r="U519" s="36"/>
      <c r="V519" s="36"/>
      <c r="W519" s="36"/>
      <c r="X519" s="36"/>
      <c r="Y519" s="36"/>
      <c r="Z519" s="36"/>
      <c r="AA519" s="36"/>
      <c r="AB519" s="36"/>
      <c r="AC519" s="32">
        <f t="shared" si="270"/>
        <v>0</v>
      </c>
      <c r="AD519" s="37"/>
      <c r="AE519" s="37"/>
      <c r="AF519" s="37"/>
      <c r="AG519" s="37"/>
      <c r="AH519" s="37"/>
      <c r="AI519" s="37"/>
      <c r="AJ519" s="37"/>
      <c r="AK519" s="37"/>
      <c r="AL519" s="37"/>
      <c r="AM519" s="37"/>
      <c r="AN519" s="37"/>
      <c r="AO519" s="37"/>
      <c r="AP519" s="37"/>
      <c r="AQ519" s="37"/>
      <c r="AR519" s="37"/>
      <c r="AS519" s="37"/>
      <c r="AT519" s="38"/>
      <c r="AU519" s="1630"/>
      <c r="AV519" s="1342">
        <f t="shared" si="294"/>
        <v>0</v>
      </c>
      <c r="AW519" s="1342">
        <f t="shared" si="295"/>
        <v>0</v>
      </c>
      <c r="AX519" s="1342">
        <f t="shared" si="296"/>
        <v>0</v>
      </c>
      <c r="AY519" s="39">
        <f t="shared" si="271"/>
        <v>0</v>
      </c>
      <c r="AZ519" s="32">
        <f t="shared" si="272"/>
        <v>0</v>
      </c>
      <c r="BA519" s="32">
        <f t="shared" si="273"/>
        <v>0</v>
      </c>
      <c r="BB519" s="32">
        <f t="shared" si="274"/>
        <v>0</v>
      </c>
      <c r="BC519" s="32">
        <f t="shared" si="275"/>
        <v>0</v>
      </c>
      <c r="BD519" s="32">
        <f t="shared" si="276"/>
        <v>0</v>
      </c>
      <c r="BE519" s="32">
        <f t="shared" si="277"/>
        <v>0</v>
      </c>
      <c r="BF519" s="32">
        <f t="shared" si="278"/>
        <v>0</v>
      </c>
      <c r="BG519" s="32">
        <f t="shared" si="279"/>
        <v>0</v>
      </c>
      <c r="BH519" s="32">
        <f t="shared" si="280"/>
        <v>0</v>
      </c>
      <c r="BI519" s="32">
        <f t="shared" si="281"/>
        <v>0</v>
      </c>
      <c r="BJ519" s="32">
        <f t="shared" si="282"/>
        <v>0</v>
      </c>
      <c r="BK519" s="32">
        <f t="shared" si="283"/>
        <v>0</v>
      </c>
      <c r="BL519" s="32">
        <f t="shared" si="284"/>
        <v>0</v>
      </c>
      <c r="BM519" s="32">
        <f t="shared" si="285"/>
        <v>0</v>
      </c>
      <c r="BN519" s="32">
        <f t="shared" si="286"/>
        <v>0</v>
      </c>
      <c r="BO519" s="32">
        <f t="shared" si="287"/>
        <v>0</v>
      </c>
      <c r="BP519" s="32">
        <f t="shared" si="288"/>
        <v>0</v>
      </c>
      <c r="BQ519" s="32">
        <f t="shared" si="289"/>
        <v>0</v>
      </c>
      <c r="BR519" s="32">
        <f t="shared" si="290"/>
        <v>0</v>
      </c>
      <c r="BS519" s="32">
        <f t="shared" si="291"/>
        <v>0</v>
      </c>
      <c r="BT519" s="40">
        <f t="shared" si="292"/>
        <v>0</v>
      </c>
    </row>
    <row r="520" spans="1:72">
      <c r="A520" s="6"/>
      <c r="B520" s="31"/>
      <c r="C520" s="31"/>
      <c r="D520" s="1629"/>
      <c r="E520" s="32">
        <f t="shared" ref="E520:E551" si="297">IF($C$3="是",ROUND($A$3*G520/$B$3,2),ROUND($A$3*(G520-AT520)/$B$3,2))</f>
        <v>0</v>
      </c>
      <c r="F520" s="33"/>
      <c r="G520" s="34">
        <f t="shared" si="268"/>
        <v>0</v>
      </c>
      <c r="H520" s="35">
        <f t="shared" si="269"/>
        <v>0</v>
      </c>
      <c r="I520" s="36"/>
      <c r="J520" s="36"/>
      <c r="K520" s="36"/>
      <c r="L520" s="36"/>
      <c r="M520" s="36"/>
      <c r="N520" s="36"/>
      <c r="O520" s="36"/>
      <c r="P520" s="36"/>
      <c r="Q520" s="36"/>
      <c r="R520" s="36"/>
      <c r="S520" s="36"/>
      <c r="T520" s="36"/>
      <c r="U520" s="36"/>
      <c r="V520" s="36"/>
      <c r="W520" s="36"/>
      <c r="X520" s="36"/>
      <c r="Y520" s="36"/>
      <c r="Z520" s="36"/>
      <c r="AA520" s="36"/>
      <c r="AB520" s="36"/>
      <c r="AC520" s="32">
        <f t="shared" si="270"/>
        <v>0</v>
      </c>
      <c r="AD520" s="37"/>
      <c r="AE520" s="37"/>
      <c r="AF520" s="37"/>
      <c r="AG520" s="37"/>
      <c r="AH520" s="37"/>
      <c r="AI520" s="37"/>
      <c r="AJ520" s="37"/>
      <c r="AK520" s="37"/>
      <c r="AL520" s="37"/>
      <c r="AM520" s="37"/>
      <c r="AN520" s="37"/>
      <c r="AO520" s="37"/>
      <c r="AP520" s="37"/>
      <c r="AQ520" s="37"/>
      <c r="AR520" s="37"/>
      <c r="AS520" s="37"/>
      <c r="AT520" s="38"/>
      <c r="AU520" s="1630"/>
      <c r="AV520" s="1342">
        <f t="shared" si="294"/>
        <v>0</v>
      </c>
      <c r="AW520" s="1342">
        <f t="shared" si="295"/>
        <v>0</v>
      </c>
      <c r="AX520" s="1342">
        <f t="shared" si="296"/>
        <v>0</v>
      </c>
      <c r="AY520" s="39">
        <f t="shared" si="271"/>
        <v>0</v>
      </c>
      <c r="AZ520" s="32">
        <f t="shared" si="272"/>
        <v>0</v>
      </c>
      <c r="BA520" s="32">
        <f t="shared" si="273"/>
        <v>0</v>
      </c>
      <c r="BB520" s="32">
        <f t="shared" si="274"/>
        <v>0</v>
      </c>
      <c r="BC520" s="32">
        <f t="shared" si="275"/>
        <v>0</v>
      </c>
      <c r="BD520" s="32">
        <f t="shared" si="276"/>
        <v>0</v>
      </c>
      <c r="BE520" s="32">
        <f t="shared" si="277"/>
        <v>0</v>
      </c>
      <c r="BF520" s="32">
        <f t="shared" si="278"/>
        <v>0</v>
      </c>
      <c r="BG520" s="32">
        <f t="shared" si="279"/>
        <v>0</v>
      </c>
      <c r="BH520" s="32">
        <f t="shared" si="280"/>
        <v>0</v>
      </c>
      <c r="BI520" s="32">
        <f t="shared" si="281"/>
        <v>0</v>
      </c>
      <c r="BJ520" s="32">
        <f t="shared" si="282"/>
        <v>0</v>
      </c>
      <c r="BK520" s="32">
        <f t="shared" si="283"/>
        <v>0</v>
      </c>
      <c r="BL520" s="32">
        <f t="shared" si="284"/>
        <v>0</v>
      </c>
      <c r="BM520" s="32">
        <f t="shared" si="285"/>
        <v>0</v>
      </c>
      <c r="BN520" s="32">
        <f t="shared" si="286"/>
        <v>0</v>
      </c>
      <c r="BO520" s="32">
        <f t="shared" si="287"/>
        <v>0</v>
      </c>
      <c r="BP520" s="32">
        <f t="shared" si="288"/>
        <v>0</v>
      </c>
      <c r="BQ520" s="32">
        <f t="shared" si="289"/>
        <v>0</v>
      </c>
      <c r="BR520" s="32">
        <f t="shared" si="290"/>
        <v>0</v>
      </c>
      <c r="BS520" s="32">
        <f t="shared" si="291"/>
        <v>0</v>
      </c>
      <c r="BT520" s="40">
        <f t="shared" si="292"/>
        <v>0</v>
      </c>
    </row>
    <row r="521" spans="1:72">
      <c r="A521" s="6"/>
      <c r="B521" s="31"/>
      <c r="C521" s="31"/>
      <c r="D521" s="1629"/>
      <c r="E521" s="32">
        <f t="shared" si="297"/>
        <v>0</v>
      </c>
      <c r="F521" s="33"/>
      <c r="G521" s="34">
        <f t="shared" si="268"/>
        <v>0</v>
      </c>
      <c r="H521" s="35">
        <f t="shared" si="269"/>
        <v>0</v>
      </c>
      <c r="I521" s="36"/>
      <c r="J521" s="36"/>
      <c r="K521" s="36"/>
      <c r="L521" s="36"/>
      <c r="M521" s="36"/>
      <c r="N521" s="36"/>
      <c r="O521" s="36"/>
      <c r="P521" s="36"/>
      <c r="Q521" s="36"/>
      <c r="R521" s="36"/>
      <c r="S521" s="36"/>
      <c r="T521" s="36"/>
      <c r="U521" s="36"/>
      <c r="V521" s="36"/>
      <c r="W521" s="36"/>
      <c r="X521" s="36"/>
      <c r="Y521" s="36"/>
      <c r="Z521" s="36"/>
      <c r="AA521" s="36"/>
      <c r="AB521" s="36"/>
      <c r="AC521" s="32">
        <f t="shared" si="270"/>
        <v>0</v>
      </c>
      <c r="AD521" s="37"/>
      <c r="AE521" s="37"/>
      <c r="AF521" s="37"/>
      <c r="AG521" s="37"/>
      <c r="AH521" s="37"/>
      <c r="AI521" s="37"/>
      <c r="AJ521" s="37"/>
      <c r="AK521" s="37"/>
      <c r="AL521" s="37"/>
      <c r="AM521" s="37"/>
      <c r="AN521" s="37"/>
      <c r="AO521" s="37"/>
      <c r="AP521" s="37"/>
      <c r="AQ521" s="37"/>
      <c r="AR521" s="37"/>
      <c r="AS521" s="37"/>
      <c r="AT521" s="38"/>
      <c r="AU521" s="1630"/>
      <c r="AV521" s="1342">
        <f t="shared" ref="AV521:AV552" si="298">A521</f>
        <v>0</v>
      </c>
      <c r="AW521" s="1342">
        <f t="shared" ref="AW521:AW552" si="299">B521</f>
        <v>0</v>
      </c>
      <c r="AX521" s="1342">
        <f t="shared" ref="AX521:AX552" si="300">C521</f>
        <v>0</v>
      </c>
      <c r="AY521" s="39">
        <f t="shared" si="271"/>
        <v>0</v>
      </c>
      <c r="AZ521" s="32">
        <f t="shared" si="272"/>
        <v>0</v>
      </c>
      <c r="BA521" s="32">
        <f t="shared" si="273"/>
        <v>0</v>
      </c>
      <c r="BB521" s="32">
        <f t="shared" si="274"/>
        <v>0</v>
      </c>
      <c r="BC521" s="32">
        <f t="shared" si="275"/>
        <v>0</v>
      </c>
      <c r="BD521" s="32">
        <f t="shared" si="276"/>
        <v>0</v>
      </c>
      <c r="BE521" s="32">
        <f t="shared" si="277"/>
        <v>0</v>
      </c>
      <c r="BF521" s="32">
        <f t="shared" si="278"/>
        <v>0</v>
      </c>
      <c r="BG521" s="32">
        <f t="shared" si="279"/>
        <v>0</v>
      </c>
      <c r="BH521" s="32">
        <f t="shared" si="280"/>
        <v>0</v>
      </c>
      <c r="BI521" s="32">
        <f t="shared" si="281"/>
        <v>0</v>
      </c>
      <c r="BJ521" s="32">
        <f t="shared" si="282"/>
        <v>0</v>
      </c>
      <c r="BK521" s="32">
        <f t="shared" si="283"/>
        <v>0</v>
      </c>
      <c r="BL521" s="32">
        <f t="shared" si="284"/>
        <v>0</v>
      </c>
      <c r="BM521" s="32">
        <f t="shared" si="285"/>
        <v>0</v>
      </c>
      <c r="BN521" s="32">
        <f t="shared" si="286"/>
        <v>0</v>
      </c>
      <c r="BO521" s="32">
        <f t="shared" si="287"/>
        <v>0</v>
      </c>
      <c r="BP521" s="32">
        <f t="shared" si="288"/>
        <v>0</v>
      </c>
      <c r="BQ521" s="32">
        <f t="shared" si="289"/>
        <v>0</v>
      </c>
      <c r="BR521" s="32">
        <f t="shared" si="290"/>
        <v>0</v>
      </c>
      <c r="BS521" s="32">
        <f t="shared" si="291"/>
        <v>0</v>
      </c>
      <c r="BT521" s="40">
        <f t="shared" si="292"/>
        <v>0</v>
      </c>
    </row>
    <row r="522" spans="1:72">
      <c r="A522" s="6"/>
      <c r="B522" s="31"/>
      <c r="C522" s="31"/>
      <c r="D522" s="1629"/>
      <c r="E522" s="32">
        <f t="shared" si="297"/>
        <v>0</v>
      </c>
      <c r="F522" s="33"/>
      <c r="G522" s="34">
        <f t="shared" ref="G522:G552" si="301">H522+AC522+AT522</f>
        <v>0</v>
      </c>
      <c r="H522" s="35">
        <f t="shared" ref="H522:H552" si="302">SUMIF(I$12:AB$12,"总值",I522:AB522)</f>
        <v>0</v>
      </c>
      <c r="I522" s="36"/>
      <c r="J522" s="36"/>
      <c r="K522" s="36"/>
      <c r="L522" s="36"/>
      <c r="M522" s="36"/>
      <c r="N522" s="36"/>
      <c r="O522" s="36"/>
      <c r="P522" s="36"/>
      <c r="Q522" s="36"/>
      <c r="R522" s="36"/>
      <c r="S522" s="36"/>
      <c r="T522" s="36"/>
      <c r="U522" s="36"/>
      <c r="V522" s="36"/>
      <c r="W522" s="36"/>
      <c r="X522" s="36"/>
      <c r="Y522" s="36"/>
      <c r="Z522" s="36"/>
      <c r="AA522" s="36"/>
      <c r="AB522" s="36"/>
      <c r="AC522" s="32">
        <f t="shared" ref="AC522:AC552" si="303">SUMIF(AD$12:AS$12,"总值",AD522:AS522)</f>
        <v>0</v>
      </c>
      <c r="AD522" s="37"/>
      <c r="AE522" s="37"/>
      <c r="AF522" s="37"/>
      <c r="AG522" s="37"/>
      <c r="AH522" s="37"/>
      <c r="AI522" s="37"/>
      <c r="AJ522" s="37"/>
      <c r="AK522" s="37"/>
      <c r="AL522" s="37"/>
      <c r="AM522" s="37"/>
      <c r="AN522" s="37"/>
      <c r="AO522" s="37"/>
      <c r="AP522" s="37"/>
      <c r="AQ522" s="37"/>
      <c r="AR522" s="37"/>
      <c r="AS522" s="37"/>
      <c r="AT522" s="38"/>
      <c r="AU522" s="1630"/>
      <c r="AV522" s="1342">
        <f t="shared" si="298"/>
        <v>0</v>
      </c>
      <c r="AW522" s="1342">
        <f t="shared" si="299"/>
        <v>0</v>
      </c>
      <c r="AX522" s="1342">
        <f t="shared" si="300"/>
        <v>0</v>
      </c>
      <c r="AY522" s="39">
        <f t="shared" ref="AY522:AY552" si="304">ROUND($AY$6*AZ522/$AZ$5,2)</f>
        <v>0</v>
      </c>
      <c r="AZ522" s="32">
        <f t="shared" ref="AZ522:AZ552" si="305">BA522+BL522</f>
        <v>0</v>
      </c>
      <c r="BA522" s="32">
        <f t="shared" ref="BA522:BA552" si="306">SUM(BB522:BK522)</f>
        <v>0</v>
      </c>
      <c r="BB522" s="32">
        <f t="shared" ref="BB522:BB552" si="307">IF($D522="是",I522-J522,0)</f>
        <v>0</v>
      </c>
      <c r="BC522" s="32">
        <f t="shared" ref="BC522:BC552" si="308">IF($D522="是",K522-L522,0)</f>
        <v>0</v>
      </c>
      <c r="BD522" s="32">
        <f t="shared" ref="BD522:BD552" si="309">IF($D522="是",M522-N522,0)</f>
        <v>0</v>
      </c>
      <c r="BE522" s="32">
        <f t="shared" ref="BE522:BE552" si="310">IF($D522="是",O522-P522,0)</f>
        <v>0</v>
      </c>
      <c r="BF522" s="32">
        <f t="shared" ref="BF522:BF552" si="311">IF($D522="是",Q522-R522,0)</f>
        <v>0</v>
      </c>
      <c r="BG522" s="32">
        <f t="shared" ref="BG522:BG552" si="312">IF($D522="是",S522-T522,0)</f>
        <v>0</v>
      </c>
      <c r="BH522" s="32">
        <f t="shared" ref="BH522:BH552" si="313">IF($D522="是",U522-V522,0)</f>
        <v>0</v>
      </c>
      <c r="BI522" s="32">
        <f t="shared" ref="BI522:BI552" si="314">IF($D522="是",W522-X522,0)</f>
        <v>0</v>
      </c>
      <c r="BJ522" s="32">
        <f t="shared" ref="BJ522:BJ552" si="315">IF($D522="是",Y522-Z522,0)</f>
        <v>0</v>
      </c>
      <c r="BK522" s="32">
        <f t="shared" ref="BK522:BK552" si="316">IF($D522="是",AA522-AB522,0)</f>
        <v>0</v>
      </c>
      <c r="BL522" s="32">
        <f t="shared" ref="BL522:BL552" si="317">SUM(BM522:BT522)</f>
        <v>0</v>
      </c>
      <c r="BM522" s="32">
        <f t="shared" ref="BM522:BM552" si="318">IF($D522="是",AD522-AE522,0)</f>
        <v>0</v>
      </c>
      <c r="BN522" s="32">
        <f t="shared" ref="BN522:BN552" si="319">IF($D522="是",AF522-AG522,0)</f>
        <v>0</v>
      </c>
      <c r="BO522" s="32">
        <f t="shared" ref="BO522:BO552" si="320">IF($D522="是",AH522-AI522,0)</f>
        <v>0</v>
      </c>
      <c r="BP522" s="32">
        <f t="shared" ref="BP522:BP552" si="321">IF($D522="是",AJ522-AK522,0)</f>
        <v>0</v>
      </c>
      <c r="BQ522" s="32">
        <f t="shared" ref="BQ522:BQ552" si="322">IF($D522="是",AL522-AM522,0)</f>
        <v>0</v>
      </c>
      <c r="BR522" s="32">
        <f t="shared" ref="BR522:BR552" si="323">IF($D522="是",AN522-AO522,0)</f>
        <v>0</v>
      </c>
      <c r="BS522" s="32">
        <f t="shared" ref="BS522:BS552" si="324">IF($D522="是",AP522-AQ522,0)</f>
        <v>0</v>
      </c>
      <c r="BT522" s="40">
        <f t="shared" ref="BT522:BT552" si="325">IF($D522="是",AR522-AS522,0)</f>
        <v>0</v>
      </c>
    </row>
    <row r="523" spans="1:72">
      <c r="A523" s="6"/>
      <c r="B523" s="31"/>
      <c r="C523" s="31"/>
      <c r="D523" s="1629"/>
      <c r="E523" s="32">
        <f t="shared" si="297"/>
        <v>0</v>
      </c>
      <c r="F523" s="33"/>
      <c r="G523" s="34">
        <f t="shared" si="301"/>
        <v>0</v>
      </c>
      <c r="H523" s="35">
        <f t="shared" si="302"/>
        <v>0</v>
      </c>
      <c r="I523" s="36"/>
      <c r="J523" s="36"/>
      <c r="K523" s="36"/>
      <c r="L523" s="36"/>
      <c r="M523" s="36"/>
      <c r="N523" s="36"/>
      <c r="O523" s="36"/>
      <c r="P523" s="36"/>
      <c r="Q523" s="36"/>
      <c r="R523" s="36"/>
      <c r="S523" s="36"/>
      <c r="T523" s="36"/>
      <c r="U523" s="36"/>
      <c r="V523" s="36"/>
      <c r="W523" s="36"/>
      <c r="X523" s="36"/>
      <c r="Y523" s="36"/>
      <c r="Z523" s="36"/>
      <c r="AA523" s="36"/>
      <c r="AB523" s="36"/>
      <c r="AC523" s="32">
        <f t="shared" si="303"/>
        <v>0</v>
      </c>
      <c r="AD523" s="37"/>
      <c r="AE523" s="37"/>
      <c r="AF523" s="37"/>
      <c r="AG523" s="37"/>
      <c r="AH523" s="37"/>
      <c r="AI523" s="37"/>
      <c r="AJ523" s="37"/>
      <c r="AK523" s="37"/>
      <c r="AL523" s="37"/>
      <c r="AM523" s="37"/>
      <c r="AN523" s="37"/>
      <c r="AO523" s="37"/>
      <c r="AP523" s="37"/>
      <c r="AQ523" s="37"/>
      <c r="AR523" s="37"/>
      <c r="AS523" s="37"/>
      <c r="AT523" s="38"/>
      <c r="AU523" s="1630"/>
      <c r="AV523" s="1342">
        <f t="shared" si="298"/>
        <v>0</v>
      </c>
      <c r="AW523" s="1342">
        <f t="shared" si="299"/>
        <v>0</v>
      </c>
      <c r="AX523" s="1342">
        <f t="shared" si="300"/>
        <v>0</v>
      </c>
      <c r="AY523" s="39">
        <f t="shared" si="304"/>
        <v>0</v>
      </c>
      <c r="AZ523" s="32">
        <f t="shared" si="305"/>
        <v>0</v>
      </c>
      <c r="BA523" s="32">
        <f t="shared" si="306"/>
        <v>0</v>
      </c>
      <c r="BB523" s="32">
        <f t="shared" si="307"/>
        <v>0</v>
      </c>
      <c r="BC523" s="32">
        <f t="shared" si="308"/>
        <v>0</v>
      </c>
      <c r="BD523" s="32">
        <f t="shared" si="309"/>
        <v>0</v>
      </c>
      <c r="BE523" s="32">
        <f t="shared" si="310"/>
        <v>0</v>
      </c>
      <c r="BF523" s="32">
        <f t="shared" si="311"/>
        <v>0</v>
      </c>
      <c r="BG523" s="32">
        <f t="shared" si="312"/>
        <v>0</v>
      </c>
      <c r="BH523" s="32">
        <f t="shared" si="313"/>
        <v>0</v>
      </c>
      <c r="BI523" s="32">
        <f t="shared" si="314"/>
        <v>0</v>
      </c>
      <c r="BJ523" s="32">
        <f t="shared" si="315"/>
        <v>0</v>
      </c>
      <c r="BK523" s="32">
        <f t="shared" si="316"/>
        <v>0</v>
      </c>
      <c r="BL523" s="32">
        <f t="shared" si="317"/>
        <v>0</v>
      </c>
      <c r="BM523" s="32">
        <f t="shared" si="318"/>
        <v>0</v>
      </c>
      <c r="BN523" s="32">
        <f t="shared" si="319"/>
        <v>0</v>
      </c>
      <c r="BO523" s="32">
        <f t="shared" si="320"/>
        <v>0</v>
      </c>
      <c r="BP523" s="32">
        <f t="shared" si="321"/>
        <v>0</v>
      </c>
      <c r="BQ523" s="32">
        <f t="shared" si="322"/>
        <v>0</v>
      </c>
      <c r="BR523" s="32">
        <f t="shared" si="323"/>
        <v>0</v>
      </c>
      <c r="BS523" s="32">
        <f t="shared" si="324"/>
        <v>0</v>
      </c>
      <c r="BT523" s="40">
        <f t="shared" si="325"/>
        <v>0</v>
      </c>
    </row>
    <row r="524" spans="1:72">
      <c r="A524" s="6"/>
      <c r="B524" s="31"/>
      <c r="C524" s="31"/>
      <c r="D524" s="1629"/>
      <c r="E524" s="32">
        <f t="shared" si="297"/>
        <v>0</v>
      </c>
      <c r="F524" s="33"/>
      <c r="G524" s="34">
        <f t="shared" si="301"/>
        <v>0</v>
      </c>
      <c r="H524" s="35">
        <f t="shared" si="302"/>
        <v>0</v>
      </c>
      <c r="I524" s="36"/>
      <c r="J524" s="36"/>
      <c r="K524" s="36"/>
      <c r="L524" s="36"/>
      <c r="M524" s="36"/>
      <c r="N524" s="36"/>
      <c r="O524" s="36"/>
      <c r="P524" s="36"/>
      <c r="Q524" s="36"/>
      <c r="R524" s="36"/>
      <c r="S524" s="36"/>
      <c r="T524" s="36"/>
      <c r="U524" s="36"/>
      <c r="V524" s="36"/>
      <c r="W524" s="36"/>
      <c r="X524" s="36"/>
      <c r="Y524" s="36"/>
      <c r="Z524" s="36"/>
      <c r="AA524" s="36"/>
      <c r="AB524" s="36"/>
      <c r="AC524" s="32">
        <f t="shared" si="303"/>
        <v>0</v>
      </c>
      <c r="AD524" s="37"/>
      <c r="AE524" s="37"/>
      <c r="AF524" s="37"/>
      <c r="AG524" s="37"/>
      <c r="AH524" s="37"/>
      <c r="AI524" s="37"/>
      <c r="AJ524" s="37"/>
      <c r="AK524" s="37"/>
      <c r="AL524" s="37"/>
      <c r="AM524" s="37"/>
      <c r="AN524" s="37"/>
      <c r="AO524" s="37"/>
      <c r="AP524" s="37"/>
      <c r="AQ524" s="37"/>
      <c r="AR524" s="37"/>
      <c r="AS524" s="37"/>
      <c r="AT524" s="38"/>
      <c r="AU524" s="1630"/>
      <c r="AV524" s="1342">
        <f t="shared" si="298"/>
        <v>0</v>
      </c>
      <c r="AW524" s="1342">
        <f t="shared" si="299"/>
        <v>0</v>
      </c>
      <c r="AX524" s="1342">
        <f t="shared" si="300"/>
        <v>0</v>
      </c>
      <c r="AY524" s="39">
        <f t="shared" si="304"/>
        <v>0</v>
      </c>
      <c r="AZ524" s="32">
        <f t="shared" si="305"/>
        <v>0</v>
      </c>
      <c r="BA524" s="32">
        <f t="shared" si="306"/>
        <v>0</v>
      </c>
      <c r="BB524" s="32">
        <f t="shared" si="307"/>
        <v>0</v>
      </c>
      <c r="BC524" s="32">
        <f t="shared" si="308"/>
        <v>0</v>
      </c>
      <c r="BD524" s="32">
        <f t="shared" si="309"/>
        <v>0</v>
      </c>
      <c r="BE524" s="32">
        <f t="shared" si="310"/>
        <v>0</v>
      </c>
      <c r="BF524" s="32">
        <f t="shared" si="311"/>
        <v>0</v>
      </c>
      <c r="BG524" s="32">
        <f t="shared" si="312"/>
        <v>0</v>
      </c>
      <c r="BH524" s="32">
        <f t="shared" si="313"/>
        <v>0</v>
      </c>
      <c r="BI524" s="32">
        <f t="shared" si="314"/>
        <v>0</v>
      </c>
      <c r="BJ524" s="32">
        <f t="shared" si="315"/>
        <v>0</v>
      </c>
      <c r="BK524" s="32">
        <f t="shared" si="316"/>
        <v>0</v>
      </c>
      <c r="BL524" s="32">
        <f t="shared" si="317"/>
        <v>0</v>
      </c>
      <c r="BM524" s="32">
        <f t="shared" si="318"/>
        <v>0</v>
      </c>
      <c r="BN524" s="32">
        <f t="shared" si="319"/>
        <v>0</v>
      </c>
      <c r="BO524" s="32">
        <f t="shared" si="320"/>
        <v>0</v>
      </c>
      <c r="BP524" s="32">
        <f t="shared" si="321"/>
        <v>0</v>
      </c>
      <c r="BQ524" s="32">
        <f t="shared" si="322"/>
        <v>0</v>
      </c>
      <c r="BR524" s="32">
        <f t="shared" si="323"/>
        <v>0</v>
      </c>
      <c r="BS524" s="32">
        <f t="shared" si="324"/>
        <v>0</v>
      </c>
      <c r="BT524" s="40">
        <f t="shared" si="325"/>
        <v>0</v>
      </c>
    </row>
    <row r="525" spans="1:72">
      <c r="A525" s="6"/>
      <c r="B525" s="31"/>
      <c r="C525" s="31"/>
      <c r="D525" s="1629"/>
      <c r="E525" s="32">
        <f t="shared" si="297"/>
        <v>0</v>
      </c>
      <c r="F525" s="33"/>
      <c r="G525" s="34">
        <f t="shared" si="301"/>
        <v>0</v>
      </c>
      <c r="H525" s="35">
        <f t="shared" si="302"/>
        <v>0</v>
      </c>
      <c r="I525" s="36"/>
      <c r="J525" s="36"/>
      <c r="K525" s="36"/>
      <c r="L525" s="36"/>
      <c r="M525" s="36"/>
      <c r="N525" s="36"/>
      <c r="O525" s="36"/>
      <c r="P525" s="36"/>
      <c r="Q525" s="36"/>
      <c r="R525" s="36"/>
      <c r="S525" s="36"/>
      <c r="T525" s="36"/>
      <c r="U525" s="36"/>
      <c r="V525" s="36"/>
      <c r="W525" s="36"/>
      <c r="X525" s="36"/>
      <c r="Y525" s="36"/>
      <c r="Z525" s="36"/>
      <c r="AA525" s="36"/>
      <c r="AB525" s="36"/>
      <c r="AC525" s="32">
        <f t="shared" si="303"/>
        <v>0</v>
      </c>
      <c r="AD525" s="37"/>
      <c r="AE525" s="37"/>
      <c r="AF525" s="37"/>
      <c r="AG525" s="37"/>
      <c r="AH525" s="37"/>
      <c r="AI525" s="37"/>
      <c r="AJ525" s="37"/>
      <c r="AK525" s="37"/>
      <c r="AL525" s="37"/>
      <c r="AM525" s="37"/>
      <c r="AN525" s="37"/>
      <c r="AO525" s="37"/>
      <c r="AP525" s="37"/>
      <c r="AQ525" s="37"/>
      <c r="AR525" s="37"/>
      <c r="AS525" s="37"/>
      <c r="AT525" s="38"/>
      <c r="AU525" s="1630"/>
      <c r="AV525" s="1342">
        <f t="shared" si="298"/>
        <v>0</v>
      </c>
      <c r="AW525" s="1342">
        <f t="shared" si="299"/>
        <v>0</v>
      </c>
      <c r="AX525" s="1342">
        <f t="shared" si="300"/>
        <v>0</v>
      </c>
      <c r="AY525" s="39">
        <f t="shared" si="304"/>
        <v>0</v>
      </c>
      <c r="AZ525" s="32">
        <f t="shared" si="305"/>
        <v>0</v>
      </c>
      <c r="BA525" s="32">
        <f t="shared" si="306"/>
        <v>0</v>
      </c>
      <c r="BB525" s="32">
        <f t="shared" si="307"/>
        <v>0</v>
      </c>
      <c r="BC525" s="32">
        <f t="shared" si="308"/>
        <v>0</v>
      </c>
      <c r="BD525" s="32">
        <f t="shared" si="309"/>
        <v>0</v>
      </c>
      <c r="BE525" s="32">
        <f t="shared" si="310"/>
        <v>0</v>
      </c>
      <c r="BF525" s="32">
        <f t="shared" si="311"/>
        <v>0</v>
      </c>
      <c r="BG525" s="32">
        <f t="shared" si="312"/>
        <v>0</v>
      </c>
      <c r="BH525" s="32">
        <f t="shared" si="313"/>
        <v>0</v>
      </c>
      <c r="BI525" s="32">
        <f t="shared" si="314"/>
        <v>0</v>
      </c>
      <c r="BJ525" s="32">
        <f t="shared" si="315"/>
        <v>0</v>
      </c>
      <c r="BK525" s="32">
        <f t="shared" si="316"/>
        <v>0</v>
      </c>
      <c r="BL525" s="32">
        <f t="shared" si="317"/>
        <v>0</v>
      </c>
      <c r="BM525" s="32">
        <f t="shared" si="318"/>
        <v>0</v>
      </c>
      <c r="BN525" s="32">
        <f t="shared" si="319"/>
        <v>0</v>
      </c>
      <c r="BO525" s="32">
        <f t="shared" si="320"/>
        <v>0</v>
      </c>
      <c r="BP525" s="32">
        <f t="shared" si="321"/>
        <v>0</v>
      </c>
      <c r="BQ525" s="32">
        <f t="shared" si="322"/>
        <v>0</v>
      </c>
      <c r="BR525" s="32">
        <f t="shared" si="323"/>
        <v>0</v>
      </c>
      <c r="BS525" s="32">
        <f t="shared" si="324"/>
        <v>0</v>
      </c>
      <c r="BT525" s="40">
        <f t="shared" si="325"/>
        <v>0</v>
      </c>
    </row>
    <row r="526" spans="1:72">
      <c r="A526" s="6"/>
      <c r="B526" s="31"/>
      <c r="C526" s="31"/>
      <c r="D526" s="1629"/>
      <c r="E526" s="32">
        <f t="shared" si="297"/>
        <v>0</v>
      </c>
      <c r="F526" s="33"/>
      <c r="G526" s="34">
        <f t="shared" si="301"/>
        <v>0</v>
      </c>
      <c r="H526" s="35">
        <f t="shared" si="302"/>
        <v>0</v>
      </c>
      <c r="I526" s="36"/>
      <c r="J526" s="36"/>
      <c r="K526" s="36"/>
      <c r="L526" s="36"/>
      <c r="M526" s="36"/>
      <c r="N526" s="36"/>
      <c r="O526" s="36"/>
      <c r="P526" s="36"/>
      <c r="Q526" s="36"/>
      <c r="R526" s="36"/>
      <c r="S526" s="36"/>
      <c r="T526" s="36"/>
      <c r="U526" s="36"/>
      <c r="V526" s="36"/>
      <c r="W526" s="36"/>
      <c r="X526" s="36"/>
      <c r="Y526" s="36"/>
      <c r="Z526" s="36"/>
      <c r="AA526" s="36"/>
      <c r="AB526" s="36"/>
      <c r="AC526" s="32">
        <f t="shared" si="303"/>
        <v>0</v>
      </c>
      <c r="AD526" s="37"/>
      <c r="AE526" s="37"/>
      <c r="AF526" s="37"/>
      <c r="AG526" s="37"/>
      <c r="AH526" s="37"/>
      <c r="AI526" s="37"/>
      <c r="AJ526" s="37"/>
      <c r="AK526" s="37"/>
      <c r="AL526" s="37"/>
      <c r="AM526" s="37"/>
      <c r="AN526" s="37"/>
      <c r="AO526" s="37"/>
      <c r="AP526" s="37"/>
      <c r="AQ526" s="37"/>
      <c r="AR526" s="37"/>
      <c r="AS526" s="37"/>
      <c r="AT526" s="38"/>
      <c r="AU526" s="1630"/>
      <c r="AV526" s="1342">
        <f t="shared" si="298"/>
        <v>0</v>
      </c>
      <c r="AW526" s="1342">
        <f t="shared" si="299"/>
        <v>0</v>
      </c>
      <c r="AX526" s="1342">
        <f t="shared" si="300"/>
        <v>0</v>
      </c>
      <c r="AY526" s="39">
        <f t="shared" si="304"/>
        <v>0</v>
      </c>
      <c r="AZ526" s="32">
        <f t="shared" si="305"/>
        <v>0</v>
      </c>
      <c r="BA526" s="32">
        <f t="shared" si="306"/>
        <v>0</v>
      </c>
      <c r="BB526" s="32">
        <f t="shared" si="307"/>
        <v>0</v>
      </c>
      <c r="BC526" s="32">
        <f t="shared" si="308"/>
        <v>0</v>
      </c>
      <c r="BD526" s="32">
        <f t="shared" si="309"/>
        <v>0</v>
      </c>
      <c r="BE526" s="32">
        <f t="shared" si="310"/>
        <v>0</v>
      </c>
      <c r="BF526" s="32">
        <f t="shared" si="311"/>
        <v>0</v>
      </c>
      <c r="BG526" s="32">
        <f t="shared" si="312"/>
        <v>0</v>
      </c>
      <c r="BH526" s="32">
        <f t="shared" si="313"/>
        <v>0</v>
      </c>
      <c r="BI526" s="32">
        <f t="shared" si="314"/>
        <v>0</v>
      </c>
      <c r="BJ526" s="32">
        <f t="shared" si="315"/>
        <v>0</v>
      </c>
      <c r="BK526" s="32">
        <f t="shared" si="316"/>
        <v>0</v>
      </c>
      <c r="BL526" s="32">
        <f t="shared" si="317"/>
        <v>0</v>
      </c>
      <c r="BM526" s="32">
        <f t="shared" si="318"/>
        <v>0</v>
      </c>
      <c r="BN526" s="32">
        <f t="shared" si="319"/>
        <v>0</v>
      </c>
      <c r="BO526" s="32">
        <f t="shared" si="320"/>
        <v>0</v>
      </c>
      <c r="BP526" s="32">
        <f t="shared" si="321"/>
        <v>0</v>
      </c>
      <c r="BQ526" s="32">
        <f t="shared" si="322"/>
        <v>0</v>
      </c>
      <c r="BR526" s="32">
        <f t="shared" si="323"/>
        <v>0</v>
      </c>
      <c r="BS526" s="32">
        <f t="shared" si="324"/>
        <v>0</v>
      </c>
      <c r="BT526" s="40">
        <f t="shared" si="325"/>
        <v>0</v>
      </c>
    </row>
    <row r="527" spans="1:72">
      <c r="A527" s="6"/>
      <c r="B527" s="31"/>
      <c r="C527" s="31"/>
      <c r="D527" s="1629"/>
      <c r="E527" s="32">
        <f t="shared" si="297"/>
        <v>0</v>
      </c>
      <c r="F527" s="33"/>
      <c r="G527" s="34">
        <f t="shared" si="301"/>
        <v>0</v>
      </c>
      <c r="H527" s="35">
        <f t="shared" si="302"/>
        <v>0</v>
      </c>
      <c r="I527" s="36"/>
      <c r="J527" s="36"/>
      <c r="K527" s="36"/>
      <c r="L527" s="36"/>
      <c r="M527" s="36"/>
      <c r="N527" s="36"/>
      <c r="O527" s="36"/>
      <c r="P527" s="36"/>
      <c r="Q527" s="36"/>
      <c r="R527" s="36"/>
      <c r="S527" s="36"/>
      <c r="T527" s="36"/>
      <c r="U527" s="36"/>
      <c r="V527" s="36"/>
      <c r="W527" s="36"/>
      <c r="X527" s="36"/>
      <c r="Y527" s="36"/>
      <c r="Z527" s="36"/>
      <c r="AA527" s="36"/>
      <c r="AB527" s="36"/>
      <c r="AC527" s="32">
        <f t="shared" si="303"/>
        <v>0</v>
      </c>
      <c r="AD527" s="37"/>
      <c r="AE527" s="37"/>
      <c r="AF527" s="37"/>
      <c r="AG527" s="37"/>
      <c r="AH527" s="37"/>
      <c r="AI527" s="37"/>
      <c r="AJ527" s="37"/>
      <c r="AK527" s="37"/>
      <c r="AL527" s="37"/>
      <c r="AM527" s="37"/>
      <c r="AN527" s="37"/>
      <c r="AO527" s="37"/>
      <c r="AP527" s="37"/>
      <c r="AQ527" s="37"/>
      <c r="AR527" s="37"/>
      <c r="AS527" s="37"/>
      <c r="AT527" s="38"/>
      <c r="AU527" s="1630"/>
      <c r="AV527" s="1342">
        <f t="shared" si="298"/>
        <v>0</v>
      </c>
      <c r="AW527" s="1342">
        <f t="shared" si="299"/>
        <v>0</v>
      </c>
      <c r="AX527" s="1342">
        <f t="shared" si="300"/>
        <v>0</v>
      </c>
      <c r="AY527" s="39">
        <f t="shared" si="304"/>
        <v>0</v>
      </c>
      <c r="AZ527" s="32">
        <f t="shared" si="305"/>
        <v>0</v>
      </c>
      <c r="BA527" s="32">
        <f t="shared" si="306"/>
        <v>0</v>
      </c>
      <c r="BB527" s="32">
        <f t="shared" si="307"/>
        <v>0</v>
      </c>
      <c r="BC527" s="32">
        <f t="shared" si="308"/>
        <v>0</v>
      </c>
      <c r="BD527" s="32">
        <f t="shared" si="309"/>
        <v>0</v>
      </c>
      <c r="BE527" s="32">
        <f t="shared" si="310"/>
        <v>0</v>
      </c>
      <c r="BF527" s="32">
        <f t="shared" si="311"/>
        <v>0</v>
      </c>
      <c r="BG527" s="32">
        <f t="shared" si="312"/>
        <v>0</v>
      </c>
      <c r="BH527" s="32">
        <f t="shared" si="313"/>
        <v>0</v>
      </c>
      <c r="BI527" s="32">
        <f t="shared" si="314"/>
        <v>0</v>
      </c>
      <c r="BJ527" s="32">
        <f t="shared" si="315"/>
        <v>0</v>
      </c>
      <c r="BK527" s="32">
        <f t="shared" si="316"/>
        <v>0</v>
      </c>
      <c r="BL527" s="32">
        <f t="shared" si="317"/>
        <v>0</v>
      </c>
      <c r="BM527" s="32">
        <f t="shared" si="318"/>
        <v>0</v>
      </c>
      <c r="BN527" s="32">
        <f t="shared" si="319"/>
        <v>0</v>
      </c>
      <c r="BO527" s="32">
        <f t="shared" si="320"/>
        <v>0</v>
      </c>
      <c r="BP527" s="32">
        <f t="shared" si="321"/>
        <v>0</v>
      </c>
      <c r="BQ527" s="32">
        <f t="shared" si="322"/>
        <v>0</v>
      </c>
      <c r="BR527" s="32">
        <f t="shared" si="323"/>
        <v>0</v>
      </c>
      <c r="BS527" s="32">
        <f t="shared" si="324"/>
        <v>0</v>
      </c>
      <c r="BT527" s="40">
        <f t="shared" si="325"/>
        <v>0</v>
      </c>
    </row>
    <row r="528" spans="1:72">
      <c r="A528" s="6"/>
      <c r="B528" s="31"/>
      <c r="C528" s="31"/>
      <c r="D528" s="1629"/>
      <c r="E528" s="32">
        <f t="shared" si="297"/>
        <v>0</v>
      </c>
      <c r="F528" s="33"/>
      <c r="G528" s="34">
        <f t="shared" si="301"/>
        <v>0</v>
      </c>
      <c r="H528" s="35">
        <f t="shared" si="302"/>
        <v>0</v>
      </c>
      <c r="I528" s="36"/>
      <c r="J528" s="36"/>
      <c r="K528" s="36"/>
      <c r="L528" s="36"/>
      <c r="M528" s="36"/>
      <c r="N528" s="36"/>
      <c r="O528" s="36"/>
      <c r="P528" s="36"/>
      <c r="Q528" s="36"/>
      <c r="R528" s="36"/>
      <c r="S528" s="36"/>
      <c r="T528" s="36"/>
      <c r="U528" s="36"/>
      <c r="V528" s="36"/>
      <c r="W528" s="36"/>
      <c r="X528" s="36"/>
      <c r="Y528" s="36"/>
      <c r="Z528" s="36"/>
      <c r="AA528" s="36"/>
      <c r="AB528" s="36"/>
      <c r="AC528" s="32">
        <f t="shared" si="303"/>
        <v>0</v>
      </c>
      <c r="AD528" s="37"/>
      <c r="AE528" s="37"/>
      <c r="AF528" s="37"/>
      <c r="AG528" s="37"/>
      <c r="AH528" s="37"/>
      <c r="AI528" s="37"/>
      <c r="AJ528" s="37"/>
      <c r="AK528" s="37"/>
      <c r="AL528" s="37"/>
      <c r="AM528" s="37"/>
      <c r="AN528" s="37"/>
      <c r="AO528" s="37"/>
      <c r="AP528" s="37"/>
      <c r="AQ528" s="37"/>
      <c r="AR528" s="37"/>
      <c r="AS528" s="37"/>
      <c r="AT528" s="38"/>
      <c r="AU528" s="1630"/>
      <c r="AV528" s="1342">
        <f t="shared" si="298"/>
        <v>0</v>
      </c>
      <c r="AW528" s="1342">
        <f t="shared" si="299"/>
        <v>0</v>
      </c>
      <c r="AX528" s="1342">
        <f t="shared" si="300"/>
        <v>0</v>
      </c>
      <c r="AY528" s="39">
        <f t="shared" si="304"/>
        <v>0</v>
      </c>
      <c r="AZ528" s="32">
        <f t="shared" si="305"/>
        <v>0</v>
      </c>
      <c r="BA528" s="32">
        <f t="shared" si="306"/>
        <v>0</v>
      </c>
      <c r="BB528" s="32">
        <f t="shared" si="307"/>
        <v>0</v>
      </c>
      <c r="BC528" s="32">
        <f t="shared" si="308"/>
        <v>0</v>
      </c>
      <c r="BD528" s="32">
        <f t="shared" si="309"/>
        <v>0</v>
      </c>
      <c r="BE528" s="32">
        <f t="shared" si="310"/>
        <v>0</v>
      </c>
      <c r="BF528" s="32">
        <f t="shared" si="311"/>
        <v>0</v>
      </c>
      <c r="BG528" s="32">
        <f t="shared" si="312"/>
        <v>0</v>
      </c>
      <c r="BH528" s="32">
        <f t="shared" si="313"/>
        <v>0</v>
      </c>
      <c r="BI528" s="32">
        <f t="shared" si="314"/>
        <v>0</v>
      </c>
      <c r="BJ528" s="32">
        <f t="shared" si="315"/>
        <v>0</v>
      </c>
      <c r="BK528" s="32">
        <f t="shared" si="316"/>
        <v>0</v>
      </c>
      <c r="BL528" s="32">
        <f t="shared" si="317"/>
        <v>0</v>
      </c>
      <c r="BM528" s="32">
        <f t="shared" si="318"/>
        <v>0</v>
      </c>
      <c r="BN528" s="32">
        <f t="shared" si="319"/>
        <v>0</v>
      </c>
      <c r="BO528" s="32">
        <f t="shared" si="320"/>
        <v>0</v>
      </c>
      <c r="BP528" s="32">
        <f t="shared" si="321"/>
        <v>0</v>
      </c>
      <c r="BQ528" s="32">
        <f t="shared" si="322"/>
        <v>0</v>
      </c>
      <c r="BR528" s="32">
        <f t="shared" si="323"/>
        <v>0</v>
      </c>
      <c r="BS528" s="32">
        <f t="shared" si="324"/>
        <v>0</v>
      </c>
      <c r="BT528" s="40">
        <f t="shared" si="325"/>
        <v>0</v>
      </c>
    </row>
    <row r="529" spans="1:72">
      <c r="A529" s="6"/>
      <c r="B529" s="31"/>
      <c r="C529" s="31"/>
      <c r="D529" s="1629"/>
      <c r="E529" s="32">
        <f t="shared" si="297"/>
        <v>0</v>
      </c>
      <c r="F529" s="33"/>
      <c r="G529" s="34">
        <f t="shared" si="301"/>
        <v>0</v>
      </c>
      <c r="H529" s="35">
        <f t="shared" si="302"/>
        <v>0</v>
      </c>
      <c r="I529" s="36"/>
      <c r="J529" s="36"/>
      <c r="K529" s="36"/>
      <c r="L529" s="36"/>
      <c r="M529" s="36"/>
      <c r="N529" s="36"/>
      <c r="O529" s="36"/>
      <c r="P529" s="36"/>
      <c r="Q529" s="36"/>
      <c r="R529" s="36"/>
      <c r="S529" s="36"/>
      <c r="T529" s="36"/>
      <c r="U529" s="36"/>
      <c r="V529" s="36"/>
      <c r="W529" s="36"/>
      <c r="X529" s="36"/>
      <c r="Y529" s="36"/>
      <c r="Z529" s="36"/>
      <c r="AA529" s="36"/>
      <c r="AB529" s="36"/>
      <c r="AC529" s="32">
        <f t="shared" si="303"/>
        <v>0</v>
      </c>
      <c r="AD529" s="37"/>
      <c r="AE529" s="37"/>
      <c r="AF529" s="37"/>
      <c r="AG529" s="37"/>
      <c r="AH529" s="37"/>
      <c r="AI529" s="37"/>
      <c r="AJ529" s="37"/>
      <c r="AK529" s="37"/>
      <c r="AL529" s="37"/>
      <c r="AM529" s="37"/>
      <c r="AN529" s="37"/>
      <c r="AO529" s="37"/>
      <c r="AP529" s="37"/>
      <c r="AQ529" s="37"/>
      <c r="AR529" s="37"/>
      <c r="AS529" s="37"/>
      <c r="AT529" s="38"/>
      <c r="AU529" s="1630"/>
      <c r="AV529" s="1342">
        <f t="shared" si="298"/>
        <v>0</v>
      </c>
      <c r="AW529" s="1342">
        <f t="shared" si="299"/>
        <v>0</v>
      </c>
      <c r="AX529" s="1342">
        <f t="shared" si="300"/>
        <v>0</v>
      </c>
      <c r="AY529" s="39">
        <f t="shared" si="304"/>
        <v>0</v>
      </c>
      <c r="AZ529" s="32">
        <f t="shared" si="305"/>
        <v>0</v>
      </c>
      <c r="BA529" s="32">
        <f t="shared" si="306"/>
        <v>0</v>
      </c>
      <c r="BB529" s="32">
        <f t="shared" si="307"/>
        <v>0</v>
      </c>
      <c r="BC529" s="32">
        <f t="shared" si="308"/>
        <v>0</v>
      </c>
      <c r="BD529" s="32">
        <f t="shared" si="309"/>
        <v>0</v>
      </c>
      <c r="BE529" s="32">
        <f t="shared" si="310"/>
        <v>0</v>
      </c>
      <c r="BF529" s="32">
        <f t="shared" si="311"/>
        <v>0</v>
      </c>
      <c r="BG529" s="32">
        <f t="shared" si="312"/>
        <v>0</v>
      </c>
      <c r="BH529" s="32">
        <f t="shared" si="313"/>
        <v>0</v>
      </c>
      <c r="BI529" s="32">
        <f t="shared" si="314"/>
        <v>0</v>
      </c>
      <c r="BJ529" s="32">
        <f t="shared" si="315"/>
        <v>0</v>
      </c>
      <c r="BK529" s="32">
        <f t="shared" si="316"/>
        <v>0</v>
      </c>
      <c r="BL529" s="32">
        <f t="shared" si="317"/>
        <v>0</v>
      </c>
      <c r="BM529" s="32">
        <f t="shared" si="318"/>
        <v>0</v>
      </c>
      <c r="BN529" s="32">
        <f t="shared" si="319"/>
        <v>0</v>
      </c>
      <c r="BO529" s="32">
        <f t="shared" si="320"/>
        <v>0</v>
      </c>
      <c r="BP529" s="32">
        <f t="shared" si="321"/>
        <v>0</v>
      </c>
      <c r="BQ529" s="32">
        <f t="shared" si="322"/>
        <v>0</v>
      </c>
      <c r="BR529" s="32">
        <f t="shared" si="323"/>
        <v>0</v>
      </c>
      <c r="BS529" s="32">
        <f t="shared" si="324"/>
        <v>0</v>
      </c>
      <c r="BT529" s="40">
        <f t="shared" si="325"/>
        <v>0</v>
      </c>
    </row>
    <row r="530" spans="1:72">
      <c r="A530" s="6"/>
      <c r="B530" s="31"/>
      <c r="C530" s="31"/>
      <c r="D530" s="1629"/>
      <c r="E530" s="32">
        <f t="shared" si="297"/>
        <v>0</v>
      </c>
      <c r="F530" s="33"/>
      <c r="G530" s="34">
        <f t="shared" si="301"/>
        <v>0</v>
      </c>
      <c r="H530" s="35">
        <f t="shared" si="302"/>
        <v>0</v>
      </c>
      <c r="I530" s="36"/>
      <c r="J530" s="36"/>
      <c r="K530" s="36"/>
      <c r="L530" s="36"/>
      <c r="M530" s="36"/>
      <c r="N530" s="36"/>
      <c r="O530" s="36"/>
      <c r="P530" s="36"/>
      <c r="Q530" s="36"/>
      <c r="R530" s="36"/>
      <c r="S530" s="36"/>
      <c r="T530" s="36"/>
      <c r="U530" s="36"/>
      <c r="V530" s="36"/>
      <c r="W530" s="36"/>
      <c r="X530" s="36"/>
      <c r="Y530" s="36"/>
      <c r="Z530" s="36"/>
      <c r="AA530" s="36"/>
      <c r="AB530" s="36"/>
      <c r="AC530" s="32">
        <f t="shared" si="303"/>
        <v>0</v>
      </c>
      <c r="AD530" s="37"/>
      <c r="AE530" s="37"/>
      <c r="AF530" s="37"/>
      <c r="AG530" s="37"/>
      <c r="AH530" s="37"/>
      <c r="AI530" s="37"/>
      <c r="AJ530" s="37"/>
      <c r="AK530" s="37"/>
      <c r="AL530" s="37"/>
      <c r="AM530" s="37"/>
      <c r="AN530" s="37"/>
      <c r="AO530" s="37"/>
      <c r="AP530" s="37"/>
      <c r="AQ530" s="37"/>
      <c r="AR530" s="37"/>
      <c r="AS530" s="37"/>
      <c r="AT530" s="38"/>
      <c r="AU530" s="1630"/>
      <c r="AV530" s="1342">
        <f t="shared" si="298"/>
        <v>0</v>
      </c>
      <c r="AW530" s="1342">
        <f t="shared" si="299"/>
        <v>0</v>
      </c>
      <c r="AX530" s="1342">
        <f t="shared" si="300"/>
        <v>0</v>
      </c>
      <c r="AY530" s="39">
        <f t="shared" si="304"/>
        <v>0</v>
      </c>
      <c r="AZ530" s="32">
        <f t="shared" si="305"/>
        <v>0</v>
      </c>
      <c r="BA530" s="32">
        <f t="shared" si="306"/>
        <v>0</v>
      </c>
      <c r="BB530" s="32">
        <f t="shared" si="307"/>
        <v>0</v>
      </c>
      <c r="BC530" s="32">
        <f t="shared" si="308"/>
        <v>0</v>
      </c>
      <c r="BD530" s="32">
        <f t="shared" si="309"/>
        <v>0</v>
      </c>
      <c r="BE530" s="32">
        <f t="shared" si="310"/>
        <v>0</v>
      </c>
      <c r="BF530" s="32">
        <f t="shared" si="311"/>
        <v>0</v>
      </c>
      <c r="BG530" s="32">
        <f t="shared" si="312"/>
        <v>0</v>
      </c>
      <c r="BH530" s="32">
        <f t="shared" si="313"/>
        <v>0</v>
      </c>
      <c r="BI530" s="32">
        <f t="shared" si="314"/>
        <v>0</v>
      </c>
      <c r="BJ530" s="32">
        <f t="shared" si="315"/>
        <v>0</v>
      </c>
      <c r="BK530" s="32">
        <f t="shared" si="316"/>
        <v>0</v>
      </c>
      <c r="BL530" s="32">
        <f t="shared" si="317"/>
        <v>0</v>
      </c>
      <c r="BM530" s="32">
        <f t="shared" si="318"/>
        <v>0</v>
      </c>
      <c r="BN530" s="32">
        <f t="shared" si="319"/>
        <v>0</v>
      </c>
      <c r="BO530" s="32">
        <f t="shared" si="320"/>
        <v>0</v>
      </c>
      <c r="BP530" s="32">
        <f t="shared" si="321"/>
        <v>0</v>
      </c>
      <c r="BQ530" s="32">
        <f t="shared" si="322"/>
        <v>0</v>
      </c>
      <c r="BR530" s="32">
        <f t="shared" si="323"/>
        <v>0</v>
      </c>
      <c r="BS530" s="32">
        <f t="shared" si="324"/>
        <v>0</v>
      </c>
      <c r="BT530" s="40">
        <f t="shared" si="325"/>
        <v>0</v>
      </c>
    </row>
    <row r="531" spans="1:72">
      <c r="A531" s="6"/>
      <c r="B531" s="31"/>
      <c r="C531" s="31"/>
      <c r="D531" s="1629"/>
      <c r="E531" s="32">
        <f t="shared" si="297"/>
        <v>0</v>
      </c>
      <c r="F531" s="33"/>
      <c r="G531" s="34">
        <f t="shared" si="301"/>
        <v>0</v>
      </c>
      <c r="H531" s="35">
        <f t="shared" si="302"/>
        <v>0</v>
      </c>
      <c r="I531" s="36"/>
      <c r="J531" s="36"/>
      <c r="K531" s="36"/>
      <c r="L531" s="36"/>
      <c r="M531" s="36"/>
      <c r="N531" s="36"/>
      <c r="O531" s="36"/>
      <c r="P531" s="36"/>
      <c r="Q531" s="36"/>
      <c r="R531" s="36"/>
      <c r="S531" s="36"/>
      <c r="T531" s="36"/>
      <c r="U531" s="36"/>
      <c r="V531" s="36"/>
      <c r="W531" s="36"/>
      <c r="X531" s="36"/>
      <c r="Y531" s="36"/>
      <c r="Z531" s="36"/>
      <c r="AA531" s="36"/>
      <c r="AB531" s="36"/>
      <c r="AC531" s="32">
        <f t="shared" si="303"/>
        <v>0</v>
      </c>
      <c r="AD531" s="37"/>
      <c r="AE531" s="37"/>
      <c r="AF531" s="37"/>
      <c r="AG531" s="37"/>
      <c r="AH531" s="37"/>
      <c r="AI531" s="37"/>
      <c r="AJ531" s="37"/>
      <c r="AK531" s="37"/>
      <c r="AL531" s="37"/>
      <c r="AM531" s="37"/>
      <c r="AN531" s="37"/>
      <c r="AO531" s="37"/>
      <c r="AP531" s="37"/>
      <c r="AQ531" s="37"/>
      <c r="AR531" s="37"/>
      <c r="AS531" s="37"/>
      <c r="AT531" s="38"/>
      <c r="AU531" s="1630"/>
      <c r="AV531" s="1342">
        <f t="shared" si="298"/>
        <v>0</v>
      </c>
      <c r="AW531" s="1342">
        <f t="shared" si="299"/>
        <v>0</v>
      </c>
      <c r="AX531" s="1342">
        <f t="shared" si="300"/>
        <v>0</v>
      </c>
      <c r="AY531" s="39">
        <f t="shared" si="304"/>
        <v>0</v>
      </c>
      <c r="AZ531" s="32">
        <f t="shared" si="305"/>
        <v>0</v>
      </c>
      <c r="BA531" s="32">
        <f t="shared" si="306"/>
        <v>0</v>
      </c>
      <c r="BB531" s="32">
        <f t="shared" si="307"/>
        <v>0</v>
      </c>
      <c r="BC531" s="32">
        <f t="shared" si="308"/>
        <v>0</v>
      </c>
      <c r="BD531" s="32">
        <f t="shared" si="309"/>
        <v>0</v>
      </c>
      <c r="BE531" s="32">
        <f t="shared" si="310"/>
        <v>0</v>
      </c>
      <c r="BF531" s="32">
        <f t="shared" si="311"/>
        <v>0</v>
      </c>
      <c r="BG531" s="32">
        <f t="shared" si="312"/>
        <v>0</v>
      </c>
      <c r="BH531" s="32">
        <f t="shared" si="313"/>
        <v>0</v>
      </c>
      <c r="BI531" s="32">
        <f t="shared" si="314"/>
        <v>0</v>
      </c>
      <c r="BJ531" s="32">
        <f t="shared" si="315"/>
        <v>0</v>
      </c>
      <c r="BK531" s="32">
        <f t="shared" si="316"/>
        <v>0</v>
      </c>
      <c r="BL531" s="32">
        <f t="shared" si="317"/>
        <v>0</v>
      </c>
      <c r="BM531" s="32">
        <f t="shared" si="318"/>
        <v>0</v>
      </c>
      <c r="BN531" s="32">
        <f t="shared" si="319"/>
        <v>0</v>
      </c>
      <c r="BO531" s="32">
        <f t="shared" si="320"/>
        <v>0</v>
      </c>
      <c r="BP531" s="32">
        <f t="shared" si="321"/>
        <v>0</v>
      </c>
      <c r="BQ531" s="32">
        <f t="shared" si="322"/>
        <v>0</v>
      </c>
      <c r="BR531" s="32">
        <f t="shared" si="323"/>
        <v>0</v>
      </c>
      <c r="BS531" s="32">
        <f t="shared" si="324"/>
        <v>0</v>
      </c>
      <c r="BT531" s="40">
        <f t="shared" si="325"/>
        <v>0</v>
      </c>
    </row>
    <row r="532" spans="1:72">
      <c r="A532" s="6"/>
      <c r="B532" s="31"/>
      <c r="C532" s="31"/>
      <c r="D532" s="1629"/>
      <c r="E532" s="32">
        <f t="shared" si="297"/>
        <v>0</v>
      </c>
      <c r="F532" s="33"/>
      <c r="G532" s="34">
        <f t="shared" si="301"/>
        <v>0</v>
      </c>
      <c r="H532" s="35">
        <f t="shared" si="302"/>
        <v>0</v>
      </c>
      <c r="I532" s="36"/>
      <c r="J532" s="36"/>
      <c r="K532" s="36"/>
      <c r="L532" s="36"/>
      <c r="M532" s="36"/>
      <c r="N532" s="36"/>
      <c r="O532" s="36"/>
      <c r="P532" s="36"/>
      <c r="Q532" s="36"/>
      <c r="R532" s="36"/>
      <c r="S532" s="36"/>
      <c r="T532" s="36"/>
      <c r="U532" s="36"/>
      <c r="V532" s="36"/>
      <c r="W532" s="36"/>
      <c r="X532" s="36"/>
      <c r="Y532" s="36"/>
      <c r="Z532" s="36"/>
      <c r="AA532" s="36"/>
      <c r="AB532" s="36"/>
      <c r="AC532" s="32">
        <f t="shared" si="303"/>
        <v>0</v>
      </c>
      <c r="AD532" s="37"/>
      <c r="AE532" s="37"/>
      <c r="AF532" s="37"/>
      <c r="AG532" s="37"/>
      <c r="AH532" s="37"/>
      <c r="AI532" s="37"/>
      <c r="AJ532" s="37"/>
      <c r="AK532" s="37"/>
      <c r="AL532" s="37"/>
      <c r="AM532" s="37"/>
      <c r="AN532" s="37"/>
      <c r="AO532" s="37"/>
      <c r="AP532" s="37"/>
      <c r="AQ532" s="37"/>
      <c r="AR532" s="37"/>
      <c r="AS532" s="37"/>
      <c r="AT532" s="38"/>
      <c r="AU532" s="1630"/>
      <c r="AV532" s="1342">
        <f t="shared" si="298"/>
        <v>0</v>
      </c>
      <c r="AW532" s="1342">
        <f t="shared" si="299"/>
        <v>0</v>
      </c>
      <c r="AX532" s="1342">
        <f t="shared" si="300"/>
        <v>0</v>
      </c>
      <c r="AY532" s="39">
        <f t="shared" si="304"/>
        <v>0</v>
      </c>
      <c r="AZ532" s="32">
        <f t="shared" si="305"/>
        <v>0</v>
      </c>
      <c r="BA532" s="32">
        <f t="shared" si="306"/>
        <v>0</v>
      </c>
      <c r="BB532" s="32">
        <f t="shared" si="307"/>
        <v>0</v>
      </c>
      <c r="BC532" s="32">
        <f t="shared" si="308"/>
        <v>0</v>
      </c>
      <c r="BD532" s="32">
        <f t="shared" si="309"/>
        <v>0</v>
      </c>
      <c r="BE532" s="32">
        <f t="shared" si="310"/>
        <v>0</v>
      </c>
      <c r="BF532" s="32">
        <f t="shared" si="311"/>
        <v>0</v>
      </c>
      <c r="BG532" s="32">
        <f t="shared" si="312"/>
        <v>0</v>
      </c>
      <c r="BH532" s="32">
        <f t="shared" si="313"/>
        <v>0</v>
      </c>
      <c r="BI532" s="32">
        <f t="shared" si="314"/>
        <v>0</v>
      </c>
      <c r="BJ532" s="32">
        <f t="shared" si="315"/>
        <v>0</v>
      </c>
      <c r="BK532" s="32">
        <f t="shared" si="316"/>
        <v>0</v>
      </c>
      <c r="BL532" s="32">
        <f t="shared" si="317"/>
        <v>0</v>
      </c>
      <c r="BM532" s="32">
        <f t="shared" si="318"/>
        <v>0</v>
      </c>
      <c r="BN532" s="32">
        <f t="shared" si="319"/>
        <v>0</v>
      </c>
      <c r="BO532" s="32">
        <f t="shared" si="320"/>
        <v>0</v>
      </c>
      <c r="BP532" s="32">
        <f t="shared" si="321"/>
        <v>0</v>
      </c>
      <c r="BQ532" s="32">
        <f t="shared" si="322"/>
        <v>0</v>
      </c>
      <c r="BR532" s="32">
        <f t="shared" si="323"/>
        <v>0</v>
      </c>
      <c r="BS532" s="32">
        <f t="shared" si="324"/>
        <v>0</v>
      </c>
      <c r="BT532" s="40">
        <f t="shared" si="325"/>
        <v>0</v>
      </c>
    </row>
    <row r="533" spans="1:72">
      <c r="A533" s="6"/>
      <c r="B533" s="31"/>
      <c r="C533" s="31"/>
      <c r="D533" s="1629"/>
      <c r="E533" s="32">
        <f t="shared" si="297"/>
        <v>0</v>
      </c>
      <c r="F533" s="33"/>
      <c r="G533" s="34">
        <f t="shared" si="301"/>
        <v>0</v>
      </c>
      <c r="H533" s="35">
        <f t="shared" si="302"/>
        <v>0</v>
      </c>
      <c r="I533" s="36"/>
      <c r="J533" s="36"/>
      <c r="K533" s="36"/>
      <c r="L533" s="36"/>
      <c r="M533" s="36"/>
      <c r="N533" s="36"/>
      <c r="O533" s="36"/>
      <c r="P533" s="36"/>
      <c r="Q533" s="36"/>
      <c r="R533" s="36"/>
      <c r="S533" s="36"/>
      <c r="T533" s="36"/>
      <c r="U533" s="36"/>
      <c r="V533" s="36"/>
      <c r="W533" s="36"/>
      <c r="X533" s="36"/>
      <c r="Y533" s="36"/>
      <c r="Z533" s="36"/>
      <c r="AA533" s="36"/>
      <c r="AB533" s="36"/>
      <c r="AC533" s="32">
        <f t="shared" si="303"/>
        <v>0</v>
      </c>
      <c r="AD533" s="37"/>
      <c r="AE533" s="37"/>
      <c r="AF533" s="37"/>
      <c r="AG533" s="37"/>
      <c r="AH533" s="37"/>
      <c r="AI533" s="37"/>
      <c r="AJ533" s="37"/>
      <c r="AK533" s="37"/>
      <c r="AL533" s="37"/>
      <c r="AM533" s="37"/>
      <c r="AN533" s="37"/>
      <c r="AO533" s="37"/>
      <c r="AP533" s="37"/>
      <c r="AQ533" s="37"/>
      <c r="AR533" s="37"/>
      <c r="AS533" s="37"/>
      <c r="AT533" s="38"/>
      <c r="AU533" s="1630"/>
      <c r="AV533" s="1342">
        <f t="shared" si="298"/>
        <v>0</v>
      </c>
      <c r="AW533" s="1342">
        <f t="shared" si="299"/>
        <v>0</v>
      </c>
      <c r="AX533" s="1342">
        <f t="shared" si="300"/>
        <v>0</v>
      </c>
      <c r="AY533" s="39">
        <f t="shared" si="304"/>
        <v>0</v>
      </c>
      <c r="AZ533" s="32">
        <f t="shared" si="305"/>
        <v>0</v>
      </c>
      <c r="BA533" s="32">
        <f t="shared" si="306"/>
        <v>0</v>
      </c>
      <c r="BB533" s="32">
        <f t="shared" si="307"/>
        <v>0</v>
      </c>
      <c r="BC533" s="32">
        <f t="shared" si="308"/>
        <v>0</v>
      </c>
      <c r="BD533" s="32">
        <f t="shared" si="309"/>
        <v>0</v>
      </c>
      <c r="BE533" s="32">
        <f t="shared" si="310"/>
        <v>0</v>
      </c>
      <c r="BF533" s="32">
        <f t="shared" si="311"/>
        <v>0</v>
      </c>
      <c r="BG533" s="32">
        <f t="shared" si="312"/>
        <v>0</v>
      </c>
      <c r="BH533" s="32">
        <f t="shared" si="313"/>
        <v>0</v>
      </c>
      <c r="BI533" s="32">
        <f t="shared" si="314"/>
        <v>0</v>
      </c>
      <c r="BJ533" s="32">
        <f t="shared" si="315"/>
        <v>0</v>
      </c>
      <c r="BK533" s="32">
        <f t="shared" si="316"/>
        <v>0</v>
      </c>
      <c r="BL533" s="32">
        <f t="shared" si="317"/>
        <v>0</v>
      </c>
      <c r="BM533" s="32">
        <f t="shared" si="318"/>
        <v>0</v>
      </c>
      <c r="BN533" s="32">
        <f t="shared" si="319"/>
        <v>0</v>
      </c>
      <c r="BO533" s="32">
        <f t="shared" si="320"/>
        <v>0</v>
      </c>
      <c r="BP533" s="32">
        <f t="shared" si="321"/>
        <v>0</v>
      </c>
      <c r="BQ533" s="32">
        <f t="shared" si="322"/>
        <v>0</v>
      </c>
      <c r="BR533" s="32">
        <f t="shared" si="323"/>
        <v>0</v>
      </c>
      <c r="BS533" s="32">
        <f t="shared" si="324"/>
        <v>0</v>
      </c>
      <c r="BT533" s="40">
        <f t="shared" si="325"/>
        <v>0</v>
      </c>
    </row>
    <row r="534" spans="1:72">
      <c r="A534" s="6"/>
      <c r="B534" s="31"/>
      <c r="C534" s="31"/>
      <c r="D534" s="1629"/>
      <c r="E534" s="32">
        <f t="shared" si="297"/>
        <v>0</v>
      </c>
      <c r="F534" s="33"/>
      <c r="G534" s="34">
        <f t="shared" si="301"/>
        <v>0</v>
      </c>
      <c r="H534" s="35">
        <f t="shared" si="302"/>
        <v>0</v>
      </c>
      <c r="I534" s="36"/>
      <c r="J534" s="36"/>
      <c r="K534" s="36"/>
      <c r="L534" s="36"/>
      <c r="M534" s="36"/>
      <c r="N534" s="36"/>
      <c r="O534" s="36"/>
      <c r="P534" s="36"/>
      <c r="Q534" s="36"/>
      <c r="R534" s="36"/>
      <c r="S534" s="36"/>
      <c r="T534" s="36"/>
      <c r="U534" s="36"/>
      <c r="V534" s="36"/>
      <c r="W534" s="36"/>
      <c r="X534" s="36"/>
      <c r="Y534" s="36"/>
      <c r="Z534" s="36"/>
      <c r="AA534" s="36"/>
      <c r="AB534" s="36"/>
      <c r="AC534" s="32">
        <f t="shared" si="303"/>
        <v>0</v>
      </c>
      <c r="AD534" s="37"/>
      <c r="AE534" s="37"/>
      <c r="AF534" s="37"/>
      <c r="AG534" s="37"/>
      <c r="AH534" s="37"/>
      <c r="AI534" s="37"/>
      <c r="AJ534" s="37"/>
      <c r="AK534" s="37"/>
      <c r="AL534" s="37"/>
      <c r="AM534" s="37"/>
      <c r="AN534" s="37"/>
      <c r="AO534" s="37"/>
      <c r="AP534" s="37"/>
      <c r="AQ534" s="37"/>
      <c r="AR534" s="37"/>
      <c r="AS534" s="37"/>
      <c r="AT534" s="38"/>
      <c r="AU534" s="1630"/>
      <c r="AV534" s="1342">
        <f t="shared" si="298"/>
        <v>0</v>
      </c>
      <c r="AW534" s="1342">
        <f t="shared" si="299"/>
        <v>0</v>
      </c>
      <c r="AX534" s="1342">
        <f t="shared" si="300"/>
        <v>0</v>
      </c>
      <c r="AY534" s="39">
        <f t="shared" si="304"/>
        <v>0</v>
      </c>
      <c r="AZ534" s="32">
        <f t="shared" si="305"/>
        <v>0</v>
      </c>
      <c r="BA534" s="32">
        <f t="shared" si="306"/>
        <v>0</v>
      </c>
      <c r="BB534" s="32">
        <f t="shared" si="307"/>
        <v>0</v>
      </c>
      <c r="BC534" s="32">
        <f t="shared" si="308"/>
        <v>0</v>
      </c>
      <c r="BD534" s="32">
        <f t="shared" si="309"/>
        <v>0</v>
      </c>
      <c r="BE534" s="32">
        <f t="shared" si="310"/>
        <v>0</v>
      </c>
      <c r="BF534" s="32">
        <f t="shared" si="311"/>
        <v>0</v>
      </c>
      <c r="BG534" s="32">
        <f t="shared" si="312"/>
        <v>0</v>
      </c>
      <c r="BH534" s="32">
        <f t="shared" si="313"/>
        <v>0</v>
      </c>
      <c r="BI534" s="32">
        <f t="shared" si="314"/>
        <v>0</v>
      </c>
      <c r="BJ534" s="32">
        <f t="shared" si="315"/>
        <v>0</v>
      </c>
      <c r="BK534" s="32">
        <f t="shared" si="316"/>
        <v>0</v>
      </c>
      <c r="BL534" s="32">
        <f t="shared" si="317"/>
        <v>0</v>
      </c>
      <c r="BM534" s="32">
        <f t="shared" si="318"/>
        <v>0</v>
      </c>
      <c r="BN534" s="32">
        <f t="shared" si="319"/>
        <v>0</v>
      </c>
      <c r="BO534" s="32">
        <f t="shared" si="320"/>
        <v>0</v>
      </c>
      <c r="BP534" s="32">
        <f t="shared" si="321"/>
        <v>0</v>
      </c>
      <c r="BQ534" s="32">
        <f t="shared" si="322"/>
        <v>0</v>
      </c>
      <c r="BR534" s="32">
        <f t="shared" si="323"/>
        <v>0</v>
      </c>
      <c r="BS534" s="32">
        <f t="shared" si="324"/>
        <v>0</v>
      </c>
      <c r="BT534" s="40">
        <f t="shared" si="325"/>
        <v>0</v>
      </c>
    </row>
    <row r="535" spans="1:72">
      <c r="A535" s="6"/>
      <c r="B535" s="31"/>
      <c r="C535" s="31"/>
      <c r="D535" s="1629"/>
      <c r="E535" s="32">
        <f t="shared" si="297"/>
        <v>0</v>
      </c>
      <c r="F535" s="33"/>
      <c r="G535" s="34">
        <f t="shared" si="301"/>
        <v>0</v>
      </c>
      <c r="H535" s="35">
        <f t="shared" si="302"/>
        <v>0</v>
      </c>
      <c r="I535" s="36"/>
      <c r="J535" s="36"/>
      <c r="K535" s="36"/>
      <c r="L535" s="36"/>
      <c r="M535" s="36"/>
      <c r="N535" s="36"/>
      <c r="O535" s="36"/>
      <c r="P535" s="36"/>
      <c r="Q535" s="36"/>
      <c r="R535" s="36"/>
      <c r="S535" s="36"/>
      <c r="T535" s="36"/>
      <c r="U535" s="36"/>
      <c r="V535" s="36"/>
      <c r="W535" s="36"/>
      <c r="X535" s="36"/>
      <c r="Y535" s="36"/>
      <c r="Z535" s="36"/>
      <c r="AA535" s="36"/>
      <c r="AB535" s="36"/>
      <c r="AC535" s="32">
        <f t="shared" si="303"/>
        <v>0</v>
      </c>
      <c r="AD535" s="37"/>
      <c r="AE535" s="37"/>
      <c r="AF535" s="37"/>
      <c r="AG535" s="37"/>
      <c r="AH535" s="37"/>
      <c r="AI535" s="37"/>
      <c r="AJ535" s="37"/>
      <c r="AK535" s="37"/>
      <c r="AL535" s="37"/>
      <c r="AM535" s="37"/>
      <c r="AN535" s="37"/>
      <c r="AO535" s="37"/>
      <c r="AP535" s="37"/>
      <c r="AQ535" s="37"/>
      <c r="AR535" s="37"/>
      <c r="AS535" s="37"/>
      <c r="AT535" s="38"/>
      <c r="AU535" s="1630"/>
      <c r="AV535" s="1342">
        <f t="shared" si="298"/>
        <v>0</v>
      </c>
      <c r="AW535" s="1342">
        <f t="shared" si="299"/>
        <v>0</v>
      </c>
      <c r="AX535" s="1342">
        <f t="shared" si="300"/>
        <v>0</v>
      </c>
      <c r="AY535" s="39">
        <f t="shared" si="304"/>
        <v>0</v>
      </c>
      <c r="AZ535" s="32">
        <f t="shared" si="305"/>
        <v>0</v>
      </c>
      <c r="BA535" s="32">
        <f t="shared" si="306"/>
        <v>0</v>
      </c>
      <c r="BB535" s="32">
        <f t="shared" si="307"/>
        <v>0</v>
      </c>
      <c r="BC535" s="32">
        <f t="shared" si="308"/>
        <v>0</v>
      </c>
      <c r="BD535" s="32">
        <f t="shared" si="309"/>
        <v>0</v>
      </c>
      <c r="BE535" s="32">
        <f t="shared" si="310"/>
        <v>0</v>
      </c>
      <c r="BF535" s="32">
        <f t="shared" si="311"/>
        <v>0</v>
      </c>
      <c r="BG535" s="32">
        <f t="shared" si="312"/>
        <v>0</v>
      </c>
      <c r="BH535" s="32">
        <f t="shared" si="313"/>
        <v>0</v>
      </c>
      <c r="BI535" s="32">
        <f t="shared" si="314"/>
        <v>0</v>
      </c>
      <c r="BJ535" s="32">
        <f t="shared" si="315"/>
        <v>0</v>
      </c>
      <c r="BK535" s="32">
        <f t="shared" si="316"/>
        <v>0</v>
      </c>
      <c r="BL535" s="32">
        <f t="shared" si="317"/>
        <v>0</v>
      </c>
      <c r="BM535" s="32">
        <f t="shared" si="318"/>
        <v>0</v>
      </c>
      <c r="BN535" s="32">
        <f t="shared" si="319"/>
        <v>0</v>
      </c>
      <c r="BO535" s="32">
        <f t="shared" si="320"/>
        <v>0</v>
      </c>
      <c r="BP535" s="32">
        <f t="shared" si="321"/>
        <v>0</v>
      </c>
      <c r="BQ535" s="32">
        <f t="shared" si="322"/>
        <v>0</v>
      </c>
      <c r="BR535" s="32">
        <f t="shared" si="323"/>
        <v>0</v>
      </c>
      <c r="BS535" s="32">
        <f t="shared" si="324"/>
        <v>0</v>
      </c>
      <c r="BT535" s="40">
        <f t="shared" si="325"/>
        <v>0</v>
      </c>
    </row>
    <row r="536" spans="1:72">
      <c r="A536" s="6"/>
      <c r="B536" s="31"/>
      <c r="C536" s="31"/>
      <c r="D536" s="1629"/>
      <c r="E536" s="32">
        <f t="shared" si="297"/>
        <v>0</v>
      </c>
      <c r="F536" s="33"/>
      <c r="G536" s="34">
        <f t="shared" si="301"/>
        <v>0</v>
      </c>
      <c r="H536" s="35">
        <f t="shared" si="302"/>
        <v>0</v>
      </c>
      <c r="I536" s="36"/>
      <c r="J536" s="36"/>
      <c r="K536" s="36"/>
      <c r="L536" s="36"/>
      <c r="M536" s="36"/>
      <c r="N536" s="36"/>
      <c r="O536" s="36"/>
      <c r="P536" s="36"/>
      <c r="Q536" s="36"/>
      <c r="R536" s="36"/>
      <c r="S536" s="36"/>
      <c r="T536" s="36"/>
      <c r="U536" s="36"/>
      <c r="V536" s="36"/>
      <c r="W536" s="36"/>
      <c r="X536" s="36"/>
      <c r="Y536" s="36"/>
      <c r="Z536" s="36"/>
      <c r="AA536" s="36"/>
      <c r="AB536" s="36"/>
      <c r="AC536" s="32">
        <f t="shared" si="303"/>
        <v>0</v>
      </c>
      <c r="AD536" s="37"/>
      <c r="AE536" s="37"/>
      <c r="AF536" s="37"/>
      <c r="AG536" s="37"/>
      <c r="AH536" s="37"/>
      <c r="AI536" s="37"/>
      <c r="AJ536" s="37"/>
      <c r="AK536" s="37"/>
      <c r="AL536" s="37"/>
      <c r="AM536" s="37"/>
      <c r="AN536" s="37"/>
      <c r="AO536" s="37"/>
      <c r="AP536" s="37"/>
      <c r="AQ536" s="37"/>
      <c r="AR536" s="37"/>
      <c r="AS536" s="37"/>
      <c r="AT536" s="38"/>
      <c r="AU536" s="1630"/>
      <c r="AV536" s="1342">
        <f t="shared" si="298"/>
        <v>0</v>
      </c>
      <c r="AW536" s="1342">
        <f t="shared" si="299"/>
        <v>0</v>
      </c>
      <c r="AX536" s="1342">
        <f t="shared" si="300"/>
        <v>0</v>
      </c>
      <c r="AY536" s="39">
        <f t="shared" si="304"/>
        <v>0</v>
      </c>
      <c r="AZ536" s="32">
        <f t="shared" si="305"/>
        <v>0</v>
      </c>
      <c r="BA536" s="32">
        <f t="shared" si="306"/>
        <v>0</v>
      </c>
      <c r="BB536" s="32">
        <f t="shared" si="307"/>
        <v>0</v>
      </c>
      <c r="BC536" s="32">
        <f t="shared" si="308"/>
        <v>0</v>
      </c>
      <c r="BD536" s="32">
        <f t="shared" si="309"/>
        <v>0</v>
      </c>
      <c r="BE536" s="32">
        <f t="shared" si="310"/>
        <v>0</v>
      </c>
      <c r="BF536" s="32">
        <f t="shared" si="311"/>
        <v>0</v>
      </c>
      <c r="BG536" s="32">
        <f t="shared" si="312"/>
        <v>0</v>
      </c>
      <c r="BH536" s="32">
        <f t="shared" si="313"/>
        <v>0</v>
      </c>
      <c r="BI536" s="32">
        <f t="shared" si="314"/>
        <v>0</v>
      </c>
      <c r="BJ536" s="32">
        <f t="shared" si="315"/>
        <v>0</v>
      </c>
      <c r="BK536" s="32">
        <f t="shared" si="316"/>
        <v>0</v>
      </c>
      <c r="BL536" s="32">
        <f t="shared" si="317"/>
        <v>0</v>
      </c>
      <c r="BM536" s="32">
        <f t="shared" si="318"/>
        <v>0</v>
      </c>
      <c r="BN536" s="32">
        <f t="shared" si="319"/>
        <v>0</v>
      </c>
      <c r="BO536" s="32">
        <f t="shared" si="320"/>
        <v>0</v>
      </c>
      <c r="BP536" s="32">
        <f t="shared" si="321"/>
        <v>0</v>
      </c>
      <c r="BQ536" s="32">
        <f t="shared" si="322"/>
        <v>0</v>
      </c>
      <c r="BR536" s="32">
        <f t="shared" si="323"/>
        <v>0</v>
      </c>
      <c r="BS536" s="32">
        <f t="shared" si="324"/>
        <v>0</v>
      </c>
      <c r="BT536" s="40">
        <f t="shared" si="325"/>
        <v>0</v>
      </c>
    </row>
    <row r="537" spans="1:72">
      <c r="A537" s="6"/>
      <c r="B537" s="31"/>
      <c r="C537" s="31"/>
      <c r="D537" s="1629"/>
      <c r="E537" s="32">
        <f t="shared" si="297"/>
        <v>0</v>
      </c>
      <c r="F537" s="33"/>
      <c r="G537" s="34">
        <f t="shared" si="301"/>
        <v>0</v>
      </c>
      <c r="H537" s="35">
        <f t="shared" si="302"/>
        <v>0</v>
      </c>
      <c r="I537" s="36"/>
      <c r="J537" s="36"/>
      <c r="K537" s="36"/>
      <c r="L537" s="36"/>
      <c r="M537" s="36"/>
      <c r="N537" s="36"/>
      <c r="O537" s="36"/>
      <c r="P537" s="36"/>
      <c r="Q537" s="36"/>
      <c r="R537" s="36"/>
      <c r="S537" s="36"/>
      <c r="T537" s="36"/>
      <c r="U537" s="36"/>
      <c r="V537" s="36"/>
      <c r="W537" s="36"/>
      <c r="X537" s="36"/>
      <c r="Y537" s="36"/>
      <c r="Z537" s="36"/>
      <c r="AA537" s="36"/>
      <c r="AB537" s="36"/>
      <c r="AC537" s="32">
        <f t="shared" si="303"/>
        <v>0</v>
      </c>
      <c r="AD537" s="37"/>
      <c r="AE537" s="37"/>
      <c r="AF537" s="37"/>
      <c r="AG537" s="37"/>
      <c r="AH537" s="37"/>
      <c r="AI537" s="37"/>
      <c r="AJ537" s="37"/>
      <c r="AK537" s="37"/>
      <c r="AL537" s="37"/>
      <c r="AM537" s="37"/>
      <c r="AN537" s="37"/>
      <c r="AO537" s="37"/>
      <c r="AP537" s="37"/>
      <c r="AQ537" s="37"/>
      <c r="AR537" s="37"/>
      <c r="AS537" s="37"/>
      <c r="AT537" s="38"/>
      <c r="AU537" s="1630"/>
      <c r="AV537" s="1342">
        <f t="shared" si="298"/>
        <v>0</v>
      </c>
      <c r="AW537" s="1342">
        <f t="shared" si="299"/>
        <v>0</v>
      </c>
      <c r="AX537" s="1342">
        <f t="shared" si="300"/>
        <v>0</v>
      </c>
      <c r="AY537" s="39">
        <f t="shared" si="304"/>
        <v>0</v>
      </c>
      <c r="AZ537" s="32">
        <f t="shared" si="305"/>
        <v>0</v>
      </c>
      <c r="BA537" s="32">
        <f t="shared" si="306"/>
        <v>0</v>
      </c>
      <c r="BB537" s="32">
        <f t="shared" si="307"/>
        <v>0</v>
      </c>
      <c r="BC537" s="32">
        <f t="shared" si="308"/>
        <v>0</v>
      </c>
      <c r="BD537" s="32">
        <f t="shared" si="309"/>
        <v>0</v>
      </c>
      <c r="BE537" s="32">
        <f t="shared" si="310"/>
        <v>0</v>
      </c>
      <c r="BF537" s="32">
        <f t="shared" si="311"/>
        <v>0</v>
      </c>
      <c r="BG537" s="32">
        <f t="shared" si="312"/>
        <v>0</v>
      </c>
      <c r="BH537" s="32">
        <f t="shared" si="313"/>
        <v>0</v>
      </c>
      <c r="BI537" s="32">
        <f t="shared" si="314"/>
        <v>0</v>
      </c>
      <c r="BJ537" s="32">
        <f t="shared" si="315"/>
        <v>0</v>
      </c>
      <c r="BK537" s="32">
        <f t="shared" si="316"/>
        <v>0</v>
      </c>
      <c r="BL537" s="32">
        <f t="shared" si="317"/>
        <v>0</v>
      </c>
      <c r="BM537" s="32">
        <f t="shared" si="318"/>
        <v>0</v>
      </c>
      <c r="BN537" s="32">
        <f t="shared" si="319"/>
        <v>0</v>
      </c>
      <c r="BO537" s="32">
        <f t="shared" si="320"/>
        <v>0</v>
      </c>
      <c r="BP537" s="32">
        <f t="shared" si="321"/>
        <v>0</v>
      </c>
      <c r="BQ537" s="32">
        <f t="shared" si="322"/>
        <v>0</v>
      </c>
      <c r="BR537" s="32">
        <f t="shared" si="323"/>
        <v>0</v>
      </c>
      <c r="BS537" s="32">
        <f t="shared" si="324"/>
        <v>0</v>
      </c>
      <c r="BT537" s="40">
        <f t="shared" si="325"/>
        <v>0</v>
      </c>
    </row>
    <row r="538" spans="1:72">
      <c r="A538" s="6"/>
      <c r="B538" s="31"/>
      <c r="C538" s="31"/>
      <c r="D538" s="1629"/>
      <c r="E538" s="32">
        <f t="shared" si="297"/>
        <v>0</v>
      </c>
      <c r="F538" s="33"/>
      <c r="G538" s="34">
        <f t="shared" si="301"/>
        <v>0</v>
      </c>
      <c r="H538" s="35">
        <f t="shared" si="302"/>
        <v>0</v>
      </c>
      <c r="I538" s="36"/>
      <c r="J538" s="36"/>
      <c r="K538" s="36"/>
      <c r="L538" s="36"/>
      <c r="M538" s="36"/>
      <c r="N538" s="36"/>
      <c r="O538" s="36"/>
      <c r="P538" s="36"/>
      <c r="Q538" s="36"/>
      <c r="R538" s="36"/>
      <c r="S538" s="36"/>
      <c r="T538" s="36"/>
      <c r="U538" s="36"/>
      <c r="V538" s="36"/>
      <c r="W538" s="36"/>
      <c r="X538" s="36"/>
      <c r="Y538" s="36"/>
      <c r="Z538" s="36"/>
      <c r="AA538" s="36"/>
      <c r="AB538" s="36"/>
      <c r="AC538" s="32">
        <f t="shared" si="303"/>
        <v>0</v>
      </c>
      <c r="AD538" s="37"/>
      <c r="AE538" s="37"/>
      <c r="AF538" s="37"/>
      <c r="AG538" s="37"/>
      <c r="AH538" s="37"/>
      <c r="AI538" s="37"/>
      <c r="AJ538" s="37"/>
      <c r="AK538" s="37"/>
      <c r="AL538" s="37"/>
      <c r="AM538" s="37"/>
      <c r="AN538" s="37"/>
      <c r="AO538" s="37"/>
      <c r="AP538" s="37"/>
      <c r="AQ538" s="37"/>
      <c r="AR538" s="37"/>
      <c r="AS538" s="37"/>
      <c r="AT538" s="38"/>
      <c r="AU538" s="1630"/>
      <c r="AV538" s="1342">
        <f t="shared" si="298"/>
        <v>0</v>
      </c>
      <c r="AW538" s="1342">
        <f t="shared" si="299"/>
        <v>0</v>
      </c>
      <c r="AX538" s="1342">
        <f t="shared" si="300"/>
        <v>0</v>
      </c>
      <c r="AY538" s="39">
        <f t="shared" si="304"/>
        <v>0</v>
      </c>
      <c r="AZ538" s="32">
        <f t="shared" si="305"/>
        <v>0</v>
      </c>
      <c r="BA538" s="32">
        <f t="shared" si="306"/>
        <v>0</v>
      </c>
      <c r="BB538" s="32">
        <f t="shared" si="307"/>
        <v>0</v>
      </c>
      <c r="BC538" s="32">
        <f t="shared" si="308"/>
        <v>0</v>
      </c>
      <c r="BD538" s="32">
        <f t="shared" si="309"/>
        <v>0</v>
      </c>
      <c r="BE538" s="32">
        <f t="shared" si="310"/>
        <v>0</v>
      </c>
      <c r="BF538" s="32">
        <f t="shared" si="311"/>
        <v>0</v>
      </c>
      <c r="BG538" s="32">
        <f t="shared" si="312"/>
        <v>0</v>
      </c>
      <c r="BH538" s="32">
        <f t="shared" si="313"/>
        <v>0</v>
      </c>
      <c r="BI538" s="32">
        <f t="shared" si="314"/>
        <v>0</v>
      </c>
      <c r="BJ538" s="32">
        <f t="shared" si="315"/>
        <v>0</v>
      </c>
      <c r="BK538" s="32">
        <f t="shared" si="316"/>
        <v>0</v>
      </c>
      <c r="BL538" s="32">
        <f t="shared" si="317"/>
        <v>0</v>
      </c>
      <c r="BM538" s="32">
        <f t="shared" si="318"/>
        <v>0</v>
      </c>
      <c r="BN538" s="32">
        <f t="shared" si="319"/>
        <v>0</v>
      </c>
      <c r="BO538" s="32">
        <f t="shared" si="320"/>
        <v>0</v>
      </c>
      <c r="BP538" s="32">
        <f t="shared" si="321"/>
        <v>0</v>
      </c>
      <c r="BQ538" s="32">
        <f t="shared" si="322"/>
        <v>0</v>
      </c>
      <c r="BR538" s="32">
        <f t="shared" si="323"/>
        <v>0</v>
      </c>
      <c r="BS538" s="32">
        <f t="shared" si="324"/>
        <v>0</v>
      </c>
      <c r="BT538" s="40">
        <f t="shared" si="325"/>
        <v>0</v>
      </c>
    </row>
    <row r="539" spans="1:72">
      <c r="A539" s="6"/>
      <c r="B539" s="31"/>
      <c r="C539" s="31"/>
      <c r="D539" s="1629"/>
      <c r="E539" s="32">
        <f t="shared" si="297"/>
        <v>0</v>
      </c>
      <c r="F539" s="33"/>
      <c r="G539" s="34">
        <f t="shared" si="301"/>
        <v>0</v>
      </c>
      <c r="H539" s="35">
        <f t="shared" si="302"/>
        <v>0</v>
      </c>
      <c r="I539" s="36"/>
      <c r="J539" s="36"/>
      <c r="K539" s="36"/>
      <c r="L539" s="36"/>
      <c r="M539" s="36"/>
      <c r="N539" s="36"/>
      <c r="O539" s="36"/>
      <c r="P539" s="36"/>
      <c r="Q539" s="36"/>
      <c r="R539" s="36"/>
      <c r="S539" s="36"/>
      <c r="T539" s="36"/>
      <c r="U539" s="36"/>
      <c r="V539" s="36"/>
      <c r="W539" s="36"/>
      <c r="X539" s="36"/>
      <c r="Y539" s="36"/>
      <c r="Z539" s="36"/>
      <c r="AA539" s="36"/>
      <c r="AB539" s="36"/>
      <c r="AC539" s="32">
        <f t="shared" si="303"/>
        <v>0</v>
      </c>
      <c r="AD539" s="37"/>
      <c r="AE539" s="37"/>
      <c r="AF539" s="37"/>
      <c r="AG539" s="37"/>
      <c r="AH539" s="37"/>
      <c r="AI539" s="37"/>
      <c r="AJ539" s="37"/>
      <c r="AK539" s="37"/>
      <c r="AL539" s="37"/>
      <c r="AM539" s="37"/>
      <c r="AN539" s="37"/>
      <c r="AO539" s="37"/>
      <c r="AP539" s="37"/>
      <c r="AQ539" s="37"/>
      <c r="AR539" s="37"/>
      <c r="AS539" s="37"/>
      <c r="AT539" s="38"/>
      <c r="AU539" s="1630"/>
      <c r="AV539" s="1342">
        <f t="shared" si="298"/>
        <v>0</v>
      </c>
      <c r="AW539" s="1342">
        <f t="shared" si="299"/>
        <v>0</v>
      </c>
      <c r="AX539" s="1342">
        <f t="shared" si="300"/>
        <v>0</v>
      </c>
      <c r="AY539" s="39">
        <f t="shared" si="304"/>
        <v>0</v>
      </c>
      <c r="AZ539" s="32">
        <f t="shared" si="305"/>
        <v>0</v>
      </c>
      <c r="BA539" s="32">
        <f t="shared" si="306"/>
        <v>0</v>
      </c>
      <c r="BB539" s="32">
        <f t="shared" si="307"/>
        <v>0</v>
      </c>
      <c r="BC539" s="32">
        <f t="shared" si="308"/>
        <v>0</v>
      </c>
      <c r="BD539" s="32">
        <f t="shared" si="309"/>
        <v>0</v>
      </c>
      <c r="BE539" s="32">
        <f t="shared" si="310"/>
        <v>0</v>
      </c>
      <c r="BF539" s="32">
        <f t="shared" si="311"/>
        <v>0</v>
      </c>
      <c r="BG539" s="32">
        <f t="shared" si="312"/>
        <v>0</v>
      </c>
      <c r="BH539" s="32">
        <f t="shared" si="313"/>
        <v>0</v>
      </c>
      <c r="BI539" s="32">
        <f t="shared" si="314"/>
        <v>0</v>
      </c>
      <c r="BJ539" s="32">
        <f t="shared" si="315"/>
        <v>0</v>
      </c>
      <c r="BK539" s="32">
        <f t="shared" si="316"/>
        <v>0</v>
      </c>
      <c r="BL539" s="32">
        <f t="shared" si="317"/>
        <v>0</v>
      </c>
      <c r="BM539" s="32">
        <f t="shared" si="318"/>
        <v>0</v>
      </c>
      <c r="BN539" s="32">
        <f t="shared" si="319"/>
        <v>0</v>
      </c>
      <c r="BO539" s="32">
        <f t="shared" si="320"/>
        <v>0</v>
      </c>
      <c r="BP539" s="32">
        <f t="shared" si="321"/>
        <v>0</v>
      </c>
      <c r="BQ539" s="32">
        <f t="shared" si="322"/>
        <v>0</v>
      </c>
      <c r="BR539" s="32">
        <f t="shared" si="323"/>
        <v>0</v>
      </c>
      <c r="BS539" s="32">
        <f t="shared" si="324"/>
        <v>0</v>
      </c>
      <c r="BT539" s="40">
        <f t="shared" si="325"/>
        <v>0</v>
      </c>
    </row>
    <row r="540" spans="1:72">
      <c r="A540" s="6"/>
      <c r="B540" s="31"/>
      <c r="C540" s="31"/>
      <c r="D540" s="1629"/>
      <c r="E540" s="32">
        <f t="shared" si="297"/>
        <v>0</v>
      </c>
      <c r="F540" s="33"/>
      <c r="G540" s="34">
        <f t="shared" si="301"/>
        <v>0</v>
      </c>
      <c r="H540" s="35">
        <f t="shared" si="302"/>
        <v>0</v>
      </c>
      <c r="I540" s="36"/>
      <c r="J540" s="36"/>
      <c r="K540" s="36"/>
      <c r="L540" s="36"/>
      <c r="M540" s="36"/>
      <c r="N540" s="36"/>
      <c r="O540" s="36"/>
      <c r="P540" s="36"/>
      <c r="Q540" s="36"/>
      <c r="R540" s="36"/>
      <c r="S540" s="36"/>
      <c r="T540" s="36"/>
      <c r="U540" s="36"/>
      <c r="V540" s="36"/>
      <c r="W540" s="36"/>
      <c r="X540" s="36"/>
      <c r="Y540" s="36"/>
      <c r="Z540" s="36"/>
      <c r="AA540" s="36"/>
      <c r="AB540" s="36"/>
      <c r="AC540" s="32">
        <f t="shared" si="303"/>
        <v>0</v>
      </c>
      <c r="AD540" s="37"/>
      <c r="AE540" s="37"/>
      <c r="AF540" s="37"/>
      <c r="AG540" s="37"/>
      <c r="AH540" s="37"/>
      <c r="AI540" s="37"/>
      <c r="AJ540" s="37"/>
      <c r="AK540" s="37"/>
      <c r="AL540" s="37"/>
      <c r="AM540" s="37"/>
      <c r="AN540" s="37"/>
      <c r="AO540" s="37"/>
      <c r="AP540" s="37"/>
      <c r="AQ540" s="37"/>
      <c r="AR540" s="37"/>
      <c r="AS540" s="37"/>
      <c r="AT540" s="38"/>
      <c r="AU540" s="1630"/>
      <c r="AV540" s="1342">
        <f t="shared" si="298"/>
        <v>0</v>
      </c>
      <c r="AW540" s="1342">
        <f t="shared" si="299"/>
        <v>0</v>
      </c>
      <c r="AX540" s="1342">
        <f t="shared" si="300"/>
        <v>0</v>
      </c>
      <c r="AY540" s="39">
        <f t="shared" si="304"/>
        <v>0</v>
      </c>
      <c r="AZ540" s="32">
        <f t="shared" si="305"/>
        <v>0</v>
      </c>
      <c r="BA540" s="32">
        <f t="shared" si="306"/>
        <v>0</v>
      </c>
      <c r="BB540" s="32">
        <f t="shared" si="307"/>
        <v>0</v>
      </c>
      <c r="BC540" s="32">
        <f t="shared" si="308"/>
        <v>0</v>
      </c>
      <c r="BD540" s="32">
        <f t="shared" si="309"/>
        <v>0</v>
      </c>
      <c r="BE540" s="32">
        <f t="shared" si="310"/>
        <v>0</v>
      </c>
      <c r="BF540" s="32">
        <f t="shared" si="311"/>
        <v>0</v>
      </c>
      <c r="BG540" s="32">
        <f t="shared" si="312"/>
        <v>0</v>
      </c>
      <c r="BH540" s="32">
        <f t="shared" si="313"/>
        <v>0</v>
      </c>
      <c r="BI540" s="32">
        <f t="shared" si="314"/>
        <v>0</v>
      </c>
      <c r="BJ540" s="32">
        <f t="shared" si="315"/>
        <v>0</v>
      </c>
      <c r="BK540" s="32">
        <f t="shared" si="316"/>
        <v>0</v>
      </c>
      <c r="BL540" s="32">
        <f t="shared" si="317"/>
        <v>0</v>
      </c>
      <c r="BM540" s="32">
        <f t="shared" si="318"/>
        <v>0</v>
      </c>
      <c r="BN540" s="32">
        <f t="shared" si="319"/>
        <v>0</v>
      </c>
      <c r="BO540" s="32">
        <f t="shared" si="320"/>
        <v>0</v>
      </c>
      <c r="BP540" s="32">
        <f t="shared" si="321"/>
        <v>0</v>
      </c>
      <c r="BQ540" s="32">
        <f t="shared" si="322"/>
        <v>0</v>
      </c>
      <c r="BR540" s="32">
        <f t="shared" si="323"/>
        <v>0</v>
      </c>
      <c r="BS540" s="32">
        <f t="shared" si="324"/>
        <v>0</v>
      </c>
      <c r="BT540" s="40">
        <f t="shared" si="325"/>
        <v>0</v>
      </c>
    </row>
    <row r="541" spans="1:72">
      <c r="A541" s="6"/>
      <c r="B541" s="31"/>
      <c r="C541" s="31"/>
      <c r="D541" s="1629"/>
      <c r="E541" s="32">
        <f t="shared" si="297"/>
        <v>0</v>
      </c>
      <c r="F541" s="33"/>
      <c r="G541" s="34">
        <f t="shared" si="301"/>
        <v>0</v>
      </c>
      <c r="H541" s="35">
        <f t="shared" si="302"/>
        <v>0</v>
      </c>
      <c r="I541" s="36"/>
      <c r="J541" s="36"/>
      <c r="K541" s="36"/>
      <c r="L541" s="36"/>
      <c r="M541" s="36"/>
      <c r="N541" s="36"/>
      <c r="O541" s="36"/>
      <c r="P541" s="36"/>
      <c r="Q541" s="36"/>
      <c r="R541" s="36"/>
      <c r="S541" s="36"/>
      <c r="T541" s="36"/>
      <c r="U541" s="36"/>
      <c r="V541" s="36"/>
      <c r="W541" s="36"/>
      <c r="X541" s="36"/>
      <c r="Y541" s="36"/>
      <c r="Z541" s="36"/>
      <c r="AA541" s="36"/>
      <c r="AB541" s="36"/>
      <c r="AC541" s="32">
        <f t="shared" si="303"/>
        <v>0</v>
      </c>
      <c r="AD541" s="37"/>
      <c r="AE541" s="37"/>
      <c r="AF541" s="37"/>
      <c r="AG541" s="37"/>
      <c r="AH541" s="37"/>
      <c r="AI541" s="37"/>
      <c r="AJ541" s="37"/>
      <c r="AK541" s="37"/>
      <c r="AL541" s="37"/>
      <c r="AM541" s="37"/>
      <c r="AN541" s="37"/>
      <c r="AO541" s="37"/>
      <c r="AP541" s="37"/>
      <c r="AQ541" s="37"/>
      <c r="AR541" s="37"/>
      <c r="AS541" s="37"/>
      <c r="AT541" s="38"/>
      <c r="AU541" s="1630"/>
      <c r="AV541" s="1342">
        <f t="shared" si="298"/>
        <v>0</v>
      </c>
      <c r="AW541" s="1342">
        <f t="shared" si="299"/>
        <v>0</v>
      </c>
      <c r="AX541" s="1342">
        <f t="shared" si="300"/>
        <v>0</v>
      </c>
      <c r="AY541" s="39">
        <f t="shared" si="304"/>
        <v>0</v>
      </c>
      <c r="AZ541" s="32">
        <f t="shared" si="305"/>
        <v>0</v>
      </c>
      <c r="BA541" s="32">
        <f t="shared" si="306"/>
        <v>0</v>
      </c>
      <c r="BB541" s="32">
        <f t="shared" si="307"/>
        <v>0</v>
      </c>
      <c r="BC541" s="32">
        <f t="shared" si="308"/>
        <v>0</v>
      </c>
      <c r="BD541" s="32">
        <f t="shared" si="309"/>
        <v>0</v>
      </c>
      <c r="BE541" s="32">
        <f t="shared" si="310"/>
        <v>0</v>
      </c>
      <c r="BF541" s="32">
        <f t="shared" si="311"/>
        <v>0</v>
      </c>
      <c r="BG541" s="32">
        <f t="shared" si="312"/>
        <v>0</v>
      </c>
      <c r="BH541" s="32">
        <f t="shared" si="313"/>
        <v>0</v>
      </c>
      <c r="BI541" s="32">
        <f t="shared" si="314"/>
        <v>0</v>
      </c>
      <c r="BJ541" s="32">
        <f t="shared" si="315"/>
        <v>0</v>
      </c>
      <c r="BK541" s="32">
        <f t="shared" si="316"/>
        <v>0</v>
      </c>
      <c r="BL541" s="32">
        <f t="shared" si="317"/>
        <v>0</v>
      </c>
      <c r="BM541" s="32">
        <f t="shared" si="318"/>
        <v>0</v>
      </c>
      <c r="BN541" s="32">
        <f t="shared" si="319"/>
        <v>0</v>
      </c>
      <c r="BO541" s="32">
        <f t="shared" si="320"/>
        <v>0</v>
      </c>
      <c r="BP541" s="32">
        <f t="shared" si="321"/>
        <v>0</v>
      </c>
      <c r="BQ541" s="32">
        <f t="shared" si="322"/>
        <v>0</v>
      </c>
      <c r="BR541" s="32">
        <f t="shared" si="323"/>
        <v>0</v>
      </c>
      <c r="BS541" s="32">
        <f t="shared" si="324"/>
        <v>0</v>
      </c>
      <c r="BT541" s="40">
        <f t="shared" si="325"/>
        <v>0</v>
      </c>
    </row>
    <row r="542" spans="1:72">
      <c r="A542" s="6"/>
      <c r="B542" s="31"/>
      <c r="C542" s="31"/>
      <c r="D542" s="1629"/>
      <c r="E542" s="32">
        <f t="shared" si="297"/>
        <v>0</v>
      </c>
      <c r="F542" s="33"/>
      <c r="G542" s="34">
        <f t="shared" si="301"/>
        <v>0</v>
      </c>
      <c r="H542" s="35">
        <f t="shared" si="302"/>
        <v>0</v>
      </c>
      <c r="I542" s="36"/>
      <c r="J542" s="36"/>
      <c r="K542" s="36"/>
      <c r="L542" s="36"/>
      <c r="M542" s="36"/>
      <c r="N542" s="36"/>
      <c r="O542" s="36"/>
      <c r="P542" s="36"/>
      <c r="Q542" s="36"/>
      <c r="R542" s="36"/>
      <c r="S542" s="36"/>
      <c r="T542" s="36"/>
      <c r="U542" s="36"/>
      <c r="V542" s="36"/>
      <c r="W542" s="36"/>
      <c r="X542" s="36"/>
      <c r="Y542" s="36"/>
      <c r="Z542" s="36"/>
      <c r="AA542" s="36"/>
      <c r="AB542" s="36"/>
      <c r="AC542" s="32">
        <f t="shared" si="303"/>
        <v>0</v>
      </c>
      <c r="AD542" s="37"/>
      <c r="AE542" s="37"/>
      <c r="AF542" s="37"/>
      <c r="AG542" s="37"/>
      <c r="AH542" s="37"/>
      <c r="AI542" s="37"/>
      <c r="AJ542" s="37"/>
      <c r="AK542" s="37"/>
      <c r="AL542" s="37"/>
      <c r="AM542" s="37"/>
      <c r="AN542" s="37"/>
      <c r="AO542" s="37"/>
      <c r="AP542" s="37"/>
      <c r="AQ542" s="37"/>
      <c r="AR542" s="37"/>
      <c r="AS542" s="37"/>
      <c r="AT542" s="38"/>
      <c r="AU542" s="1630"/>
      <c r="AV542" s="1342">
        <f t="shared" si="298"/>
        <v>0</v>
      </c>
      <c r="AW542" s="1342">
        <f t="shared" si="299"/>
        <v>0</v>
      </c>
      <c r="AX542" s="1342">
        <f t="shared" si="300"/>
        <v>0</v>
      </c>
      <c r="AY542" s="39">
        <f t="shared" si="304"/>
        <v>0</v>
      </c>
      <c r="AZ542" s="32">
        <f t="shared" si="305"/>
        <v>0</v>
      </c>
      <c r="BA542" s="32">
        <f t="shared" si="306"/>
        <v>0</v>
      </c>
      <c r="BB542" s="32">
        <f t="shared" si="307"/>
        <v>0</v>
      </c>
      <c r="BC542" s="32">
        <f t="shared" si="308"/>
        <v>0</v>
      </c>
      <c r="BD542" s="32">
        <f t="shared" si="309"/>
        <v>0</v>
      </c>
      <c r="BE542" s="32">
        <f t="shared" si="310"/>
        <v>0</v>
      </c>
      <c r="BF542" s="32">
        <f t="shared" si="311"/>
        <v>0</v>
      </c>
      <c r="BG542" s="32">
        <f t="shared" si="312"/>
        <v>0</v>
      </c>
      <c r="BH542" s="32">
        <f t="shared" si="313"/>
        <v>0</v>
      </c>
      <c r="BI542" s="32">
        <f t="shared" si="314"/>
        <v>0</v>
      </c>
      <c r="BJ542" s="32">
        <f t="shared" si="315"/>
        <v>0</v>
      </c>
      <c r="BK542" s="32">
        <f t="shared" si="316"/>
        <v>0</v>
      </c>
      <c r="BL542" s="32">
        <f t="shared" si="317"/>
        <v>0</v>
      </c>
      <c r="BM542" s="32">
        <f t="shared" si="318"/>
        <v>0</v>
      </c>
      <c r="BN542" s="32">
        <f t="shared" si="319"/>
        <v>0</v>
      </c>
      <c r="BO542" s="32">
        <f t="shared" si="320"/>
        <v>0</v>
      </c>
      <c r="BP542" s="32">
        <f t="shared" si="321"/>
        <v>0</v>
      </c>
      <c r="BQ542" s="32">
        <f t="shared" si="322"/>
        <v>0</v>
      </c>
      <c r="BR542" s="32">
        <f t="shared" si="323"/>
        <v>0</v>
      </c>
      <c r="BS542" s="32">
        <f t="shared" si="324"/>
        <v>0</v>
      </c>
      <c r="BT542" s="40">
        <f t="shared" si="325"/>
        <v>0</v>
      </c>
    </row>
    <row r="543" spans="1:72">
      <c r="A543" s="6"/>
      <c r="B543" s="31"/>
      <c r="C543" s="31"/>
      <c r="D543" s="1629"/>
      <c r="E543" s="32">
        <f t="shared" si="297"/>
        <v>0</v>
      </c>
      <c r="F543" s="33"/>
      <c r="G543" s="34">
        <f t="shared" si="301"/>
        <v>0</v>
      </c>
      <c r="H543" s="35">
        <f t="shared" si="302"/>
        <v>0</v>
      </c>
      <c r="I543" s="36"/>
      <c r="J543" s="36"/>
      <c r="K543" s="36"/>
      <c r="L543" s="36"/>
      <c r="M543" s="36"/>
      <c r="N543" s="36"/>
      <c r="O543" s="36"/>
      <c r="P543" s="36"/>
      <c r="Q543" s="36"/>
      <c r="R543" s="36"/>
      <c r="S543" s="36"/>
      <c r="T543" s="36"/>
      <c r="U543" s="36"/>
      <c r="V543" s="36"/>
      <c r="W543" s="36"/>
      <c r="X543" s="36"/>
      <c r="Y543" s="36"/>
      <c r="Z543" s="36"/>
      <c r="AA543" s="36"/>
      <c r="AB543" s="36"/>
      <c r="AC543" s="32">
        <f t="shared" si="303"/>
        <v>0</v>
      </c>
      <c r="AD543" s="37"/>
      <c r="AE543" s="37"/>
      <c r="AF543" s="37"/>
      <c r="AG543" s="37"/>
      <c r="AH543" s="37"/>
      <c r="AI543" s="37"/>
      <c r="AJ543" s="37"/>
      <c r="AK543" s="37"/>
      <c r="AL543" s="37"/>
      <c r="AM543" s="37"/>
      <c r="AN543" s="37"/>
      <c r="AO543" s="37"/>
      <c r="AP543" s="37"/>
      <c r="AQ543" s="37"/>
      <c r="AR543" s="37"/>
      <c r="AS543" s="37"/>
      <c r="AT543" s="38"/>
      <c r="AU543" s="1630"/>
      <c r="AV543" s="1342">
        <f t="shared" si="298"/>
        <v>0</v>
      </c>
      <c r="AW543" s="1342">
        <f t="shared" si="299"/>
        <v>0</v>
      </c>
      <c r="AX543" s="1342">
        <f t="shared" si="300"/>
        <v>0</v>
      </c>
      <c r="AY543" s="39">
        <f t="shared" si="304"/>
        <v>0</v>
      </c>
      <c r="AZ543" s="32">
        <f t="shared" si="305"/>
        <v>0</v>
      </c>
      <c r="BA543" s="32">
        <f t="shared" si="306"/>
        <v>0</v>
      </c>
      <c r="BB543" s="32">
        <f t="shared" si="307"/>
        <v>0</v>
      </c>
      <c r="BC543" s="32">
        <f t="shared" si="308"/>
        <v>0</v>
      </c>
      <c r="BD543" s="32">
        <f t="shared" si="309"/>
        <v>0</v>
      </c>
      <c r="BE543" s="32">
        <f t="shared" si="310"/>
        <v>0</v>
      </c>
      <c r="BF543" s="32">
        <f t="shared" si="311"/>
        <v>0</v>
      </c>
      <c r="BG543" s="32">
        <f t="shared" si="312"/>
        <v>0</v>
      </c>
      <c r="BH543" s="32">
        <f t="shared" si="313"/>
        <v>0</v>
      </c>
      <c r="BI543" s="32">
        <f t="shared" si="314"/>
        <v>0</v>
      </c>
      <c r="BJ543" s="32">
        <f t="shared" si="315"/>
        <v>0</v>
      </c>
      <c r="BK543" s="32">
        <f t="shared" si="316"/>
        <v>0</v>
      </c>
      <c r="BL543" s="32">
        <f t="shared" si="317"/>
        <v>0</v>
      </c>
      <c r="BM543" s="32">
        <f t="shared" si="318"/>
        <v>0</v>
      </c>
      <c r="BN543" s="32">
        <f t="shared" si="319"/>
        <v>0</v>
      </c>
      <c r="BO543" s="32">
        <f t="shared" si="320"/>
        <v>0</v>
      </c>
      <c r="BP543" s="32">
        <f t="shared" si="321"/>
        <v>0</v>
      </c>
      <c r="BQ543" s="32">
        <f t="shared" si="322"/>
        <v>0</v>
      </c>
      <c r="BR543" s="32">
        <f t="shared" si="323"/>
        <v>0</v>
      </c>
      <c r="BS543" s="32">
        <f t="shared" si="324"/>
        <v>0</v>
      </c>
      <c r="BT543" s="40">
        <f t="shared" si="325"/>
        <v>0</v>
      </c>
    </row>
    <row r="544" spans="1:72">
      <c r="A544" s="6"/>
      <c r="B544" s="31"/>
      <c r="C544" s="31"/>
      <c r="D544" s="1629"/>
      <c r="E544" s="32">
        <f t="shared" si="297"/>
        <v>0</v>
      </c>
      <c r="F544" s="33"/>
      <c r="G544" s="34">
        <f t="shared" si="301"/>
        <v>0</v>
      </c>
      <c r="H544" s="35">
        <f t="shared" si="302"/>
        <v>0</v>
      </c>
      <c r="I544" s="36"/>
      <c r="J544" s="36"/>
      <c r="K544" s="36"/>
      <c r="L544" s="36"/>
      <c r="M544" s="36"/>
      <c r="N544" s="36"/>
      <c r="O544" s="36"/>
      <c r="P544" s="36"/>
      <c r="Q544" s="36"/>
      <c r="R544" s="36"/>
      <c r="S544" s="36"/>
      <c r="T544" s="36"/>
      <c r="U544" s="36"/>
      <c r="V544" s="36"/>
      <c r="W544" s="36"/>
      <c r="X544" s="36"/>
      <c r="Y544" s="36"/>
      <c r="Z544" s="36"/>
      <c r="AA544" s="36"/>
      <c r="AB544" s="36"/>
      <c r="AC544" s="32">
        <f t="shared" si="303"/>
        <v>0</v>
      </c>
      <c r="AD544" s="37"/>
      <c r="AE544" s="37"/>
      <c r="AF544" s="37"/>
      <c r="AG544" s="37"/>
      <c r="AH544" s="37"/>
      <c r="AI544" s="37"/>
      <c r="AJ544" s="37"/>
      <c r="AK544" s="37"/>
      <c r="AL544" s="37"/>
      <c r="AM544" s="37"/>
      <c r="AN544" s="37"/>
      <c r="AO544" s="37"/>
      <c r="AP544" s="37"/>
      <c r="AQ544" s="37"/>
      <c r="AR544" s="37"/>
      <c r="AS544" s="37"/>
      <c r="AT544" s="38"/>
      <c r="AU544" s="1630"/>
      <c r="AV544" s="1342">
        <f t="shared" si="298"/>
        <v>0</v>
      </c>
      <c r="AW544" s="1342">
        <f t="shared" si="299"/>
        <v>0</v>
      </c>
      <c r="AX544" s="1342">
        <f t="shared" si="300"/>
        <v>0</v>
      </c>
      <c r="AY544" s="39">
        <f t="shared" si="304"/>
        <v>0</v>
      </c>
      <c r="AZ544" s="32">
        <f t="shared" si="305"/>
        <v>0</v>
      </c>
      <c r="BA544" s="32">
        <f t="shared" si="306"/>
        <v>0</v>
      </c>
      <c r="BB544" s="32">
        <f t="shared" si="307"/>
        <v>0</v>
      </c>
      <c r="BC544" s="32">
        <f t="shared" si="308"/>
        <v>0</v>
      </c>
      <c r="BD544" s="32">
        <f t="shared" si="309"/>
        <v>0</v>
      </c>
      <c r="BE544" s="32">
        <f t="shared" si="310"/>
        <v>0</v>
      </c>
      <c r="BF544" s="32">
        <f t="shared" si="311"/>
        <v>0</v>
      </c>
      <c r="BG544" s="32">
        <f t="shared" si="312"/>
        <v>0</v>
      </c>
      <c r="BH544" s="32">
        <f t="shared" si="313"/>
        <v>0</v>
      </c>
      <c r="BI544" s="32">
        <f t="shared" si="314"/>
        <v>0</v>
      </c>
      <c r="BJ544" s="32">
        <f t="shared" si="315"/>
        <v>0</v>
      </c>
      <c r="BK544" s="32">
        <f t="shared" si="316"/>
        <v>0</v>
      </c>
      <c r="BL544" s="32">
        <f t="shared" si="317"/>
        <v>0</v>
      </c>
      <c r="BM544" s="32">
        <f t="shared" si="318"/>
        <v>0</v>
      </c>
      <c r="BN544" s="32">
        <f t="shared" si="319"/>
        <v>0</v>
      </c>
      <c r="BO544" s="32">
        <f t="shared" si="320"/>
        <v>0</v>
      </c>
      <c r="BP544" s="32">
        <f t="shared" si="321"/>
        <v>0</v>
      </c>
      <c r="BQ544" s="32">
        <f t="shared" si="322"/>
        <v>0</v>
      </c>
      <c r="BR544" s="32">
        <f t="shared" si="323"/>
        <v>0</v>
      </c>
      <c r="BS544" s="32">
        <f t="shared" si="324"/>
        <v>0</v>
      </c>
      <c r="BT544" s="40">
        <f t="shared" si="325"/>
        <v>0</v>
      </c>
    </row>
    <row r="545" spans="1:72">
      <c r="A545" s="6"/>
      <c r="B545" s="31"/>
      <c r="C545" s="31"/>
      <c r="D545" s="1629"/>
      <c r="E545" s="32">
        <f t="shared" si="297"/>
        <v>0</v>
      </c>
      <c r="F545" s="33"/>
      <c r="G545" s="34">
        <f t="shared" si="301"/>
        <v>0</v>
      </c>
      <c r="H545" s="35">
        <f t="shared" si="302"/>
        <v>0</v>
      </c>
      <c r="I545" s="36"/>
      <c r="J545" s="36"/>
      <c r="K545" s="36"/>
      <c r="L545" s="36"/>
      <c r="M545" s="36"/>
      <c r="N545" s="36"/>
      <c r="O545" s="36"/>
      <c r="P545" s="36"/>
      <c r="Q545" s="36"/>
      <c r="R545" s="36"/>
      <c r="S545" s="36"/>
      <c r="T545" s="36"/>
      <c r="U545" s="36"/>
      <c r="V545" s="36"/>
      <c r="W545" s="36"/>
      <c r="X545" s="36"/>
      <c r="Y545" s="36"/>
      <c r="Z545" s="36"/>
      <c r="AA545" s="36"/>
      <c r="AB545" s="36"/>
      <c r="AC545" s="32">
        <f t="shared" si="303"/>
        <v>0</v>
      </c>
      <c r="AD545" s="37"/>
      <c r="AE545" s="37"/>
      <c r="AF545" s="37"/>
      <c r="AG545" s="37"/>
      <c r="AH545" s="37"/>
      <c r="AI545" s="37"/>
      <c r="AJ545" s="37"/>
      <c r="AK545" s="37"/>
      <c r="AL545" s="37"/>
      <c r="AM545" s="37"/>
      <c r="AN545" s="37"/>
      <c r="AO545" s="37"/>
      <c r="AP545" s="37"/>
      <c r="AQ545" s="37"/>
      <c r="AR545" s="37"/>
      <c r="AS545" s="37"/>
      <c r="AT545" s="38"/>
      <c r="AU545" s="1630"/>
      <c r="AV545" s="1342">
        <f t="shared" si="298"/>
        <v>0</v>
      </c>
      <c r="AW545" s="1342">
        <f t="shared" si="299"/>
        <v>0</v>
      </c>
      <c r="AX545" s="1342">
        <f t="shared" si="300"/>
        <v>0</v>
      </c>
      <c r="AY545" s="39">
        <f t="shared" si="304"/>
        <v>0</v>
      </c>
      <c r="AZ545" s="32">
        <f t="shared" si="305"/>
        <v>0</v>
      </c>
      <c r="BA545" s="32">
        <f t="shared" si="306"/>
        <v>0</v>
      </c>
      <c r="BB545" s="32">
        <f t="shared" si="307"/>
        <v>0</v>
      </c>
      <c r="BC545" s="32">
        <f t="shared" si="308"/>
        <v>0</v>
      </c>
      <c r="BD545" s="32">
        <f t="shared" si="309"/>
        <v>0</v>
      </c>
      <c r="BE545" s="32">
        <f t="shared" si="310"/>
        <v>0</v>
      </c>
      <c r="BF545" s="32">
        <f t="shared" si="311"/>
        <v>0</v>
      </c>
      <c r="BG545" s="32">
        <f t="shared" si="312"/>
        <v>0</v>
      </c>
      <c r="BH545" s="32">
        <f t="shared" si="313"/>
        <v>0</v>
      </c>
      <c r="BI545" s="32">
        <f t="shared" si="314"/>
        <v>0</v>
      </c>
      <c r="BJ545" s="32">
        <f t="shared" si="315"/>
        <v>0</v>
      </c>
      <c r="BK545" s="32">
        <f t="shared" si="316"/>
        <v>0</v>
      </c>
      <c r="BL545" s="32">
        <f t="shared" si="317"/>
        <v>0</v>
      </c>
      <c r="BM545" s="32">
        <f t="shared" si="318"/>
        <v>0</v>
      </c>
      <c r="BN545" s="32">
        <f t="shared" si="319"/>
        <v>0</v>
      </c>
      <c r="BO545" s="32">
        <f t="shared" si="320"/>
        <v>0</v>
      </c>
      <c r="BP545" s="32">
        <f t="shared" si="321"/>
        <v>0</v>
      </c>
      <c r="BQ545" s="32">
        <f t="shared" si="322"/>
        <v>0</v>
      </c>
      <c r="BR545" s="32">
        <f t="shared" si="323"/>
        <v>0</v>
      </c>
      <c r="BS545" s="32">
        <f t="shared" si="324"/>
        <v>0</v>
      </c>
      <c r="BT545" s="40">
        <f t="shared" si="325"/>
        <v>0</v>
      </c>
    </row>
    <row r="546" spans="1:72">
      <c r="A546" s="6"/>
      <c r="B546" s="31"/>
      <c r="C546" s="31"/>
      <c r="D546" s="1629"/>
      <c r="E546" s="32">
        <f t="shared" si="297"/>
        <v>0</v>
      </c>
      <c r="F546" s="33"/>
      <c r="G546" s="34">
        <f t="shared" si="301"/>
        <v>0</v>
      </c>
      <c r="H546" s="35">
        <f t="shared" si="302"/>
        <v>0</v>
      </c>
      <c r="I546" s="36"/>
      <c r="J546" s="36"/>
      <c r="K546" s="36"/>
      <c r="L546" s="36"/>
      <c r="M546" s="36"/>
      <c r="N546" s="36"/>
      <c r="O546" s="36"/>
      <c r="P546" s="36"/>
      <c r="Q546" s="36"/>
      <c r="R546" s="36"/>
      <c r="S546" s="36"/>
      <c r="T546" s="36"/>
      <c r="U546" s="36"/>
      <c r="V546" s="36"/>
      <c r="W546" s="36"/>
      <c r="X546" s="36"/>
      <c r="Y546" s="36"/>
      <c r="Z546" s="36"/>
      <c r="AA546" s="36"/>
      <c r="AB546" s="36"/>
      <c r="AC546" s="32">
        <f t="shared" si="303"/>
        <v>0</v>
      </c>
      <c r="AD546" s="37"/>
      <c r="AE546" s="37"/>
      <c r="AF546" s="37"/>
      <c r="AG546" s="37"/>
      <c r="AH546" s="37"/>
      <c r="AI546" s="37"/>
      <c r="AJ546" s="37"/>
      <c r="AK546" s="37"/>
      <c r="AL546" s="37"/>
      <c r="AM546" s="37"/>
      <c r="AN546" s="37"/>
      <c r="AO546" s="37"/>
      <c r="AP546" s="37"/>
      <c r="AQ546" s="37"/>
      <c r="AR546" s="37"/>
      <c r="AS546" s="37"/>
      <c r="AT546" s="38"/>
      <c r="AU546" s="1630"/>
      <c r="AV546" s="1342">
        <f t="shared" si="298"/>
        <v>0</v>
      </c>
      <c r="AW546" s="1342">
        <f t="shared" si="299"/>
        <v>0</v>
      </c>
      <c r="AX546" s="1342">
        <f t="shared" si="300"/>
        <v>0</v>
      </c>
      <c r="AY546" s="39">
        <f t="shared" si="304"/>
        <v>0</v>
      </c>
      <c r="AZ546" s="32">
        <f t="shared" si="305"/>
        <v>0</v>
      </c>
      <c r="BA546" s="32">
        <f t="shared" si="306"/>
        <v>0</v>
      </c>
      <c r="BB546" s="32">
        <f t="shared" si="307"/>
        <v>0</v>
      </c>
      <c r="BC546" s="32">
        <f t="shared" si="308"/>
        <v>0</v>
      </c>
      <c r="BD546" s="32">
        <f t="shared" si="309"/>
        <v>0</v>
      </c>
      <c r="BE546" s="32">
        <f t="shared" si="310"/>
        <v>0</v>
      </c>
      <c r="BF546" s="32">
        <f t="shared" si="311"/>
        <v>0</v>
      </c>
      <c r="BG546" s="32">
        <f t="shared" si="312"/>
        <v>0</v>
      </c>
      <c r="BH546" s="32">
        <f t="shared" si="313"/>
        <v>0</v>
      </c>
      <c r="BI546" s="32">
        <f t="shared" si="314"/>
        <v>0</v>
      </c>
      <c r="BJ546" s="32">
        <f t="shared" si="315"/>
        <v>0</v>
      </c>
      <c r="BK546" s="32">
        <f t="shared" si="316"/>
        <v>0</v>
      </c>
      <c r="BL546" s="32">
        <f t="shared" si="317"/>
        <v>0</v>
      </c>
      <c r="BM546" s="32">
        <f t="shared" si="318"/>
        <v>0</v>
      </c>
      <c r="BN546" s="32">
        <f t="shared" si="319"/>
        <v>0</v>
      </c>
      <c r="BO546" s="32">
        <f t="shared" si="320"/>
        <v>0</v>
      </c>
      <c r="BP546" s="32">
        <f t="shared" si="321"/>
        <v>0</v>
      </c>
      <c r="BQ546" s="32">
        <f t="shared" si="322"/>
        <v>0</v>
      </c>
      <c r="BR546" s="32">
        <f t="shared" si="323"/>
        <v>0</v>
      </c>
      <c r="BS546" s="32">
        <f t="shared" si="324"/>
        <v>0</v>
      </c>
      <c r="BT546" s="40">
        <f t="shared" si="325"/>
        <v>0</v>
      </c>
    </row>
    <row r="547" spans="1:72">
      <c r="A547" s="6"/>
      <c r="B547" s="31"/>
      <c r="C547" s="31"/>
      <c r="D547" s="1629"/>
      <c r="E547" s="32">
        <f t="shared" si="297"/>
        <v>0</v>
      </c>
      <c r="F547" s="33"/>
      <c r="G547" s="34">
        <f t="shared" si="301"/>
        <v>0</v>
      </c>
      <c r="H547" s="35">
        <f t="shared" si="302"/>
        <v>0</v>
      </c>
      <c r="I547" s="36"/>
      <c r="J547" s="36"/>
      <c r="K547" s="36"/>
      <c r="L547" s="36"/>
      <c r="M547" s="36"/>
      <c r="N547" s="36"/>
      <c r="O547" s="36"/>
      <c r="P547" s="36"/>
      <c r="Q547" s="36"/>
      <c r="R547" s="36"/>
      <c r="S547" s="36"/>
      <c r="T547" s="36"/>
      <c r="U547" s="36"/>
      <c r="V547" s="36"/>
      <c r="W547" s="36"/>
      <c r="X547" s="36"/>
      <c r="Y547" s="36"/>
      <c r="Z547" s="36"/>
      <c r="AA547" s="36"/>
      <c r="AB547" s="36"/>
      <c r="AC547" s="32">
        <f t="shared" si="303"/>
        <v>0</v>
      </c>
      <c r="AD547" s="37"/>
      <c r="AE547" s="37"/>
      <c r="AF547" s="37"/>
      <c r="AG547" s="37"/>
      <c r="AH547" s="37"/>
      <c r="AI547" s="37"/>
      <c r="AJ547" s="37"/>
      <c r="AK547" s="37"/>
      <c r="AL547" s="37"/>
      <c r="AM547" s="37"/>
      <c r="AN547" s="37"/>
      <c r="AO547" s="37"/>
      <c r="AP547" s="37"/>
      <c r="AQ547" s="37"/>
      <c r="AR547" s="37"/>
      <c r="AS547" s="37"/>
      <c r="AT547" s="38"/>
      <c r="AU547" s="1630"/>
      <c r="AV547" s="1342">
        <f t="shared" si="298"/>
        <v>0</v>
      </c>
      <c r="AW547" s="1342">
        <f t="shared" si="299"/>
        <v>0</v>
      </c>
      <c r="AX547" s="1342">
        <f t="shared" si="300"/>
        <v>0</v>
      </c>
      <c r="AY547" s="39">
        <f t="shared" si="304"/>
        <v>0</v>
      </c>
      <c r="AZ547" s="32">
        <f t="shared" si="305"/>
        <v>0</v>
      </c>
      <c r="BA547" s="32">
        <f t="shared" si="306"/>
        <v>0</v>
      </c>
      <c r="BB547" s="32">
        <f t="shared" si="307"/>
        <v>0</v>
      </c>
      <c r="BC547" s="32">
        <f t="shared" si="308"/>
        <v>0</v>
      </c>
      <c r="BD547" s="32">
        <f t="shared" si="309"/>
        <v>0</v>
      </c>
      <c r="BE547" s="32">
        <f t="shared" si="310"/>
        <v>0</v>
      </c>
      <c r="BF547" s="32">
        <f t="shared" si="311"/>
        <v>0</v>
      </c>
      <c r="BG547" s="32">
        <f t="shared" si="312"/>
        <v>0</v>
      </c>
      <c r="BH547" s="32">
        <f t="shared" si="313"/>
        <v>0</v>
      </c>
      <c r="BI547" s="32">
        <f t="shared" si="314"/>
        <v>0</v>
      </c>
      <c r="BJ547" s="32">
        <f t="shared" si="315"/>
        <v>0</v>
      </c>
      <c r="BK547" s="32">
        <f t="shared" si="316"/>
        <v>0</v>
      </c>
      <c r="BL547" s="32">
        <f t="shared" si="317"/>
        <v>0</v>
      </c>
      <c r="BM547" s="32">
        <f t="shared" si="318"/>
        <v>0</v>
      </c>
      <c r="BN547" s="32">
        <f t="shared" si="319"/>
        <v>0</v>
      </c>
      <c r="BO547" s="32">
        <f t="shared" si="320"/>
        <v>0</v>
      </c>
      <c r="BP547" s="32">
        <f t="shared" si="321"/>
        <v>0</v>
      </c>
      <c r="BQ547" s="32">
        <f t="shared" si="322"/>
        <v>0</v>
      </c>
      <c r="BR547" s="32">
        <f t="shared" si="323"/>
        <v>0</v>
      </c>
      <c r="BS547" s="32">
        <f t="shared" si="324"/>
        <v>0</v>
      </c>
      <c r="BT547" s="40">
        <f t="shared" si="325"/>
        <v>0</v>
      </c>
    </row>
    <row r="548" spans="1:72">
      <c r="A548" s="6"/>
      <c r="B548" s="31"/>
      <c r="C548" s="31"/>
      <c r="D548" s="1629"/>
      <c r="E548" s="32">
        <f t="shared" si="297"/>
        <v>0</v>
      </c>
      <c r="F548" s="33"/>
      <c r="G548" s="34">
        <f t="shared" si="301"/>
        <v>0</v>
      </c>
      <c r="H548" s="35">
        <f t="shared" si="302"/>
        <v>0</v>
      </c>
      <c r="I548" s="36"/>
      <c r="J548" s="36"/>
      <c r="K548" s="36"/>
      <c r="L548" s="36"/>
      <c r="M548" s="36"/>
      <c r="N548" s="36"/>
      <c r="O548" s="36"/>
      <c r="P548" s="36"/>
      <c r="Q548" s="36"/>
      <c r="R548" s="36"/>
      <c r="S548" s="36"/>
      <c r="T548" s="36"/>
      <c r="U548" s="36"/>
      <c r="V548" s="36"/>
      <c r="W548" s="36"/>
      <c r="X548" s="36"/>
      <c r="Y548" s="36"/>
      <c r="Z548" s="36"/>
      <c r="AA548" s="36"/>
      <c r="AB548" s="36"/>
      <c r="AC548" s="32">
        <f t="shared" si="303"/>
        <v>0</v>
      </c>
      <c r="AD548" s="37"/>
      <c r="AE548" s="37"/>
      <c r="AF548" s="37"/>
      <c r="AG548" s="37"/>
      <c r="AH548" s="37"/>
      <c r="AI548" s="37"/>
      <c r="AJ548" s="37"/>
      <c r="AK548" s="37"/>
      <c r="AL548" s="37"/>
      <c r="AM548" s="37"/>
      <c r="AN548" s="37"/>
      <c r="AO548" s="37"/>
      <c r="AP548" s="37"/>
      <c r="AQ548" s="37"/>
      <c r="AR548" s="37"/>
      <c r="AS548" s="37"/>
      <c r="AT548" s="38"/>
      <c r="AU548" s="1630"/>
      <c r="AV548" s="1342">
        <f t="shared" si="298"/>
        <v>0</v>
      </c>
      <c r="AW548" s="1342">
        <f t="shared" si="299"/>
        <v>0</v>
      </c>
      <c r="AX548" s="1342">
        <f t="shared" si="300"/>
        <v>0</v>
      </c>
      <c r="AY548" s="39">
        <f t="shared" si="304"/>
        <v>0</v>
      </c>
      <c r="AZ548" s="32">
        <f t="shared" si="305"/>
        <v>0</v>
      </c>
      <c r="BA548" s="32">
        <f t="shared" si="306"/>
        <v>0</v>
      </c>
      <c r="BB548" s="32">
        <f t="shared" si="307"/>
        <v>0</v>
      </c>
      <c r="BC548" s="32">
        <f t="shared" si="308"/>
        <v>0</v>
      </c>
      <c r="BD548" s="32">
        <f t="shared" si="309"/>
        <v>0</v>
      </c>
      <c r="BE548" s="32">
        <f t="shared" si="310"/>
        <v>0</v>
      </c>
      <c r="BF548" s="32">
        <f t="shared" si="311"/>
        <v>0</v>
      </c>
      <c r="BG548" s="32">
        <f t="shared" si="312"/>
        <v>0</v>
      </c>
      <c r="BH548" s="32">
        <f t="shared" si="313"/>
        <v>0</v>
      </c>
      <c r="BI548" s="32">
        <f t="shared" si="314"/>
        <v>0</v>
      </c>
      <c r="BJ548" s="32">
        <f t="shared" si="315"/>
        <v>0</v>
      </c>
      <c r="BK548" s="32">
        <f t="shared" si="316"/>
        <v>0</v>
      </c>
      <c r="BL548" s="32">
        <f t="shared" si="317"/>
        <v>0</v>
      </c>
      <c r="BM548" s="32">
        <f t="shared" si="318"/>
        <v>0</v>
      </c>
      <c r="BN548" s="32">
        <f t="shared" si="319"/>
        <v>0</v>
      </c>
      <c r="BO548" s="32">
        <f t="shared" si="320"/>
        <v>0</v>
      </c>
      <c r="BP548" s="32">
        <f t="shared" si="321"/>
        <v>0</v>
      </c>
      <c r="BQ548" s="32">
        <f t="shared" si="322"/>
        <v>0</v>
      </c>
      <c r="BR548" s="32">
        <f t="shared" si="323"/>
        <v>0</v>
      </c>
      <c r="BS548" s="32">
        <f t="shared" si="324"/>
        <v>0</v>
      </c>
      <c r="BT548" s="40">
        <f t="shared" si="325"/>
        <v>0</v>
      </c>
    </row>
    <row r="549" spans="1:72">
      <c r="A549" s="6"/>
      <c r="B549" s="31"/>
      <c r="C549" s="31"/>
      <c r="D549" s="1629"/>
      <c r="E549" s="32">
        <f t="shared" si="297"/>
        <v>0</v>
      </c>
      <c r="F549" s="33"/>
      <c r="G549" s="34">
        <f t="shared" si="301"/>
        <v>0</v>
      </c>
      <c r="H549" s="35">
        <f t="shared" si="302"/>
        <v>0</v>
      </c>
      <c r="I549" s="36"/>
      <c r="J549" s="36"/>
      <c r="K549" s="36"/>
      <c r="L549" s="36"/>
      <c r="M549" s="36"/>
      <c r="N549" s="36"/>
      <c r="O549" s="36"/>
      <c r="P549" s="36"/>
      <c r="Q549" s="36"/>
      <c r="R549" s="36"/>
      <c r="S549" s="36"/>
      <c r="T549" s="36"/>
      <c r="U549" s="36"/>
      <c r="V549" s="36"/>
      <c r="W549" s="36"/>
      <c r="X549" s="36"/>
      <c r="Y549" s="36"/>
      <c r="Z549" s="36"/>
      <c r="AA549" s="36"/>
      <c r="AB549" s="36"/>
      <c r="AC549" s="32">
        <f t="shared" si="303"/>
        <v>0</v>
      </c>
      <c r="AD549" s="37"/>
      <c r="AE549" s="37"/>
      <c r="AF549" s="37"/>
      <c r="AG549" s="37"/>
      <c r="AH549" s="37"/>
      <c r="AI549" s="37"/>
      <c r="AJ549" s="37"/>
      <c r="AK549" s="37"/>
      <c r="AL549" s="37"/>
      <c r="AM549" s="37"/>
      <c r="AN549" s="37"/>
      <c r="AO549" s="37"/>
      <c r="AP549" s="37"/>
      <c r="AQ549" s="37"/>
      <c r="AR549" s="37"/>
      <c r="AS549" s="37"/>
      <c r="AT549" s="38"/>
      <c r="AU549" s="1630"/>
      <c r="AV549" s="1342">
        <f t="shared" si="298"/>
        <v>0</v>
      </c>
      <c r="AW549" s="1342">
        <f t="shared" si="299"/>
        <v>0</v>
      </c>
      <c r="AX549" s="1342">
        <f t="shared" si="300"/>
        <v>0</v>
      </c>
      <c r="AY549" s="39">
        <f t="shared" si="304"/>
        <v>0</v>
      </c>
      <c r="AZ549" s="32">
        <f t="shared" si="305"/>
        <v>0</v>
      </c>
      <c r="BA549" s="32">
        <f t="shared" si="306"/>
        <v>0</v>
      </c>
      <c r="BB549" s="32">
        <f t="shared" si="307"/>
        <v>0</v>
      </c>
      <c r="BC549" s="32">
        <f t="shared" si="308"/>
        <v>0</v>
      </c>
      <c r="BD549" s="32">
        <f t="shared" si="309"/>
        <v>0</v>
      </c>
      <c r="BE549" s="32">
        <f t="shared" si="310"/>
        <v>0</v>
      </c>
      <c r="BF549" s="32">
        <f t="shared" si="311"/>
        <v>0</v>
      </c>
      <c r="BG549" s="32">
        <f t="shared" si="312"/>
        <v>0</v>
      </c>
      <c r="BH549" s="32">
        <f t="shared" si="313"/>
        <v>0</v>
      </c>
      <c r="BI549" s="32">
        <f t="shared" si="314"/>
        <v>0</v>
      </c>
      <c r="BJ549" s="32">
        <f t="shared" si="315"/>
        <v>0</v>
      </c>
      <c r="BK549" s="32">
        <f t="shared" si="316"/>
        <v>0</v>
      </c>
      <c r="BL549" s="32">
        <f t="shared" si="317"/>
        <v>0</v>
      </c>
      <c r="BM549" s="32">
        <f t="shared" si="318"/>
        <v>0</v>
      </c>
      <c r="BN549" s="32">
        <f t="shared" si="319"/>
        <v>0</v>
      </c>
      <c r="BO549" s="32">
        <f t="shared" si="320"/>
        <v>0</v>
      </c>
      <c r="BP549" s="32">
        <f t="shared" si="321"/>
        <v>0</v>
      </c>
      <c r="BQ549" s="32">
        <f t="shared" si="322"/>
        <v>0</v>
      </c>
      <c r="BR549" s="32">
        <f t="shared" si="323"/>
        <v>0</v>
      </c>
      <c r="BS549" s="32">
        <f t="shared" si="324"/>
        <v>0</v>
      </c>
      <c r="BT549" s="40">
        <f t="shared" si="325"/>
        <v>0</v>
      </c>
    </row>
    <row r="550" spans="1:72">
      <c r="A550" s="6"/>
      <c r="B550" s="31"/>
      <c r="C550" s="31"/>
      <c r="D550" s="1629"/>
      <c r="E550" s="32">
        <f t="shared" si="297"/>
        <v>0</v>
      </c>
      <c r="F550" s="33"/>
      <c r="G550" s="34">
        <f t="shared" si="301"/>
        <v>0</v>
      </c>
      <c r="H550" s="35">
        <f t="shared" si="302"/>
        <v>0</v>
      </c>
      <c r="I550" s="36"/>
      <c r="J550" s="36"/>
      <c r="K550" s="36"/>
      <c r="L550" s="36"/>
      <c r="M550" s="36"/>
      <c r="N550" s="36"/>
      <c r="O550" s="36"/>
      <c r="P550" s="36"/>
      <c r="Q550" s="36"/>
      <c r="R550" s="36"/>
      <c r="S550" s="36"/>
      <c r="T550" s="36"/>
      <c r="U550" s="36"/>
      <c r="V550" s="36"/>
      <c r="W550" s="36"/>
      <c r="X550" s="36"/>
      <c r="Y550" s="36"/>
      <c r="Z550" s="36"/>
      <c r="AA550" s="36"/>
      <c r="AB550" s="36"/>
      <c r="AC550" s="32">
        <f t="shared" si="303"/>
        <v>0</v>
      </c>
      <c r="AD550" s="37"/>
      <c r="AE550" s="37"/>
      <c r="AF550" s="37"/>
      <c r="AG550" s="37"/>
      <c r="AH550" s="37"/>
      <c r="AI550" s="37"/>
      <c r="AJ550" s="37"/>
      <c r="AK550" s="37"/>
      <c r="AL550" s="37"/>
      <c r="AM550" s="37"/>
      <c r="AN550" s="37"/>
      <c r="AO550" s="37"/>
      <c r="AP550" s="37"/>
      <c r="AQ550" s="37"/>
      <c r="AR550" s="37"/>
      <c r="AS550" s="37"/>
      <c r="AT550" s="38"/>
      <c r="AU550" s="1630"/>
      <c r="AV550" s="1342">
        <f t="shared" si="298"/>
        <v>0</v>
      </c>
      <c r="AW550" s="1342">
        <f t="shared" si="299"/>
        <v>0</v>
      </c>
      <c r="AX550" s="1342">
        <f t="shared" si="300"/>
        <v>0</v>
      </c>
      <c r="AY550" s="39">
        <f t="shared" si="304"/>
        <v>0</v>
      </c>
      <c r="AZ550" s="32">
        <f t="shared" si="305"/>
        <v>0</v>
      </c>
      <c r="BA550" s="32">
        <f t="shared" si="306"/>
        <v>0</v>
      </c>
      <c r="BB550" s="32">
        <f t="shared" si="307"/>
        <v>0</v>
      </c>
      <c r="BC550" s="32">
        <f t="shared" si="308"/>
        <v>0</v>
      </c>
      <c r="BD550" s="32">
        <f t="shared" si="309"/>
        <v>0</v>
      </c>
      <c r="BE550" s="32">
        <f t="shared" si="310"/>
        <v>0</v>
      </c>
      <c r="BF550" s="32">
        <f t="shared" si="311"/>
        <v>0</v>
      </c>
      <c r="BG550" s="32">
        <f t="shared" si="312"/>
        <v>0</v>
      </c>
      <c r="BH550" s="32">
        <f t="shared" si="313"/>
        <v>0</v>
      </c>
      <c r="BI550" s="32">
        <f t="shared" si="314"/>
        <v>0</v>
      </c>
      <c r="BJ550" s="32">
        <f t="shared" si="315"/>
        <v>0</v>
      </c>
      <c r="BK550" s="32">
        <f t="shared" si="316"/>
        <v>0</v>
      </c>
      <c r="BL550" s="32">
        <f t="shared" si="317"/>
        <v>0</v>
      </c>
      <c r="BM550" s="32">
        <f t="shared" si="318"/>
        <v>0</v>
      </c>
      <c r="BN550" s="32">
        <f t="shared" si="319"/>
        <v>0</v>
      </c>
      <c r="BO550" s="32">
        <f t="shared" si="320"/>
        <v>0</v>
      </c>
      <c r="BP550" s="32">
        <f t="shared" si="321"/>
        <v>0</v>
      </c>
      <c r="BQ550" s="32">
        <f t="shared" si="322"/>
        <v>0</v>
      </c>
      <c r="BR550" s="32">
        <f t="shared" si="323"/>
        <v>0</v>
      </c>
      <c r="BS550" s="32">
        <f t="shared" si="324"/>
        <v>0</v>
      </c>
      <c r="BT550" s="40">
        <f t="shared" si="325"/>
        <v>0</v>
      </c>
    </row>
    <row r="551" spans="1:72">
      <c r="A551" s="6"/>
      <c r="B551" s="31"/>
      <c r="C551" s="31"/>
      <c r="D551" s="1629"/>
      <c r="E551" s="32">
        <f t="shared" si="297"/>
        <v>0</v>
      </c>
      <c r="F551" s="33"/>
      <c r="G551" s="34">
        <f t="shared" si="301"/>
        <v>0</v>
      </c>
      <c r="H551" s="35">
        <f t="shared" si="302"/>
        <v>0</v>
      </c>
      <c r="I551" s="36"/>
      <c r="J551" s="36"/>
      <c r="K551" s="36"/>
      <c r="L551" s="36"/>
      <c r="M551" s="36"/>
      <c r="N551" s="36"/>
      <c r="O551" s="36"/>
      <c r="P551" s="36"/>
      <c r="Q551" s="36"/>
      <c r="R551" s="36"/>
      <c r="S551" s="36"/>
      <c r="T551" s="36"/>
      <c r="U551" s="36"/>
      <c r="V551" s="36"/>
      <c r="W551" s="36"/>
      <c r="X551" s="36"/>
      <c r="Y551" s="36"/>
      <c r="Z551" s="36"/>
      <c r="AA551" s="36"/>
      <c r="AB551" s="36"/>
      <c r="AC551" s="32">
        <f t="shared" si="303"/>
        <v>0</v>
      </c>
      <c r="AD551" s="37"/>
      <c r="AE551" s="37"/>
      <c r="AF551" s="37"/>
      <c r="AG551" s="37"/>
      <c r="AH551" s="37"/>
      <c r="AI551" s="37"/>
      <c r="AJ551" s="37"/>
      <c r="AK551" s="37"/>
      <c r="AL551" s="37"/>
      <c r="AM551" s="37"/>
      <c r="AN551" s="37"/>
      <c r="AO551" s="37"/>
      <c r="AP551" s="37"/>
      <c r="AQ551" s="37"/>
      <c r="AR551" s="37"/>
      <c r="AS551" s="37"/>
      <c r="AT551" s="38"/>
      <c r="AU551" s="1630"/>
      <c r="AV551" s="1342">
        <f t="shared" si="298"/>
        <v>0</v>
      </c>
      <c r="AW551" s="1342">
        <f t="shared" si="299"/>
        <v>0</v>
      </c>
      <c r="AX551" s="1342">
        <f t="shared" si="300"/>
        <v>0</v>
      </c>
      <c r="AY551" s="39">
        <f t="shared" si="304"/>
        <v>0</v>
      </c>
      <c r="AZ551" s="32">
        <f t="shared" si="305"/>
        <v>0</v>
      </c>
      <c r="BA551" s="32">
        <f t="shared" si="306"/>
        <v>0</v>
      </c>
      <c r="BB551" s="32">
        <f t="shared" si="307"/>
        <v>0</v>
      </c>
      <c r="BC551" s="32">
        <f t="shared" si="308"/>
        <v>0</v>
      </c>
      <c r="BD551" s="32">
        <f t="shared" si="309"/>
        <v>0</v>
      </c>
      <c r="BE551" s="32">
        <f t="shared" si="310"/>
        <v>0</v>
      </c>
      <c r="BF551" s="32">
        <f t="shared" si="311"/>
        <v>0</v>
      </c>
      <c r="BG551" s="32">
        <f t="shared" si="312"/>
        <v>0</v>
      </c>
      <c r="BH551" s="32">
        <f t="shared" si="313"/>
        <v>0</v>
      </c>
      <c r="BI551" s="32">
        <f t="shared" si="314"/>
        <v>0</v>
      </c>
      <c r="BJ551" s="32">
        <f t="shared" si="315"/>
        <v>0</v>
      </c>
      <c r="BK551" s="32">
        <f t="shared" si="316"/>
        <v>0</v>
      </c>
      <c r="BL551" s="32">
        <f t="shared" si="317"/>
        <v>0</v>
      </c>
      <c r="BM551" s="32">
        <f t="shared" si="318"/>
        <v>0</v>
      </c>
      <c r="BN551" s="32">
        <f t="shared" si="319"/>
        <v>0</v>
      </c>
      <c r="BO551" s="32">
        <f t="shared" si="320"/>
        <v>0</v>
      </c>
      <c r="BP551" s="32">
        <f t="shared" si="321"/>
        <v>0</v>
      </c>
      <c r="BQ551" s="32">
        <f t="shared" si="322"/>
        <v>0</v>
      </c>
      <c r="BR551" s="32">
        <f t="shared" si="323"/>
        <v>0</v>
      </c>
      <c r="BS551" s="32">
        <f t="shared" si="324"/>
        <v>0</v>
      </c>
      <c r="BT551" s="40">
        <f t="shared" si="325"/>
        <v>0</v>
      </c>
    </row>
    <row r="552" spans="1:72">
      <c r="A552" s="6"/>
      <c r="B552" s="31"/>
      <c r="C552" s="31"/>
      <c r="D552" s="1629"/>
      <c r="E552" s="32">
        <f t="shared" ref="E552:E587" si="326">IF($C$3="是",ROUND($A$3*G552/$B$3,2),ROUND($A$3*(G552-AT552)/$B$3,2))</f>
        <v>0</v>
      </c>
      <c r="F552" s="33"/>
      <c r="G552" s="34">
        <f t="shared" si="301"/>
        <v>0</v>
      </c>
      <c r="H552" s="35">
        <f t="shared" si="302"/>
        <v>0</v>
      </c>
      <c r="I552" s="36"/>
      <c r="J552" s="36"/>
      <c r="K552" s="36"/>
      <c r="L552" s="36"/>
      <c r="M552" s="36"/>
      <c r="N552" s="36"/>
      <c r="O552" s="36"/>
      <c r="P552" s="36"/>
      <c r="Q552" s="36"/>
      <c r="R552" s="36"/>
      <c r="S552" s="36"/>
      <c r="T552" s="36"/>
      <c r="U552" s="36"/>
      <c r="V552" s="36"/>
      <c r="W552" s="36"/>
      <c r="X552" s="36"/>
      <c r="Y552" s="36"/>
      <c r="Z552" s="36"/>
      <c r="AA552" s="36"/>
      <c r="AB552" s="36"/>
      <c r="AC552" s="32">
        <f t="shared" si="303"/>
        <v>0</v>
      </c>
      <c r="AD552" s="37"/>
      <c r="AE552" s="37"/>
      <c r="AF552" s="37"/>
      <c r="AG552" s="37"/>
      <c r="AH552" s="37"/>
      <c r="AI552" s="37"/>
      <c r="AJ552" s="37"/>
      <c r="AK552" s="37"/>
      <c r="AL552" s="37"/>
      <c r="AM552" s="37"/>
      <c r="AN552" s="37"/>
      <c r="AO552" s="37"/>
      <c r="AP552" s="37"/>
      <c r="AQ552" s="37"/>
      <c r="AR552" s="37"/>
      <c r="AS552" s="37"/>
      <c r="AT552" s="38"/>
      <c r="AU552" s="1630"/>
      <c r="AV552" s="1342">
        <f t="shared" si="298"/>
        <v>0</v>
      </c>
      <c r="AW552" s="1342">
        <f t="shared" si="299"/>
        <v>0</v>
      </c>
      <c r="AX552" s="1342">
        <f t="shared" si="300"/>
        <v>0</v>
      </c>
      <c r="AY552" s="39">
        <f t="shared" si="304"/>
        <v>0</v>
      </c>
      <c r="AZ552" s="32">
        <f t="shared" si="305"/>
        <v>0</v>
      </c>
      <c r="BA552" s="32">
        <f t="shared" si="306"/>
        <v>0</v>
      </c>
      <c r="BB552" s="32">
        <f t="shared" si="307"/>
        <v>0</v>
      </c>
      <c r="BC552" s="32">
        <f t="shared" si="308"/>
        <v>0</v>
      </c>
      <c r="BD552" s="32">
        <f t="shared" si="309"/>
        <v>0</v>
      </c>
      <c r="BE552" s="32">
        <f t="shared" si="310"/>
        <v>0</v>
      </c>
      <c r="BF552" s="32">
        <f t="shared" si="311"/>
        <v>0</v>
      </c>
      <c r="BG552" s="32">
        <f t="shared" si="312"/>
        <v>0</v>
      </c>
      <c r="BH552" s="32">
        <f t="shared" si="313"/>
        <v>0</v>
      </c>
      <c r="BI552" s="32">
        <f t="shared" si="314"/>
        <v>0</v>
      </c>
      <c r="BJ552" s="32">
        <f t="shared" si="315"/>
        <v>0</v>
      </c>
      <c r="BK552" s="32">
        <f t="shared" si="316"/>
        <v>0</v>
      </c>
      <c r="BL552" s="32">
        <f t="shared" si="317"/>
        <v>0</v>
      </c>
      <c r="BM552" s="32">
        <f t="shared" si="318"/>
        <v>0</v>
      </c>
      <c r="BN552" s="32">
        <f t="shared" si="319"/>
        <v>0</v>
      </c>
      <c r="BO552" s="32">
        <f t="shared" si="320"/>
        <v>0</v>
      </c>
      <c r="BP552" s="32">
        <f t="shared" si="321"/>
        <v>0</v>
      </c>
      <c r="BQ552" s="32">
        <f t="shared" si="322"/>
        <v>0</v>
      </c>
      <c r="BR552" s="32">
        <f t="shared" si="323"/>
        <v>0</v>
      </c>
      <c r="BS552" s="32">
        <f t="shared" si="324"/>
        <v>0</v>
      </c>
      <c r="BT552" s="40">
        <f t="shared" si="325"/>
        <v>0</v>
      </c>
    </row>
    <row r="553" spans="1:72">
      <c r="A553" s="6"/>
      <c r="B553" s="31"/>
      <c r="C553" s="31"/>
      <c r="D553" s="1629"/>
      <c r="E553" s="32">
        <f t="shared" si="326"/>
        <v>0</v>
      </c>
      <c r="F553" s="33"/>
      <c r="G553" s="34">
        <f t="shared" ref="G553:G584" si="327">H553+AC553+AT553</f>
        <v>0</v>
      </c>
      <c r="H553" s="35">
        <f t="shared" ref="H553:H584" si="328">SUMIF(I$12:AB$12,"总值",I553:AB553)</f>
        <v>0</v>
      </c>
      <c r="I553" s="36"/>
      <c r="J553" s="36"/>
      <c r="K553" s="36"/>
      <c r="L553" s="36"/>
      <c r="M553" s="36"/>
      <c r="N553" s="36"/>
      <c r="O553" s="36"/>
      <c r="P553" s="36"/>
      <c r="Q553" s="36"/>
      <c r="R553" s="36"/>
      <c r="S553" s="36"/>
      <c r="T553" s="36"/>
      <c r="U553" s="36"/>
      <c r="V553" s="36"/>
      <c r="W553" s="36"/>
      <c r="X553" s="36"/>
      <c r="Y553" s="36"/>
      <c r="Z553" s="36"/>
      <c r="AA553" s="36"/>
      <c r="AB553" s="36"/>
      <c r="AC553" s="32">
        <f t="shared" ref="AC553:AC584" si="329">SUMIF(AD$12:AS$12,"总值",AD553:AS553)</f>
        <v>0</v>
      </c>
      <c r="AD553" s="37"/>
      <c r="AE553" s="37"/>
      <c r="AF553" s="37"/>
      <c r="AG553" s="37"/>
      <c r="AH553" s="37"/>
      <c r="AI553" s="37"/>
      <c r="AJ553" s="37"/>
      <c r="AK553" s="37"/>
      <c r="AL553" s="37"/>
      <c r="AM553" s="37"/>
      <c r="AN553" s="37"/>
      <c r="AO553" s="37"/>
      <c r="AP553" s="37"/>
      <c r="AQ553" s="37"/>
      <c r="AR553" s="37"/>
      <c r="AS553" s="37"/>
      <c r="AT553" s="38"/>
      <c r="AU553" s="1630"/>
      <c r="AV553" s="1342">
        <f t="shared" ref="AV553:AV587" si="330">A553</f>
        <v>0</v>
      </c>
      <c r="AW553" s="1342">
        <f t="shared" ref="AW553:AW587" si="331">B553</f>
        <v>0</v>
      </c>
      <c r="AX553" s="1342">
        <f t="shared" ref="AX553:AX587" si="332">C553</f>
        <v>0</v>
      </c>
      <c r="AY553" s="39">
        <f t="shared" ref="AY553:AY584" si="333">ROUND($AY$6*AZ553/$AZ$5,2)</f>
        <v>0</v>
      </c>
      <c r="AZ553" s="32">
        <f t="shared" ref="AZ553:AZ584" si="334">BA553+BL553</f>
        <v>0</v>
      </c>
      <c r="BA553" s="32">
        <f t="shared" ref="BA553:BA584" si="335">SUM(BB553:BK553)</f>
        <v>0</v>
      </c>
      <c r="BB553" s="32">
        <f t="shared" ref="BB553:BB584" si="336">IF($D553="是",I553-J553,0)</f>
        <v>0</v>
      </c>
      <c r="BC553" s="32">
        <f t="shared" ref="BC553:BC584" si="337">IF($D553="是",K553-L553,0)</f>
        <v>0</v>
      </c>
      <c r="BD553" s="32">
        <f t="shared" ref="BD553:BD584" si="338">IF($D553="是",M553-N553,0)</f>
        <v>0</v>
      </c>
      <c r="BE553" s="32">
        <f t="shared" ref="BE553:BE584" si="339">IF($D553="是",O553-P553,0)</f>
        <v>0</v>
      </c>
      <c r="BF553" s="32">
        <f t="shared" ref="BF553:BF584" si="340">IF($D553="是",Q553-R553,0)</f>
        <v>0</v>
      </c>
      <c r="BG553" s="32">
        <f t="shared" ref="BG553:BG584" si="341">IF($D553="是",S553-T553,0)</f>
        <v>0</v>
      </c>
      <c r="BH553" s="32">
        <f t="shared" ref="BH553:BH584" si="342">IF($D553="是",U553-V553,0)</f>
        <v>0</v>
      </c>
      <c r="BI553" s="32">
        <f t="shared" ref="BI553:BI584" si="343">IF($D553="是",W553-X553,0)</f>
        <v>0</v>
      </c>
      <c r="BJ553" s="32">
        <f t="shared" ref="BJ553:BJ584" si="344">IF($D553="是",Y553-Z553,0)</f>
        <v>0</v>
      </c>
      <c r="BK553" s="32">
        <f t="shared" ref="BK553:BK584" si="345">IF($D553="是",AA553-AB553,0)</f>
        <v>0</v>
      </c>
      <c r="BL553" s="32">
        <f t="shared" ref="BL553:BL584" si="346">SUM(BM553:BT553)</f>
        <v>0</v>
      </c>
      <c r="BM553" s="32">
        <f t="shared" ref="BM553:BM584" si="347">IF($D553="是",AD553-AE553,0)</f>
        <v>0</v>
      </c>
      <c r="BN553" s="32">
        <f t="shared" ref="BN553:BN584" si="348">IF($D553="是",AF553-AG553,0)</f>
        <v>0</v>
      </c>
      <c r="BO553" s="32">
        <f t="shared" ref="BO553:BO584" si="349">IF($D553="是",AH553-AI553,0)</f>
        <v>0</v>
      </c>
      <c r="BP553" s="32">
        <f t="shared" ref="BP553:BP584" si="350">IF($D553="是",AJ553-AK553,0)</f>
        <v>0</v>
      </c>
      <c r="BQ553" s="32">
        <f t="shared" ref="BQ553:BQ584" si="351">IF($D553="是",AL553-AM553,0)</f>
        <v>0</v>
      </c>
      <c r="BR553" s="32">
        <f t="shared" ref="BR553:BR584" si="352">IF($D553="是",AN553-AO553,0)</f>
        <v>0</v>
      </c>
      <c r="BS553" s="32">
        <f t="shared" ref="BS553:BS584" si="353">IF($D553="是",AP553-AQ553,0)</f>
        <v>0</v>
      </c>
      <c r="BT553" s="40">
        <f t="shared" ref="BT553:BT584" si="354">IF($D553="是",AR553-AS553,0)</f>
        <v>0</v>
      </c>
    </row>
    <row r="554" spans="1:72">
      <c r="A554" s="6"/>
      <c r="B554" s="31"/>
      <c r="C554" s="31"/>
      <c r="D554" s="1629"/>
      <c r="E554" s="32">
        <f t="shared" si="326"/>
        <v>0</v>
      </c>
      <c r="F554" s="33"/>
      <c r="G554" s="34">
        <f t="shared" si="327"/>
        <v>0</v>
      </c>
      <c r="H554" s="35">
        <f t="shared" si="328"/>
        <v>0</v>
      </c>
      <c r="I554" s="36"/>
      <c r="J554" s="36"/>
      <c r="K554" s="36"/>
      <c r="L554" s="36"/>
      <c r="M554" s="36"/>
      <c r="N554" s="36"/>
      <c r="O554" s="36"/>
      <c r="P554" s="36"/>
      <c r="Q554" s="36"/>
      <c r="R554" s="36"/>
      <c r="S554" s="36"/>
      <c r="T554" s="36"/>
      <c r="U554" s="36"/>
      <c r="V554" s="36"/>
      <c r="W554" s="36"/>
      <c r="X554" s="36"/>
      <c r="Y554" s="36"/>
      <c r="Z554" s="36"/>
      <c r="AA554" s="36"/>
      <c r="AB554" s="36"/>
      <c r="AC554" s="32">
        <f t="shared" si="329"/>
        <v>0</v>
      </c>
      <c r="AD554" s="37"/>
      <c r="AE554" s="37"/>
      <c r="AF554" s="37"/>
      <c r="AG554" s="37"/>
      <c r="AH554" s="37"/>
      <c r="AI554" s="37"/>
      <c r="AJ554" s="37"/>
      <c r="AK554" s="37"/>
      <c r="AL554" s="37"/>
      <c r="AM554" s="37"/>
      <c r="AN554" s="37"/>
      <c r="AO554" s="37"/>
      <c r="AP554" s="37"/>
      <c r="AQ554" s="37"/>
      <c r="AR554" s="37"/>
      <c r="AS554" s="37"/>
      <c r="AT554" s="38"/>
      <c r="AU554" s="1630"/>
      <c r="AV554" s="1342">
        <f t="shared" si="330"/>
        <v>0</v>
      </c>
      <c r="AW554" s="1342">
        <f t="shared" si="331"/>
        <v>0</v>
      </c>
      <c r="AX554" s="1342">
        <f t="shared" si="332"/>
        <v>0</v>
      </c>
      <c r="AY554" s="39">
        <f t="shared" si="333"/>
        <v>0</v>
      </c>
      <c r="AZ554" s="32">
        <f t="shared" si="334"/>
        <v>0</v>
      </c>
      <c r="BA554" s="32">
        <f t="shared" si="335"/>
        <v>0</v>
      </c>
      <c r="BB554" s="32">
        <f t="shared" si="336"/>
        <v>0</v>
      </c>
      <c r="BC554" s="32">
        <f t="shared" si="337"/>
        <v>0</v>
      </c>
      <c r="BD554" s="32">
        <f t="shared" si="338"/>
        <v>0</v>
      </c>
      <c r="BE554" s="32">
        <f t="shared" si="339"/>
        <v>0</v>
      </c>
      <c r="BF554" s="32">
        <f t="shared" si="340"/>
        <v>0</v>
      </c>
      <c r="BG554" s="32">
        <f t="shared" si="341"/>
        <v>0</v>
      </c>
      <c r="BH554" s="32">
        <f t="shared" si="342"/>
        <v>0</v>
      </c>
      <c r="BI554" s="32">
        <f t="shared" si="343"/>
        <v>0</v>
      </c>
      <c r="BJ554" s="32">
        <f t="shared" si="344"/>
        <v>0</v>
      </c>
      <c r="BK554" s="32">
        <f t="shared" si="345"/>
        <v>0</v>
      </c>
      <c r="BL554" s="32">
        <f t="shared" si="346"/>
        <v>0</v>
      </c>
      <c r="BM554" s="32">
        <f t="shared" si="347"/>
        <v>0</v>
      </c>
      <c r="BN554" s="32">
        <f t="shared" si="348"/>
        <v>0</v>
      </c>
      <c r="BO554" s="32">
        <f t="shared" si="349"/>
        <v>0</v>
      </c>
      <c r="BP554" s="32">
        <f t="shared" si="350"/>
        <v>0</v>
      </c>
      <c r="BQ554" s="32">
        <f t="shared" si="351"/>
        <v>0</v>
      </c>
      <c r="BR554" s="32">
        <f t="shared" si="352"/>
        <v>0</v>
      </c>
      <c r="BS554" s="32">
        <f t="shared" si="353"/>
        <v>0</v>
      </c>
      <c r="BT554" s="40">
        <f t="shared" si="354"/>
        <v>0</v>
      </c>
    </row>
    <row r="555" spans="1:72">
      <c r="A555" s="6"/>
      <c r="B555" s="31"/>
      <c r="C555" s="31"/>
      <c r="D555" s="1629"/>
      <c r="E555" s="32">
        <f t="shared" si="326"/>
        <v>0</v>
      </c>
      <c r="F555" s="33"/>
      <c r="G555" s="34">
        <f t="shared" si="327"/>
        <v>0</v>
      </c>
      <c r="H555" s="35">
        <f t="shared" si="328"/>
        <v>0</v>
      </c>
      <c r="I555" s="36"/>
      <c r="J555" s="36"/>
      <c r="K555" s="36"/>
      <c r="L555" s="36"/>
      <c r="M555" s="36"/>
      <c r="N555" s="36"/>
      <c r="O555" s="36"/>
      <c r="P555" s="36"/>
      <c r="Q555" s="36"/>
      <c r="R555" s="36"/>
      <c r="S555" s="36"/>
      <c r="T555" s="36"/>
      <c r="U555" s="36"/>
      <c r="V555" s="36"/>
      <c r="W555" s="36"/>
      <c r="X555" s="36"/>
      <c r="Y555" s="36"/>
      <c r="Z555" s="36"/>
      <c r="AA555" s="36"/>
      <c r="AB555" s="36"/>
      <c r="AC555" s="32">
        <f t="shared" si="329"/>
        <v>0</v>
      </c>
      <c r="AD555" s="37"/>
      <c r="AE555" s="37"/>
      <c r="AF555" s="37"/>
      <c r="AG555" s="37"/>
      <c r="AH555" s="37"/>
      <c r="AI555" s="37"/>
      <c r="AJ555" s="37"/>
      <c r="AK555" s="37"/>
      <c r="AL555" s="37"/>
      <c r="AM555" s="37"/>
      <c r="AN555" s="37"/>
      <c r="AO555" s="37"/>
      <c r="AP555" s="37"/>
      <c r="AQ555" s="37"/>
      <c r="AR555" s="37"/>
      <c r="AS555" s="37"/>
      <c r="AT555" s="38"/>
      <c r="AU555" s="1630"/>
      <c r="AV555" s="1342">
        <f t="shared" si="330"/>
        <v>0</v>
      </c>
      <c r="AW555" s="1342">
        <f t="shared" si="331"/>
        <v>0</v>
      </c>
      <c r="AX555" s="1342">
        <f t="shared" si="332"/>
        <v>0</v>
      </c>
      <c r="AY555" s="39">
        <f t="shared" si="333"/>
        <v>0</v>
      </c>
      <c r="AZ555" s="32">
        <f t="shared" si="334"/>
        <v>0</v>
      </c>
      <c r="BA555" s="32">
        <f t="shared" si="335"/>
        <v>0</v>
      </c>
      <c r="BB555" s="32">
        <f t="shared" si="336"/>
        <v>0</v>
      </c>
      <c r="BC555" s="32">
        <f t="shared" si="337"/>
        <v>0</v>
      </c>
      <c r="BD555" s="32">
        <f t="shared" si="338"/>
        <v>0</v>
      </c>
      <c r="BE555" s="32">
        <f t="shared" si="339"/>
        <v>0</v>
      </c>
      <c r="BF555" s="32">
        <f t="shared" si="340"/>
        <v>0</v>
      </c>
      <c r="BG555" s="32">
        <f t="shared" si="341"/>
        <v>0</v>
      </c>
      <c r="BH555" s="32">
        <f t="shared" si="342"/>
        <v>0</v>
      </c>
      <c r="BI555" s="32">
        <f t="shared" si="343"/>
        <v>0</v>
      </c>
      <c r="BJ555" s="32">
        <f t="shared" si="344"/>
        <v>0</v>
      </c>
      <c r="BK555" s="32">
        <f t="shared" si="345"/>
        <v>0</v>
      </c>
      <c r="BL555" s="32">
        <f t="shared" si="346"/>
        <v>0</v>
      </c>
      <c r="BM555" s="32">
        <f t="shared" si="347"/>
        <v>0</v>
      </c>
      <c r="BN555" s="32">
        <f t="shared" si="348"/>
        <v>0</v>
      </c>
      <c r="BO555" s="32">
        <f t="shared" si="349"/>
        <v>0</v>
      </c>
      <c r="BP555" s="32">
        <f t="shared" si="350"/>
        <v>0</v>
      </c>
      <c r="BQ555" s="32">
        <f t="shared" si="351"/>
        <v>0</v>
      </c>
      <c r="BR555" s="32">
        <f t="shared" si="352"/>
        <v>0</v>
      </c>
      <c r="BS555" s="32">
        <f t="shared" si="353"/>
        <v>0</v>
      </c>
      <c r="BT555" s="40">
        <f t="shared" si="354"/>
        <v>0</v>
      </c>
    </row>
    <row r="556" spans="1:72">
      <c r="A556" s="6"/>
      <c r="B556" s="31"/>
      <c r="C556" s="31"/>
      <c r="D556" s="1629"/>
      <c r="E556" s="32">
        <f t="shared" si="326"/>
        <v>0</v>
      </c>
      <c r="F556" s="33"/>
      <c r="G556" s="34">
        <f t="shared" si="327"/>
        <v>0</v>
      </c>
      <c r="H556" s="35">
        <f t="shared" si="328"/>
        <v>0</v>
      </c>
      <c r="I556" s="36"/>
      <c r="J556" s="36"/>
      <c r="K556" s="36"/>
      <c r="L556" s="36"/>
      <c r="M556" s="36"/>
      <c r="N556" s="36"/>
      <c r="O556" s="36"/>
      <c r="P556" s="36"/>
      <c r="Q556" s="36"/>
      <c r="R556" s="36"/>
      <c r="S556" s="36"/>
      <c r="T556" s="36"/>
      <c r="U556" s="36"/>
      <c r="V556" s="36"/>
      <c r="W556" s="36"/>
      <c r="X556" s="36"/>
      <c r="Y556" s="36"/>
      <c r="Z556" s="36"/>
      <c r="AA556" s="36"/>
      <c r="AB556" s="36"/>
      <c r="AC556" s="32">
        <f t="shared" si="329"/>
        <v>0</v>
      </c>
      <c r="AD556" s="37"/>
      <c r="AE556" s="37"/>
      <c r="AF556" s="37"/>
      <c r="AG556" s="37"/>
      <c r="AH556" s="37"/>
      <c r="AI556" s="37"/>
      <c r="AJ556" s="37"/>
      <c r="AK556" s="37"/>
      <c r="AL556" s="37"/>
      <c r="AM556" s="37"/>
      <c r="AN556" s="37"/>
      <c r="AO556" s="37"/>
      <c r="AP556" s="37"/>
      <c r="AQ556" s="37"/>
      <c r="AR556" s="37"/>
      <c r="AS556" s="37"/>
      <c r="AT556" s="38"/>
      <c r="AU556" s="1630"/>
      <c r="AV556" s="1342">
        <f t="shared" si="330"/>
        <v>0</v>
      </c>
      <c r="AW556" s="1342">
        <f t="shared" si="331"/>
        <v>0</v>
      </c>
      <c r="AX556" s="1342">
        <f t="shared" si="332"/>
        <v>0</v>
      </c>
      <c r="AY556" s="39">
        <f t="shared" si="333"/>
        <v>0</v>
      </c>
      <c r="AZ556" s="32">
        <f t="shared" si="334"/>
        <v>0</v>
      </c>
      <c r="BA556" s="32">
        <f t="shared" si="335"/>
        <v>0</v>
      </c>
      <c r="BB556" s="32">
        <f t="shared" si="336"/>
        <v>0</v>
      </c>
      <c r="BC556" s="32">
        <f t="shared" si="337"/>
        <v>0</v>
      </c>
      <c r="BD556" s="32">
        <f t="shared" si="338"/>
        <v>0</v>
      </c>
      <c r="BE556" s="32">
        <f t="shared" si="339"/>
        <v>0</v>
      </c>
      <c r="BF556" s="32">
        <f t="shared" si="340"/>
        <v>0</v>
      </c>
      <c r="BG556" s="32">
        <f t="shared" si="341"/>
        <v>0</v>
      </c>
      <c r="BH556" s="32">
        <f t="shared" si="342"/>
        <v>0</v>
      </c>
      <c r="BI556" s="32">
        <f t="shared" si="343"/>
        <v>0</v>
      </c>
      <c r="BJ556" s="32">
        <f t="shared" si="344"/>
        <v>0</v>
      </c>
      <c r="BK556" s="32">
        <f t="shared" si="345"/>
        <v>0</v>
      </c>
      <c r="BL556" s="32">
        <f t="shared" si="346"/>
        <v>0</v>
      </c>
      <c r="BM556" s="32">
        <f t="shared" si="347"/>
        <v>0</v>
      </c>
      <c r="BN556" s="32">
        <f t="shared" si="348"/>
        <v>0</v>
      </c>
      <c r="BO556" s="32">
        <f t="shared" si="349"/>
        <v>0</v>
      </c>
      <c r="BP556" s="32">
        <f t="shared" si="350"/>
        <v>0</v>
      </c>
      <c r="BQ556" s="32">
        <f t="shared" si="351"/>
        <v>0</v>
      </c>
      <c r="BR556" s="32">
        <f t="shared" si="352"/>
        <v>0</v>
      </c>
      <c r="BS556" s="32">
        <f t="shared" si="353"/>
        <v>0</v>
      </c>
      <c r="BT556" s="40">
        <f t="shared" si="354"/>
        <v>0</v>
      </c>
    </row>
    <row r="557" spans="1:72">
      <c r="A557" s="6"/>
      <c r="B557" s="31"/>
      <c r="C557" s="31"/>
      <c r="D557" s="1629"/>
      <c r="E557" s="32">
        <f t="shared" si="326"/>
        <v>0</v>
      </c>
      <c r="F557" s="33"/>
      <c r="G557" s="34">
        <f t="shared" si="327"/>
        <v>0</v>
      </c>
      <c r="H557" s="35">
        <f t="shared" si="328"/>
        <v>0</v>
      </c>
      <c r="I557" s="36"/>
      <c r="J557" s="36"/>
      <c r="K557" s="36"/>
      <c r="L557" s="36"/>
      <c r="M557" s="36"/>
      <c r="N557" s="36"/>
      <c r="O557" s="36"/>
      <c r="P557" s="36"/>
      <c r="Q557" s="36"/>
      <c r="R557" s="36"/>
      <c r="S557" s="36"/>
      <c r="T557" s="36"/>
      <c r="U557" s="36"/>
      <c r="V557" s="36"/>
      <c r="W557" s="36"/>
      <c r="X557" s="36"/>
      <c r="Y557" s="36"/>
      <c r="Z557" s="36"/>
      <c r="AA557" s="36"/>
      <c r="AB557" s="36"/>
      <c r="AC557" s="32">
        <f t="shared" si="329"/>
        <v>0</v>
      </c>
      <c r="AD557" s="37"/>
      <c r="AE557" s="37"/>
      <c r="AF557" s="37"/>
      <c r="AG557" s="37"/>
      <c r="AH557" s="37"/>
      <c r="AI557" s="37"/>
      <c r="AJ557" s="37"/>
      <c r="AK557" s="37"/>
      <c r="AL557" s="37"/>
      <c r="AM557" s="37"/>
      <c r="AN557" s="37"/>
      <c r="AO557" s="37"/>
      <c r="AP557" s="37"/>
      <c r="AQ557" s="37"/>
      <c r="AR557" s="37"/>
      <c r="AS557" s="37"/>
      <c r="AT557" s="38"/>
      <c r="AU557" s="1630"/>
      <c r="AV557" s="1342">
        <f t="shared" si="330"/>
        <v>0</v>
      </c>
      <c r="AW557" s="1342">
        <f t="shared" si="331"/>
        <v>0</v>
      </c>
      <c r="AX557" s="1342">
        <f t="shared" si="332"/>
        <v>0</v>
      </c>
      <c r="AY557" s="39">
        <f t="shared" si="333"/>
        <v>0</v>
      </c>
      <c r="AZ557" s="32">
        <f t="shared" si="334"/>
        <v>0</v>
      </c>
      <c r="BA557" s="32">
        <f t="shared" si="335"/>
        <v>0</v>
      </c>
      <c r="BB557" s="32">
        <f t="shared" si="336"/>
        <v>0</v>
      </c>
      <c r="BC557" s="32">
        <f t="shared" si="337"/>
        <v>0</v>
      </c>
      <c r="BD557" s="32">
        <f t="shared" si="338"/>
        <v>0</v>
      </c>
      <c r="BE557" s="32">
        <f t="shared" si="339"/>
        <v>0</v>
      </c>
      <c r="BF557" s="32">
        <f t="shared" si="340"/>
        <v>0</v>
      </c>
      <c r="BG557" s="32">
        <f t="shared" si="341"/>
        <v>0</v>
      </c>
      <c r="BH557" s="32">
        <f t="shared" si="342"/>
        <v>0</v>
      </c>
      <c r="BI557" s="32">
        <f t="shared" si="343"/>
        <v>0</v>
      </c>
      <c r="BJ557" s="32">
        <f t="shared" si="344"/>
        <v>0</v>
      </c>
      <c r="BK557" s="32">
        <f t="shared" si="345"/>
        <v>0</v>
      </c>
      <c r="BL557" s="32">
        <f t="shared" si="346"/>
        <v>0</v>
      </c>
      <c r="BM557" s="32">
        <f t="shared" si="347"/>
        <v>0</v>
      </c>
      <c r="BN557" s="32">
        <f t="shared" si="348"/>
        <v>0</v>
      </c>
      <c r="BO557" s="32">
        <f t="shared" si="349"/>
        <v>0</v>
      </c>
      <c r="BP557" s="32">
        <f t="shared" si="350"/>
        <v>0</v>
      </c>
      <c r="BQ557" s="32">
        <f t="shared" si="351"/>
        <v>0</v>
      </c>
      <c r="BR557" s="32">
        <f t="shared" si="352"/>
        <v>0</v>
      </c>
      <c r="BS557" s="32">
        <f t="shared" si="353"/>
        <v>0</v>
      </c>
      <c r="BT557" s="40">
        <f t="shared" si="354"/>
        <v>0</v>
      </c>
    </row>
    <row r="558" spans="1:72">
      <c r="A558" s="6"/>
      <c r="B558" s="31"/>
      <c r="C558" s="31"/>
      <c r="D558" s="1629"/>
      <c r="E558" s="32">
        <f t="shared" si="326"/>
        <v>0</v>
      </c>
      <c r="F558" s="33"/>
      <c r="G558" s="34">
        <f t="shared" si="327"/>
        <v>0</v>
      </c>
      <c r="H558" s="35">
        <f t="shared" si="328"/>
        <v>0</v>
      </c>
      <c r="I558" s="36"/>
      <c r="J558" s="36"/>
      <c r="K558" s="36"/>
      <c r="L558" s="36"/>
      <c r="M558" s="36"/>
      <c r="N558" s="36"/>
      <c r="O558" s="36"/>
      <c r="P558" s="36"/>
      <c r="Q558" s="36"/>
      <c r="R558" s="36"/>
      <c r="S558" s="36"/>
      <c r="T558" s="36"/>
      <c r="U558" s="36"/>
      <c r="V558" s="36"/>
      <c r="W558" s="36"/>
      <c r="X558" s="36"/>
      <c r="Y558" s="36"/>
      <c r="Z558" s="36"/>
      <c r="AA558" s="36"/>
      <c r="AB558" s="36"/>
      <c r="AC558" s="32">
        <f t="shared" si="329"/>
        <v>0</v>
      </c>
      <c r="AD558" s="37"/>
      <c r="AE558" s="37"/>
      <c r="AF558" s="37"/>
      <c r="AG558" s="37"/>
      <c r="AH558" s="37"/>
      <c r="AI558" s="37"/>
      <c r="AJ558" s="37"/>
      <c r="AK558" s="37"/>
      <c r="AL558" s="37"/>
      <c r="AM558" s="37"/>
      <c r="AN558" s="37"/>
      <c r="AO558" s="37"/>
      <c r="AP558" s="37"/>
      <c r="AQ558" s="37"/>
      <c r="AR558" s="37"/>
      <c r="AS558" s="37"/>
      <c r="AT558" s="38"/>
      <c r="AU558" s="1630"/>
      <c r="AV558" s="1342">
        <f t="shared" si="330"/>
        <v>0</v>
      </c>
      <c r="AW558" s="1342">
        <f t="shared" si="331"/>
        <v>0</v>
      </c>
      <c r="AX558" s="1342">
        <f t="shared" si="332"/>
        <v>0</v>
      </c>
      <c r="AY558" s="39">
        <f t="shared" si="333"/>
        <v>0</v>
      </c>
      <c r="AZ558" s="32">
        <f t="shared" si="334"/>
        <v>0</v>
      </c>
      <c r="BA558" s="32">
        <f t="shared" si="335"/>
        <v>0</v>
      </c>
      <c r="BB558" s="32">
        <f t="shared" si="336"/>
        <v>0</v>
      </c>
      <c r="BC558" s="32">
        <f t="shared" si="337"/>
        <v>0</v>
      </c>
      <c r="BD558" s="32">
        <f t="shared" si="338"/>
        <v>0</v>
      </c>
      <c r="BE558" s="32">
        <f t="shared" si="339"/>
        <v>0</v>
      </c>
      <c r="BF558" s="32">
        <f t="shared" si="340"/>
        <v>0</v>
      </c>
      <c r="BG558" s="32">
        <f t="shared" si="341"/>
        <v>0</v>
      </c>
      <c r="BH558" s="32">
        <f t="shared" si="342"/>
        <v>0</v>
      </c>
      <c r="BI558" s="32">
        <f t="shared" si="343"/>
        <v>0</v>
      </c>
      <c r="BJ558" s="32">
        <f t="shared" si="344"/>
        <v>0</v>
      </c>
      <c r="BK558" s="32">
        <f t="shared" si="345"/>
        <v>0</v>
      </c>
      <c r="BL558" s="32">
        <f t="shared" si="346"/>
        <v>0</v>
      </c>
      <c r="BM558" s="32">
        <f t="shared" si="347"/>
        <v>0</v>
      </c>
      <c r="BN558" s="32">
        <f t="shared" si="348"/>
        <v>0</v>
      </c>
      <c r="BO558" s="32">
        <f t="shared" si="349"/>
        <v>0</v>
      </c>
      <c r="BP558" s="32">
        <f t="shared" si="350"/>
        <v>0</v>
      </c>
      <c r="BQ558" s="32">
        <f t="shared" si="351"/>
        <v>0</v>
      </c>
      <c r="BR558" s="32">
        <f t="shared" si="352"/>
        <v>0</v>
      </c>
      <c r="BS558" s="32">
        <f t="shared" si="353"/>
        <v>0</v>
      </c>
      <c r="BT558" s="40">
        <f t="shared" si="354"/>
        <v>0</v>
      </c>
    </row>
    <row r="559" spans="1:72">
      <c r="A559" s="6"/>
      <c r="B559" s="31"/>
      <c r="C559" s="31"/>
      <c r="D559" s="1629"/>
      <c r="E559" s="32">
        <f t="shared" si="326"/>
        <v>0</v>
      </c>
      <c r="F559" s="33"/>
      <c r="G559" s="34">
        <f t="shared" si="327"/>
        <v>0</v>
      </c>
      <c r="H559" s="35">
        <f t="shared" si="328"/>
        <v>0</v>
      </c>
      <c r="I559" s="36"/>
      <c r="J559" s="36"/>
      <c r="K559" s="36"/>
      <c r="L559" s="36"/>
      <c r="M559" s="36"/>
      <c r="N559" s="36"/>
      <c r="O559" s="36"/>
      <c r="P559" s="36"/>
      <c r="Q559" s="36"/>
      <c r="R559" s="36"/>
      <c r="S559" s="36"/>
      <c r="T559" s="36"/>
      <c r="U559" s="36"/>
      <c r="V559" s="36"/>
      <c r="W559" s="36"/>
      <c r="X559" s="36"/>
      <c r="Y559" s="36"/>
      <c r="Z559" s="36"/>
      <c r="AA559" s="36"/>
      <c r="AB559" s="36"/>
      <c r="AC559" s="32">
        <f t="shared" si="329"/>
        <v>0</v>
      </c>
      <c r="AD559" s="37"/>
      <c r="AE559" s="37"/>
      <c r="AF559" s="37"/>
      <c r="AG559" s="37"/>
      <c r="AH559" s="37"/>
      <c r="AI559" s="37"/>
      <c r="AJ559" s="37"/>
      <c r="AK559" s="37"/>
      <c r="AL559" s="37"/>
      <c r="AM559" s="37"/>
      <c r="AN559" s="37"/>
      <c r="AO559" s="37"/>
      <c r="AP559" s="37"/>
      <c r="AQ559" s="37"/>
      <c r="AR559" s="37"/>
      <c r="AS559" s="37"/>
      <c r="AT559" s="38"/>
      <c r="AU559" s="1630"/>
      <c r="AV559" s="1342">
        <f t="shared" si="330"/>
        <v>0</v>
      </c>
      <c r="AW559" s="1342">
        <f t="shared" si="331"/>
        <v>0</v>
      </c>
      <c r="AX559" s="1342">
        <f t="shared" si="332"/>
        <v>0</v>
      </c>
      <c r="AY559" s="39">
        <f t="shared" si="333"/>
        <v>0</v>
      </c>
      <c r="AZ559" s="32">
        <f t="shared" si="334"/>
        <v>0</v>
      </c>
      <c r="BA559" s="32">
        <f t="shared" si="335"/>
        <v>0</v>
      </c>
      <c r="BB559" s="32">
        <f t="shared" si="336"/>
        <v>0</v>
      </c>
      <c r="BC559" s="32">
        <f t="shared" si="337"/>
        <v>0</v>
      </c>
      <c r="BD559" s="32">
        <f t="shared" si="338"/>
        <v>0</v>
      </c>
      <c r="BE559" s="32">
        <f t="shared" si="339"/>
        <v>0</v>
      </c>
      <c r="BF559" s="32">
        <f t="shared" si="340"/>
        <v>0</v>
      </c>
      <c r="BG559" s="32">
        <f t="shared" si="341"/>
        <v>0</v>
      </c>
      <c r="BH559" s="32">
        <f t="shared" si="342"/>
        <v>0</v>
      </c>
      <c r="BI559" s="32">
        <f t="shared" si="343"/>
        <v>0</v>
      </c>
      <c r="BJ559" s="32">
        <f t="shared" si="344"/>
        <v>0</v>
      </c>
      <c r="BK559" s="32">
        <f t="shared" si="345"/>
        <v>0</v>
      </c>
      <c r="BL559" s="32">
        <f t="shared" si="346"/>
        <v>0</v>
      </c>
      <c r="BM559" s="32">
        <f t="shared" si="347"/>
        <v>0</v>
      </c>
      <c r="BN559" s="32">
        <f t="shared" si="348"/>
        <v>0</v>
      </c>
      <c r="BO559" s="32">
        <f t="shared" si="349"/>
        <v>0</v>
      </c>
      <c r="BP559" s="32">
        <f t="shared" si="350"/>
        <v>0</v>
      </c>
      <c r="BQ559" s="32">
        <f t="shared" si="351"/>
        <v>0</v>
      </c>
      <c r="BR559" s="32">
        <f t="shared" si="352"/>
        <v>0</v>
      </c>
      <c r="BS559" s="32">
        <f t="shared" si="353"/>
        <v>0</v>
      </c>
      <c r="BT559" s="40">
        <f t="shared" si="354"/>
        <v>0</v>
      </c>
    </row>
    <row r="560" spans="1:72">
      <c r="A560" s="6"/>
      <c r="B560" s="31"/>
      <c r="C560" s="31"/>
      <c r="D560" s="1629"/>
      <c r="E560" s="32">
        <f t="shared" si="326"/>
        <v>0</v>
      </c>
      <c r="F560" s="33"/>
      <c r="G560" s="34">
        <f t="shared" si="327"/>
        <v>0</v>
      </c>
      <c r="H560" s="35">
        <f t="shared" si="328"/>
        <v>0</v>
      </c>
      <c r="I560" s="36"/>
      <c r="J560" s="36"/>
      <c r="K560" s="36"/>
      <c r="L560" s="36"/>
      <c r="M560" s="36"/>
      <c r="N560" s="36"/>
      <c r="O560" s="36"/>
      <c r="P560" s="36"/>
      <c r="Q560" s="36"/>
      <c r="R560" s="36"/>
      <c r="S560" s="36"/>
      <c r="T560" s="36"/>
      <c r="U560" s="36"/>
      <c r="V560" s="36"/>
      <c r="W560" s="36"/>
      <c r="X560" s="36"/>
      <c r="Y560" s="36"/>
      <c r="Z560" s="36"/>
      <c r="AA560" s="36"/>
      <c r="AB560" s="36"/>
      <c r="AC560" s="32">
        <f t="shared" si="329"/>
        <v>0</v>
      </c>
      <c r="AD560" s="37"/>
      <c r="AE560" s="37"/>
      <c r="AF560" s="37"/>
      <c r="AG560" s="37"/>
      <c r="AH560" s="37"/>
      <c r="AI560" s="37"/>
      <c r="AJ560" s="37"/>
      <c r="AK560" s="37"/>
      <c r="AL560" s="37"/>
      <c r="AM560" s="37"/>
      <c r="AN560" s="37"/>
      <c r="AO560" s="37"/>
      <c r="AP560" s="37"/>
      <c r="AQ560" s="37"/>
      <c r="AR560" s="37"/>
      <c r="AS560" s="37"/>
      <c r="AT560" s="38"/>
      <c r="AU560" s="1630"/>
      <c r="AV560" s="1342">
        <f t="shared" si="330"/>
        <v>0</v>
      </c>
      <c r="AW560" s="1342">
        <f t="shared" si="331"/>
        <v>0</v>
      </c>
      <c r="AX560" s="1342">
        <f t="shared" si="332"/>
        <v>0</v>
      </c>
      <c r="AY560" s="39">
        <f t="shared" si="333"/>
        <v>0</v>
      </c>
      <c r="AZ560" s="32">
        <f t="shared" si="334"/>
        <v>0</v>
      </c>
      <c r="BA560" s="32">
        <f t="shared" si="335"/>
        <v>0</v>
      </c>
      <c r="BB560" s="32">
        <f t="shared" si="336"/>
        <v>0</v>
      </c>
      <c r="BC560" s="32">
        <f t="shared" si="337"/>
        <v>0</v>
      </c>
      <c r="BD560" s="32">
        <f t="shared" si="338"/>
        <v>0</v>
      </c>
      <c r="BE560" s="32">
        <f t="shared" si="339"/>
        <v>0</v>
      </c>
      <c r="BF560" s="32">
        <f t="shared" si="340"/>
        <v>0</v>
      </c>
      <c r="BG560" s="32">
        <f t="shared" si="341"/>
        <v>0</v>
      </c>
      <c r="BH560" s="32">
        <f t="shared" si="342"/>
        <v>0</v>
      </c>
      <c r="BI560" s="32">
        <f t="shared" si="343"/>
        <v>0</v>
      </c>
      <c r="BJ560" s="32">
        <f t="shared" si="344"/>
        <v>0</v>
      </c>
      <c r="BK560" s="32">
        <f t="shared" si="345"/>
        <v>0</v>
      </c>
      <c r="BL560" s="32">
        <f t="shared" si="346"/>
        <v>0</v>
      </c>
      <c r="BM560" s="32">
        <f t="shared" si="347"/>
        <v>0</v>
      </c>
      <c r="BN560" s="32">
        <f t="shared" si="348"/>
        <v>0</v>
      </c>
      <c r="BO560" s="32">
        <f t="shared" si="349"/>
        <v>0</v>
      </c>
      <c r="BP560" s="32">
        <f t="shared" si="350"/>
        <v>0</v>
      </c>
      <c r="BQ560" s="32">
        <f t="shared" si="351"/>
        <v>0</v>
      </c>
      <c r="BR560" s="32">
        <f t="shared" si="352"/>
        <v>0</v>
      </c>
      <c r="BS560" s="32">
        <f t="shared" si="353"/>
        <v>0</v>
      </c>
      <c r="BT560" s="40">
        <f t="shared" si="354"/>
        <v>0</v>
      </c>
    </row>
    <row r="561" spans="1:72">
      <c r="A561" s="6"/>
      <c r="B561" s="31"/>
      <c r="C561" s="31"/>
      <c r="D561" s="1629"/>
      <c r="E561" s="32">
        <f t="shared" si="326"/>
        <v>0</v>
      </c>
      <c r="F561" s="33"/>
      <c r="G561" s="34">
        <f t="shared" si="327"/>
        <v>0</v>
      </c>
      <c r="H561" s="35">
        <f t="shared" si="328"/>
        <v>0</v>
      </c>
      <c r="I561" s="36"/>
      <c r="J561" s="36"/>
      <c r="K561" s="36"/>
      <c r="L561" s="36"/>
      <c r="M561" s="36"/>
      <c r="N561" s="36"/>
      <c r="O561" s="36"/>
      <c r="P561" s="36"/>
      <c r="Q561" s="36"/>
      <c r="R561" s="36"/>
      <c r="S561" s="36"/>
      <c r="T561" s="36"/>
      <c r="U561" s="36"/>
      <c r="V561" s="36"/>
      <c r="W561" s="36"/>
      <c r="X561" s="36"/>
      <c r="Y561" s="36"/>
      <c r="Z561" s="36"/>
      <c r="AA561" s="36"/>
      <c r="AB561" s="36"/>
      <c r="AC561" s="32">
        <f t="shared" si="329"/>
        <v>0</v>
      </c>
      <c r="AD561" s="37"/>
      <c r="AE561" s="37"/>
      <c r="AF561" s="37"/>
      <c r="AG561" s="37"/>
      <c r="AH561" s="37"/>
      <c r="AI561" s="37"/>
      <c r="AJ561" s="37"/>
      <c r="AK561" s="37"/>
      <c r="AL561" s="37"/>
      <c r="AM561" s="37"/>
      <c r="AN561" s="37"/>
      <c r="AO561" s="37"/>
      <c r="AP561" s="37"/>
      <c r="AQ561" s="37"/>
      <c r="AR561" s="37"/>
      <c r="AS561" s="37"/>
      <c r="AT561" s="38"/>
      <c r="AU561" s="1630"/>
      <c r="AV561" s="1342">
        <f t="shared" si="330"/>
        <v>0</v>
      </c>
      <c r="AW561" s="1342">
        <f t="shared" si="331"/>
        <v>0</v>
      </c>
      <c r="AX561" s="1342">
        <f t="shared" si="332"/>
        <v>0</v>
      </c>
      <c r="AY561" s="39">
        <f t="shared" si="333"/>
        <v>0</v>
      </c>
      <c r="AZ561" s="32">
        <f t="shared" si="334"/>
        <v>0</v>
      </c>
      <c r="BA561" s="32">
        <f t="shared" si="335"/>
        <v>0</v>
      </c>
      <c r="BB561" s="32">
        <f t="shared" si="336"/>
        <v>0</v>
      </c>
      <c r="BC561" s="32">
        <f t="shared" si="337"/>
        <v>0</v>
      </c>
      <c r="BD561" s="32">
        <f t="shared" si="338"/>
        <v>0</v>
      </c>
      <c r="BE561" s="32">
        <f t="shared" si="339"/>
        <v>0</v>
      </c>
      <c r="BF561" s="32">
        <f t="shared" si="340"/>
        <v>0</v>
      </c>
      <c r="BG561" s="32">
        <f t="shared" si="341"/>
        <v>0</v>
      </c>
      <c r="BH561" s="32">
        <f t="shared" si="342"/>
        <v>0</v>
      </c>
      <c r="BI561" s="32">
        <f t="shared" si="343"/>
        <v>0</v>
      </c>
      <c r="BJ561" s="32">
        <f t="shared" si="344"/>
        <v>0</v>
      </c>
      <c r="BK561" s="32">
        <f t="shared" si="345"/>
        <v>0</v>
      </c>
      <c r="BL561" s="32">
        <f t="shared" si="346"/>
        <v>0</v>
      </c>
      <c r="BM561" s="32">
        <f t="shared" si="347"/>
        <v>0</v>
      </c>
      <c r="BN561" s="32">
        <f t="shared" si="348"/>
        <v>0</v>
      </c>
      <c r="BO561" s="32">
        <f t="shared" si="349"/>
        <v>0</v>
      </c>
      <c r="BP561" s="32">
        <f t="shared" si="350"/>
        <v>0</v>
      </c>
      <c r="BQ561" s="32">
        <f t="shared" si="351"/>
        <v>0</v>
      </c>
      <c r="BR561" s="32">
        <f t="shared" si="352"/>
        <v>0</v>
      </c>
      <c r="BS561" s="32">
        <f t="shared" si="353"/>
        <v>0</v>
      </c>
      <c r="BT561" s="40">
        <f t="shared" si="354"/>
        <v>0</v>
      </c>
    </row>
    <row r="562" spans="1:72">
      <c r="A562" s="6"/>
      <c r="B562" s="31"/>
      <c r="C562" s="31"/>
      <c r="D562" s="1629"/>
      <c r="E562" s="32">
        <f t="shared" si="326"/>
        <v>0</v>
      </c>
      <c r="F562" s="33"/>
      <c r="G562" s="34">
        <f t="shared" si="327"/>
        <v>0</v>
      </c>
      <c r="H562" s="35">
        <f t="shared" si="328"/>
        <v>0</v>
      </c>
      <c r="I562" s="36"/>
      <c r="J562" s="36"/>
      <c r="K562" s="36"/>
      <c r="L562" s="36"/>
      <c r="M562" s="36"/>
      <c r="N562" s="36"/>
      <c r="O562" s="36"/>
      <c r="P562" s="36"/>
      <c r="Q562" s="36"/>
      <c r="R562" s="36"/>
      <c r="S562" s="36"/>
      <c r="T562" s="36"/>
      <c r="U562" s="36"/>
      <c r="V562" s="36"/>
      <c r="W562" s="36"/>
      <c r="X562" s="36"/>
      <c r="Y562" s="36"/>
      <c r="Z562" s="36"/>
      <c r="AA562" s="36"/>
      <c r="AB562" s="36"/>
      <c r="AC562" s="32">
        <f t="shared" si="329"/>
        <v>0</v>
      </c>
      <c r="AD562" s="37"/>
      <c r="AE562" s="37"/>
      <c r="AF562" s="37"/>
      <c r="AG562" s="37"/>
      <c r="AH562" s="37"/>
      <c r="AI562" s="37"/>
      <c r="AJ562" s="37"/>
      <c r="AK562" s="37"/>
      <c r="AL562" s="37"/>
      <c r="AM562" s="37"/>
      <c r="AN562" s="37"/>
      <c r="AO562" s="37"/>
      <c r="AP562" s="37"/>
      <c r="AQ562" s="37"/>
      <c r="AR562" s="37"/>
      <c r="AS562" s="37"/>
      <c r="AT562" s="38"/>
      <c r="AU562" s="1630"/>
      <c r="AV562" s="1342">
        <f t="shared" si="330"/>
        <v>0</v>
      </c>
      <c r="AW562" s="1342">
        <f t="shared" si="331"/>
        <v>0</v>
      </c>
      <c r="AX562" s="1342">
        <f t="shared" si="332"/>
        <v>0</v>
      </c>
      <c r="AY562" s="39">
        <f t="shared" si="333"/>
        <v>0</v>
      </c>
      <c r="AZ562" s="32">
        <f t="shared" si="334"/>
        <v>0</v>
      </c>
      <c r="BA562" s="32">
        <f t="shared" si="335"/>
        <v>0</v>
      </c>
      <c r="BB562" s="32">
        <f t="shared" si="336"/>
        <v>0</v>
      </c>
      <c r="BC562" s="32">
        <f t="shared" si="337"/>
        <v>0</v>
      </c>
      <c r="BD562" s="32">
        <f t="shared" si="338"/>
        <v>0</v>
      </c>
      <c r="BE562" s="32">
        <f t="shared" si="339"/>
        <v>0</v>
      </c>
      <c r="BF562" s="32">
        <f t="shared" si="340"/>
        <v>0</v>
      </c>
      <c r="BG562" s="32">
        <f t="shared" si="341"/>
        <v>0</v>
      </c>
      <c r="BH562" s="32">
        <f t="shared" si="342"/>
        <v>0</v>
      </c>
      <c r="BI562" s="32">
        <f t="shared" si="343"/>
        <v>0</v>
      </c>
      <c r="BJ562" s="32">
        <f t="shared" si="344"/>
        <v>0</v>
      </c>
      <c r="BK562" s="32">
        <f t="shared" si="345"/>
        <v>0</v>
      </c>
      <c r="BL562" s="32">
        <f t="shared" si="346"/>
        <v>0</v>
      </c>
      <c r="BM562" s="32">
        <f t="shared" si="347"/>
        <v>0</v>
      </c>
      <c r="BN562" s="32">
        <f t="shared" si="348"/>
        <v>0</v>
      </c>
      <c r="BO562" s="32">
        <f t="shared" si="349"/>
        <v>0</v>
      </c>
      <c r="BP562" s="32">
        <f t="shared" si="350"/>
        <v>0</v>
      </c>
      <c r="BQ562" s="32">
        <f t="shared" si="351"/>
        <v>0</v>
      </c>
      <c r="BR562" s="32">
        <f t="shared" si="352"/>
        <v>0</v>
      </c>
      <c r="BS562" s="32">
        <f t="shared" si="353"/>
        <v>0</v>
      </c>
      <c r="BT562" s="40">
        <f t="shared" si="354"/>
        <v>0</v>
      </c>
    </row>
    <row r="563" spans="1:72">
      <c r="A563" s="6"/>
      <c r="B563" s="31"/>
      <c r="C563" s="31"/>
      <c r="D563" s="1629"/>
      <c r="E563" s="32">
        <f t="shared" si="326"/>
        <v>0</v>
      </c>
      <c r="F563" s="33"/>
      <c r="G563" s="34">
        <f t="shared" si="327"/>
        <v>0</v>
      </c>
      <c r="H563" s="35">
        <f t="shared" si="328"/>
        <v>0</v>
      </c>
      <c r="I563" s="36"/>
      <c r="J563" s="36"/>
      <c r="K563" s="36"/>
      <c r="L563" s="36"/>
      <c r="M563" s="36"/>
      <c r="N563" s="36"/>
      <c r="O563" s="36"/>
      <c r="P563" s="36"/>
      <c r="Q563" s="36"/>
      <c r="R563" s="36"/>
      <c r="S563" s="36"/>
      <c r="T563" s="36"/>
      <c r="U563" s="36"/>
      <c r="V563" s="36"/>
      <c r="W563" s="36"/>
      <c r="X563" s="36"/>
      <c r="Y563" s="36"/>
      <c r="Z563" s="36"/>
      <c r="AA563" s="36"/>
      <c r="AB563" s="36"/>
      <c r="AC563" s="32">
        <f t="shared" si="329"/>
        <v>0</v>
      </c>
      <c r="AD563" s="37"/>
      <c r="AE563" s="37"/>
      <c r="AF563" s="37"/>
      <c r="AG563" s="37"/>
      <c r="AH563" s="37"/>
      <c r="AI563" s="37"/>
      <c r="AJ563" s="37"/>
      <c r="AK563" s="37"/>
      <c r="AL563" s="37"/>
      <c r="AM563" s="37"/>
      <c r="AN563" s="37"/>
      <c r="AO563" s="37"/>
      <c r="AP563" s="37"/>
      <c r="AQ563" s="37"/>
      <c r="AR563" s="37"/>
      <c r="AS563" s="37"/>
      <c r="AT563" s="38"/>
      <c r="AU563" s="1630"/>
      <c r="AV563" s="1342">
        <f t="shared" si="330"/>
        <v>0</v>
      </c>
      <c r="AW563" s="1342">
        <f t="shared" si="331"/>
        <v>0</v>
      </c>
      <c r="AX563" s="1342">
        <f t="shared" si="332"/>
        <v>0</v>
      </c>
      <c r="AY563" s="39">
        <f t="shared" si="333"/>
        <v>0</v>
      </c>
      <c r="AZ563" s="32">
        <f t="shared" si="334"/>
        <v>0</v>
      </c>
      <c r="BA563" s="32">
        <f t="shared" si="335"/>
        <v>0</v>
      </c>
      <c r="BB563" s="32">
        <f t="shared" si="336"/>
        <v>0</v>
      </c>
      <c r="BC563" s="32">
        <f t="shared" si="337"/>
        <v>0</v>
      </c>
      <c r="BD563" s="32">
        <f t="shared" si="338"/>
        <v>0</v>
      </c>
      <c r="BE563" s="32">
        <f t="shared" si="339"/>
        <v>0</v>
      </c>
      <c r="BF563" s="32">
        <f t="shared" si="340"/>
        <v>0</v>
      </c>
      <c r="BG563" s="32">
        <f t="shared" si="341"/>
        <v>0</v>
      </c>
      <c r="BH563" s="32">
        <f t="shared" si="342"/>
        <v>0</v>
      </c>
      <c r="BI563" s="32">
        <f t="shared" si="343"/>
        <v>0</v>
      </c>
      <c r="BJ563" s="32">
        <f t="shared" si="344"/>
        <v>0</v>
      </c>
      <c r="BK563" s="32">
        <f t="shared" si="345"/>
        <v>0</v>
      </c>
      <c r="BL563" s="32">
        <f t="shared" si="346"/>
        <v>0</v>
      </c>
      <c r="BM563" s="32">
        <f t="shared" si="347"/>
        <v>0</v>
      </c>
      <c r="BN563" s="32">
        <f t="shared" si="348"/>
        <v>0</v>
      </c>
      <c r="BO563" s="32">
        <f t="shared" si="349"/>
        <v>0</v>
      </c>
      <c r="BP563" s="32">
        <f t="shared" si="350"/>
        <v>0</v>
      </c>
      <c r="BQ563" s="32">
        <f t="shared" si="351"/>
        <v>0</v>
      </c>
      <c r="BR563" s="32">
        <f t="shared" si="352"/>
        <v>0</v>
      </c>
      <c r="BS563" s="32">
        <f t="shared" si="353"/>
        <v>0</v>
      </c>
      <c r="BT563" s="40">
        <f t="shared" si="354"/>
        <v>0</v>
      </c>
    </row>
    <row r="564" spans="1:72">
      <c r="A564" s="6"/>
      <c r="B564" s="31"/>
      <c r="C564" s="31"/>
      <c r="D564" s="1629"/>
      <c r="E564" s="32">
        <f t="shared" si="326"/>
        <v>0</v>
      </c>
      <c r="F564" s="33"/>
      <c r="G564" s="34">
        <f t="shared" si="327"/>
        <v>0</v>
      </c>
      <c r="H564" s="35">
        <f t="shared" si="328"/>
        <v>0</v>
      </c>
      <c r="I564" s="36"/>
      <c r="J564" s="36"/>
      <c r="K564" s="36"/>
      <c r="L564" s="36"/>
      <c r="M564" s="36"/>
      <c r="N564" s="36"/>
      <c r="O564" s="36"/>
      <c r="P564" s="36"/>
      <c r="Q564" s="36"/>
      <c r="R564" s="36"/>
      <c r="S564" s="36"/>
      <c r="T564" s="36"/>
      <c r="U564" s="36"/>
      <c r="V564" s="36"/>
      <c r="W564" s="36"/>
      <c r="X564" s="36"/>
      <c r="Y564" s="36"/>
      <c r="Z564" s="36"/>
      <c r="AA564" s="36"/>
      <c r="AB564" s="36"/>
      <c r="AC564" s="32">
        <f t="shared" si="329"/>
        <v>0</v>
      </c>
      <c r="AD564" s="37"/>
      <c r="AE564" s="37"/>
      <c r="AF564" s="37"/>
      <c r="AG564" s="37"/>
      <c r="AH564" s="37"/>
      <c r="AI564" s="37"/>
      <c r="AJ564" s="37"/>
      <c r="AK564" s="37"/>
      <c r="AL564" s="37"/>
      <c r="AM564" s="37"/>
      <c r="AN564" s="37"/>
      <c r="AO564" s="37"/>
      <c r="AP564" s="37"/>
      <c r="AQ564" s="37"/>
      <c r="AR564" s="37"/>
      <c r="AS564" s="37"/>
      <c r="AT564" s="38"/>
      <c r="AU564" s="1630"/>
      <c r="AV564" s="1342">
        <f t="shared" si="330"/>
        <v>0</v>
      </c>
      <c r="AW564" s="1342">
        <f t="shared" si="331"/>
        <v>0</v>
      </c>
      <c r="AX564" s="1342">
        <f t="shared" si="332"/>
        <v>0</v>
      </c>
      <c r="AY564" s="39">
        <f t="shared" si="333"/>
        <v>0</v>
      </c>
      <c r="AZ564" s="32">
        <f t="shared" si="334"/>
        <v>0</v>
      </c>
      <c r="BA564" s="32">
        <f t="shared" si="335"/>
        <v>0</v>
      </c>
      <c r="BB564" s="32">
        <f t="shared" si="336"/>
        <v>0</v>
      </c>
      <c r="BC564" s="32">
        <f t="shared" si="337"/>
        <v>0</v>
      </c>
      <c r="BD564" s="32">
        <f t="shared" si="338"/>
        <v>0</v>
      </c>
      <c r="BE564" s="32">
        <f t="shared" si="339"/>
        <v>0</v>
      </c>
      <c r="BF564" s="32">
        <f t="shared" si="340"/>
        <v>0</v>
      </c>
      <c r="BG564" s="32">
        <f t="shared" si="341"/>
        <v>0</v>
      </c>
      <c r="BH564" s="32">
        <f t="shared" si="342"/>
        <v>0</v>
      </c>
      <c r="BI564" s="32">
        <f t="shared" si="343"/>
        <v>0</v>
      </c>
      <c r="BJ564" s="32">
        <f t="shared" si="344"/>
        <v>0</v>
      </c>
      <c r="BK564" s="32">
        <f t="shared" si="345"/>
        <v>0</v>
      </c>
      <c r="BL564" s="32">
        <f t="shared" si="346"/>
        <v>0</v>
      </c>
      <c r="BM564" s="32">
        <f t="shared" si="347"/>
        <v>0</v>
      </c>
      <c r="BN564" s="32">
        <f t="shared" si="348"/>
        <v>0</v>
      </c>
      <c r="BO564" s="32">
        <f t="shared" si="349"/>
        <v>0</v>
      </c>
      <c r="BP564" s="32">
        <f t="shared" si="350"/>
        <v>0</v>
      </c>
      <c r="BQ564" s="32">
        <f t="shared" si="351"/>
        <v>0</v>
      </c>
      <c r="BR564" s="32">
        <f t="shared" si="352"/>
        <v>0</v>
      </c>
      <c r="BS564" s="32">
        <f t="shared" si="353"/>
        <v>0</v>
      </c>
      <c r="BT564" s="40">
        <f t="shared" si="354"/>
        <v>0</v>
      </c>
    </row>
    <row r="565" spans="1:72">
      <c r="A565" s="6"/>
      <c r="B565" s="31"/>
      <c r="C565" s="31"/>
      <c r="D565" s="1629"/>
      <c r="E565" s="32">
        <f t="shared" si="326"/>
        <v>0</v>
      </c>
      <c r="F565" s="33"/>
      <c r="G565" s="34">
        <f t="shared" si="327"/>
        <v>0</v>
      </c>
      <c r="H565" s="35">
        <f t="shared" si="328"/>
        <v>0</v>
      </c>
      <c r="I565" s="36"/>
      <c r="J565" s="36"/>
      <c r="K565" s="36"/>
      <c r="L565" s="36"/>
      <c r="M565" s="36"/>
      <c r="N565" s="36"/>
      <c r="O565" s="36"/>
      <c r="P565" s="36"/>
      <c r="Q565" s="36"/>
      <c r="R565" s="36"/>
      <c r="S565" s="36"/>
      <c r="T565" s="36"/>
      <c r="U565" s="36"/>
      <c r="V565" s="36"/>
      <c r="W565" s="36"/>
      <c r="X565" s="36"/>
      <c r="Y565" s="36"/>
      <c r="Z565" s="36"/>
      <c r="AA565" s="36"/>
      <c r="AB565" s="36"/>
      <c r="AC565" s="32">
        <f t="shared" si="329"/>
        <v>0</v>
      </c>
      <c r="AD565" s="37"/>
      <c r="AE565" s="37"/>
      <c r="AF565" s="37"/>
      <c r="AG565" s="37"/>
      <c r="AH565" s="37"/>
      <c r="AI565" s="37"/>
      <c r="AJ565" s="37"/>
      <c r="AK565" s="37"/>
      <c r="AL565" s="37"/>
      <c r="AM565" s="37"/>
      <c r="AN565" s="37"/>
      <c r="AO565" s="37"/>
      <c r="AP565" s="37"/>
      <c r="AQ565" s="37"/>
      <c r="AR565" s="37"/>
      <c r="AS565" s="37"/>
      <c r="AT565" s="38"/>
      <c r="AU565" s="1630"/>
      <c r="AV565" s="1342">
        <f t="shared" si="330"/>
        <v>0</v>
      </c>
      <c r="AW565" s="1342">
        <f t="shared" si="331"/>
        <v>0</v>
      </c>
      <c r="AX565" s="1342">
        <f t="shared" si="332"/>
        <v>0</v>
      </c>
      <c r="AY565" s="39">
        <f t="shared" si="333"/>
        <v>0</v>
      </c>
      <c r="AZ565" s="32">
        <f t="shared" si="334"/>
        <v>0</v>
      </c>
      <c r="BA565" s="32">
        <f t="shared" si="335"/>
        <v>0</v>
      </c>
      <c r="BB565" s="32">
        <f t="shared" si="336"/>
        <v>0</v>
      </c>
      <c r="BC565" s="32">
        <f t="shared" si="337"/>
        <v>0</v>
      </c>
      <c r="BD565" s="32">
        <f t="shared" si="338"/>
        <v>0</v>
      </c>
      <c r="BE565" s="32">
        <f t="shared" si="339"/>
        <v>0</v>
      </c>
      <c r="BF565" s="32">
        <f t="shared" si="340"/>
        <v>0</v>
      </c>
      <c r="BG565" s="32">
        <f t="shared" si="341"/>
        <v>0</v>
      </c>
      <c r="BH565" s="32">
        <f t="shared" si="342"/>
        <v>0</v>
      </c>
      <c r="BI565" s="32">
        <f t="shared" si="343"/>
        <v>0</v>
      </c>
      <c r="BJ565" s="32">
        <f t="shared" si="344"/>
        <v>0</v>
      </c>
      <c r="BK565" s="32">
        <f t="shared" si="345"/>
        <v>0</v>
      </c>
      <c r="BL565" s="32">
        <f t="shared" si="346"/>
        <v>0</v>
      </c>
      <c r="BM565" s="32">
        <f t="shared" si="347"/>
        <v>0</v>
      </c>
      <c r="BN565" s="32">
        <f t="shared" si="348"/>
        <v>0</v>
      </c>
      <c r="BO565" s="32">
        <f t="shared" si="349"/>
        <v>0</v>
      </c>
      <c r="BP565" s="32">
        <f t="shared" si="350"/>
        <v>0</v>
      </c>
      <c r="BQ565" s="32">
        <f t="shared" si="351"/>
        <v>0</v>
      </c>
      <c r="BR565" s="32">
        <f t="shared" si="352"/>
        <v>0</v>
      </c>
      <c r="BS565" s="32">
        <f t="shared" si="353"/>
        <v>0</v>
      </c>
      <c r="BT565" s="40">
        <f t="shared" si="354"/>
        <v>0</v>
      </c>
    </row>
    <row r="566" spans="1:72">
      <c r="A566" s="6"/>
      <c r="B566" s="31"/>
      <c r="C566" s="31"/>
      <c r="D566" s="1629"/>
      <c r="E566" s="32">
        <f t="shared" si="326"/>
        <v>0</v>
      </c>
      <c r="F566" s="33"/>
      <c r="G566" s="34">
        <f t="shared" si="327"/>
        <v>0</v>
      </c>
      <c r="H566" s="35">
        <f t="shared" si="328"/>
        <v>0</v>
      </c>
      <c r="I566" s="36"/>
      <c r="J566" s="36"/>
      <c r="K566" s="36"/>
      <c r="L566" s="36"/>
      <c r="M566" s="36"/>
      <c r="N566" s="36"/>
      <c r="O566" s="36"/>
      <c r="P566" s="36"/>
      <c r="Q566" s="36"/>
      <c r="R566" s="36"/>
      <c r="S566" s="36"/>
      <c r="T566" s="36"/>
      <c r="U566" s="36"/>
      <c r="V566" s="36"/>
      <c r="W566" s="36"/>
      <c r="X566" s="36"/>
      <c r="Y566" s="36"/>
      <c r="Z566" s="36"/>
      <c r="AA566" s="36"/>
      <c r="AB566" s="36"/>
      <c r="AC566" s="32">
        <f t="shared" si="329"/>
        <v>0</v>
      </c>
      <c r="AD566" s="37"/>
      <c r="AE566" s="37"/>
      <c r="AF566" s="37"/>
      <c r="AG566" s="37"/>
      <c r="AH566" s="37"/>
      <c r="AI566" s="37"/>
      <c r="AJ566" s="37"/>
      <c r="AK566" s="37"/>
      <c r="AL566" s="37"/>
      <c r="AM566" s="37"/>
      <c r="AN566" s="37"/>
      <c r="AO566" s="37"/>
      <c r="AP566" s="37"/>
      <c r="AQ566" s="37"/>
      <c r="AR566" s="37"/>
      <c r="AS566" s="37"/>
      <c r="AT566" s="38"/>
      <c r="AU566" s="1630"/>
      <c r="AV566" s="1342">
        <f t="shared" si="330"/>
        <v>0</v>
      </c>
      <c r="AW566" s="1342">
        <f t="shared" si="331"/>
        <v>0</v>
      </c>
      <c r="AX566" s="1342">
        <f t="shared" si="332"/>
        <v>0</v>
      </c>
      <c r="AY566" s="39">
        <f t="shared" si="333"/>
        <v>0</v>
      </c>
      <c r="AZ566" s="32">
        <f t="shared" si="334"/>
        <v>0</v>
      </c>
      <c r="BA566" s="32">
        <f t="shared" si="335"/>
        <v>0</v>
      </c>
      <c r="BB566" s="32">
        <f t="shared" si="336"/>
        <v>0</v>
      </c>
      <c r="BC566" s="32">
        <f t="shared" si="337"/>
        <v>0</v>
      </c>
      <c r="BD566" s="32">
        <f t="shared" si="338"/>
        <v>0</v>
      </c>
      <c r="BE566" s="32">
        <f t="shared" si="339"/>
        <v>0</v>
      </c>
      <c r="BF566" s="32">
        <f t="shared" si="340"/>
        <v>0</v>
      </c>
      <c r="BG566" s="32">
        <f t="shared" si="341"/>
        <v>0</v>
      </c>
      <c r="BH566" s="32">
        <f t="shared" si="342"/>
        <v>0</v>
      </c>
      <c r="BI566" s="32">
        <f t="shared" si="343"/>
        <v>0</v>
      </c>
      <c r="BJ566" s="32">
        <f t="shared" si="344"/>
        <v>0</v>
      </c>
      <c r="BK566" s="32">
        <f t="shared" si="345"/>
        <v>0</v>
      </c>
      <c r="BL566" s="32">
        <f t="shared" si="346"/>
        <v>0</v>
      </c>
      <c r="BM566" s="32">
        <f t="shared" si="347"/>
        <v>0</v>
      </c>
      <c r="BN566" s="32">
        <f t="shared" si="348"/>
        <v>0</v>
      </c>
      <c r="BO566" s="32">
        <f t="shared" si="349"/>
        <v>0</v>
      </c>
      <c r="BP566" s="32">
        <f t="shared" si="350"/>
        <v>0</v>
      </c>
      <c r="BQ566" s="32">
        <f t="shared" si="351"/>
        <v>0</v>
      </c>
      <c r="BR566" s="32">
        <f t="shared" si="352"/>
        <v>0</v>
      </c>
      <c r="BS566" s="32">
        <f t="shared" si="353"/>
        <v>0</v>
      </c>
      <c r="BT566" s="40">
        <f t="shared" si="354"/>
        <v>0</v>
      </c>
    </row>
    <row r="567" spans="1:72">
      <c r="A567" s="6"/>
      <c r="B567" s="31"/>
      <c r="C567" s="31"/>
      <c r="D567" s="1629"/>
      <c r="E567" s="32">
        <f t="shared" si="326"/>
        <v>0</v>
      </c>
      <c r="F567" s="33"/>
      <c r="G567" s="34">
        <f t="shared" si="327"/>
        <v>0</v>
      </c>
      <c r="H567" s="35">
        <f t="shared" si="328"/>
        <v>0</v>
      </c>
      <c r="I567" s="36"/>
      <c r="J567" s="36"/>
      <c r="K567" s="36"/>
      <c r="L567" s="36"/>
      <c r="M567" s="36"/>
      <c r="N567" s="36"/>
      <c r="O567" s="36"/>
      <c r="P567" s="36"/>
      <c r="Q567" s="36"/>
      <c r="R567" s="36"/>
      <c r="S567" s="36"/>
      <c r="T567" s="36"/>
      <c r="U567" s="36"/>
      <c r="V567" s="36"/>
      <c r="W567" s="36"/>
      <c r="X567" s="36"/>
      <c r="Y567" s="36"/>
      <c r="Z567" s="36"/>
      <c r="AA567" s="36"/>
      <c r="AB567" s="36"/>
      <c r="AC567" s="32">
        <f t="shared" si="329"/>
        <v>0</v>
      </c>
      <c r="AD567" s="37"/>
      <c r="AE567" s="37"/>
      <c r="AF567" s="37"/>
      <c r="AG567" s="37"/>
      <c r="AH567" s="37"/>
      <c r="AI567" s="37"/>
      <c r="AJ567" s="37"/>
      <c r="AK567" s="37"/>
      <c r="AL567" s="37"/>
      <c r="AM567" s="37"/>
      <c r="AN567" s="37"/>
      <c r="AO567" s="37"/>
      <c r="AP567" s="37"/>
      <c r="AQ567" s="37"/>
      <c r="AR567" s="37"/>
      <c r="AS567" s="37"/>
      <c r="AT567" s="38"/>
      <c r="AU567" s="1630"/>
      <c r="AV567" s="1342">
        <f t="shared" si="330"/>
        <v>0</v>
      </c>
      <c r="AW567" s="1342">
        <f t="shared" si="331"/>
        <v>0</v>
      </c>
      <c r="AX567" s="1342">
        <f t="shared" si="332"/>
        <v>0</v>
      </c>
      <c r="AY567" s="39">
        <f t="shared" si="333"/>
        <v>0</v>
      </c>
      <c r="AZ567" s="32">
        <f t="shared" si="334"/>
        <v>0</v>
      </c>
      <c r="BA567" s="32">
        <f t="shared" si="335"/>
        <v>0</v>
      </c>
      <c r="BB567" s="32">
        <f t="shared" si="336"/>
        <v>0</v>
      </c>
      <c r="BC567" s="32">
        <f t="shared" si="337"/>
        <v>0</v>
      </c>
      <c r="BD567" s="32">
        <f t="shared" si="338"/>
        <v>0</v>
      </c>
      <c r="BE567" s="32">
        <f t="shared" si="339"/>
        <v>0</v>
      </c>
      <c r="BF567" s="32">
        <f t="shared" si="340"/>
        <v>0</v>
      </c>
      <c r="BG567" s="32">
        <f t="shared" si="341"/>
        <v>0</v>
      </c>
      <c r="BH567" s="32">
        <f t="shared" si="342"/>
        <v>0</v>
      </c>
      <c r="BI567" s="32">
        <f t="shared" si="343"/>
        <v>0</v>
      </c>
      <c r="BJ567" s="32">
        <f t="shared" si="344"/>
        <v>0</v>
      </c>
      <c r="BK567" s="32">
        <f t="shared" si="345"/>
        <v>0</v>
      </c>
      <c r="BL567" s="32">
        <f t="shared" si="346"/>
        <v>0</v>
      </c>
      <c r="BM567" s="32">
        <f t="shared" si="347"/>
        <v>0</v>
      </c>
      <c r="BN567" s="32">
        <f t="shared" si="348"/>
        <v>0</v>
      </c>
      <c r="BO567" s="32">
        <f t="shared" si="349"/>
        <v>0</v>
      </c>
      <c r="BP567" s="32">
        <f t="shared" si="350"/>
        <v>0</v>
      </c>
      <c r="BQ567" s="32">
        <f t="shared" si="351"/>
        <v>0</v>
      </c>
      <c r="BR567" s="32">
        <f t="shared" si="352"/>
        <v>0</v>
      </c>
      <c r="BS567" s="32">
        <f t="shared" si="353"/>
        <v>0</v>
      </c>
      <c r="BT567" s="40">
        <f t="shared" si="354"/>
        <v>0</v>
      </c>
    </row>
    <row r="568" spans="1:72">
      <c r="A568" s="6"/>
      <c r="B568" s="31"/>
      <c r="C568" s="31"/>
      <c r="D568" s="1629"/>
      <c r="E568" s="32">
        <f t="shared" si="326"/>
        <v>0</v>
      </c>
      <c r="F568" s="33"/>
      <c r="G568" s="34">
        <f t="shared" si="327"/>
        <v>0</v>
      </c>
      <c r="H568" s="35">
        <f t="shared" si="328"/>
        <v>0</v>
      </c>
      <c r="I568" s="36"/>
      <c r="J568" s="36"/>
      <c r="K568" s="36"/>
      <c r="L568" s="36"/>
      <c r="M568" s="36"/>
      <c r="N568" s="36"/>
      <c r="O568" s="36"/>
      <c r="P568" s="36"/>
      <c r="Q568" s="36"/>
      <c r="R568" s="36"/>
      <c r="S568" s="36"/>
      <c r="T568" s="36"/>
      <c r="U568" s="36"/>
      <c r="V568" s="36"/>
      <c r="W568" s="36"/>
      <c r="X568" s="36"/>
      <c r="Y568" s="36"/>
      <c r="Z568" s="36"/>
      <c r="AA568" s="36"/>
      <c r="AB568" s="36"/>
      <c r="AC568" s="32">
        <f t="shared" si="329"/>
        <v>0</v>
      </c>
      <c r="AD568" s="37"/>
      <c r="AE568" s="37"/>
      <c r="AF568" s="37"/>
      <c r="AG568" s="37"/>
      <c r="AH568" s="37"/>
      <c r="AI568" s="37"/>
      <c r="AJ568" s="37"/>
      <c r="AK568" s="37"/>
      <c r="AL568" s="37"/>
      <c r="AM568" s="37"/>
      <c r="AN568" s="37"/>
      <c r="AO568" s="37"/>
      <c r="AP568" s="37"/>
      <c r="AQ568" s="37"/>
      <c r="AR568" s="37"/>
      <c r="AS568" s="37"/>
      <c r="AT568" s="38"/>
      <c r="AU568" s="1630"/>
      <c r="AV568" s="1342">
        <f t="shared" si="330"/>
        <v>0</v>
      </c>
      <c r="AW568" s="1342">
        <f t="shared" si="331"/>
        <v>0</v>
      </c>
      <c r="AX568" s="1342">
        <f t="shared" si="332"/>
        <v>0</v>
      </c>
      <c r="AY568" s="39">
        <f t="shared" si="333"/>
        <v>0</v>
      </c>
      <c r="AZ568" s="32">
        <f t="shared" si="334"/>
        <v>0</v>
      </c>
      <c r="BA568" s="32">
        <f t="shared" si="335"/>
        <v>0</v>
      </c>
      <c r="BB568" s="32">
        <f t="shared" si="336"/>
        <v>0</v>
      </c>
      <c r="BC568" s="32">
        <f t="shared" si="337"/>
        <v>0</v>
      </c>
      <c r="BD568" s="32">
        <f t="shared" si="338"/>
        <v>0</v>
      </c>
      <c r="BE568" s="32">
        <f t="shared" si="339"/>
        <v>0</v>
      </c>
      <c r="BF568" s="32">
        <f t="shared" si="340"/>
        <v>0</v>
      </c>
      <c r="BG568" s="32">
        <f t="shared" si="341"/>
        <v>0</v>
      </c>
      <c r="BH568" s="32">
        <f t="shared" si="342"/>
        <v>0</v>
      </c>
      <c r="BI568" s="32">
        <f t="shared" si="343"/>
        <v>0</v>
      </c>
      <c r="BJ568" s="32">
        <f t="shared" si="344"/>
        <v>0</v>
      </c>
      <c r="BK568" s="32">
        <f t="shared" si="345"/>
        <v>0</v>
      </c>
      <c r="BL568" s="32">
        <f t="shared" si="346"/>
        <v>0</v>
      </c>
      <c r="BM568" s="32">
        <f t="shared" si="347"/>
        <v>0</v>
      </c>
      <c r="BN568" s="32">
        <f t="shared" si="348"/>
        <v>0</v>
      </c>
      <c r="BO568" s="32">
        <f t="shared" si="349"/>
        <v>0</v>
      </c>
      <c r="BP568" s="32">
        <f t="shared" si="350"/>
        <v>0</v>
      </c>
      <c r="BQ568" s="32">
        <f t="shared" si="351"/>
        <v>0</v>
      </c>
      <c r="BR568" s="32">
        <f t="shared" si="352"/>
        <v>0</v>
      </c>
      <c r="BS568" s="32">
        <f t="shared" si="353"/>
        <v>0</v>
      </c>
      <c r="BT568" s="40">
        <f t="shared" si="354"/>
        <v>0</v>
      </c>
    </row>
    <row r="569" spans="1:72">
      <c r="A569" s="6"/>
      <c r="B569" s="31"/>
      <c r="C569" s="31"/>
      <c r="D569" s="1629"/>
      <c r="E569" s="32">
        <f t="shared" si="326"/>
        <v>0</v>
      </c>
      <c r="F569" s="33"/>
      <c r="G569" s="34">
        <f t="shared" si="327"/>
        <v>0</v>
      </c>
      <c r="H569" s="35">
        <f t="shared" si="328"/>
        <v>0</v>
      </c>
      <c r="I569" s="36"/>
      <c r="J569" s="36"/>
      <c r="K569" s="36"/>
      <c r="L569" s="36"/>
      <c r="M569" s="36"/>
      <c r="N569" s="36"/>
      <c r="O569" s="36"/>
      <c r="P569" s="36"/>
      <c r="Q569" s="36"/>
      <c r="R569" s="36"/>
      <c r="S569" s="36"/>
      <c r="T569" s="36"/>
      <c r="U569" s="36"/>
      <c r="V569" s="36"/>
      <c r="W569" s="36"/>
      <c r="X569" s="36"/>
      <c r="Y569" s="36"/>
      <c r="Z569" s="36"/>
      <c r="AA569" s="36"/>
      <c r="AB569" s="36"/>
      <c r="AC569" s="32">
        <f t="shared" si="329"/>
        <v>0</v>
      </c>
      <c r="AD569" s="37"/>
      <c r="AE569" s="37"/>
      <c r="AF569" s="37"/>
      <c r="AG569" s="37"/>
      <c r="AH569" s="37"/>
      <c r="AI569" s="37"/>
      <c r="AJ569" s="37"/>
      <c r="AK569" s="37"/>
      <c r="AL569" s="37"/>
      <c r="AM569" s="37"/>
      <c r="AN569" s="37"/>
      <c r="AO569" s="37"/>
      <c r="AP569" s="37"/>
      <c r="AQ569" s="37"/>
      <c r="AR569" s="37"/>
      <c r="AS569" s="37"/>
      <c r="AT569" s="38"/>
      <c r="AU569" s="1630"/>
      <c r="AV569" s="1342">
        <f t="shared" si="330"/>
        <v>0</v>
      </c>
      <c r="AW569" s="1342">
        <f t="shared" si="331"/>
        <v>0</v>
      </c>
      <c r="AX569" s="1342">
        <f t="shared" si="332"/>
        <v>0</v>
      </c>
      <c r="AY569" s="39">
        <f t="shared" si="333"/>
        <v>0</v>
      </c>
      <c r="AZ569" s="32">
        <f t="shared" si="334"/>
        <v>0</v>
      </c>
      <c r="BA569" s="32">
        <f t="shared" si="335"/>
        <v>0</v>
      </c>
      <c r="BB569" s="32">
        <f t="shared" si="336"/>
        <v>0</v>
      </c>
      <c r="BC569" s="32">
        <f t="shared" si="337"/>
        <v>0</v>
      </c>
      <c r="BD569" s="32">
        <f t="shared" si="338"/>
        <v>0</v>
      </c>
      <c r="BE569" s="32">
        <f t="shared" si="339"/>
        <v>0</v>
      </c>
      <c r="BF569" s="32">
        <f t="shared" si="340"/>
        <v>0</v>
      </c>
      <c r="BG569" s="32">
        <f t="shared" si="341"/>
        <v>0</v>
      </c>
      <c r="BH569" s="32">
        <f t="shared" si="342"/>
        <v>0</v>
      </c>
      <c r="BI569" s="32">
        <f t="shared" si="343"/>
        <v>0</v>
      </c>
      <c r="BJ569" s="32">
        <f t="shared" si="344"/>
        <v>0</v>
      </c>
      <c r="BK569" s="32">
        <f t="shared" si="345"/>
        <v>0</v>
      </c>
      <c r="BL569" s="32">
        <f t="shared" si="346"/>
        <v>0</v>
      </c>
      <c r="BM569" s="32">
        <f t="shared" si="347"/>
        <v>0</v>
      </c>
      <c r="BN569" s="32">
        <f t="shared" si="348"/>
        <v>0</v>
      </c>
      <c r="BO569" s="32">
        <f t="shared" si="349"/>
        <v>0</v>
      </c>
      <c r="BP569" s="32">
        <f t="shared" si="350"/>
        <v>0</v>
      </c>
      <c r="BQ569" s="32">
        <f t="shared" si="351"/>
        <v>0</v>
      </c>
      <c r="BR569" s="32">
        <f t="shared" si="352"/>
        <v>0</v>
      </c>
      <c r="BS569" s="32">
        <f t="shared" si="353"/>
        <v>0</v>
      </c>
      <c r="BT569" s="40">
        <f t="shared" si="354"/>
        <v>0</v>
      </c>
    </row>
    <row r="570" spans="1:72">
      <c r="A570" s="6"/>
      <c r="B570" s="31"/>
      <c r="C570" s="31"/>
      <c r="D570" s="1629"/>
      <c r="E570" s="32">
        <f t="shared" si="326"/>
        <v>0</v>
      </c>
      <c r="F570" s="33"/>
      <c r="G570" s="34">
        <f t="shared" si="327"/>
        <v>0</v>
      </c>
      <c r="H570" s="35">
        <f t="shared" si="328"/>
        <v>0</v>
      </c>
      <c r="I570" s="36"/>
      <c r="J570" s="36"/>
      <c r="K570" s="36"/>
      <c r="L570" s="36"/>
      <c r="M570" s="36"/>
      <c r="N570" s="36"/>
      <c r="O570" s="36"/>
      <c r="P570" s="36"/>
      <c r="Q570" s="36"/>
      <c r="R570" s="36"/>
      <c r="S570" s="36"/>
      <c r="T570" s="36"/>
      <c r="U570" s="36"/>
      <c r="V570" s="36"/>
      <c r="W570" s="36"/>
      <c r="X570" s="36"/>
      <c r="Y570" s="36"/>
      <c r="Z570" s="36"/>
      <c r="AA570" s="36"/>
      <c r="AB570" s="36"/>
      <c r="AC570" s="32">
        <f t="shared" si="329"/>
        <v>0</v>
      </c>
      <c r="AD570" s="37"/>
      <c r="AE570" s="37"/>
      <c r="AF570" s="37"/>
      <c r="AG570" s="37"/>
      <c r="AH570" s="37"/>
      <c r="AI570" s="37"/>
      <c r="AJ570" s="37"/>
      <c r="AK570" s="37"/>
      <c r="AL570" s="37"/>
      <c r="AM570" s="37"/>
      <c r="AN570" s="37"/>
      <c r="AO570" s="37"/>
      <c r="AP570" s="37"/>
      <c r="AQ570" s="37"/>
      <c r="AR570" s="37"/>
      <c r="AS570" s="37"/>
      <c r="AT570" s="38"/>
      <c r="AU570" s="1630"/>
      <c r="AV570" s="1342">
        <f t="shared" si="330"/>
        <v>0</v>
      </c>
      <c r="AW570" s="1342">
        <f t="shared" si="331"/>
        <v>0</v>
      </c>
      <c r="AX570" s="1342">
        <f t="shared" si="332"/>
        <v>0</v>
      </c>
      <c r="AY570" s="39">
        <f t="shared" si="333"/>
        <v>0</v>
      </c>
      <c r="AZ570" s="32">
        <f t="shared" si="334"/>
        <v>0</v>
      </c>
      <c r="BA570" s="32">
        <f t="shared" si="335"/>
        <v>0</v>
      </c>
      <c r="BB570" s="32">
        <f t="shared" si="336"/>
        <v>0</v>
      </c>
      <c r="BC570" s="32">
        <f t="shared" si="337"/>
        <v>0</v>
      </c>
      <c r="BD570" s="32">
        <f t="shared" si="338"/>
        <v>0</v>
      </c>
      <c r="BE570" s="32">
        <f t="shared" si="339"/>
        <v>0</v>
      </c>
      <c r="BF570" s="32">
        <f t="shared" si="340"/>
        <v>0</v>
      </c>
      <c r="BG570" s="32">
        <f t="shared" si="341"/>
        <v>0</v>
      </c>
      <c r="BH570" s="32">
        <f t="shared" si="342"/>
        <v>0</v>
      </c>
      <c r="BI570" s="32">
        <f t="shared" si="343"/>
        <v>0</v>
      </c>
      <c r="BJ570" s="32">
        <f t="shared" si="344"/>
        <v>0</v>
      </c>
      <c r="BK570" s="32">
        <f t="shared" si="345"/>
        <v>0</v>
      </c>
      <c r="BL570" s="32">
        <f t="shared" si="346"/>
        <v>0</v>
      </c>
      <c r="BM570" s="32">
        <f t="shared" si="347"/>
        <v>0</v>
      </c>
      <c r="BN570" s="32">
        <f t="shared" si="348"/>
        <v>0</v>
      </c>
      <c r="BO570" s="32">
        <f t="shared" si="349"/>
        <v>0</v>
      </c>
      <c r="BP570" s="32">
        <f t="shared" si="350"/>
        <v>0</v>
      </c>
      <c r="BQ570" s="32">
        <f t="shared" si="351"/>
        <v>0</v>
      </c>
      <c r="BR570" s="32">
        <f t="shared" si="352"/>
        <v>0</v>
      </c>
      <c r="BS570" s="32">
        <f t="shared" si="353"/>
        <v>0</v>
      </c>
      <c r="BT570" s="40">
        <f t="shared" si="354"/>
        <v>0</v>
      </c>
    </row>
    <row r="571" spans="1:72">
      <c r="A571" s="6"/>
      <c r="B571" s="31"/>
      <c r="C571" s="31"/>
      <c r="D571" s="1629"/>
      <c r="E571" s="32">
        <f t="shared" si="326"/>
        <v>0</v>
      </c>
      <c r="F571" s="33"/>
      <c r="G571" s="34">
        <f t="shared" si="327"/>
        <v>0</v>
      </c>
      <c r="H571" s="35">
        <f t="shared" si="328"/>
        <v>0</v>
      </c>
      <c r="I571" s="36"/>
      <c r="J571" s="36"/>
      <c r="K571" s="36"/>
      <c r="L571" s="36"/>
      <c r="M571" s="36"/>
      <c r="N571" s="36"/>
      <c r="O571" s="36"/>
      <c r="P571" s="36"/>
      <c r="Q571" s="36"/>
      <c r="R571" s="36"/>
      <c r="S571" s="36"/>
      <c r="T571" s="36"/>
      <c r="U571" s="36"/>
      <c r="V571" s="36"/>
      <c r="W571" s="36"/>
      <c r="X571" s="36"/>
      <c r="Y571" s="36"/>
      <c r="Z571" s="36"/>
      <c r="AA571" s="36"/>
      <c r="AB571" s="36"/>
      <c r="AC571" s="32">
        <f t="shared" si="329"/>
        <v>0</v>
      </c>
      <c r="AD571" s="37"/>
      <c r="AE571" s="37"/>
      <c r="AF571" s="37"/>
      <c r="AG571" s="37"/>
      <c r="AH571" s="37"/>
      <c r="AI571" s="37"/>
      <c r="AJ571" s="37"/>
      <c r="AK571" s="37"/>
      <c r="AL571" s="37"/>
      <c r="AM571" s="37"/>
      <c r="AN571" s="37"/>
      <c r="AO571" s="37"/>
      <c r="AP571" s="37"/>
      <c r="AQ571" s="37"/>
      <c r="AR571" s="37"/>
      <c r="AS571" s="37"/>
      <c r="AT571" s="38"/>
      <c r="AU571" s="1630"/>
      <c r="AV571" s="1342">
        <f t="shared" si="330"/>
        <v>0</v>
      </c>
      <c r="AW571" s="1342">
        <f t="shared" si="331"/>
        <v>0</v>
      </c>
      <c r="AX571" s="1342">
        <f t="shared" si="332"/>
        <v>0</v>
      </c>
      <c r="AY571" s="39">
        <f t="shared" si="333"/>
        <v>0</v>
      </c>
      <c r="AZ571" s="32">
        <f t="shared" si="334"/>
        <v>0</v>
      </c>
      <c r="BA571" s="32">
        <f t="shared" si="335"/>
        <v>0</v>
      </c>
      <c r="BB571" s="32">
        <f t="shared" si="336"/>
        <v>0</v>
      </c>
      <c r="BC571" s="32">
        <f t="shared" si="337"/>
        <v>0</v>
      </c>
      <c r="BD571" s="32">
        <f t="shared" si="338"/>
        <v>0</v>
      </c>
      <c r="BE571" s="32">
        <f t="shared" si="339"/>
        <v>0</v>
      </c>
      <c r="BF571" s="32">
        <f t="shared" si="340"/>
        <v>0</v>
      </c>
      <c r="BG571" s="32">
        <f t="shared" si="341"/>
        <v>0</v>
      </c>
      <c r="BH571" s="32">
        <f t="shared" si="342"/>
        <v>0</v>
      </c>
      <c r="BI571" s="32">
        <f t="shared" si="343"/>
        <v>0</v>
      </c>
      <c r="BJ571" s="32">
        <f t="shared" si="344"/>
        <v>0</v>
      </c>
      <c r="BK571" s="32">
        <f t="shared" si="345"/>
        <v>0</v>
      </c>
      <c r="BL571" s="32">
        <f t="shared" si="346"/>
        <v>0</v>
      </c>
      <c r="BM571" s="32">
        <f t="shared" si="347"/>
        <v>0</v>
      </c>
      <c r="BN571" s="32">
        <f t="shared" si="348"/>
        <v>0</v>
      </c>
      <c r="BO571" s="32">
        <f t="shared" si="349"/>
        <v>0</v>
      </c>
      <c r="BP571" s="32">
        <f t="shared" si="350"/>
        <v>0</v>
      </c>
      <c r="BQ571" s="32">
        <f t="shared" si="351"/>
        <v>0</v>
      </c>
      <c r="BR571" s="32">
        <f t="shared" si="352"/>
        <v>0</v>
      </c>
      <c r="BS571" s="32">
        <f t="shared" si="353"/>
        <v>0</v>
      </c>
      <c r="BT571" s="40">
        <f t="shared" si="354"/>
        <v>0</v>
      </c>
    </row>
    <row r="572" spans="1:72">
      <c r="A572" s="6"/>
      <c r="B572" s="31"/>
      <c r="C572" s="31"/>
      <c r="D572" s="1629"/>
      <c r="E572" s="32">
        <f t="shared" si="326"/>
        <v>0</v>
      </c>
      <c r="F572" s="33"/>
      <c r="G572" s="34">
        <f t="shared" si="327"/>
        <v>0</v>
      </c>
      <c r="H572" s="35">
        <f t="shared" si="328"/>
        <v>0</v>
      </c>
      <c r="I572" s="36"/>
      <c r="J572" s="36"/>
      <c r="K572" s="36"/>
      <c r="L572" s="36"/>
      <c r="M572" s="36"/>
      <c r="N572" s="36"/>
      <c r="O572" s="36"/>
      <c r="P572" s="36"/>
      <c r="Q572" s="36"/>
      <c r="R572" s="36"/>
      <c r="S572" s="36"/>
      <c r="T572" s="36"/>
      <c r="U572" s="36"/>
      <c r="V572" s="36"/>
      <c r="W572" s="36"/>
      <c r="X572" s="36"/>
      <c r="Y572" s="36"/>
      <c r="Z572" s="36"/>
      <c r="AA572" s="36"/>
      <c r="AB572" s="36"/>
      <c r="AC572" s="32">
        <f t="shared" si="329"/>
        <v>0</v>
      </c>
      <c r="AD572" s="37"/>
      <c r="AE572" s="37"/>
      <c r="AF572" s="37"/>
      <c r="AG572" s="37"/>
      <c r="AH572" s="37"/>
      <c r="AI572" s="37"/>
      <c r="AJ572" s="37"/>
      <c r="AK572" s="37"/>
      <c r="AL572" s="37"/>
      <c r="AM572" s="37"/>
      <c r="AN572" s="37"/>
      <c r="AO572" s="37"/>
      <c r="AP572" s="37"/>
      <c r="AQ572" s="37"/>
      <c r="AR572" s="37"/>
      <c r="AS572" s="37"/>
      <c r="AT572" s="38"/>
      <c r="AU572" s="1630"/>
      <c r="AV572" s="1342">
        <f t="shared" si="330"/>
        <v>0</v>
      </c>
      <c r="AW572" s="1342">
        <f t="shared" si="331"/>
        <v>0</v>
      </c>
      <c r="AX572" s="1342">
        <f t="shared" si="332"/>
        <v>0</v>
      </c>
      <c r="AY572" s="39">
        <f t="shared" si="333"/>
        <v>0</v>
      </c>
      <c r="AZ572" s="32">
        <f t="shared" si="334"/>
        <v>0</v>
      </c>
      <c r="BA572" s="32">
        <f t="shared" si="335"/>
        <v>0</v>
      </c>
      <c r="BB572" s="32">
        <f t="shared" si="336"/>
        <v>0</v>
      </c>
      <c r="BC572" s="32">
        <f t="shared" si="337"/>
        <v>0</v>
      </c>
      <c r="BD572" s="32">
        <f t="shared" si="338"/>
        <v>0</v>
      </c>
      <c r="BE572" s="32">
        <f t="shared" si="339"/>
        <v>0</v>
      </c>
      <c r="BF572" s="32">
        <f t="shared" si="340"/>
        <v>0</v>
      </c>
      <c r="BG572" s="32">
        <f t="shared" si="341"/>
        <v>0</v>
      </c>
      <c r="BH572" s="32">
        <f t="shared" si="342"/>
        <v>0</v>
      </c>
      <c r="BI572" s="32">
        <f t="shared" si="343"/>
        <v>0</v>
      </c>
      <c r="BJ572" s="32">
        <f t="shared" si="344"/>
        <v>0</v>
      </c>
      <c r="BK572" s="32">
        <f t="shared" si="345"/>
        <v>0</v>
      </c>
      <c r="BL572" s="32">
        <f t="shared" si="346"/>
        <v>0</v>
      </c>
      <c r="BM572" s="32">
        <f t="shared" si="347"/>
        <v>0</v>
      </c>
      <c r="BN572" s="32">
        <f t="shared" si="348"/>
        <v>0</v>
      </c>
      <c r="BO572" s="32">
        <f t="shared" si="349"/>
        <v>0</v>
      </c>
      <c r="BP572" s="32">
        <f t="shared" si="350"/>
        <v>0</v>
      </c>
      <c r="BQ572" s="32">
        <f t="shared" si="351"/>
        <v>0</v>
      </c>
      <c r="BR572" s="32">
        <f t="shared" si="352"/>
        <v>0</v>
      </c>
      <c r="BS572" s="32">
        <f t="shared" si="353"/>
        <v>0</v>
      </c>
      <c r="BT572" s="40">
        <f t="shared" si="354"/>
        <v>0</v>
      </c>
    </row>
    <row r="573" spans="1:72">
      <c r="A573" s="6"/>
      <c r="B573" s="31"/>
      <c r="C573" s="31"/>
      <c r="D573" s="1629"/>
      <c r="E573" s="32">
        <f t="shared" si="326"/>
        <v>0</v>
      </c>
      <c r="F573" s="33"/>
      <c r="G573" s="34">
        <f t="shared" si="327"/>
        <v>0</v>
      </c>
      <c r="H573" s="35">
        <f t="shared" si="328"/>
        <v>0</v>
      </c>
      <c r="I573" s="36"/>
      <c r="J573" s="36"/>
      <c r="K573" s="36"/>
      <c r="L573" s="36"/>
      <c r="M573" s="36"/>
      <c r="N573" s="36"/>
      <c r="O573" s="36"/>
      <c r="P573" s="36"/>
      <c r="Q573" s="36"/>
      <c r="R573" s="36"/>
      <c r="S573" s="36"/>
      <c r="T573" s="36"/>
      <c r="U573" s="36"/>
      <c r="V573" s="36"/>
      <c r="W573" s="36"/>
      <c r="X573" s="36"/>
      <c r="Y573" s="36"/>
      <c r="Z573" s="36"/>
      <c r="AA573" s="36"/>
      <c r="AB573" s="36"/>
      <c r="AC573" s="32">
        <f t="shared" si="329"/>
        <v>0</v>
      </c>
      <c r="AD573" s="37"/>
      <c r="AE573" s="37"/>
      <c r="AF573" s="37"/>
      <c r="AG573" s="37"/>
      <c r="AH573" s="37"/>
      <c r="AI573" s="37"/>
      <c r="AJ573" s="37"/>
      <c r="AK573" s="37"/>
      <c r="AL573" s="37"/>
      <c r="AM573" s="37"/>
      <c r="AN573" s="37"/>
      <c r="AO573" s="37"/>
      <c r="AP573" s="37"/>
      <c r="AQ573" s="37"/>
      <c r="AR573" s="37"/>
      <c r="AS573" s="37"/>
      <c r="AT573" s="38"/>
      <c r="AU573" s="1630"/>
      <c r="AV573" s="1342">
        <f t="shared" si="330"/>
        <v>0</v>
      </c>
      <c r="AW573" s="1342">
        <f t="shared" si="331"/>
        <v>0</v>
      </c>
      <c r="AX573" s="1342">
        <f t="shared" si="332"/>
        <v>0</v>
      </c>
      <c r="AY573" s="39">
        <f t="shared" si="333"/>
        <v>0</v>
      </c>
      <c r="AZ573" s="32">
        <f t="shared" si="334"/>
        <v>0</v>
      </c>
      <c r="BA573" s="32">
        <f t="shared" si="335"/>
        <v>0</v>
      </c>
      <c r="BB573" s="32">
        <f t="shared" si="336"/>
        <v>0</v>
      </c>
      <c r="BC573" s="32">
        <f t="shared" si="337"/>
        <v>0</v>
      </c>
      <c r="BD573" s="32">
        <f t="shared" si="338"/>
        <v>0</v>
      </c>
      <c r="BE573" s="32">
        <f t="shared" si="339"/>
        <v>0</v>
      </c>
      <c r="BF573" s="32">
        <f t="shared" si="340"/>
        <v>0</v>
      </c>
      <c r="BG573" s="32">
        <f t="shared" si="341"/>
        <v>0</v>
      </c>
      <c r="BH573" s="32">
        <f t="shared" si="342"/>
        <v>0</v>
      </c>
      <c r="BI573" s="32">
        <f t="shared" si="343"/>
        <v>0</v>
      </c>
      <c r="BJ573" s="32">
        <f t="shared" si="344"/>
        <v>0</v>
      </c>
      <c r="BK573" s="32">
        <f t="shared" si="345"/>
        <v>0</v>
      </c>
      <c r="BL573" s="32">
        <f t="shared" si="346"/>
        <v>0</v>
      </c>
      <c r="BM573" s="32">
        <f t="shared" si="347"/>
        <v>0</v>
      </c>
      <c r="BN573" s="32">
        <f t="shared" si="348"/>
        <v>0</v>
      </c>
      <c r="BO573" s="32">
        <f t="shared" si="349"/>
        <v>0</v>
      </c>
      <c r="BP573" s="32">
        <f t="shared" si="350"/>
        <v>0</v>
      </c>
      <c r="BQ573" s="32">
        <f t="shared" si="351"/>
        <v>0</v>
      </c>
      <c r="BR573" s="32">
        <f t="shared" si="352"/>
        <v>0</v>
      </c>
      <c r="BS573" s="32">
        <f t="shared" si="353"/>
        <v>0</v>
      </c>
      <c r="BT573" s="40">
        <f t="shared" si="354"/>
        <v>0</v>
      </c>
    </row>
    <row r="574" spans="1:72">
      <c r="A574" s="6"/>
      <c r="B574" s="31"/>
      <c r="C574" s="31"/>
      <c r="D574" s="1629"/>
      <c r="E574" s="32">
        <f t="shared" si="326"/>
        <v>0</v>
      </c>
      <c r="F574" s="33"/>
      <c r="G574" s="34">
        <f t="shared" si="327"/>
        <v>0</v>
      </c>
      <c r="H574" s="35">
        <f t="shared" si="328"/>
        <v>0</v>
      </c>
      <c r="I574" s="36"/>
      <c r="J574" s="36"/>
      <c r="K574" s="36"/>
      <c r="L574" s="36"/>
      <c r="M574" s="36"/>
      <c r="N574" s="36"/>
      <c r="O574" s="36"/>
      <c r="P574" s="36"/>
      <c r="Q574" s="36"/>
      <c r="R574" s="36"/>
      <c r="S574" s="36"/>
      <c r="T574" s="36"/>
      <c r="U574" s="36"/>
      <c r="V574" s="36"/>
      <c r="W574" s="36"/>
      <c r="X574" s="36"/>
      <c r="Y574" s="36"/>
      <c r="Z574" s="36"/>
      <c r="AA574" s="36"/>
      <c r="AB574" s="36"/>
      <c r="AC574" s="32">
        <f t="shared" si="329"/>
        <v>0</v>
      </c>
      <c r="AD574" s="37"/>
      <c r="AE574" s="37"/>
      <c r="AF574" s="37"/>
      <c r="AG574" s="37"/>
      <c r="AH574" s="37"/>
      <c r="AI574" s="37"/>
      <c r="AJ574" s="37"/>
      <c r="AK574" s="37"/>
      <c r="AL574" s="37"/>
      <c r="AM574" s="37"/>
      <c r="AN574" s="37"/>
      <c r="AO574" s="37"/>
      <c r="AP574" s="37"/>
      <c r="AQ574" s="37"/>
      <c r="AR574" s="37"/>
      <c r="AS574" s="37"/>
      <c r="AT574" s="38"/>
      <c r="AU574" s="1630"/>
      <c r="AV574" s="1342">
        <f t="shared" si="330"/>
        <v>0</v>
      </c>
      <c r="AW574" s="1342">
        <f t="shared" si="331"/>
        <v>0</v>
      </c>
      <c r="AX574" s="1342">
        <f t="shared" si="332"/>
        <v>0</v>
      </c>
      <c r="AY574" s="39">
        <f t="shared" si="333"/>
        <v>0</v>
      </c>
      <c r="AZ574" s="32">
        <f t="shared" si="334"/>
        <v>0</v>
      </c>
      <c r="BA574" s="32">
        <f t="shared" si="335"/>
        <v>0</v>
      </c>
      <c r="BB574" s="32">
        <f t="shared" si="336"/>
        <v>0</v>
      </c>
      <c r="BC574" s="32">
        <f t="shared" si="337"/>
        <v>0</v>
      </c>
      <c r="BD574" s="32">
        <f t="shared" si="338"/>
        <v>0</v>
      </c>
      <c r="BE574" s="32">
        <f t="shared" si="339"/>
        <v>0</v>
      </c>
      <c r="BF574" s="32">
        <f t="shared" si="340"/>
        <v>0</v>
      </c>
      <c r="BG574" s="32">
        <f t="shared" si="341"/>
        <v>0</v>
      </c>
      <c r="BH574" s="32">
        <f t="shared" si="342"/>
        <v>0</v>
      </c>
      <c r="BI574" s="32">
        <f t="shared" si="343"/>
        <v>0</v>
      </c>
      <c r="BJ574" s="32">
        <f t="shared" si="344"/>
        <v>0</v>
      </c>
      <c r="BK574" s="32">
        <f t="shared" si="345"/>
        <v>0</v>
      </c>
      <c r="BL574" s="32">
        <f t="shared" si="346"/>
        <v>0</v>
      </c>
      <c r="BM574" s="32">
        <f t="shared" si="347"/>
        <v>0</v>
      </c>
      <c r="BN574" s="32">
        <f t="shared" si="348"/>
        <v>0</v>
      </c>
      <c r="BO574" s="32">
        <f t="shared" si="349"/>
        <v>0</v>
      </c>
      <c r="BP574" s="32">
        <f t="shared" si="350"/>
        <v>0</v>
      </c>
      <c r="BQ574" s="32">
        <f t="shared" si="351"/>
        <v>0</v>
      </c>
      <c r="BR574" s="32">
        <f t="shared" si="352"/>
        <v>0</v>
      </c>
      <c r="BS574" s="32">
        <f t="shared" si="353"/>
        <v>0</v>
      </c>
      <c r="BT574" s="40">
        <f t="shared" si="354"/>
        <v>0</v>
      </c>
    </row>
    <row r="575" spans="1:72">
      <c r="A575" s="6"/>
      <c r="B575" s="31"/>
      <c r="C575" s="31"/>
      <c r="D575" s="1629"/>
      <c r="E575" s="32">
        <f t="shared" si="326"/>
        <v>0</v>
      </c>
      <c r="F575" s="33"/>
      <c r="G575" s="34">
        <f t="shared" si="327"/>
        <v>0</v>
      </c>
      <c r="H575" s="35">
        <f t="shared" si="328"/>
        <v>0</v>
      </c>
      <c r="I575" s="36"/>
      <c r="J575" s="36"/>
      <c r="K575" s="36"/>
      <c r="L575" s="36"/>
      <c r="M575" s="36"/>
      <c r="N575" s="36"/>
      <c r="O575" s="36"/>
      <c r="P575" s="36"/>
      <c r="Q575" s="36"/>
      <c r="R575" s="36"/>
      <c r="S575" s="36"/>
      <c r="T575" s="36"/>
      <c r="U575" s="36"/>
      <c r="V575" s="36"/>
      <c r="W575" s="36"/>
      <c r="X575" s="36"/>
      <c r="Y575" s="36"/>
      <c r="Z575" s="36"/>
      <c r="AA575" s="36"/>
      <c r="AB575" s="36"/>
      <c r="AC575" s="32">
        <f t="shared" si="329"/>
        <v>0</v>
      </c>
      <c r="AD575" s="37"/>
      <c r="AE575" s="37"/>
      <c r="AF575" s="37"/>
      <c r="AG575" s="37"/>
      <c r="AH575" s="37"/>
      <c r="AI575" s="37"/>
      <c r="AJ575" s="37"/>
      <c r="AK575" s="37"/>
      <c r="AL575" s="37"/>
      <c r="AM575" s="37"/>
      <c r="AN575" s="37"/>
      <c r="AO575" s="37"/>
      <c r="AP575" s="37"/>
      <c r="AQ575" s="37"/>
      <c r="AR575" s="37"/>
      <c r="AS575" s="37"/>
      <c r="AT575" s="38"/>
      <c r="AU575" s="1630"/>
      <c r="AV575" s="1342">
        <f t="shared" si="330"/>
        <v>0</v>
      </c>
      <c r="AW575" s="1342">
        <f t="shared" si="331"/>
        <v>0</v>
      </c>
      <c r="AX575" s="1342">
        <f t="shared" si="332"/>
        <v>0</v>
      </c>
      <c r="AY575" s="39">
        <f t="shared" si="333"/>
        <v>0</v>
      </c>
      <c r="AZ575" s="32">
        <f t="shared" si="334"/>
        <v>0</v>
      </c>
      <c r="BA575" s="32">
        <f t="shared" si="335"/>
        <v>0</v>
      </c>
      <c r="BB575" s="32">
        <f t="shared" si="336"/>
        <v>0</v>
      </c>
      <c r="BC575" s="32">
        <f t="shared" si="337"/>
        <v>0</v>
      </c>
      <c r="BD575" s="32">
        <f t="shared" si="338"/>
        <v>0</v>
      </c>
      <c r="BE575" s="32">
        <f t="shared" si="339"/>
        <v>0</v>
      </c>
      <c r="BF575" s="32">
        <f t="shared" si="340"/>
        <v>0</v>
      </c>
      <c r="BG575" s="32">
        <f t="shared" si="341"/>
        <v>0</v>
      </c>
      <c r="BH575" s="32">
        <f t="shared" si="342"/>
        <v>0</v>
      </c>
      <c r="BI575" s="32">
        <f t="shared" si="343"/>
        <v>0</v>
      </c>
      <c r="BJ575" s="32">
        <f t="shared" si="344"/>
        <v>0</v>
      </c>
      <c r="BK575" s="32">
        <f t="shared" si="345"/>
        <v>0</v>
      </c>
      <c r="BL575" s="32">
        <f t="shared" si="346"/>
        <v>0</v>
      </c>
      <c r="BM575" s="32">
        <f t="shared" si="347"/>
        <v>0</v>
      </c>
      <c r="BN575" s="32">
        <f t="shared" si="348"/>
        <v>0</v>
      </c>
      <c r="BO575" s="32">
        <f t="shared" si="349"/>
        <v>0</v>
      </c>
      <c r="BP575" s="32">
        <f t="shared" si="350"/>
        <v>0</v>
      </c>
      <c r="BQ575" s="32">
        <f t="shared" si="351"/>
        <v>0</v>
      </c>
      <c r="BR575" s="32">
        <f t="shared" si="352"/>
        <v>0</v>
      </c>
      <c r="BS575" s="32">
        <f t="shared" si="353"/>
        <v>0</v>
      </c>
      <c r="BT575" s="40">
        <f t="shared" si="354"/>
        <v>0</v>
      </c>
    </row>
    <row r="576" spans="1:72">
      <c r="A576" s="6"/>
      <c r="B576" s="31"/>
      <c r="C576" s="31"/>
      <c r="D576" s="1629"/>
      <c r="E576" s="32">
        <f t="shared" si="326"/>
        <v>0</v>
      </c>
      <c r="F576" s="33"/>
      <c r="G576" s="34">
        <f t="shared" si="327"/>
        <v>0</v>
      </c>
      <c r="H576" s="35">
        <f t="shared" si="328"/>
        <v>0</v>
      </c>
      <c r="I576" s="36"/>
      <c r="J576" s="36"/>
      <c r="K576" s="36"/>
      <c r="L576" s="36"/>
      <c r="M576" s="36"/>
      <c r="N576" s="36"/>
      <c r="O576" s="36"/>
      <c r="P576" s="36"/>
      <c r="Q576" s="36"/>
      <c r="R576" s="36"/>
      <c r="S576" s="36"/>
      <c r="T576" s="36"/>
      <c r="U576" s="36"/>
      <c r="V576" s="36"/>
      <c r="W576" s="36"/>
      <c r="X576" s="36"/>
      <c r="Y576" s="36"/>
      <c r="Z576" s="36"/>
      <c r="AA576" s="36"/>
      <c r="AB576" s="36"/>
      <c r="AC576" s="32">
        <f t="shared" si="329"/>
        <v>0</v>
      </c>
      <c r="AD576" s="37"/>
      <c r="AE576" s="37"/>
      <c r="AF576" s="37"/>
      <c r="AG576" s="37"/>
      <c r="AH576" s="37"/>
      <c r="AI576" s="37"/>
      <c r="AJ576" s="37"/>
      <c r="AK576" s="37"/>
      <c r="AL576" s="37"/>
      <c r="AM576" s="37"/>
      <c r="AN576" s="37"/>
      <c r="AO576" s="37"/>
      <c r="AP576" s="37"/>
      <c r="AQ576" s="37"/>
      <c r="AR576" s="37"/>
      <c r="AS576" s="37"/>
      <c r="AT576" s="38"/>
      <c r="AU576" s="1630"/>
      <c r="AV576" s="1342">
        <f t="shared" si="330"/>
        <v>0</v>
      </c>
      <c r="AW576" s="1342">
        <f t="shared" si="331"/>
        <v>0</v>
      </c>
      <c r="AX576" s="1342">
        <f t="shared" si="332"/>
        <v>0</v>
      </c>
      <c r="AY576" s="39">
        <f t="shared" si="333"/>
        <v>0</v>
      </c>
      <c r="AZ576" s="32">
        <f t="shared" si="334"/>
        <v>0</v>
      </c>
      <c r="BA576" s="32">
        <f t="shared" si="335"/>
        <v>0</v>
      </c>
      <c r="BB576" s="32">
        <f t="shared" si="336"/>
        <v>0</v>
      </c>
      <c r="BC576" s="32">
        <f t="shared" si="337"/>
        <v>0</v>
      </c>
      <c r="BD576" s="32">
        <f t="shared" si="338"/>
        <v>0</v>
      </c>
      <c r="BE576" s="32">
        <f t="shared" si="339"/>
        <v>0</v>
      </c>
      <c r="BF576" s="32">
        <f t="shared" si="340"/>
        <v>0</v>
      </c>
      <c r="BG576" s="32">
        <f t="shared" si="341"/>
        <v>0</v>
      </c>
      <c r="BH576" s="32">
        <f t="shared" si="342"/>
        <v>0</v>
      </c>
      <c r="BI576" s="32">
        <f t="shared" si="343"/>
        <v>0</v>
      </c>
      <c r="BJ576" s="32">
        <f t="shared" si="344"/>
        <v>0</v>
      </c>
      <c r="BK576" s="32">
        <f t="shared" si="345"/>
        <v>0</v>
      </c>
      <c r="BL576" s="32">
        <f t="shared" si="346"/>
        <v>0</v>
      </c>
      <c r="BM576" s="32">
        <f t="shared" si="347"/>
        <v>0</v>
      </c>
      <c r="BN576" s="32">
        <f t="shared" si="348"/>
        <v>0</v>
      </c>
      <c r="BO576" s="32">
        <f t="shared" si="349"/>
        <v>0</v>
      </c>
      <c r="BP576" s="32">
        <f t="shared" si="350"/>
        <v>0</v>
      </c>
      <c r="BQ576" s="32">
        <f t="shared" si="351"/>
        <v>0</v>
      </c>
      <c r="BR576" s="32">
        <f t="shared" si="352"/>
        <v>0</v>
      </c>
      <c r="BS576" s="32">
        <f t="shared" si="353"/>
        <v>0</v>
      </c>
      <c r="BT576" s="40">
        <f t="shared" si="354"/>
        <v>0</v>
      </c>
    </row>
    <row r="577" spans="1:72">
      <c r="A577" s="6"/>
      <c r="B577" s="31"/>
      <c r="C577" s="31"/>
      <c r="D577" s="1629"/>
      <c r="E577" s="32">
        <f t="shared" si="326"/>
        <v>0</v>
      </c>
      <c r="F577" s="33"/>
      <c r="G577" s="34">
        <f t="shared" si="327"/>
        <v>0</v>
      </c>
      <c r="H577" s="35">
        <f t="shared" si="328"/>
        <v>0</v>
      </c>
      <c r="I577" s="36"/>
      <c r="J577" s="36"/>
      <c r="K577" s="36"/>
      <c r="L577" s="36"/>
      <c r="M577" s="36"/>
      <c r="N577" s="36"/>
      <c r="O577" s="36"/>
      <c r="P577" s="36"/>
      <c r="Q577" s="36"/>
      <c r="R577" s="36"/>
      <c r="S577" s="36"/>
      <c r="T577" s="36"/>
      <c r="U577" s="36"/>
      <c r="V577" s="36"/>
      <c r="W577" s="36"/>
      <c r="X577" s="36"/>
      <c r="Y577" s="36"/>
      <c r="Z577" s="36"/>
      <c r="AA577" s="36"/>
      <c r="AB577" s="36"/>
      <c r="AC577" s="32">
        <f t="shared" si="329"/>
        <v>0</v>
      </c>
      <c r="AD577" s="37"/>
      <c r="AE577" s="37"/>
      <c r="AF577" s="37"/>
      <c r="AG577" s="37"/>
      <c r="AH577" s="37"/>
      <c r="AI577" s="37"/>
      <c r="AJ577" s="37"/>
      <c r="AK577" s="37"/>
      <c r="AL577" s="37"/>
      <c r="AM577" s="37"/>
      <c r="AN577" s="37"/>
      <c r="AO577" s="37"/>
      <c r="AP577" s="37"/>
      <c r="AQ577" s="37"/>
      <c r="AR577" s="37"/>
      <c r="AS577" s="37"/>
      <c r="AT577" s="38"/>
      <c r="AU577" s="1630"/>
      <c r="AV577" s="1342">
        <f t="shared" si="330"/>
        <v>0</v>
      </c>
      <c r="AW577" s="1342">
        <f t="shared" si="331"/>
        <v>0</v>
      </c>
      <c r="AX577" s="1342">
        <f t="shared" si="332"/>
        <v>0</v>
      </c>
      <c r="AY577" s="39">
        <f t="shared" si="333"/>
        <v>0</v>
      </c>
      <c r="AZ577" s="32">
        <f t="shared" si="334"/>
        <v>0</v>
      </c>
      <c r="BA577" s="32">
        <f t="shared" si="335"/>
        <v>0</v>
      </c>
      <c r="BB577" s="32">
        <f t="shared" si="336"/>
        <v>0</v>
      </c>
      <c r="BC577" s="32">
        <f t="shared" si="337"/>
        <v>0</v>
      </c>
      <c r="BD577" s="32">
        <f t="shared" si="338"/>
        <v>0</v>
      </c>
      <c r="BE577" s="32">
        <f t="shared" si="339"/>
        <v>0</v>
      </c>
      <c r="BF577" s="32">
        <f t="shared" si="340"/>
        <v>0</v>
      </c>
      <c r="BG577" s="32">
        <f t="shared" si="341"/>
        <v>0</v>
      </c>
      <c r="BH577" s="32">
        <f t="shared" si="342"/>
        <v>0</v>
      </c>
      <c r="BI577" s="32">
        <f t="shared" si="343"/>
        <v>0</v>
      </c>
      <c r="BJ577" s="32">
        <f t="shared" si="344"/>
        <v>0</v>
      </c>
      <c r="BK577" s="32">
        <f t="shared" si="345"/>
        <v>0</v>
      </c>
      <c r="BL577" s="32">
        <f t="shared" si="346"/>
        <v>0</v>
      </c>
      <c r="BM577" s="32">
        <f t="shared" si="347"/>
        <v>0</v>
      </c>
      <c r="BN577" s="32">
        <f t="shared" si="348"/>
        <v>0</v>
      </c>
      <c r="BO577" s="32">
        <f t="shared" si="349"/>
        <v>0</v>
      </c>
      <c r="BP577" s="32">
        <f t="shared" si="350"/>
        <v>0</v>
      </c>
      <c r="BQ577" s="32">
        <f t="shared" si="351"/>
        <v>0</v>
      </c>
      <c r="BR577" s="32">
        <f t="shared" si="352"/>
        <v>0</v>
      </c>
      <c r="BS577" s="32">
        <f t="shared" si="353"/>
        <v>0</v>
      </c>
      <c r="BT577" s="40">
        <f t="shared" si="354"/>
        <v>0</v>
      </c>
    </row>
    <row r="578" spans="1:72">
      <c r="A578" s="6"/>
      <c r="B578" s="31"/>
      <c r="C578" s="31"/>
      <c r="D578" s="1629"/>
      <c r="E578" s="32">
        <f t="shared" si="326"/>
        <v>0</v>
      </c>
      <c r="F578" s="33"/>
      <c r="G578" s="34">
        <f t="shared" si="327"/>
        <v>0</v>
      </c>
      <c r="H578" s="35">
        <f t="shared" si="328"/>
        <v>0</v>
      </c>
      <c r="I578" s="36"/>
      <c r="J578" s="36"/>
      <c r="K578" s="36"/>
      <c r="L578" s="36"/>
      <c r="M578" s="36"/>
      <c r="N578" s="36"/>
      <c r="O578" s="36"/>
      <c r="P578" s="36"/>
      <c r="Q578" s="36"/>
      <c r="R578" s="36"/>
      <c r="S578" s="36"/>
      <c r="T578" s="36"/>
      <c r="U578" s="36"/>
      <c r="V578" s="36"/>
      <c r="W578" s="36"/>
      <c r="X578" s="36"/>
      <c r="Y578" s="36"/>
      <c r="Z578" s="36"/>
      <c r="AA578" s="36"/>
      <c r="AB578" s="36"/>
      <c r="AC578" s="32">
        <f t="shared" si="329"/>
        <v>0</v>
      </c>
      <c r="AD578" s="37"/>
      <c r="AE578" s="37"/>
      <c r="AF578" s="37"/>
      <c r="AG578" s="37"/>
      <c r="AH578" s="37"/>
      <c r="AI578" s="37"/>
      <c r="AJ578" s="37"/>
      <c r="AK578" s="37"/>
      <c r="AL578" s="37"/>
      <c r="AM578" s="37"/>
      <c r="AN578" s="37"/>
      <c r="AO578" s="37"/>
      <c r="AP578" s="37"/>
      <c r="AQ578" s="37"/>
      <c r="AR578" s="37"/>
      <c r="AS578" s="37"/>
      <c r="AT578" s="38"/>
      <c r="AU578" s="1630"/>
      <c r="AV578" s="1342">
        <f t="shared" si="330"/>
        <v>0</v>
      </c>
      <c r="AW578" s="1342">
        <f t="shared" si="331"/>
        <v>0</v>
      </c>
      <c r="AX578" s="1342">
        <f t="shared" si="332"/>
        <v>0</v>
      </c>
      <c r="AY578" s="39">
        <f t="shared" si="333"/>
        <v>0</v>
      </c>
      <c r="AZ578" s="32">
        <f t="shared" si="334"/>
        <v>0</v>
      </c>
      <c r="BA578" s="32">
        <f t="shared" si="335"/>
        <v>0</v>
      </c>
      <c r="BB578" s="32">
        <f t="shared" si="336"/>
        <v>0</v>
      </c>
      <c r="BC578" s="32">
        <f t="shared" si="337"/>
        <v>0</v>
      </c>
      <c r="BD578" s="32">
        <f t="shared" si="338"/>
        <v>0</v>
      </c>
      <c r="BE578" s="32">
        <f t="shared" si="339"/>
        <v>0</v>
      </c>
      <c r="BF578" s="32">
        <f t="shared" si="340"/>
        <v>0</v>
      </c>
      <c r="BG578" s="32">
        <f t="shared" si="341"/>
        <v>0</v>
      </c>
      <c r="BH578" s="32">
        <f t="shared" si="342"/>
        <v>0</v>
      </c>
      <c r="BI578" s="32">
        <f t="shared" si="343"/>
        <v>0</v>
      </c>
      <c r="BJ578" s="32">
        <f t="shared" si="344"/>
        <v>0</v>
      </c>
      <c r="BK578" s="32">
        <f t="shared" si="345"/>
        <v>0</v>
      </c>
      <c r="BL578" s="32">
        <f t="shared" si="346"/>
        <v>0</v>
      </c>
      <c r="BM578" s="32">
        <f t="shared" si="347"/>
        <v>0</v>
      </c>
      <c r="BN578" s="32">
        <f t="shared" si="348"/>
        <v>0</v>
      </c>
      <c r="BO578" s="32">
        <f t="shared" si="349"/>
        <v>0</v>
      </c>
      <c r="BP578" s="32">
        <f t="shared" si="350"/>
        <v>0</v>
      </c>
      <c r="BQ578" s="32">
        <f t="shared" si="351"/>
        <v>0</v>
      </c>
      <c r="BR578" s="32">
        <f t="shared" si="352"/>
        <v>0</v>
      </c>
      <c r="BS578" s="32">
        <f t="shared" si="353"/>
        <v>0</v>
      </c>
      <c r="BT578" s="40">
        <f t="shared" si="354"/>
        <v>0</v>
      </c>
    </row>
    <row r="579" spans="1:72">
      <c r="A579" s="6"/>
      <c r="B579" s="31"/>
      <c r="C579" s="31"/>
      <c r="D579" s="1629"/>
      <c r="E579" s="32">
        <f t="shared" si="326"/>
        <v>0</v>
      </c>
      <c r="F579" s="33"/>
      <c r="G579" s="34">
        <f t="shared" si="327"/>
        <v>0</v>
      </c>
      <c r="H579" s="35">
        <f t="shared" si="328"/>
        <v>0</v>
      </c>
      <c r="I579" s="36"/>
      <c r="J579" s="36"/>
      <c r="K579" s="36"/>
      <c r="L579" s="36"/>
      <c r="M579" s="36"/>
      <c r="N579" s="36"/>
      <c r="O579" s="36"/>
      <c r="P579" s="36"/>
      <c r="Q579" s="36"/>
      <c r="R579" s="36"/>
      <c r="S579" s="36"/>
      <c r="T579" s="36"/>
      <c r="U579" s="36"/>
      <c r="V579" s="36"/>
      <c r="W579" s="36"/>
      <c r="X579" s="36"/>
      <c r="Y579" s="36"/>
      <c r="Z579" s="36"/>
      <c r="AA579" s="36"/>
      <c r="AB579" s="36"/>
      <c r="AC579" s="32">
        <f t="shared" si="329"/>
        <v>0</v>
      </c>
      <c r="AD579" s="37"/>
      <c r="AE579" s="37"/>
      <c r="AF579" s="37"/>
      <c r="AG579" s="37"/>
      <c r="AH579" s="37"/>
      <c r="AI579" s="37"/>
      <c r="AJ579" s="37"/>
      <c r="AK579" s="37"/>
      <c r="AL579" s="37"/>
      <c r="AM579" s="37"/>
      <c r="AN579" s="37"/>
      <c r="AO579" s="37"/>
      <c r="AP579" s="37"/>
      <c r="AQ579" s="37"/>
      <c r="AR579" s="37"/>
      <c r="AS579" s="37"/>
      <c r="AT579" s="38"/>
      <c r="AU579" s="1630"/>
      <c r="AV579" s="1342">
        <f t="shared" si="330"/>
        <v>0</v>
      </c>
      <c r="AW579" s="1342">
        <f t="shared" si="331"/>
        <v>0</v>
      </c>
      <c r="AX579" s="1342">
        <f t="shared" si="332"/>
        <v>0</v>
      </c>
      <c r="AY579" s="39">
        <f t="shared" si="333"/>
        <v>0</v>
      </c>
      <c r="AZ579" s="32">
        <f t="shared" si="334"/>
        <v>0</v>
      </c>
      <c r="BA579" s="32">
        <f t="shared" si="335"/>
        <v>0</v>
      </c>
      <c r="BB579" s="32">
        <f t="shared" si="336"/>
        <v>0</v>
      </c>
      <c r="BC579" s="32">
        <f t="shared" si="337"/>
        <v>0</v>
      </c>
      <c r="BD579" s="32">
        <f t="shared" si="338"/>
        <v>0</v>
      </c>
      <c r="BE579" s="32">
        <f t="shared" si="339"/>
        <v>0</v>
      </c>
      <c r="BF579" s="32">
        <f t="shared" si="340"/>
        <v>0</v>
      </c>
      <c r="BG579" s="32">
        <f t="shared" si="341"/>
        <v>0</v>
      </c>
      <c r="BH579" s="32">
        <f t="shared" si="342"/>
        <v>0</v>
      </c>
      <c r="BI579" s="32">
        <f t="shared" si="343"/>
        <v>0</v>
      </c>
      <c r="BJ579" s="32">
        <f t="shared" si="344"/>
        <v>0</v>
      </c>
      <c r="BK579" s="32">
        <f t="shared" si="345"/>
        <v>0</v>
      </c>
      <c r="BL579" s="32">
        <f t="shared" si="346"/>
        <v>0</v>
      </c>
      <c r="BM579" s="32">
        <f t="shared" si="347"/>
        <v>0</v>
      </c>
      <c r="BN579" s="32">
        <f t="shared" si="348"/>
        <v>0</v>
      </c>
      <c r="BO579" s="32">
        <f t="shared" si="349"/>
        <v>0</v>
      </c>
      <c r="BP579" s="32">
        <f t="shared" si="350"/>
        <v>0</v>
      </c>
      <c r="BQ579" s="32">
        <f t="shared" si="351"/>
        <v>0</v>
      </c>
      <c r="BR579" s="32">
        <f t="shared" si="352"/>
        <v>0</v>
      </c>
      <c r="BS579" s="32">
        <f t="shared" si="353"/>
        <v>0</v>
      </c>
      <c r="BT579" s="40">
        <f t="shared" si="354"/>
        <v>0</v>
      </c>
    </row>
    <row r="580" spans="1:72">
      <c r="A580" s="6"/>
      <c r="B580" s="31"/>
      <c r="C580" s="31"/>
      <c r="D580" s="1629"/>
      <c r="E580" s="32">
        <f t="shared" si="326"/>
        <v>0</v>
      </c>
      <c r="F580" s="33"/>
      <c r="G580" s="34">
        <f t="shared" si="327"/>
        <v>0</v>
      </c>
      <c r="H580" s="35">
        <f t="shared" si="328"/>
        <v>0</v>
      </c>
      <c r="I580" s="36"/>
      <c r="J580" s="36"/>
      <c r="K580" s="36"/>
      <c r="L580" s="36"/>
      <c r="M580" s="36"/>
      <c r="N580" s="36"/>
      <c r="O580" s="36"/>
      <c r="P580" s="36"/>
      <c r="Q580" s="36"/>
      <c r="R580" s="36"/>
      <c r="S580" s="36"/>
      <c r="T580" s="36"/>
      <c r="U580" s="36"/>
      <c r="V580" s="36"/>
      <c r="W580" s="36"/>
      <c r="X580" s="36"/>
      <c r="Y580" s="36"/>
      <c r="Z580" s="36"/>
      <c r="AA580" s="36"/>
      <c r="AB580" s="36"/>
      <c r="AC580" s="32">
        <f t="shared" si="329"/>
        <v>0</v>
      </c>
      <c r="AD580" s="37"/>
      <c r="AE580" s="37"/>
      <c r="AF580" s="37"/>
      <c r="AG580" s="37"/>
      <c r="AH580" s="37"/>
      <c r="AI580" s="37"/>
      <c r="AJ580" s="37"/>
      <c r="AK580" s="37"/>
      <c r="AL580" s="37"/>
      <c r="AM580" s="37"/>
      <c r="AN580" s="37"/>
      <c r="AO580" s="37"/>
      <c r="AP580" s="37"/>
      <c r="AQ580" s="37"/>
      <c r="AR580" s="37"/>
      <c r="AS580" s="37"/>
      <c r="AT580" s="38"/>
      <c r="AU580" s="1630"/>
      <c r="AV580" s="1342">
        <f t="shared" si="330"/>
        <v>0</v>
      </c>
      <c r="AW580" s="1342">
        <f t="shared" si="331"/>
        <v>0</v>
      </c>
      <c r="AX580" s="1342">
        <f t="shared" si="332"/>
        <v>0</v>
      </c>
      <c r="AY580" s="39">
        <f t="shared" si="333"/>
        <v>0</v>
      </c>
      <c r="AZ580" s="32">
        <f t="shared" si="334"/>
        <v>0</v>
      </c>
      <c r="BA580" s="32">
        <f t="shared" si="335"/>
        <v>0</v>
      </c>
      <c r="BB580" s="32">
        <f t="shared" si="336"/>
        <v>0</v>
      </c>
      <c r="BC580" s="32">
        <f t="shared" si="337"/>
        <v>0</v>
      </c>
      <c r="BD580" s="32">
        <f t="shared" si="338"/>
        <v>0</v>
      </c>
      <c r="BE580" s="32">
        <f t="shared" si="339"/>
        <v>0</v>
      </c>
      <c r="BF580" s="32">
        <f t="shared" si="340"/>
        <v>0</v>
      </c>
      <c r="BG580" s="32">
        <f t="shared" si="341"/>
        <v>0</v>
      </c>
      <c r="BH580" s="32">
        <f t="shared" si="342"/>
        <v>0</v>
      </c>
      <c r="BI580" s="32">
        <f t="shared" si="343"/>
        <v>0</v>
      </c>
      <c r="BJ580" s="32">
        <f t="shared" si="344"/>
        <v>0</v>
      </c>
      <c r="BK580" s="32">
        <f t="shared" si="345"/>
        <v>0</v>
      </c>
      <c r="BL580" s="32">
        <f t="shared" si="346"/>
        <v>0</v>
      </c>
      <c r="BM580" s="32">
        <f t="shared" si="347"/>
        <v>0</v>
      </c>
      <c r="BN580" s="32">
        <f t="shared" si="348"/>
        <v>0</v>
      </c>
      <c r="BO580" s="32">
        <f t="shared" si="349"/>
        <v>0</v>
      </c>
      <c r="BP580" s="32">
        <f t="shared" si="350"/>
        <v>0</v>
      </c>
      <c r="BQ580" s="32">
        <f t="shared" si="351"/>
        <v>0</v>
      </c>
      <c r="BR580" s="32">
        <f t="shared" si="352"/>
        <v>0</v>
      </c>
      <c r="BS580" s="32">
        <f t="shared" si="353"/>
        <v>0</v>
      </c>
      <c r="BT580" s="40">
        <f t="shared" si="354"/>
        <v>0</v>
      </c>
    </row>
    <row r="581" spans="1:72">
      <c r="A581" s="6"/>
      <c r="B581" s="31"/>
      <c r="C581" s="31"/>
      <c r="D581" s="1629"/>
      <c r="E581" s="32">
        <f t="shared" si="326"/>
        <v>0</v>
      </c>
      <c r="F581" s="33"/>
      <c r="G581" s="34">
        <f t="shared" si="327"/>
        <v>0</v>
      </c>
      <c r="H581" s="35">
        <f t="shared" si="328"/>
        <v>0</v>
      </c>
      <c r="I581" s="36"/>
      <c r="J581" s="36"/>
      <c r="K581" s="36"/>
      <c r="L581" s="36"/>
      <c r="M581" s="36"/>
      <c r="N581" s="36"/>
      <c r="O581" s="36"/>
      <c r="P581" s="36"/>
      <c r="Q581" s="36"/>
      <c r="R581" s="36"/>
      <c r="S581" s="36"/>
      <c r="T581" s="36"/>
      <c r="U581" s="36"/>
      <c r="V581" s="36"/>
      <c r="W581" s="36"/>
      <c r="X581" s="36"/>
      <c r="Y581" s="36"/>
      <c r="Z581" s="36"/>
      <c r="AA581" s="36"/>
      <c r="AB581" s="36"/>
      <c r="AC581" s="32">
        <f t="shared" si="329"/>
        <v>0</v>
      </c>
      <c r="AD581" s="37"/>
      <c r="AE581" s="37"/>
      <c r="AF581" s="37"/>
      <c r="AG581" s="37"/>
      <c r="AH581" s="37"/>
      <c r="AI581" s="37"/>
      <c r="AJ581" s="37"/>
      <c r="AK581" s="37"/>
      <c r="AL581" s="37"/>
      <c r="AM581" s="37"/>
      <c r="AN581" s="37"/>
      <c r="AO581" s="37"/>
      <c r="AP581" s="37"/>
      <c r="AQ581" s="37"/>
      <c r="AR581" s="37"/>
      <c r="AS581" s="37"/>
      <c r="AT581" s="38"/>
      <c r="AU581" s="1630"/>
      <c r="AV581" s="1342">
        <f t="shared" si="330"/>
        <v>0</v>
      </c>
      <c r="AW581" s="1342">
        <f t="shared" si="331"/>
        <v>0</v>
      </c>
      <c r="AX581" s="1342">
        <f t="shared" si="332"/>
        <v>0</v>
      </c>
      <c r="AY581" s="39">
        <f t="shared" si="333"/>
        <v>0</v>
      </c>
      <c r="AZ581" s="32">
        <f t="shared" si="334"/>
        <v>0</v>
      </c>
      <c r="BA581" s="32">
        <f t="shared" si="335"/>
        <v>0</v>
      </c>
      <c r="BB581" s="32">
        <f t="shared" si="336"/>
        <v>0</v>
      </c>
      <c r="BC581" s="32">
        <f t="shared" si="337"/>
        <v>0</v>
      </c>
      <c r="BD581" s="32">
        <f t="shared" si="338"/>
        <v>0</v>
      </c>
      <c r="BE581" s="32">
        <f t="shared" si="339"/>
        <v>0</v>
      </c>
      <c r="BF581" s="32">
        <f t="shared" si="340"/>
        <v>0</v>
      </c>
      <c r="BG581" s="32">
        <f t="shared" si="341"/>
        <v>0</v>
      </c>
      <c r="BH581" s="32">
        <f t="shared" si="342"/>
        <v>0</v>
      </c>
      <c r="BI581" s="32">
        <f t="shared" si="343"/>
        <v>0</v>
      </c>
      <c r="BJ581" s="32">
        <f t="shared" si="344"/>
        <v>0</v>
      </c>
      <c r="BK581" s="32">
        <f t="shared" si="345"/>
        <v>0</v>
      </c>
      <c r="BL581" s="32">
        <f t="shared" si="346"/>
        <v>0</v>
      </c>
      <c r="BM581" s="32">
        <f t="shared" si="347"/>
        <v>0</v>
      </c>
      <c r="BN581" s="32">
        <f t="shared" si="348"/>
        <v>0</v>
      </c>
      <c r="BO581" s="32">
        <f t="shared" si="349"/>
        <v>0</v>
      </c>
      <c r="BP581" s="32">
        <f t="shared" si="350"/>
        <v>0</v>
      </c>
      <c r="BQ581" s="32">
        <f t="shared" si="351"/>
        <v>0</v>
      </c>
      <c r="BR581" s="32">
        <f t="shared" si="352"/>
        <v>0</v>
      </c>
      <c r="BS581" s="32">
        <f t="shared" si="353"/>
        <v>0</v>
      </c>
      <c r="BT581" s="40">
        <f t="shared" si="354"/>
        <v>0</v>
      </c>
    </row>
    <row r="582" spans="1:72">
      <c r="A582" s="6"/>
      <c r="B582" s="31"/>
      <c r="C582" s="31"/>
      <c r="D582" s="1629"/>
      <c r="E582" s="32">
        <f t="shared" si="326"/>
        <v>0</v>
      </c>
      <c r="F582" s="33"/>
      <c r="G582" s="34">
        <f t="shared" si="327"/>
        <v>0</v>
      </c>
      <c r="H582" s="35">
        <f t="shared" si="328"/>
        <v>0</v>
      </c>
      <c r="I582" s="36"/>
      <c r="J582" s="36"/>
      <c r="K582" s="36"/>
      <c r="L582" s="36"/>
      <c r="M582" s="36"/>
      <c r="N582" s="36"/>
      <c r="O582" s="36"/>
      <c r="P582" s="36"/>
      <c r="Q582" s="36"/>
      <c r="R582" s="36"/>
      <c r="S582" s="36"/>
      <c r="T582" s="36"/>
      <c r="U582" s="36"/>
      <c r="V582" s="36"/>
      <c r="W582" s="36"/>
      <c r="X582" s="36"/>
      <c r="Y582" s="36"/>
      <c r="Z582" s="36"/>
      <c r="AA582" s="36"/>
      <c r="AB582" s="36"/>
      <c r="AC582" s="32">
        <f t="shared" si="329"/>
        <v>0</v>
      </c>
      <c r="AD582" s="37"/>
      <c r="AE582" s="37"/>
      <c r="AF582" s="37"/>
      <c r="AG582" s="37"/>
      <c r="AH582" s="37"/>
      <c r="AI582" s="37"/>
      <c r="AJ582" s="37"/>
      <c r="AK582" s="37"/>
      <c r="AL582" s="37"/>
      <c r="AM582" s="37"/>
      <c r="AN582" s="37"/>
      <c r="AO582" s="37"/>
      <c r="AP582" s="37"/>
      <c r="AQ582" s="37"/>
      <c r="AR582" s="37"/>
      <c r="AS582" s="37"/>
      <c r="AT582" s="38"/>
      <c r="AU582" s="1630"/>
      <c r="AV582" s="1342">
        <f t="shared" si="330"/>
        <v>0</v>
      </c>
      <c r="AW582" s="1342">
        <f t="shared" si="331"/>
        <v>0</v>
      </c>
      <c r="AX582" s="1342">
        <f t="shared" si="332"/>
        <v>0</v>
      </c>
      <c r="AY582" s="39">
        <f t="shared" si="333"/>
        <v>0</v>
      </c>
      <c r="AZ582" s="32">
        <f t="shared" si="334"/>
        <v>0</v>
      </c>
      <c r="BA582" s="32">
        <f t="shared" si="335"/>
        <v>0</v>
      </c>
      <c r="BB582" s="32">
        <f t="shared" si="336"/>
        <v>0</v>
      </c>
      <c r="BC582" s="32">
        <f t="shared" si="337"/>
        <v>0</v>
      </c>
      <c r="BD582" s="32">
        <f t="shared" si="338"/>
        <v>0</v>
      </c>
      <c r="BE582" s="32">
        <f t="shared" si="339"/>
        <v>0</v>
      </c>
      <c r="BF582" s="32">
        <f t="shared" si="340"/>
        <v>0</v>
      </c>
      <c r="BG582" s="32">
        <f t="shared" si="341"/>
        <v>0</v>
      </c>
      <c r="BH582" s="32">
        <f t="shared" si="342"/>
        <v>0</v>
      </c>
      <c r="BI582" s="32">
        <f t="shared" si="343"/>
        <v>0</v>
      </c>
      <c r="BJ582" s="32">
        <f t="shared" si="344"/>
        <v>0</v>
      </c>
      <c r="BK582" s="32">
        <f t="shared" si="345"/>
        <v>0</v>
      </c>
      <c r="BL582" s="32">
        <f t="shared" si="346"/>
        <v>0</v>
      </c>
      <c r="BM582" s="32">
        <f t="shared" si="347"/>
        <v>0</v>
      </c>
      <c r="BN582" s="32">
        <f t="shared" si="348"/>
        <v>0</v>
      </c>
      <c r="BO582" s="32">
        <f t="shared" si="349"/>
        <v>0</v>
      </c>
      <c r="BP582" s="32">
        <f t="shared" si="350"/>
        <v>0</v>
      </c>
      <c r="BQ582" s="32">
        <f t="shared" si="351"/>
        <v>0</v>
      </c>
      <c r="BR582" s="32">
        <f t="shared" si="352"/>
        <v>0</v>
      </c>
      <c r="BS582" s="32">
        <f t="shared" si="353"/>
        <v>0</v>
      </c>
      <c r="BT582" s="40">
        <f t="shared" si="354"/>
        <v>0</v>
      </c>
    </row>
    <row r="583" spans="1:72">
      <c r="A583" s="6"/>
      <c r="B583" s="31"/>
      <c r="C583" s="31"/>
      <c r="D583" s="1629"/>
      <c r="E583" s="32">
        <f t="shared" si="326"/>
        <v>0</v>
      </c>
      <c r="F583" s="33"/>
      <c r="G583" s="34">
        <f t="shared" si="327"/>
        <v>0</v>
      </c>
      <c r="H583" s="35">
        <f t="shared" si="328"/>
        <v>0</v>
      </c>
      <c r="I583" s="36"/>
      <c r="J583" s="36"/>
      <c r="K583" s="36"/>
      <c r="L583" s="36"/>
      <c r="M583" s="36"/>
      <c r="N583" s="36"/>
      <c r="O583" s="36"/>
      <c r="P583" s="36"/>
      <c r="Q583" s="36"/>
      <c r="R583" s="36"/>
      <c r="S583" s="36"/>
      <c r="T583" s="36"/>
      <c r="U583" s="36"/>
      <c r="V583" s="36"/>
      <c r="W583" s="36"/>
      <c r="X583" s="36"/>
      <c r="Y583" s="36"/>
      <c r="Z583" s="36"/>
      <c r="AA583" s="36"/>
      <c r="AB583" s="36"/>
      <c r="AC583" s="32">
        <f t="shared" si="329"/>
        <v>0</v>
      </c>
      <c r="AD583" s="37"/>
      <c r="AE583" s="37"/>
      <c r="AF583" s="37"/>
      <c r="AG583" s="37"/>
      <c r="AH583" s="37"/>
      <c r="AI583" s="37"/>
      <c r="AJ583" s="37"/>
      <c r="AK583" s="37"/>
      <c r="AL583" s="37"/>
      <c r="AM583" s="37"/>
      <c r="AN583" s="37"/>
      <c r="AO583" s="37"/>
      <c r="AP583" s="37"/>
      <c r="AQ583" s="37"/>
      <c r="AR583" s="37"/>
      <c r="AS583" s="37"/>
      <c r="AT583" s="38"/>
      <c r="AU583" s="1630"/>
      <c r="AV583" s="1342">
        <f t="shared" si="330"/>
        <v>0</v>
      </c>
      <c r="AW583" s="1342">
        <f t="shared" si="331"/>
        <v>0</v>
      </c>
      <c r="AX583" s="1342">
        <f t="shared" si="332"/>
        <v>0</v>
      </c>
      <c r="AY583" s="39">
        <f t="shared" si="333"/>
        <v>0</v>
      </c>
      <c r="AZ583" s="32">
        <f t="shared" si="334"/>
        <v>0</v>
      </c>
      <c r="BA583" s="32">
        <f t="shared" si="335"/>
        <v>0</v>
      </c>
      <c r="BB583" s="32">
        <f t="shared" si="336"/>
        <v>0</v>
      </c>
      <c r="BC583" s="32">
        <f t="shared" si="337"/>
        <v>0</v>
      </c>
      <c r="BD583" s="32">
        <f t="shared" si="338"/>
        <v>0</v>
      </c>
      <c r="BE583" s="32">
        <f t="shared" si="339"/>
        <v>0</v>
      </c>
      <c r="BF583" s="32">
        <f t="shared" si="340"/>
        <v>0</v>
      </c>
      <c r="BG583" s="32">
        <f t="shared" si="341"/>
        <v>0</v>
      </c>
      <c r="BH583" s="32">
        <f t="shared" si="342"/>
        <v>0</v>
      </c>
      <c r="BI583" s="32">
        <f t="shared" si="343"/>
        <v>0</v>
      </c>
      <c r="BJ583" s="32">
        <f t="shared" si="344"/>
        <v>0</v>
      </c>
      <c r="BK583" s="32">
        <f t="shared" si="345"/>
        <v>0</v>
      </c>
      <c r="BL583" s="32">
        <f t="shared" si="346"/>
        <v>0</v>
      </c>
      <c r="BM583" s="32">
        <f t="shared" si="347"/>
        <v>0</v>
      </c>
      <c r="BN583" s="32">
        <f t="shared" si="348"/>
        <v>0</v>
      </c>
      <c r="BO583" s="32">
        <f t="shared" si="349"/>
        <v>0</v>
      </c>
      <c r="BP583" s="32">
        <f t="shared" si="350"/>
        <v>0</v>
      </c>
      <c r="BQ583" s="32">
        <f t="shared" si="351"/>
        <v>0</v>
      </c>
      <c r="BR583" s="32">
        <f t="shared" si="352"/>
        <v>0</v>
      </c>
      <c r="BS583" s="32">
        <f t="shared" si="353"/>
        <v>0</v>
      </c>
      <c r="BT583" s="40">
        <f t="shared" si="354"/>
        <v>0</v>
      </c>
    </row>
    <row r="584" spans="1:72">
      <c r="A584" s="6"/>
      <c r="B584" s="31"/>
      <c r="C584" s="31"/>
      <c r="D584" s="1629"/>
      <c r="E584" s="32">
        <f t="shared" si="326"/>
        <v>0</v>
      </c>
      <c r="F584" s="33"/>
      <c r="G584" s="34">
        <f t="shared" si="327"/>
        <v>0</v>
      </c>
      <c r="H584" s="35">
        <f t="shared" si="328"/>
        <v>0</v>
      </c>
      <c r="I584" s="36"/>
      <c r="J584" s="36"/>
      <c r="K584" s="36"/>
      <c r="L584" s="36"/>
      <c r="M584" s="36"/>
      <c r="N584" s="36"/>
      <c r="O584" s="36"/>
      <c r="P584" s="36"/>
      <c r="Q584" s="36"/>
      <c r="R584" s="36"/>
      <c r="S584" s="36"/>
      <c r="T584" s="36"/>
      <c r="U584" s="36"/>
      <c r="V584" s="36"/>
      <c r="W584" s="36"/>
      <c r="X584" s="36"/>
      <c r="Y584" s="36"/>
      <c r="Z584" s="36"/>
      <c r="AA584" s="36"/>
      <c r="AB584" s="36"/>
      <c r="AC584" s="32">
        <f t="shared" si="329"/>
        <v>0</v>
      </c>
      <c r="AD584" s="37"/>
      <c r="AE584" s="37"/>
      <c r="AF584" s="37"/>
      <c r="AG584" s="37"/>
      <c r="AH584" s="37"/>
      <c r="AI584" s="37"/>
      <c r="AJ584" s="37"/>
      <c r="AK584" s="37"/>
      <c r="AL584" s="37"/>
      <c r="AM584" s="37"/>
      <c r="AN584" s="37"/>
      <c r="AO584" s="37"/>
      <c r="AP584" s="37"/>
      <c r="AQ584" s="37"/>
      <c r="AR584" s="37"/>
      <c r="AS584" s="37"/>
      <c r="AT584" s="38"/>
      <c r="AU584" s="1630"/>
      <c r="AV584" s="1342">
        <f t="shared" si="330"/>
        <v>0</v>
      </c>
      <c r="AW584" s="1342">
        <f t="shared" si="331"/>
        <v>0</v>
      </c>
      <c r="AX584" s="1342">
        <f t="shared" si="332"/>
        <v>0</v>
      </c>
      <c r="AY584" s="39">
        <f t="shared" si="333"/>
        <v>0</v>
      </c>
      <c r="AZ584" s="32">
        <f t="shared" si="334"/>
        <v>0</v>
      </c>
      <c r="BA584" s="32">
        <f t="shared" si="335"/>
        <v>0</v>
      </c>
      <c r="BB584" s="32">
        <f t="shared" si="336"/>
        <v>0</v>
      </c>
      <c r="BC584" s="32">
        <f t="shared" si="337"/>
        <v>0</v>
      </c>
      <c r="BD584" s="32">
        <f t="shared" si="338"/>
        <v>0</v>
      </c>
      <c r="BE584" s="32">
        <f t="shared" si="339"/>
        <v>0</v>
      </c>
      <c r="BF584" s="32">
        <f t="shared" si="340"/>
        <v>0</v>
      </c>
      <c r="BG584" s="32">
        <f t="shared" si="341"/>
        <v>0</v>
      </c>
      <c r="BH584" s="32">
        <f t="shared" si="342"/>
        <v>0</v>
      </c>
      <c r="BI584" s="32">
        <f t="shared" si="343"/>
        <v>0</v>
      </c>
      <c r="BJ584" s="32">
        <f t="shared" si="344"/>
        <v>0</v>
      </c>
      <c r="BK584" s="32">
        <f t="shared" si="345"/>
        <v>0</v>
      </c>
      <c r="BL584" s="32">
        <f t="shared" si="346"/>
        <v>0</v>
      </c>
      <c r="BM584" s="32">
        <f t="shared" si="347"/>
        <v>0</v>
      </c>
      <c r="BN584" s="32">
        <f t="shared" si="348"/>
        <v>0</v>
      </c>
      <c r="BO584" s="32">
        <f t="shared" si="349"/>
        <v>0</v>
      </c>
      <c r="BP584" s="32">
        <f t="shared" si="350"/>
        <v>0</v>
      </c>
      <c r="BQ584" s="32">
        <f t="shared" si="351"/>
        <v>0</v>
      </c>
      <c r="BR584" s="32">
        <f t="shared" si="352"/>
        <v>0</v>
      </c>
      <c r="BS584" s="32">
        <f t="shared" si="353"/>
        <v>0</v>
      </c>
      <c r="BT584" s="40">
        <f t="shared" si="354"/>
        <v>0</v>
      </c>
    </row>
    <row r="585" spans="1:72">
      <c r="A585" s="6"/>
      <c r="B585" s="6"/>
      <c r="C585" s="6"/>
      <c r="D585" s="1629"/>
      <c r="E585" s="32">
        <f t="shared" si="326"/>
        <v>0</v>
      </c>
      <c r="F585" s="41"/>
      <c r="G585" s="34">
        <f>H585+AC585+AT585</f>
        <v>0</v>
      </c>
      <c r="H585" s="35">
        <f>SUMIF(I$12:AB$12,"总值",I585:AB585)</f>
        <v>0</v>
      </c>
      <c r="I585" s="7"/>
      <c r="J585" s="7"/>
      <c r="K585" s="36"/>
      <c r="L585" s="36"/>
      <c r="M585" s="36"/>
      <c r="N585" s="36"/>
      <c r="O585" s="36"/>
      <c r="P585" s="36"/>
      <c r="Q585" s="36"/>
      <c r="R585" s="36"/>
      <c r="S585" s="36"/>
      <c r="T585" s="36"/>
      <c r="U585" s="36"/>
      <c r="V585" s="36"/>
      <c r="W585" s="36"/>
      <c r="X585" s="36"/>
      <c r="Y585" s="36"/>
      <c r="Z585" s="36"/>
      <c r="AA585" s="36"/>
      <c r="AB585" s="36"/>
      <c r="AC585" s="32">
        <f>SUMIF(AD$12:AS$12,"总值",AD585:AS585)</f>
        <v>0</v>
      </c>
      <c r="AD585" s="37"/>
      <c r="AE585" s="37"/>
      <c r="AF585" s="37"/>
      <c r="AG585" s="37"/>
      <c r="AH585" s="37"/>
      <c r="AI585" s="37"/>
      <c r="AJ585" s="37"/>
      <c r="AK585" s="37"/>
      <c r="AL585" s="37"/>
      <c r="AM585" s="37"/>
      <c r="AN585" s="37"/>
      <c r="AO585" s="37"/>
      <c r="AP585" s="37"/>
      <c r="AQ585" s="37"/>
      <c r="AR585" s="37"/>
      <c r="AS585" s="37"/>
      <c r="AT585" s="37"/>
      <c r="AU585" s="1570"/>
      <c r="AV585" s="1342">
        <f t="shared" si="330"/>
        <v>0</v>
      </c>
      <c r="AW585" s="1342">
        <f t="shared" si="331"/>
        <v>0</v>
      </c>
      <c r="AX585" s="1342">
        <f t="shared" si="332"/>
        <v>0</v>
      </c>
      <c r="AY585" s="39">
        <f>ROUND($AY$6*AZ585/$AZ$5,2)</f>
        <v>0</v>
      </c>
      <c r="AZ585" s="32">
        <f>BA585+BL585</f>
        <v>0</v>
      </c>
      <c r="BA585" s="32">
        <f>SUM(BB585:BK585)</f>
        <v>0</v>
      </c>
      <c r="BB585" s="32">
        <f>IF($D585="是",I585-J585,0)</f>
        <v>0</v>
      </c>
      <c r="BC585" s="32">
        <f>IF($D585="是",K585-L585,0)</f>
        <v>0</v>
      </c>
      <c r="BD585" s="32">
        <f>IF($D585="是",M585-N585,0)</f>
        <v>0</v>
      </c>
      <c r="BE585" s="32">
        <f>IF($D585="是",O585-P585,0)</f>
        <v>0</v>
      </c>
      <c r="BF585" s="32">
        <f>IF($D585="是",Q585-R585,0)</f>
        <v>0</v>
      </c>
      <c r="BG585" s="32">
        <f>IF($D585="是",S585-T585,0)</f>
        <v>0</v>
      </c>
      <c r="BH585" s="32">
        <f>IF($D585="是",U585-V585,0)</f>
        <v>0</v>
      </c>
      <c r="BI585" s="32">
        <f>IF($D585="是",W585-X585,0)</f>
        <v>0</v>
      </c>
      <c r="BJ585" s="32">
        <f>IF($D585="是",Y585-Z585,0)</f>
        <v>0</v>
      </c>
      <c r="BK585" s="32">
        <f>IF($D585="是",AA585-AB585,0)</f>
        <v>0</v>
      </c>
      <c r="BL585" s="32">
        <f>SUM(BM585:BT585)</f>
        <v>0</v>
      </c>
      <c r="BM585" s="32">
        <f>IF($D585="是",AD585-AE585,0)</f>
        <v>0</v>
      </c>
      <c r="BN585" s="32">
        <f>IF($D585="是",AF585-AG585,0)</f>
        <v>0</v>
      </c>
      <c r="BO585" s="32">
        <f>IF($D585="是",AH585-AI585,0)</f>
        <v>0</v>
      </c>
      <c r="BP585" s="32">
        <f>IF($D585="是",AJ585-AK585,0)</f>
        <v>0</v>
      </c>
      <c r="BQ585" s="32">
        <f>IF($D585="是",AL585-AM585,0)</f>
        <v>0</v>
      </c>
      <c r="BR585" s="32">
        <f>IF($D585="是",AN585-AO585,0)</f>
        <v>0</v>
      </c>
      <c r="BS585" s="32">
        <f>IF($D585="是",AP585-AQ585,0)</f>
        <v>0</v>
      </c>
      <c r="BT585" s="40">
        <f>IF($D585="是",AR585-AS585,0)</f>
        <v>0</v>
      </c>
    </row>
    <row r="586" spans="1:72">
      <c r="A586" s="6"/>
      <c r="B586" s="6"/>
      <c r="C586" s="6"/>
      <c r="D586" s="1629"/>
      <c r="E586" s="32">
        <f t="shared" si="326"/>
        <v>0</v>
      </c>
      <c r="F586" s="41"/>
      <c r="G586" s="34">
        <f>H586+AC586+AT586</f>
        <v>0</v>
      </c>
      <c r="H586" s="35">
        <f>SUMIF(I$12:AB$12,"总值",I586:AB586)</f>
        <v>0</v>
      </c>
      <c r="I586" s="36"/>
      <c r="J586" s="36"/>
      <c r="K586" s="36"/>
      <c r="L586" s="36"/>
      <c r="M586" s="36"/>
      <c r="N586" s="36"/>
      <c r="O586" s="36"/>
      <c r="P586" s="36"/>
      <c r="Q586" s="36"/>
      <c r="R586" s="36"/>
      <c r="S586" s="36"/>
      <c r="T586" s="36"/>
      <c r="U586" s="36"/>
      <c r="V586" s="36"/>
      <c r="W586" s="36"/>
      <c r="X586" s="36"/>
      <c r="Y586" s="36"/>
      <c r="Z586" s="36"/>
      <c r="AA586" s="36"/>
      <c r="AB586" s="36"/>
      <c r="AC586" s="32">
        <f>SUMIF(AD$12:AS$12,"总值",AD586:AS586)</f>
        <v>0</v>
      </c>
      <c r="AD586" s="37"/>
      <c r="AE586" s="37"/>
      <c r="AF586" s="37"/>
      <c r="AG586" s="37"/>
      <c r="AH586" s="37"/>
      <c r="AI586" s="37"/>
      <c r="AJ586" s="37"/>
      <c r="AK586" s="37"/>
      <c r="AL586" s="37"/>
      <c r="AM586" s="37"/>
      <c r="AN586" s="37"/>
      <c r="AO586" s="37"/>
      <c r="AP586" s="37"/>
      <c r="AQ586" s="37"/>
      <c r="AR586" s="37"/>
      <c r="AS586" s="37"/>
      <c r="AT586" s="37"/>
      <c r="AU586" s="1570"/>
      <c r="AV586" s="1342">
        <f t="shared" si="330"/>
        <v>0</v>
      </c>
      <c r="AW586" s="1342">
        <f t="shared" si="331"/>
        <v>0</v>
      </c>
      <c r="AX586" s="1342">
        <f t="shared" si="332"/>
        <v>0</v>
      </c>
      <c r="AY586" s="39">
        <f>ROUND($AY$6*AZ586/$AZ$5,2)</f>
        <v>0</v>
      </c>
      <c r="AZ586" s="32">
        <f>BA586+BL586</f>
        <v>0</v>
      </c>
      <c r="BA586" s="32">
        <f>SUM(BB586:BK586)</f>
        <v>0</v>
      </c>
      <c r="BB586" s="32">
        <f>IF($D586="是",I586-J586,0)</f>
        <v>0</v>
      </c>
      <c r="BC586" s="32">
        <f>IF($D586="是",K586-L586,0)</f>
        <v>0</v>
      </c>
      <c r="BD586" s="32">
        <f>IF($D586="是",M586-N586,0)</f>
        <v>0</v>
      </c>
      <c r="BE586" s="32">
        <f>IF($D586="是",O586-P586,0)</f>
        <v>0</v>
      </c>
      <c r="BF586" s="32">
        <f>IF($D586="是",Q586-R586,0)</f>
        <v>0</v>
      </c>
      <c r="BG586" s="32">
        <f>IF($D586="是",S586-T586,0)</f>
        <v>0</v>
      </c>
      <c r="BH586" s="32">
        <f>IF($D586="是",U586-V586,0)</f>
        <v>0</v>
      </c>
      <c r="BI586" s="32">
        <f>IF($D586="是",W586-X586,0)</f>
        <v>0</v>
      </c>
      <c r="BJ586" s="32">
        <f>IF($D586="是",Y586-Z586,0)</f>
        <v>0</v>
      </c>
      <c r="BK586" s="32">
        <f>IF($D586="是",AA586-AB586,0)</f>
        <v>0</v>
      </c>
      <c r="BL586" s="32">
        <f>SUM(BM586:BT586)</f>
        <v>0</v>
      </c>
      <c r="BM586" s="32">
        <f>IF($D586="是",AD586-AE586,0)</f>
        <v>0</v>
      </c>
      <c r="BN586" s="32">
        <f>IF($D586="是",AF586-AG586,0)</f>
        <v>0</v>
      </c>
      <c r="BO586" s="32">
        <f>IF($D586="是",AH586-AI586,0)</f>
        <v>0</v>
      </c>
      <c r="BP586" s="32">
        <f>IF($D586="是",AJ586-AK586,0)</f>
        <v>0</v>
      </c>
      <c r="BQ586" s="32">
        <f>IF($D586="是",AL586-AM586,0)</f>
        <v>0</v>
      </c>
      <c r="BR586" s="32">
        <f>IF($D586="是",AN586-AO586,0)</f>
        <v>0</v>
      </c>
      <c r="BS586" s="32">
        <f>IF($D586="是",AP586-AQ586,0)</f>
        <v>0</v>
      </c>
      <c r="BT586" s="40">
        <f>IF($D586="是",AR586-AS586,0)</f>
        <v>0</v>
      </c>
    </row>
    <row r="587" spans="1:72">
      <c r="A587" s="6"/>
      <c r="B587" s="6"/>
      <c r="C587" s="6"/>
      <c r="D587" s="1629"/>
      <c r="E587" s="32">
        <f t="shared" si="326"/>
        <v>0</v>
      </c>
      <c r="F587" s="41"/>
      <c r="G587" s="34">
        <f>H587+AC587+AT587</f>
        <v>0</v>
      </c>
      <c r="H587" s="35">
        <f>SUMIF(I$12:AB$12,"总值",I587:AB587)</f>
        <v>0</v>
      </c>
      <c r="I587" s="36"/>
      <c r="J587" s="36"/>
      <c r="K587" s="36"/>
      <c r="L587" s="36"/>
      <c r="M587" s="36"/>
      <c r="N587" s="36"/>
      <c r="O587" s="36"/>
      <c r="P587" s="36"/>
      <c r="Q587" s="36"/>
      <c r="R587" s="36"/>
      <c r="S587" s="36"/>
      <c r="T587" s="36"/>
      <c r="U587" s="36"/>
      <c r="V587" s="36"/>
      <c r="W587" s="36"/>
      <c r="X587" s="36"/>
      <c r="Y587" s="36"/>
      <c r="Z587" s="36"/>
      <c r="AA587" s="36"/>
      <c r="AB587" s="36"/>
      <c r="AC587" s="32">
        <f>SUMIF(AD$12:AS$12,"总值",AD587:AS587)</f>
        <v>0</v>
      </c>
      <c r="AD587" s="37"/>
      <c r="AE587" s="37"/>
      <c r="AF587" s="37"/>
      <c r="AG587" s="37"/>
      <c r="AH587" s="37"/>
      <c r="AI587" s="37"/>
      <c r="AJ587" s="37"/>
      <c r="AK587" s="37"/>
      <c r="AL587" s="37"/>
      <c r="AM587" s="37"/>
      <c r="AN587" s="37"/>
      <c r="AO587" s="37"/>
      <c r="AP587" s="37"/>
      <c r="AQ587" s="37"/>
      <c r="AR587" s="37"/>
      <c r="AS587" s="37"/>
      <c r="AT587" s="37"/>
      <c r="AU587" s="1570"/>
      <c r="AV587" s="1342">
        <f t="shared" si="330"/>
        <v>0</v>
      </c>
      <c r="AW587" s="1342">
        <f t="shared" si="331"/>
        <v>0</v>
      </c>
      <c r="AX587" s="1342">
        <f t="shared" si="332"/>
        <v>0</v>
      </c>
      <c r="AY587" s="39">
        <f>ROUND($AY$6*AZ587/$AZ$5,2)</f>
        <v>0</v>
      </c>
      <c r="AZ587" s="32">
        <f>BA587+BL587</f>
        <v>0</v>
      </c>
      <c r="BA587" s="32">
        <f>SUM(BB587:BK587)</f>
        <v>0</v>
      </c>
      <c r="BB587" s="32">
        <f>IF($D587="是",I587-J587,0)</f>
        <v>0</v>
      </c>
      <c r="BC587" s="32">
        <f>IF($D587="是",K587-L587,0)</f>
        <v>0</v>
      </c>
      <c r="BD587" s="32">
        <f>IF($D587="是",M587-N587,0)</f>
        <v>0</v>
      </c>
      <c r="BE587" s="32">
        <f>IF($D587="是",O587-P587,0)</f>
        <v>0</v>
      </c>
      <c r="BF587" s="32">
        <f>IF($D587="是",Q587-R587,0)</f>
        <v>0</v>
      </c>
      <c r="BG587" s="32">
        <f>IF($D587="是",S587-T587,0)</f>
        <v>0</v>
      </c>
      <c r="BH587" s="32">
        <f>IF($D587="是",U587-V587,0)</f>
        <v>0</v>
      </c>
      <c r="BI587" s="32">
        <f>IF($D587="是",W587-X587,0)</f>
        <v>0</v>
      </c>
      <c r="BJ587" s="32">
        <f>IF($D587="是",Y587-Z587,0)</f>
        <v>0</v>
      </c>
      <c r="BK587" s="32">
        <f>IF($D587="是",AA587-AB587,0)</f>
        <v>0</v>
      </c>
      <c r="BL587" s="32">
        <f>SUM(BM587:BT587)</f>
        <v>0</v>
      </c>
      <c r="BM587" s="32">
        <f>IF($D587="是",AD587-AE587,0)</f>
        <v>0</v>
      </c>
      <c r="BN587" s="32">
        <f>IF($D587="是",AF587-AG587,0)</f>
        <v>0</v>
      </c>
      <c r="BO587" s="32">
        <f>IF($D587="是",AH587-AI587,0)</f>
        <v>0</v>
      </c>
      <c r="BP587" s="32">
        <f>IF($D587="是",AJ587-AK587,0)</f>
        <v>0</v>
      </c>
      <c r="BQ587" s="32">
        <f>IF($D587="是",AL587-AM587,0)</f>
        <v>0</v>
      </c>
      <c r="BR587" s="32">
        <f>IF($D587="是",AN587-AO587,0)</f>
        <v>0</v>
      </c>
      <c r="BS587" s="32">
        <f>IF($D587="是",AP587-AQ587,0)</f>
        <v>0</v>
      </c>
      <c r="BT587" s="40">
        <f>IF($D587="是",AR587-AS587,0)</f>
        <v>0</v>
      </c>
    </row>
    <row r="588" spans="1:72" s="1633" customFormat="1">
      <c r="A588" s="1631"/>
      <c r="B588" s="1631"/>
      <c r="C588" s="1631"/>
      <c r="D588" s="1631"/>
      <c r="E588" s="1632"/>
      <c r="F588" s="1632"/>
      <c r="G588" s="1631"/>
      <c r="H588" s="1632"/>
      <c r="I588" s="1632"/>
      <c r="J588" s="1632"/>
      <c r="K588" s="1632"/>
      <c r="L588" s="1632"/>
      <c r="M588" s="1632"/>
      <c r="N588" s="1632"/>
      <c r="O588" s="1632"/>
      <c r="P588" s="1632"/>
      <c r="Q588" s="1632"/>
      <c r="R588" s="1632"/>
      <c r="S588" s="1632"/>
      <c r="T588" s="1632"/>
      <c r="U588" s="1632"/>
      <c r="V588" s="1632"/>
      <c r="W588" s="1632"/>
      <c r="X588" s="1632"/>
      <c r="Y588" s="1632"/>
      <c r="Z588" s="1632"/>
      <c r="AA588" s="1632"/>
      <c r="AB588" s="1632"/>
      <c r="AC588" s="1632"/>
      <c r="AD588" s="1632"/>
      <c r="AE588" s="1632"/>
      <c r="AF588" s="1632"/>
      <c r="AG588" s="1632"/>
      <c r="AH588" s="1632"/>
      <c r="AI588" s="1632"/>
      <c r="AJ588" s="1632"/>
      <c r="AK588" s="1632"/>
      <c r="AL588" s="1632"/>
      <c r="AM588" s="1632"/>
      <c r="AN588" s="1632"/>
      <c r="AO588" s="1632"/>
      <c r="AP588" s="1632"/>
      <c r="AQ588" s="1632"/>
      <c r="AR588" s="1632"/>
      <c r="AS588" s="1632"/>
      <c r="AT588" s="1632"/>
      <c r="AU588" s="1631"/>
      <c r="AV588" s="1631"/>
      <c r="AW588" s="1631"/>
      <c r="AX588" s="1631"/>
    </row>
    <row r="589" spans="1:72" s="1634" customFormat="1">
      <c r="C589" s="1635"/>
      <c r="D589" s="1635"/>
    </row>
    <row r="590" spans="1:72" s="1634" customFormat="1">
      <c r="C590" s="1635"/>
      <c r="D590" s="1635"/>
    </row>
    <row r="593" spans="2:2">
      <c r="B593" s="1635"/>
    </row>
  </sheetData>
  <sheetProtection password="CEE9" sheet="1" objects="1" scenarios="1" formatCells="0" formatColumns="0" formatRows="0"/>
  <phoneticPr fontId="3" type="noConversion"/>
  <dataValidations count="5">
    <dataValidation type="list" allowBlank="1" showInputMessage="1" showErrorMessage="1" sqref="C3 D13:D587">
      <formula1>估价范围判定</formula1>
    </dataValidation>
    <dataValidation type="list" errorStyle="warning" allowBlank="1" showInputMessage="1" showErrorMessage="1" sqref="I9 K9 M9 O9 Q9 S9 U9 W9 Y9 AA9">
      <formula1>位置</formula1>
    </dataValidation>
    <dataValidation type="list" allowBlank="1" showErrorMessage="1" sqref="AA10 K10 M10 O10 Q10 S10 U10 W10 Y10">
      <formula1>主用途</formula1>
    </dataValidation>
    <dataValidation type="list" allowBlank="1" showInputMessage="1" showErrorMessage="1" sqref="I11 K11 M11 O11 Q11 S11 U11 W11 Y11 AA11">
      <formula1>用途明细</formula1>
    </dataValidation>
    <dataValidation type="list" allowBlank="1" showInputMessage="1" showErrorMessage="1" sqref="I10">
      <formula1>主用途</formula1>
    </dataValidation>
  </dataValidations>
  <pageMargins left="0.7" right="0.7" top="0.75" bottom="0.75" header="0.3" footer="0.3"/>
  <pageSetup paperSize="9" scale="18" fitToHeight="0" orientation="landscape" r:id="rId1"/>
  <legacyDrawing r:id="rId2"/>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P54"/>
  <sheetViews>
    <sheetView topLeftCell="A37" workbookViewId="0">
      <selection activeCell="P52" sqref="P52"/>
    </sheetView>
  </sheetViews>
  <sheetFormatPr defaultRowHeight="13.5"/>
  <cols>
    <col min="8" max="8" width="14.625" customWidth="1"/>
  </cols>
  <sheetData>
    <row r="1" spans="1:13" ht="26.25" thickBot="1">
      <c r="A1" s="3428" t="s">
        <v>3387</v>
      </c>
      <c r="B1" s="3429" t="s">
        <v>3388</v>
      </c>
      <c r="C1" s="3429" t="s">
        <v>3389</v>
      </c>
      <c r="D1" s="3430" t="s">
        <v>3390</v>
      </c>
      <c r="E1" s="3430" t="s">
        <v>3391</v>
      </c>
      <c r="F1" s="3430" t="s">
        <v>3392</v>
      </c>
      <c r="G1" s="3430" t="s">
        <v>3393</v>
      </c>
      <c r="H1" s="3430" t="s">
        <v>3394</v>
      </c>
      <c r="I1" s="3430" t="s">
        <v>3395</v>
      </c>
    </row>
    <row r="2" spans="1:13" ht="51.75" thickBot="1">
      <c r="A2" s="3431">
        <v>1</v>
      </c>
      <c r="B2" s="3432" t="s">
        <v>3396</v>
      </c>
      <c r="C2" s="3432" t="s">
        <v>3397</v>
      </c>
      <c r="D2" s="3433" t="s">
        <v>3398</v>
      </c>
      <c r="E2" s="3433" t="s">
        <v>3399</v>
      </c>
      <c r="F2" s="3433">
        <v>5</v>
      </c>
      <c r="G2" s="3433">
        <v>7792.51</v>
      </c>
      <c r="H2" s="3434" t="s">
        <v>3400</v>
      </c>
      <c r="I2" s="3434" t="s">
        <v>21</v>
      </c>
    </row>
    <row r="3" spans="1:13" ht="51.75" thickBot="1">
      <c r="A3" s="3431">
        <v>2</v>
      </c>
      <c r="B3" s="3432" t="s">
        <v>3401</v>
      </c>
      <c r="C3" s="3432" t="s">
        <v>3397</v>
      </c>
      <c r="D3" s="3433" t="s">
        <v>3402</v>
      </c>
      <c r="E3" s="3433" t="s">
        <v>3403</v>
      </c>
      <c r="F3" s="3433">
        <v>4</v>
      </c>
      <c r="G3" s="3433">
        <v>7637.27</v>
      </c>
      <c r="H3" s="3434" t="s">
        <v>3400</v>
      </c>
      <c r="I3" s="3434" t="s">
        <v>21</v>
      </c>
    </row>
    <row r="4" spans="1:13" ht="51.75" thickBot="1">
      <c r="A4" s="3431">
        <v>3</v>
      </c>
      <c r="B4" s="3432" t="s">
        <v>3404</v>
      </c>
      <c r="C4" s="3432" t="s">
        <v>3397</v>
      </c>
      <c r="D4" s="3433" t="s">
        <v>3405</v>
      </c>
      <c r="E4" s="3433" t="s">
        <v>3406</v>
      </c>
      <c r="F4" s="3433">
        <v>7</v>
      </c>
      <c r="G4" s="3433">
        <v>10545.05</v>
      </c>
      <c r="H4" s="3434" t="s">
        <v>3407</v>
      </c>
      <c r="I4" s="3434" t="s">
        <v>3408</v>
      </c>
      <c r="J4" s="3437" t="s">
        <v>3424</v>
      </c>
      <c r="K4">
        <v>4162.82</v>
      </c>
      <c r="L4" s="3436" t="s">
        <v>3426</v>
      </c>
      <c r="M4">
        <f>G4-K4</f>
        <v>6382.23</v>
      </c>
    </row>
    <row r="5" spans="1:13" ht="51.75" thickBot="1">
      <c r="A5" s="3431">
        <v>4</v>
      </c>
      <c r="B5" s="3432" t="s">
        <v>3409</v>
      </c>
      <c r="C5" s="3432" t="s">
        <v>3397</v>
      </c>
      <c r="D5" s="3433" t="s">
        <v>3410</v>
      </c>
      <c r="E5" s="3433" t="s">
        <v>3403</v>
      </c>
      <c r="F5" s="3433">
        <v>4</v>
      </c>
      <c r="G5" s="3433">
        <v>6921.25</v>
      </c>
      <c r="H5" s="3434" t="s">
        <v>3400</v>
      </c>
      <c r="I5" s="3434" t="s">
        <v>21</v>
      </c>
    </row>
    <row r="6" spans="1:13" ht="51.75" thickBot="1">
      <c r="A6" s="3431">
        <v>5</v>
      </c>
      <c r="B6" s="3432" t="s">
        <v>3411</v>
      </c>
      <c r="C6" s="3432" t="s">
        <v>3397</v>
      </c>
      <c r="D6" s="3433" t="s">
        <v>3412</v>
      </c>
      <c r="E6" s="3433" t="s">
        <v>3399</v>
      </c>
      <c r="F6" s="3433">
        <v>5</v>
      </c>
      <c r="G6" s="3433">
        <v>6982.07</v>
      </c>
      <c r="H6" s="3434" t="s">
        <v>3400</v>
      </c>
      <c r="I6" s="3434" t="s">
        <v>21</v>
      </c>
    </row>
    <row r="7" spans="1:13" ht="51.75" thickBot="1">
      <c r="A7" s="3431">
        <v>6</v>
      </c>
      <c r="B7" s="3432" t="s">
        <v>3413</v>
      </c>
      <c r="C7" s="3432" t="s">
        <v>3397</v>
      </c>
      <c r="D7" s="3433" t="s">
        <v>3414</v>
      </c>
      <c r="E7" s="3433" t="s">
        <v>3415</v>
      </c>
      <c r="F7" s="3433">
        <v>6</v>
      </c>
      <c r="G7" s="3433">
        <v>5673.53</v>
      </c>
      <c r="H7" s="3434" t="s">
        <v>3416</v>
      </c>
      <c r="I7" s="3434" t="s">
        <v>21</v>
      </c>
    </row>
    <row r="8" spans="1:13" ht="51.75" thickBot="1">
      <c r="A8" s="3431">
        <v>7</v>
      </c>
      <c r="B8" s="3432" t="s">
        <v>3417</v>
      </c>
      <c r="C8" s="3432" t="s">
        <v>3397</v>
      </c>
      <c r="D8" s="3433" t="s">
        <v>3418</v>
      </c>
      <c r="E8" s="3433" t="s">
        <v>3399</v>
      </c>
      <c r="F8" s="3433">
        <v>5</v>
      </c>
      <c r="G8" s="3433">
        <v>6933.94</v>
      </c>
      <c r="H8" s="3434" t="s">
        <v>3400</v>
      </c>
      <c r="I8" s="3434" t="s">
        <v>21</v>
      </c>
    </row>
    <row r="9" spans="1:13" ht="51.75" thickBot="1">
      <c r="A9" s="3431">
        <v>8</v>
      </c>
      <c r="B9" s="3432" t="s">
        <v>3419</v>
      </c>
      <c r="C9" s="3432" t="s">
        <v>3397</v>
      </c>
      <c r="D9" s="3433" t="s">
        <v>3420</v>
      </c>
      <c r="E9" s="3433" t="s">
        <v>3421</v>
      </c>
      <c r="F9" s="3433">
        <v>2</v>
      </c>
      <c r="G9" s="3433">
        <v>17559.11</v>
      </c>
      <c r="H9" s="3434" t="s">
        <v>3422</v>
      </c>
      <c r="I9" s="3434" t="s">
        <v>21</v>
      </c>
    </row>
    <row r="10" spans="1:13" ht="14.25" thickBot="1">
      <c r="A10" s="3435" t="s">
        <v>3423</v>
      </c>
      <c r="B10" s="3432" t="s">
        <v>43</v>
      </c>
      <c r="C10" s="3432" t="s">
        <v>43</v>
      </c>
      <c r="D10" s="3434" t="s">
        <v>43</v>
      </c>
      <c r="E10" s="3434" t="s">
        <v>43</v>
      </c>
      <c r="F10" s="3434" t="s">
        <v>43</v>
      </c>
      <c r="G10" s="3433">
        <v>70044.73</v>
      </c>
      <c r="H10" s="3434" t="s">
        <v>43</v>
      </c>
      <c r="I10" s="3433" t="s">
        <v>43</v>
      </c>
    </row>
    <row r="18" spans="9:11">
      <c r="I18" s="3436" t="s">
        <v>3653</v>
      </c>
      <c r="J18" s="3436" t="s">
        <v>3654</v>
      </c>
      <c r="K18" s="3436" t="s">
        <v>3655</v>
      </c>
    </row>
    <row r="19" spans="9:11">
      <c r="I19">
        <v>26935</v>
      </c>
      <c r="J19">
        <v>20989</v>
      </c>
      <c r="K19">
        <v>19879.14</v>
      </c>
    </row>
    <row r="22" spans="9:11">
      <c r="I22">
        <v>26935</v>
      </c>
      <c r="J22">
        <v>20571</v>
      </c>
      <c r="K22">
        <v>19483.240000000002</v>
      </c>
    </row>
    <row r="25" spans="9:11">
      <c r="I25">
        <v>18133</v>
      </c>
      <c r="J25">
        <v>19121</v>
      </c>
      <c r="K25">
        <v>18109.919999999998</v>
      </c>
    </row>
    <row r="28" spans="9:11">
      <c r="I28">
        <v>26935</v>
      </c>
      <c r="J28">
        <v>18642</v>
      </c>
      <c r="K28">
        <v>17656.25</v>
      </c>
    </row>
    <row r="30" spans="9:11">
      <c r="I30">
        <v>26935</v>
      </c>
      <c r="J30">
        <v>18806</v>
      </c>
      <c r="K30">
        <v>17811.57</v>
      </c>
    </row>
    <row r="33" spans="9:16">
      <c r="I33">
        <v>27204</v>
      </c>
      <c r="J33">
        <v>15434</v>
      </c>
      <c r="K33">
        <v>14617.88</v>
      </c>
    </row>
    <row r="36" spans="9:16">
      <c r="I36">
        <v>25858</v>
      </c>
      <c r="J36">
        <v>17930</v>
      </c>
      <c r="K36">
        <v>16981.900000000001</v>
      </c>
    </row>
    <row r="39" spans="9:16">
      <c r="I39">
        <v>17912</v>
      </c>
      <c r="J39">
        <v>31452</v>
      </c>
      <c r="K39">
        <v>29788.880000000001</v>
      </c>
    </row>
    <row r="43" spans="9:16" ht="14.25" thickBot="1"/>
    <row r="44" spans="9:16" ht="26.25" thickTop="1">
      <c r="L44" s="3476" t="s">
        <v>3387</v>
      </c>
      <c r="M44" s="3477" t="s">
        <v>3667</v>
      </c>
      <c r="N44" s="3477" t="s">
        <v>3668</v>
      </c>
      <c r="O44" s="3478" t="s">
        <v>3669</v>
      </c>
      <c r="P44" s="3478" t="s">
        <v>660</v>
      </c>
    </row>
    <row r="45" spans="9:16" ht="51">
      <c r="L45" s="3479">
        <v>1</v>
      </c>
      <c r="M45" s="3480" t="s">
        <v>3670</v>
      </c>
      <c r="N45" s="3481">
        <v>7792.51</v>
      </c>
      <c r="O45" s="3482">
        <v>21055</v>
      </c>
      <c r="P45" s="3482">
        <v>16407</v>
      </c>
    </row>
    <row r="46" spans="9:16" ht="51">
      <c r="L46" s="3479">
        <v>2</v>
      </c>
      <c r="M46" s="3480" t="s">
        <v>3671</v>
      </c>
      <c r="N46" s="3481">
        <v>7637.27</v>
      </c>
      <c r="O46" s="3482">
        <v>21019</v>
      </c>
      <c r="P46" s="3482">
        <v>16053</v>
      </c>
    </row>
    <row r="47" spans="9:16" ht="51">
      <c r="L47" s="3479">
        <v>3</v>
      </c>
      <c r="M47" s="3480" t="s">
        <v>3672</v>
      </c>
      <c r="N47" s="3481">
        <v>10545.05</v>
      </c>
      <c r="O47" s="3482">
        <v>11185</v>
      </c>
      <c r="P47" s="3482">
        <v>11795</v>
      </c>
    </row>
    <row r="48" spans="9:16" ht="51">
      <c r="L48" s="3479">
        <v>4</v>
      </c>
      <c r="M48" s="3480" t="s">
        <v>3673</v>
      </c>
      <c r="N48" s="3481">
        <v>6921.25</v>
      </c>
      <c r="O48" s="3482">
        <v>21021</v>
      </c>
      <c r="P48" s="3482">
        <v>14549</v>
      </c>
    </row>
    <row r="49" spans="12:16" ht="51">
      <c r="L49" s="3479">
        <v>5</v>
      </c>
      <c r="M49" s="3480" t="s">
        <v>3674</v>
      </c>
      <c r="N49" s="3481">
        <v>6982.07</v>
      </c>
      <c r="O49" s="3482">
        <v>21073</v>
      </c>
      <c r="P49" s="3482">
        <v>14713</v>
      </c>
    </row>
    <row r="50" spans="12:16" ht="51">
      <c r="L50" s="3479">
        <v>6</v>
      </c>
      <c r="M50" s="3480" t="s">
        <v>3675</v>
      </c>
      <c r="N50" s="3481">
        <v>5673.53</v>
      </c>
      <c r="O50" s="3482">
        <v>21135</v>
      </c>
      <c r="P50" s="3482">
        <v>11991</v>
      </c>
    </row>
    <row r="51" spans="12:16" ht="51">
      <c r="L51" s="3479">
        <v>7</v>
      </c>
      <c r="M51" s="3480" t="s">
        <v>3676</v>
      </c>
      <c r="N51" s="3481">
        <v>6933.94</v>
      </c>
      <c r="O51" s="3482">
        <v>20975</v>
      </c>
      <c r="P51" s="3482">
        <v>14544</v>
      </c>
    </row>
    <row r="52" spans="12:16" ht="51">
      <c r="L52" s="3486">
        <v>8</v>
      </c>
      <c r="M52" s="3487" t="s">
        <v>3677</v>
      </c>
      <c r="N52" s="3488">
        <v>17559.11</v>
      </c>
      <c r="O52" s="3489">
        <v>6053</v>
      </c>
      <c r="P52" s="3489">
        <v>10629</v>
      </c>
    </row>
    <row r="53" spans="12:16" ht="14.25" thickBot="1">
      <c r="L53" s="3483" t="s">
        <v>3423</v>
      </c>
      <c r="M53" s="3484" t="s">
        <v>43</v>
      </c>
      <c r="N53" s="3484">
        <v>70044.73</v>
      </c>
      <c r="O53" s="3485">
        <v>15801</v>
      </c>
      <c r="P53" s="3485">
        <v>110681</v>
      </c>
    </row>
    <row r="54" spans="12:16" ht="14.25" thickTop="1"/>
  </sheetData>
  <phoneticPr fontId="133" type="noConversion"/>
  <pageMargins left="0.7" right="0.7" top="0.75" bottom="0.75" header="0.3" footer="0.3"/>
  <drawing r:id="rId1"/>
</worksheet>
</file>

<file path=xl/worksheets/sheet1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3">
    <tabColor rgb="FFFFFF00"/>
    <pageSetUpPr fitToPage="1"/>
  </sheetPr>
  <dimension ref="A1:S33"/>
  <sheetViews>
    <sheetView view="pageBreakPreview" zoomScale="90" zoomScaleNormal="100" zoomScaleSheetLayoutView="90" workbookViewId="0">
      <selection activeCell="G39" sqref="G39"/>
    </sheetView>
  </sheetViews>
  <sheetFormatPr defaultColWidth="9.25" defaultRowHeight="14.25"/>
  <cols>
    <col min="1" max="1" width="12.125" style="1637" customWidth="1"/>
    <col min="2" max="2" width="10.25" style="1637" customWidth="1"/>
    <col min="3" max="3" width="18.5" style="1637" customWidth="1"/>
    <col min="4" max="4" width="11.625" style="1637" customWidth="1"/>
    <col min="5" max="5" width="13.375" style="1637" customWidth="1"/>
    <col min="6" max="8" width="11.5" style="1637" customWidth="1"/>
    <col min="9" max="9" width="11.125" style="1637" customWidth="1"/>
    <col min="10" max="10" width="3.125" style="2623" customWidth="1"/>
    <col min="11" max="16" width="10" style="1637" customWidth="1"/>
    <col min="17" max="17" width="2.625" style="1637" customWidth="1"/>
    <col min="18" max="18" width="9.375" style="1637" bestFit="1" customWidth="1"/>
    <col min="19" max="19" width="10.5" style="1637" bestFit="1" customWidth="1"/>
    <col min="20" max="16384" width="9.25" style="1637"/>
  </cols>
  <sheetData>
    <row r="1" spans="1:16" ht="19.5" thickBot="1">
      <c r="A1" s="1636" t="s">
        <v>1128</v>
      </c>
      <c r="B1" s="1139"/>
      <c r="C1" s="1139"/>
      <c r="D1" s="1139"/>
      <c r="E1" s="1139"/>
      <c r="F1" s="1139"/>
      <c r="G1" s="1139"/>
      <c r="H1" s="1139"/>
      <c r="I1" s="1139"/>
      <c r="J1" s="1139"/>
      <c r="K1" s="1139"/>
      <c r="L1" s="1139"/>
      <c r="M1" s="1139"/>
      <c r="N1" s="1139"/>
      <c r="O1" s="1139"/>
      <c r="P1" s="1139"/>
    </row>
    <row r="2" spans="1:16" ht="15">
      <c r="A2" s="3571" t="s">
        <v>1129</v>
      </c>
      <c r="B2" s="3571"/>
      <c r="C2" s="3571"/>
      <c r="D2" s="796" t="s">
        <v>1105</v>
      </c>
      <c r="E2" s="1638" t="s">
        <v>1106</v>
      </c>
      <c r="F2" s="2633"/>
      <c r="G2" s="2624"/>
      <c r="H2" s="2625"/>
      <c r="I2" s="2324" t="s">
        <v>1130</v>
      </c>
      <c r="J2" s="2633"/>
      <c r="K2" s="2633"/>
      <c r="L2" s="2633"/>
      <c r="M2" s="2633"/>
      <c r="N2" s="2635"/>
      <c r="O2" s="2633"/>
      <c r="P2" s="2633"/>
    </row>
    <row r="3" spans="1:16" ht="15.75" thickBot="1">
      <c r="A3" s="3572" t="s">
        <v>1103</v>
      </c>
      <c r="B3" s="3572"/>
      <c r="C3" s="3572"/>
      <c r="D3" s="43">
        <f>'数据-基础表'!AY6</f>
        <v>15637.42</v>
      </c>
      <c r="E3" s="43">
        <f>'数据-基础表'!AZ5</f>
        <v>17559.11</v>
      </c>
      <c r="F3" s="2633"/>
      <c r="G3" s="1145"/>
      <c r="H3" s="1026" t="s">
        <v>1104</v>
      </c>
      <c r="I3" s="855">
        <f>ROUND('数据-基础表'!B3/'数据-基础表'!A3,2)</f>
        <v>1.1200000000000001</v>
      </c>
      <c r="J3" s="2633"/>
      <c r="K3" s="2633"/>
      <c r="L3" s="2633"/>
      <c r="M3" s="2633"/>
      <c r="N3" s="2635"/>
      <c r="O3" s="2633"/>
      <c r="P3" s="2633"/>
    </row>
    <row r="4" spans="1:16" ht="15">
      <c r="A4" s="3573"/>
      <c r="B4" s="3574"/>
      <c r="C4" s="3575"/>
      <c r="D4" s="1640" t="s">
        <v>1105</v>
      </c>
      <c r="E4" s="1641" t="s">
        <v>1106</v>
      </c>
      <c r="F4" s="2633"/>
      <c r="G4" s="2626" t="s">
        <v>1131</v>
      </c>
      <c r="H4" s="1026" t="s">
        <v>1111</v>
      </c>
      <c r="I4" s="855">
        <f>ROUND(SUMIF('数据-基础表'!I9:AS9,"地上",'数据-基础表'!I5:AS5)/'数据-基础表'!A3,2)</f>
        <v>0.78</v>
      </c>
      <c r="J4" s="2633"/>
      <c r="K4" s="2633"/>
      <c r="L4" s="2633"/>
      <c r="M4" s="2633"/>
      <c r="N4" s="2635"/>
      <c r="O4" s="2633"/>
      <c r="P4" s="2633"/>
    </row>
    <row r="5" spans="1:16">
      <c r="A5" s="44" t="s">
        <v>1107</v>
      </c>
      <c r="B5" s="3576" t="s">
        <v>1108</v>
      </c>
      <c r="C5" s="3576"/>
      <c r="D5" s="45">
        <f>ROUND($D$3*E5/$E$3,2)</f>
        <v>0</v>
      </c>
      <c r="E5" s="46">
        <f>SUMIF('数据-基础表'!$11:$11,"住宅",'数据-基础表'!$5:$5)</f>
        <v>0</v>
      </c>
      <c r="F5" s="2633"/>
      <c r="G5" s="1145"/>
      <c r="H5" s="1026" t="s">
        <v>1104</v>
      </c>
      <c r="I5" s="855">
        <f>ROUND(E31/D31,2)</f>
        <v>1.1200000000000001</v>
      </c>
      <c r="J5" s="2633"/>
      <c r="K5" s="2633"/>
      <c r="L5" s="2633"/>
      <c r="M5" s="2633"/>
      <c r="N5" s="2633"/>
      <c r="O5" s="2633"/>
      <c r="P5" s="2633"/>
    </row>
    <row r="6" spans="1:16" ht="15" thickBot="1">
      <c r="A6" s="1643"/>
      <c r="B6" s="3576" t="s">
        <v>1109</v>
      </c>
      <c r="C6" s="3576"/>
      <c r="D6" s="45">
        <f>ROUND($D$3*E6/$E$3,2)</f>
        <v>15637.42</v>
      </c>
      <c r="E6" s="46">
        <f>E3-E5</f>
        <v>17559.11</v>
      </c>
      <c r="F6" s="2633"/>
      <c r="G6" s="2627" t="s">
        <v>1110</v>
      </c>
      <c r="H6" s="1146" t="s">
        <v>1111</v>
      </c>
      <c r="I6" s="2628">
        <f>ROUND(F31/D31,2)</f>
        <v>0</v>
      </c>
      <c r="J6" s="2633"/>
      <c r="K6" s="2633"/>
      <c r="L6" s="2633"/>
      <c r="M6" s="2633"/>
      <c r="N6" s="2633"/>
      <c r="O6" s="2633"/>
      <c r="P6" s="2633"/>
    </row>
    <row r="7" spans="1:16" ht="15.75" thickBot="1">
      <c r="A7" s="3568"/>
      <c r="B7" s="3569"/>
      <c r="C7" s="3570"/>
      <c r="D7" s="1640" t="s">
        <v>1105</v>
      </c>
      <c r="E7" s="1644" t="s">
        <v>1112</v>
      </c>
      <c r="F7" s="2633"/>
      <c r="G7" s="2629" t="s">
        <v>1113</v>
      </c>
      <c r="H7" s="2630"/>
      <c r="I7" s="2631">
        <v>1</v>
      </c>
      <c r="J7" s="2633"/>
      <c r="K7" s="2633"/>
      <c r="L7" s="2633"/>
      <c r="M7" s="2633"/>
      <c r="N7" s="2633"/>
      <c r="O7" s="2633"/>
      <c r="P7" s="2633"/>
    </row>
    <row r="8" spans="1:16">
      <c r="A8" s="44" t="s">
        <v>1114</v>
      </c>
      <c r="B8" s="47" t="s">
        <v>1115</v>
      </c>
      <c r="C8" s="45" t="s">
        <v>1116</v>
      </c>
      <c r="D8" s="45">
        <f t="shared" ref="D8:D15" si="0">ROUND($D$3*E8/$E$3,2)</f>
        <v>67.72</v>
      </c>
      <c r="E8" s="48">
        <f>SUMIF('数据-基础表'!BB10:BK10,"地上",'数据-基础表'!BB5:BK5)</f>
        <v>76.040000000000006</v>
      </c>
      <c r="F8" s="2633"/>
      <c r="G8" s="2634"/>
      <c r="H8" s="2634"/>
      <c r="I8" s="2633"/>
      <c r="J8" s="2633"/>
      <c r="K8" s="2633"/>
      <c r="L8" s="2633"/>
      <c r="M8" s="2633"/>
      <c r="N8" s="2633"/>
      <c r="O8" s="2633"/>
      <c r="P8" s="2633"/>
    </row>
    <row r="9" spans="1:16">
      <c r="A9" s="1645"/>
      <c r="B9" s="1646"/>
      <c r="C9" s="45" t="s">
        <v>1117</v>
      </c>
      <c r="D9" s="45">
        <f t="shared" si="0"/>
        <v>0</v>
      </c>
      <c r="E9" s="49">
        <v>0</v>
      </c>
      <c r="F9" s="2633"/>
      <c r="G9" s="2634"/>
      <c r="H9" s="2634"/>
      <c r="I9" s="2633"/>
      <c r="J9" s="2633"/>
      <c r="K9" s="2633"/>
      <c r="L9" s="2633"/>
      <c r="M9" s="2633"/>
      <c r="N9" s="2633"/>
      <c r="O9" s="2633"/>
      <c r="P9" s="2633"/>
    </row>
    <row r="10" spans="1:16">
      <c r="A10" s="1645"/>
      <c r="B10" s="1646"/>
      <c r="C10" s="45" t="s">
        <v>1126</v>
      </c>
      <c r="D10" s="45">
        <f t="shared" si="0"/>
        <v>0</v>
      </c>
      <c r="E10" s="48">
        <f>SUMPRODUCT(('数据-基础表'!BB10:BK10="地下")*('数据-基础表'!BB11:BK11="商业")*('数据-基础表'!BB5:BK5))</f>
        <v>0</v>
      </c>
      <c r="F10" s="2633"/>
      <c r="G10" s="2634"/>
      <c r="H10" s="2634"/>
      <c r="I10" s="2633"/>
      <c r="J10" s="2633"/>
      <c r="K10" s="2633"/>
      <c r="L10" s="2633"/>
      <c r="M10" s="2633"/>
      <c r="N10" s="2633"/>
      <c r="O10" s="2633"/>
      <c r="P10" s="2633"/>
    </row>
    <row r="11" spans="1:16">
      <c r="A11" s="1645"/>
      <c r="B11" s="1646"/>
      <c r="C11" s="45" t="s">
        <v>1118</v>
      </c>
      <c r="D11" s="45">
        <f t="shared" si="0"/>
        <v>0</v>
      </c>
      <c r="E11" s="48">
        <f>SUMPRODUCT(('数据-基础表'!BB10:BK10="地下")*('数据-基础表'!BB11:BK11="办公")*('数据-基础表'!BB5:BK5))+'数据-基础表'!BP5</f>
        <v>0</v>
      </c>
      <c r="F11" s="2633"/>
      <c r="G11" s="2634"/>
      <c r="H11" s="2634"/>
      <c r="I11" s="2633"/>
      <c r="J11" s="2633"/>
      <c r="K11" s="2633"/>
      <c r="L11" s="2633"/>
      <c r="M11" s="2633"/>
      <c r="N11" s="2633"/>
      <c r="O11" s="2633"/>
      <c r="P11" s="2633"/>
    </row>
    <row r="12" spans="1:16">
      <c r="A12" s="1645"/>
      <c r="B12" s="1646"/>
      <c r="C12" s="45" t="s">
        <v>1119</v>
      </c>
      <c r="D12" s="45">
        <f t="shared" si="0"/>
        <v>0</v>
      </c>
      <c r="E12" s="48">
        <f>SUMPRODUCT(('数据-基础表'!BB10:BK10="地下")*('数据-基础表'!BB11:BK11="仓储")*('数据-基础表'!BB5:BK5))</f>
        <v>0</v>
      </c>
      <c r="F12" s="2633"/>
      <c r="G12" s="2634"/>
      <c r="H12" s="2634"/>
      <c r="I12" s="2633"/>
      <c r="J12" s="2633"/>
      <c r="K12" s="2633"/>
      <c r="L12" s="2633"/>
      <c r="M12" s="2633"/>
      <c r="N12" s="2633"/>
      <c r="O12" s="2633"/>
      <c r="P12" s="2633"/>
    </row>
    <row r="13" spans="1:16">
      <c r="A13" s="1645"/>
      <c r="B13" s="1646"/>
      <c r="C13" s="45" t="s">
        <v>1120</v>
      </c>
      <c r="D13" s="45">
        <f t="shared" si="0"/>
        <v>0</v>
      </c>
      <c r="E13" s="48">
        <f>SUMPRODUCT(('数据-基础表'!BB10:BK10="地下")*('数据-基础表'!BB11:BK11="车库")*('数据-基础表'!BB5:BK5))</f>
        <v>0</v>
      </c>
      <c r="F13" s="2633"/>
      <c r="G13" s="2634"/>
      <c r="H13" s="2634"/>
      <c r="I13" s="2633"/>
      <c r="J13" s="2633"/>
      <c r="K13" s="2633"/>
      <c r="L13" s="2633"/>
      <c r="M13" s="2633"/>
      <c r="N13" s="2633"/>
      <c r="O13" s="2633"/>
      <c r="P13" s="2633"/>
    </row>
    <row r="14" spans="1:16">
      <c r="A14" s="1645"/>
      <c r="B14" s="1646"/>
      <c r="C14" s="45" t="s">
        <v>1132</v>
      </c>
      <c r="D14" s="45">
        <f t="shared" si="0"/>
        <v>0</v>
      </c>
      <c r="E14" s="48">
        <f>SUMPRODUCT(('数据-基础表'!BB10:BK10="地下")*('数据-基础表'!BB11:BK11="车库—商业")*('数据-基础表'!BB5:BK5))</f>
        <v>0</v>
      </c>
      <c r="F14" s="2633"/>
      <c r="G14" s="2634"/>
      <c r="H14" s="2634"/>
      <c r="I14" s="2633"/>
      <c r="J14" s="2633"/>
      <c r="K14" s="2633"/>
      <c r="L14" s="2633"/>
      <c r="M14" s="2633"/>
      <c r="N14" s="2633"/>
      <c r="O14" s="2633"/>
      <c r="P14" s="2633"/>
    </row>
    <row r="15" spans="1:16" ht="15" thickBot="1">
      <c r="A15" s="1645"/>
      <c r="B15" s="1646"/>
      <c r="C15" s="45" t="s">
        <v>1127</v>
      </c>
      <c r="D15" s="45">
        <f t="shared" si="0"/>
        <v>0</v>
      </c>
      <c r="E15" s="48">
        <f>SUMPRODUCT(('数据-基础表'!BB10:BK10="地下")*('数据-基础表'!BB11:BK11="车库—办公")*('数据-基础表'!BB5:BK5))</f>
        <v>0</v>
      </c>
      <c r="F15" s="2633"/>
      <c r="G15" s="2634"/>
      <c r="H15" s="2634"/>
      <c r="I15" s="2633"/>
      <c r="J15" s="2633"/>
      <c r="K15" s="2633"/>
      <c r="L15" s="2633"/>
      <c r="M15" s="2633"/>
      <c r="N15" s="2633"/>
      <c r="O15" s="2633"/>
      <c r="P15" s="2633"/>
    </row>
    <row r="16" spans="1:16" ht="15.75" thickBot="1">
      <c r="A16" s="1643"/>
      <c r="B16" s="1646"/>
      <c r="C16" s="47" t="s">
        <v>1121</v>
      </c>
      <c r="D16" s="47">
        <f>SUM(D8:D15)</f>
        <v>67.72</v>
      </c>
      <c r="E16" s="50">
        <f>SUM(E8:E15)</f>
        <v>76.040000000000006</v>
      </c>
      <c r="F16" s="2633"/>
      <c r="G16" s="2634"/>
      <c r="H16" s="1647" t="s">
        <v>1133</v>
      </c>
      <c r="I16" s="1648"/>
      <c r="J16" s="1139"/>
      <c r="K16" s="3565" t="s">
        <v>1133</v>
      </c>
      <c r="L16" s="3566"/>
      <c r="M16" s="3566"/>
      <c r="N16" s="3566"/>
      <c r="O16" s="3566"/>
      <c r="P16" s="3567"/>
    </row>
    <row r="17" spans="1:19" ht="15">
      <c r="A17" s="1649" t="s">
        <v>1134</v>
      </c>
      <c r="B17" s="1650" t="s">
        <v>1135</v>
      </c>
      <c r="C17" s="1651" t="s">
        <v>1136</v>
      </c>
      <c r="D17" s="1652" t="s">
        <v>1124</v>
      </c>
      <c r="E17" s="1653" t="s">
        <v>1125</v>
      </c>
      <c r="F17" s="1654"/>
      <c r="G17" s="1655"/>
      <c r="H17" s="1656" t="s">
        <v>1137</v>
      </c>
      <c r="I17" s="1657" t="s">
        <v>1122</v>
      </c>
      <c r="J17" s="1139"/>
      <c r="K17" s="3562" t="s">
        <v>1138</v>
      </c>
      <c r="L17" s="3563"/>
      <c r="M17" s="3564"/>
      <c r="N17" s="3562" t="s">
        <v>1139</v>
      </c>
      <c r="O17" s="3563"/>
      <c r="P17" s="3564"/>
      <c r="R17" s="1639" t="s">
        <v>1140</v>
      </c>
      <c r="S17" s="56"/>
    </row>
    <row r="18" spans="1:19" ht="15">
      <c r="A18" s="1645"/>
      <c r="B18" s="1658"/>
      <c r="C18" s="1659"/>
      <c r="D18" s="1660"/>
      <c r="E18" s="1661" t="s">
        <v>1141</v>
      </c>
      <c r="F18" s="1662" t="s">
        <v>1142</v>
      </c>
      <c r="G18" s="1663" t="s">
        <v>1143</v>
      </c>
      <c r="H18" s="1041" t="s">
        <v>1144</v>
      </c>
      <c r="I18" s="1664" t="s">
        <v>1145</v>
      </c>
      <c r="J18" s="1139"/>
      <c r="K18" s="1041" t="s">
        <v>1146</v>
      </c>
      <c r="L18" s="1665" t="s">
        <v>1147</v>
      </c>
      <c r="M18" s="855" t="s">
        <v>1148</v>
      </c>
      <c r="N18" s="1041" t="s">
        <v>1146</v>
      </c>
      <c r="O18" s="1665" t="s">
        <v>1147</v>
      </c>
      <c r="P18" s="855" t="s">
        <v>1148</v>
      </c>
      <c r="R18" s="1026" t="s">
        <v>1149</v>
      </c>
      <c r="S18" s="1026" t="s">
        <v>1150</v>
      </c>
    </row>
    <row r="19" spans="1:19">
      <c r="A19" s="1666"/>
      <c r="B19" s="47" t="s">
        <v>1123</v>
      </c>
      <c r="C19" s="3391" t="s">
        <v>3430</v>
      </c>
      <c r="D19" s="45">
        <f>ROUND($D$3*E19/$E$3,2)</f>
        <v>15637.42</v>
      </c>
      <c r="E19" s="53">
        <f t="shared" ref="E19:E26" si="1">SUM(F19:G19)</f>
        <v>17559.11</v>
      </c>
      <c r="F19" s="2769">
        <f>'数据-基础表'!BB5</f>
        <v>76.040000000000006</v>
      </c>
      <c r="G19" s="2770">
        <f>'数据-基础表'!BC5</f>
        <v>17483.07</v>
      </c>
      <c r="H19" s="670">
        <f>ROUND($D$3*I19/$E$3,2)</f>
        <v>0</v>
      </c>
      <c r="I19" s="48">
        <f t="shared" ref="I19:I26" si="2">IF($I$17="自定义",P19,M19)</f>
        <v>0</v>
      </c>
      <c r="J19" s="1139"/>
      <c r="K19" s="1138">
        <f t="shared" ref="K19:K26" si="3">ROUND(E$28*E19/E$27,2)</f>
        <v>0</v>
      </c>
      <c r="L19" s="1026">
        <f t="shared" ref="L19:L26" si="4">ROUND(IF(COUNTIF(C19,"*住宅*")&gt;0,E$29*E19/E$32,0),2)</f>
        <v>0</v>
      </c>
      <c r="M19" s="1150">
        <f>K19+L19</f>
        <v>0</v>
      </c>
      <c r="N19" s="1667"/>
      <c r="O19" s="1668"/>
      <c r="P19" s="1150">
        <f>N19+O19</f>
        <v>0</v>
      </c>
      <c r="R19" s="1026">
        <f t="shared" ref="R19:S26" si="5">D19+H19</f>
        <v>15637.42</v>
      </c>
      <c r="S19" s="1027">
        <f t="shared" si="5"/>
        <v>17559.11</v>
      </c>
    </row>
    <row r="20" spans="1:19">
      <c r="A20" s="1669"/>
      <c r="B20" s="47" t="s">
        <v>1151</v>
      </c>
      <c r="C20" s="3391"/>
      <c r="D20" s="45">
        <f t="shared" ref="D20:D26" si="6">ROUND($D$3*E20/$E$3,2)</f>
        <v>0</v>
      </c>
      <c r="E20" s="53">
        <f t="shared" si="1"/>
        <v>0</v>
      </c>
      <c r="F20" s="2769"/>
      <c r="G20" s="2770"/>
      <c r="H20" s="670">
        <f t="shared" ref="H20:H26" si="7">ROUND($D$3*I20/$E$3,2)</f>
        <v>0</v>
      </c>
      <c r="I20" s="48">
        <f t="shared" si="2"/>
        <v>0</v>
      </c>
      <c r="J20" s="1139"/>
      <c r="K20" s="1138">
        <f t="shared" si="3"/>
        <v>0</v>
      </c>
      <c r="L20" s="1026">
        <f t="shared" si="4"/>
        <v>0</v>
      </c>
      <c r="M20" s="1150">
        <f t="shared" ref="M20:M26" si="8">K20+L20</f>
        <v>0</v>
      </c>
      <c r="N20" s="1667"/>
      <c r="O20" s="1668"/>
      <c r="P20" s="1150">
        <f t="shared" ref="P20:P26" si="9">N20+O20</f>
        <v>0</v>
      </c>
      <c r="R20" s="1026">
        <f t="shared" si="5"/>
        <v>0</v>
      </c>
      <c r="S20" s="1027">
        <f t="shared" si="5"/>
        <v>0</v>
      </c>
    </row>
    <row r="21" spans="1:19">
      <c r="A21" s="1669"/>
      <c r="B21" s="47" t="s">
        <v>1151</v>
      </c>
      <c r="C21" s="3391"/>
      <c r="D21" s="45">
        <f t="shared" si="6"/>
        <v>0</v>
      </c>
      <c r="E21" s="53">
        <f t="shared" si="1"/>
        <v>0</v>
      </c>
      <c r="F21" s="2769"/>
      <c r="G21" s="2770"/>
      <c r="H21" s="670">
        <f t="shared" si="7"/>
        <v>0</v>
      </c>
      <c r="I21" s="48">
        <f t="shared" si="2"/>
        <v>0</v>
      </c>
      <c r="J21" s="1139"/>
      <c r="K21" s="1138">
        <f t="shared" si="3"/>
        <v>0</v>
      </c>
      <c r="L21" s="1026">
        <f t="shared" si="4"/>
        <v>0</v>
      </c>
      <c r="M21" s="1150">
        <f t="shared" si="8"/>
        <v>0</v>
      </c>
      <c r="N21" s="1667"/>
      <c r="O21" s="1668"/>
      <c r="P21" s="1150">
        <f t="shared" si="9"/>
        <v>0</v>
      </c>
      <c r="R21" s="1026">
        <f t="shared" si="5"/>
        <v>0</v>
      </c>
      <c r="S21" s="1027">
        <f t="shared" si="5"/>
        <v>0</v>
      </c>
    </row>
    <row r="22" spans="1:19">
      <c r="A22" s="1669"/>
      <c r="B22" s="47" t="s">
        <v>1151</v>
      </c>
      <c r="C22" s="3392"/>
      <c r="D22" s="45">
        <f t="shared" si="6"/>
        <v>0</v>
      </c>
      <c r="E22" s="53">
        <f t="shared" si="1"/>
        <v>0</v>
      </c>
      <c r="F22" s="2771"/>
      <c r="G22" s="2772"/>
      <c r="H22" s="670">
        <f t="shared" si="7"/>
        <v>0</v>
      </c>
      <c r="I22" s="48">
        <f t="shared" si="2"/>
        <v>0</v>
      </c>
      <c r="J22" s="1139"/>
      <c r="K22" s="1138">
        <f t="shared" si="3"/>
        <v>0</v>
      </c>
      <c r="L22" s="1026">
        <f t="shared" si="4"/>
        <v>0</v>
      </c>
      <c r="M22" s="1150">
        <f t="shared" si="8"/>
        <v>0</v>
      </c>
      <c r="N22" s="1667"/>
      <c r="O22" s="1668"/>
      <c r="P22" s="1150">
        <f t="shared" si="9"/>
        <v>0</v>
      </c>
      <c r="R22" s="1026">
        <f t="shared" si="5"/>
        <v>0</v>
      </c>
      <c r="S22" s="1027">
        <f t="shared" si="5"/>
        <v>0</v>
      </c>
    </row>
    <row r="23" spans="1:19">
      <c r="A23" s="1669"/>
      <c r="B23" s="47" t="s">
        <v>1151</v>
      </c>
      <c r="C23" s="3392"/>
      <c r="D23" s="45">
        <f>ROUND($D$3*E23/$E$3,2)</f>
        <v>0</v>
      </c>
      <c r="E23" s="53">
        <f>SUM(F23:G23)</f>
        <v>0</v>
      </c>
      <c r="F23" s="2771"/>
      <c r="G23" s="2772"/>
      <c r="H23" s="670">
        <f>ROUND($D$3*I23/$E$3,2)</f>
        <v>0</v>
      </c>
      <c r="I23" s="48">
        <f t="shared" si="2"/>
        <v>0</v>
      </c>
      <c r="J23" s="1139"/>
      <c r="K23" s="1138">
        <f t="shared" si="3"/>
        <v>0</v>
      </c>
      <c r="L23" s="1026">
        <f t="shared" si="4"/>
        <v>0</v>
      </c>
      <c r="M23" s="1150">
        <f t="shared" si="8"/>
        <v>0</v>
      </c>
      <c r="N23" s="1667"/>
      <c r="O23" s="1668"/>
      <c r="P23" s="1150">
        <f t="shared" si="9"/>
        <v>0</v>
      </c>
      <c r="R23" s="1026">
        <f t="shared" si="5"/>
        <v>0</v>
      </c>
      <c r="S23" s="1027">
        <f t="shared" si="5"/>
        <v>0</v>
      </c>
    </row>
    <row r="24" spans="1:19">
      <c r="A24" s="1669"/>
      <c r="B24" s="47" t="s">
        <v>1151</v>
      </c>
      <c r="C24" s="3392"/>
      <c r="D24" s="45">
        <f>ROUND($D$3*E24/$E$3,2)</f>
        <v>0</v>
      </c>
      <c r="E24" s="53">
        <f>SUM(F24:G24)</f>
        <v>0</v>
      </c>
      <c r="F24" s="2771"/>
      <c r="G24" s="2772"/>
      <c r="H24" s="670">
        <f>ROUND($D$3*I24/$E$3,2)</f>
        <v>0</v>
      </c>
      <c r="I24" s="48">
        <f t="shared" si="2"/>
        <v>0</v>
      </c>
      <c r="J24" s="1139"/>
      <c r="K24" s="1138">
        <f t="shared" si="3"/>
        <v>0</v>
      </c>
      <c r="L24" s="1026">
        <f t="shared" si="4"/>
        <v>0</v>
      </c>
      <c r="M24" s="1150">
        <f t="shared" si="8"/>
        <v>0</v>
      </c>
      <c r="N24" s="1667"/>
      <c r="O24" s="1668"/>
      <c r="P24" s="1150">
        <f t="shared" si="9"/>
        <v>0</v>
      </c>
      <c r="R24" s="1026">
        <f t="shared" si="5"/>
        <v>0</v>
      </c>
      <c r="S24" s="1027">
        <f t="shared" si="5"/>
        <v>0</v>
      </c>
    </row>
    <row r="25" spans="1:19">
      <c r="A25" s="1669"/>
      <c r="B25" s="47" t="s">
        <v>1151</v>
      </c>
      <c r="C25" s="3392"/>
      <c r="D25" s="45">
        <f t="shared" si="6"/>
        <v>0</v>
      </c>
      <c r="E25" s="53">
        <f t="shared" si="1"/>
        <v>0</v>
      </c>
      <c r="F25" s="2771"/>
      <c r="G25" s="2772"/>
      <c r="H25" s="44">
        <f t="shared" si="7"/>
        <v>0</v>
      </c>
      <c r="I25" s="48">
        <f t="shared" si="2"/>
        <v>0</v>
      </c>
      <c r="J25" s="1139"/>
      <c r="K25" s="1138">
        <f t="shared" si="3"/>
        <v>0</v>
      </c>
      <c r="L25" s="1026">
        <f t="shared" si="4"/>
        <v>0</v>
      </c>
      <c r="M25" s="1150">
        <f t="shared" si="8"/>
        <v>0</v>
      </c>
      <c r="N25" s="1667"/>
      <c r="O25" s="1668"/>
      <c r="P25" s="1150">
        <f t="shared" si="9"/>
        <v>0</v>
      </c>
      <c r="R25" s="1026">
        <f t="shared" si="5"/>
        <v>0</v>
      </c>
      <c r="S25" s="1027">
        <f t="shared" si="5"/>
        <v>0</v>
      </c>
    </row>
    <row r="26" spans="1:19">
      <c r="A26" s="1669"/>
      <c r="B26" s="47" t="s">
        <v>1151</v>
      </c>
      <c r="C26" s="55"/>
      <c r="D26" s="45">
        <f t="shared" si="6"/>
        <v>0</v>
      </c>
      <c r="E26" s="53">
        <f t="shared" si="1"/>
        <v>0</v>
      </c>
      <c r="F26" s="2771"/>
      <c r="G26" s="2772"/>
      <c r="H26" s="44">
        <f t="shared" si="7"/>
        <v>0</v>
      </c>
      <c r="I26" s="48">
        <f t="shared" si="2"/>
        <v>0</v>
      </c>
      <c r="J26" s="1139"/>
      <c r="K26" s="1145">
        <f t="shared" si="3"/>
        <v>0</v>
      </c>
      <c r="L26" s="1146">
        <f t="shared" si="4"/>
        <v>0</v>
      </c>
      <c r="M26" s="59">
        <f t="shared" si="8"/>
        <v>0</v>
      </c>
      <c r="N26" s="1670"/>
      <c r="O26" s="1671"/>
      <c r="P26" s="59">
        <f t="shared" si="9"/>
        <v>0</v>
      </c>
      <c r="R26" s="1026">
        <f t="shared" si="5"/>
        <v>0</v>
      </c>
      <c r="S26" s="1027">
        <f t="shared" si="5"/>
        <v>0</v>
      </c>
    </row>
    <row r="27" spans="1:19" ht="15.75" thickBot="1">
      <c r="A27" s="1669"/>
      <c r="B27" s="45"/>
      <c r="C27" s="1672" t="s">
        <v>1152</v>
      </c>
      <c r="D27" s="1140">
        <f>SUM(D19:D26)</f>
        <v>15637.42</v>
      </c>
      <c r="E27" s="1141">
        <f>IF(SUM(E19:E26)='数据-基础表'!BA5,SUM(E19:E26),IF(F27="地上面积有误","面积有误","地下面积有误"))</f>
        <v>17559.11</v>
      </c>
      <c r="F27" s="1140">
        <f>IF(SUM(F19:F26)=E8,SUM(F19:F26),"地上面积有误")</f>
        <v>76.040000000000006</v>
      </c>
      <c r="G27" s="1142">
        <f>SUM(G19:G26)</f>
        <v>17483.07</v>
      </c>
      <c r="H27" s="1143">
        <f>SUM(H19:H26)</f>
        <v>0</v>
      </c>
      <c r="I27" s="1144">
        <f>SUM(I19:I26)</f>
        <v>0</v>
      </c>
      <c r="J27" s="1139"/>
      <c r="K27" s="1147">
        <f>SUM(K19:K26)</f>
        <v>0</v>
      </c>
      <c r="L27" s="1148">
        <f>SUM(L19:L26)</f>
        <v>0</v>
      </c>
      <c r="M27" s="1151">
        <f>SUM(M19:M26)</f>
        <v>0</v>
      </c>
      <c r="N27" s="1147">
        <f t="shared" ref="N27:O27" si="10">SUM(N19:N26)</f>
        <v>0</v>
      </c>
      <c r="O27" s="1148">
        <f t="shared" si="10"/>
        <v>0</v>
      </c>
      <c r="P27" s="1149">
        <f>SUM(P19:P26)</f>
        <v>0</v>
      </c>
      <c r="R27" s="1028">
        <f>IF(SUM(R19:R26)=$D$3,SUM(R19:R26),SUM(R19:R26)&amp;"误差"&amp;ROUND(SUM(R19:R26)-$D$3,2))</f>
        <v>15637.42</v>
      </c>
      <c r="S27" s="1026">
        <f>IF(SUM(S19:S26)=$E$3,SUM(S19:S26),SUM(S19:S26)&amp;"误差"&amp;ROUND(SUM(S19:S26)-E3,2))</f>
        <v>17559.11</v>
      </c>
    </row>
    <row r="28" spans="1:19">
      <c r="A28" s="1669"/>
      <c r="B28" s="47" t="s">
        <v>1153</v>
      </c>
      <c r="C28" s="1038" t="s">
        <v>1154</v>
      </c>
      <c r="D28" s="45">
        <f>ROUND($D$3*E28/$E$3,2)</f>
        <v>0</v>
      </c>
      <c r="E28" s="53">
        <f>SUM(F28:G28)</f>
        <v>0</v>
      </c>
      <c r="F28" s="56">
        <f>'数据-基础表'!BQ5+'数据-基础表'!BS5</f>
        <v>0</v>
      </c>
      <c r="G28" s="57">
        <f>'数据-基础表'!BR5+'数据-基础表'!BT5</f>
        <v>0</v>
      </c>
      <c r="H28" s="2633"/>
      <c r="I28" s="2633"/>
      <c r="J28" s="2633"/>
      <c r="K28" s="2633"/>
      <c r="L28" s="2633"/>
      <c r="M28" s="2633"/>
      <c r="N28" s="2633"/>
      <c r="O28" s="2633"/>
      <c r="P28" s="2633"/>
    </row>
    <row r="29" spans="1:19">
      <c r="A29" s="1669"/>
      <c r="B29" s="47" t="s">
        <v>1153</v>
      </c>
      <c r="C29" s="1673" t="s">
        <v>1155</v>
      </c>
      <c r="D29" s="45">
        <f>ROUND($D$3*E29/$E$3,2)</f>
        <v>0</v>
      </c>
      <c r="E29" s="53">
        <f>SUM(F29:G29)</f>
        <v>0</v>
      </c>
      <c r="F29" s="58">
        <f>'数据-基础表'!BM5+'数据-基础表'!BO5</f>
        <v>0</v>
      </c>
      <c r="G29" s="59">
        <f>'数据-基础表'!BN5+'数据-基础表'!BP5</f>
        <v>0</v>
      </c>
      <c r="H29" s="2633"/>
      <c r="I29" s="2633"/>
      <c r="J29" s="2633"/>
      <c r="K29" s="2633"/>
      <c r="L29" s="2633"/>
      <c r="M29" s="2633"/>
      <c r="N29" s="2633"/>
      <c r="O29" s="2633"/>
      <c r="P29" s="2633"/>
    </row>
    <row r="30" spans="1:19" ht="15">
      <c r="A30" s="1669"/>
      <c r="B30" s="47"/>
      <c r="C30" s="1674" t="s">
        <v>1152</v>
      </c>
      <c r="D30" s="1140">
        <f>SUM(D28:D29)</f>
        <v>0</v>
      </c>
      <c r="E30" s="1140">
        <f>SUM(E28:E29)</f>
        <v>0</v>
      </c>
      <c r="F30" s="1140">
        <f>SUM(F28:F29)</f>
        <v>0</v>
      </c>
      <c r="G30" s="1142">
        <f>SUM(G28:G29)</f>
        <v>0</v>
      </c>
      <c r="H30" s="2633"/>
      <c r="I30" s="2633"/>
      <c r="J30" s="2633"/>
      <c r="K30" s="2633"/>
      <c r="L30" s="2633"/>
      <c r="M30" s="2633"/>
      <c r="N30" s="2633"/>
      <c r="O30" s="2633"/>
      <c r="P30" s="2633"/>
    </row>
    <row r="31" spans="1:19" ht="15.75" thickBot="1">
      <c r="A31" s="1675"/>
      <c r="B31" s="1676"/>
      <c r="C31" s="835" t="s">
        <v>1156</v>
      </c>
      <c r="D31" s="676">
        <f>D27+D30</f>
        <v>15637.42</v>
      </c>
      <c r="E31" s="676">
        <f>E27+E30</f>
        <v>17559.11</v>
      </c>
      <c r="F31" s="677">
        <f>F27+F30</f>
        <v>76.040000000000006</v>
      </c>
      <c r="G31" s="678">
        <f>G27+G30</f>
        <v>17483.07</v>
      </c>
      <c r="H31" s="2633"/>
      <c r="I31" s="2633"/>
      <c r="J31" s="2633"/>
      <c r="K31" s="2633"/>
      <c r="L31" s="2633"/>
      <c r="M31" s="2633"/>
      <c r="N31" s="2633"/>
      <c r="O31" s="2633"/>
      <c r="P31" s="2633"/>
    </row>
    <row r="32" spans="1:19">
      <c r="A32" s="1642"/>
      <c r="B32" s="1642" t="s">
        <v>1157</v>
      </c>
      <c r="C32" s="1642"/>
      <c r="D32" s="1642"/>
      <c r="E32" s="1053">
        <f>SUMIF(C19:C26,"*住宅*",E19:E26)</f>
        <v>0</v>
      </c>
      <c r="F32" s="1642"/>
      <c r="G32" s="1642"/>
      <c r="H32" s="2633"/>
      <c r="I32" s="2633"/>
      <c r="J32" s="2633"/>
      <c r="K32" s="2633"/>
      <c r="L32" s="2633"/>
      <c r="M32" s="2633"/>
      <c r="N32" s="2633"/>
      <c r="O32" s="2633"/>
      <c r="P32" s="2633"/>
    </row>
    <row r="33" spans="4:4">
      <c r="D33" s="1677"/>
    </row>
  </sheetData>
  <sheetProtection password="CEE9" sheet="1" objects="1" scenarios="1" formatCells="0" formatColumns="0" formatRows="0"/>
  <mergeCells count="9">
    <mergeCell ref="N17:P17"/>
    <mergeCell ref="K16:P16"/>
    <mergeCell ref="K17:M17"/>
    <mergeCell ref="A7:C7"/>
    <mergeCell ref="A2:C2"/>
    <mergeCell ref="A3:C3"/>
    <mergeCell ref="A4:C4"/>
    <mergeCell ref="B5:C5"/>
    <mergeCell ref="B6:C6"/>
  </mergeCells>
  <phoneticPr fontId="7" type="noConversion"/>
  <conditionalFormatting sqref="E27">
    <cfRule type="containsText" dxfId="179" priority="1" stopIfTrue="1" operator="containsText" text="面积有误">
      <formula>NOT(ISERROR(SEARCH("面积有误",E27)))</formula>
    </cfRule>
    <cfRule type="cellIs" dxfId="178" priority="3" stopIfTrue="1" operator="equal">
      <formula>"地下面积有误"</formula>
    </cfRule>
  </conditionalFormatting>
  <conditionalFormatting sqref="F27">
    <cfRule type="cellIs" dxfId="177" priority="2" stopIfTrue="1" operator="equal">
      <formula>"地上面积有误"</formula>
    </cfRule>
  </conditionalFormatting>
  <dataValidations count="2">
    <dataValidation type="list" allowBlank="1" showInputMessage="1" showErrorMessage="1" sqref="B28:B29 B19:B26">
      <formula1>类别</formula1>
    </dataValidation>
    <dataValidation type="list" allowBlank="1" showInputMessage="1" showErrorMessage="1" sqref="I17">
      <formula1>"自定义,按面积比例"</formula1>
    </dataValidation>
  </dataValidations>
  <pageMargins left="0.7" right="0.7" top="0.75" bottom="0.75" header="0.3" footer="0.3"/>
  <pageSetup paperSize="9" scale="76" fitToHeight="0" orientation="landscape" r:id="rId1"/>
  <legacyDrawing r:id="rId2"/>
</worksheet>
</file>

<file path=xl/worksheets/sheet1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4">
    <tabColor rgb="FFFFFF00"/>
    <pageSetUpPr fitToPage="1"/>
  </sheetPr>
  <dimension ref="A1:BO174"/>
  <sheetViews>
    <sheetView zoomScale="80" zoomScaleNormal="80" zoomScaleSheetLayoutView="90" workbookViewId="0">
      <pane xSplit="3" ySplit="5" topLeftCell="L6" activePane="bottomRight" state="frozen"/>
      <selection activeCell="C50" sqref="C50"/>
      <selection pane="topRight" activeCell="C50" sqref="C50"/>
      <selection pane="bottomLeft" activeCell="C50" sqref="C50"/>
      <selection pane="bottomRight" activeCell="AG27" sqref="AG27"/>
    </sheetView>
  </sheetViews>
  <sheetFormatPr defaultColWidth="13.75" defaultRowHeight="12.75"/>
  <cols>
    <col min="1" max="1" width="20.875" style="1744" customWidth="1"/>
    <col min="2" max="2" width="12" style="1681" customWidth="1"/>
    <col min="3" max="3" width="12.75" style="1681" customWidth="1"/>
    <col min="4" max="4" width="9.125" style="1745" customWidth="1"/>
    <col min="5" max="5" width="15" style="1681" bestFit="1" customWidth="1"/>
    <col min="6" max="10" width="8.875" style="1681" customWidth="1"/>
    <col min="11" max="12" width="12.375" style="1600" customWidth="1"/>
    <col min="13" max="13" width="8.625" style="1681" customWidth="1"/>
    <col min="14" max="14" width="11.875" style="1681" customWidth="1"/>
    <col min="15" max="15" width="8.5" style="1681" customWidth="1"/>
    <col min="16" max="17" width="10.875" style="1681" customWidth="1"/>
    <col min="18" max="19" width="12.5" style="1681" customWidth="1"/>
    <col min="20" max="20" width="12.125" style="1681" customWidth="1"/>
    <col min="21" max="21" width="7.5" style="1681" customWidth="1"/>
    <col min="22" max="22" width="6.375" style="1681" customWidth="1"/>
    <col min="23" max="30" width="6.75" style="1681" customWidth="1"/>
    <col min="31" max="31" width="8" style="1681" customWidth="1"/>
    <col min="32" max="34" width="7.25" style="1681" customWidth="1"/>
    <col min="35" max="39" width="8" style="1681" customWidth="1"/>
    <col min="40" max="40" width="13.75" style="1680"/>
    <col min="41" max="41" width="11.625" style="1680" customWidth="1"/>
    <col min="42" max="42" width="9.75" style="1680" customWidth="1"/>
    <col min="43" max="67" width="13.75" style="1680"/>
    <col min="68" max="16384" width="13.75" style="1681"/>
  </cols>
  <sheetData>
    <row r="1" spans="1:67" ht="19.5" thickBot="1">
      <c r="A1" s="1678" t="s">
        <v>1158</v>
      </c>
      <c r="B1" s="679"/>
      <c r="C1" s="1190"/>
      <c r="D1" s="1679"/>
      <c r="E1" s="1190"/>
      <c r="F1" s="1190"/>
      <c r="G1" s="1190"/>
      <c r="H1" s="1190"/>
      <c r="I1" s="1190"/>
      <c r="J1" s="1190"/>
      <c r="K1" s="159"/>
      <c r="L1" s="159"/>
      <c r="M1" s="1190"/>
      <c r="N1" s="1190"/>
      <c r="O1" s="1190"/>
      <c r="P1" s="1190"/>
      <c r="Q1" s="1190"/>
      <c r="R1" s="1190"/>
      <c r="S1" s="1190"/>
      <c r="T1" s="1190"/>
      <c r="U1" s="1190"/>
      <c r="V1" s="1190"/>
      <c r="W1" s="1190"/>
      <c r="X1" s="1190"/>
      <c r="Y1" s="1190"/>
      <c r="Z1" s="1190"/>
      <c r="AA1" s="1190"/>
      <c r="AB1" s="1190"/>
      <c r="AC1" s="1190"/>
      <c r="AD1" s="1190"/>
      <c r="AE1" s="1190"/>
      <c r="AF1" s="1190"/>
      <c r="AG1" s="1190"/>
      <c r="AH1" s="1190"/>
      <c r="AI1" s="1190"/>
      <c r="AJ1" s="1190"/>
      <c r="AK1" s="1190"/>
      <c r="AL1" s="1190"/>
      <c r="AM1" s="1190"/>
      <c r="AN1" s="2645"/>
      <c r="AO1" s="2645"/>
      <c r="AP1" s="2645"/>
      <c r="AQ1" s="2645"/>
      <c r="AR1" s="2645"/>
    </row>
    <row r="2" spans="1:67" s="1558" customFormat="1" ht="15.75" thickBot="1">
      <c r="A2" s="1682" t="s">
        <v>1159</v>
      </c>
      <c r="B2" s="1045">
        <f>项目基本情况!D3</f>
        <v>45400</v>
      </c>
      <c r="C2" s="1683"/>
      <c r="D2" s="1684"/>
      <c r="E2" s="1683"/>
      <c r="F2" s="1683"/>
      <c r="G2" s="1683"/>
      <c r="H2" s="1683"/>
      <c r="I2" s="1683"/>
      <c r="J2" s="1683"/>
      <c r="K2" s="1168"/>
      <c r="L2" s="1168"/>
      <c r="M2" s="1683"/>
      <c r="N2" s="1683"/>
      <c r="O2" s="1683"/>
      <c r="P2" s="1683"/>
      <c r="Q2" s="1683"/>
      <c r="R2" s="1683"/>
      <c r="S2" s="1683"/>
      <c r="T2" s="1683"/>
      <c r="U2" s="1683"/>
      <c r="V2" s="1683"/>
      <c r="W2" s="1683"/>
      <c r="X2" s="1683"/>
      <c r="Y2" s="1683"/>
      <c r="Z2" s="1683"/>
      <c r="AA2" s="1683"/>
      <c r="AB2" s="1683"/>
      <c r="AC2" s="1683"/>
      <c r="AD2" s="1683"/>
      <c r="AE2" s="1683"/>
      <c r="AF2" s="1683"/>
      <c r="AG2" s="1683"/>
      <c r="AH2" s="1683"/>
      <c r="AI2" s="1683"/>
      <c r="AJ2" s="1683"/>
      <c r="AK2" s="1683"/>
      <c r="AL2" s="1683"/>
      <c r="AM2" s="1683"/>
      <c r="AN2" s="2647"/>
      <c r="AO2" s="2647"/>
      <c r="AP2" s="2647"/>
      <c r="AQ2" s="2647"/>
      <c r="AR2" s="2647"/>
      <c r="AS2" s="1685"/>
      <c r="AT2" s="1685"/>
      <c r="AU2" s="1685"/>
      <c r="AV2" s="1685"/>
      <c r="AW2" s="1685"/>
      <c r="AX2" s="1685"/>
      <c r="AY2" s="1685"/>
      <c r="AZ2" s="1685"/>
      <c r="BA2" s="1685"/>
      <c r="BB2" s="1685"/>
      <c r="BC2" s="1685"/>
      <c r="BD2" s="1685"/>
      <c r="BE2" s="1685"/>
      <c r="BF2" s="1685"/>
      <c r="BG2" s="1685"/>
      <c r="BH2" s="1685"/>
      <c r="BI2" s="1685"/>
      <c r="BJ2" s="1685"/>
      <c r="BK2" s="1685"/>
      <c r="BL2" s="1685"/>
      <c r="BM2" s="1685"/>
      <c r="BN2" s="1685"/>
      <c r="BO2" s="1685"/>
    </row>
    <row r="3" spans="1:67" s="1558" customFormat="1" ht="15" thickBot="1">
      <c r="A3" s="1556"/>
      <c r="B3" s="1686"/>
      <c r="C3" s="1683"/>
      <c r="D3" s="1684"/>
      <c r="E3" s="1683"/>
      <c r="F3" s="1683"/>
      <c r="G3" s="1683"/>
      <c r="H3" s="1683"/>
      <c r="I3" s="1683"/>
      <c r="J3" s="1683"/>
      <c r="K3" s="1168"/>
      <c r="L3" s="1168"/>
      <c r="M3" s="1683"/>
      <c r="N3" s="1683"/>
      <c r="O3" s="1683"/>
      <c r="P3" s="1683"/>
      <c r="Q3" s="1683"/>
      <c r="R3" s="1683"/>
      <c r="S3" s="1683"/>
      <c r="T3" s="1683"/>
      <c r="U3" s="1683"/>
      <c r="V3" s="1683"/>
      <c r="W3" s="1683"/>
      <c r="X3" s="1683"/>
      <c r="Y3" s="1683"/>
      <c r="Z3" s="1683"/>
      <c r="AA3" s="1683"/>
      <c r="AB3" s="1683"/>
      <c r="AC3" s="1683"/>
      <c r="AD3" s="1683"/>
      <c r="AE3" s="1683"/>
      <c r="AF3" s="1683"/>
      <c r="AG3" s="1683"/>
      <c r="AH3" s="1683"/>
      <c r="AI3" s="1683"/>
      <c r="AJ3" s="1683"/>
      <c r="AK3" s="1683"/>
      <c r="AL3" s="1683"/>
      <c r="AM3" s="1683"/>
      <c r="AN3" s="2647"/>
      <c r="AO3" s="2647"/>
      <c r="AP3" s="2647"/>
      <c r="AQ3" s="2647"/>
      <c r="AR3" s="2647"/>
      <c r="AS3" s="1685"/>
      <c r="AT3" s="1685"/>
      <c r="AU3" s="1685"/>
      <c r="AV3" s="1685"/>
      <c r="AW3" s="1685"/>
      <c r="AX3" s="1685"/>
      <c r="AY3" s="1685"/>
      <c r="AZ3" s="1685"/>
      <c r="BA3" s="1685"/>
      <c r="BB3" s="1685"/>
      <c r="BC3" s="1685"/>
      <c r="BD3" s="1685"/>
      <c r="BE3" s="1685"/>
      <c r="BF3" s="1685"/>
      <c r="BG3" s="1685"/>
      <c r="BH3" s="1685"/>
      <c r="BI3" s="1685"/>
      <c r="BJ3" s="1685"/>
      <c r="BK3" s="1685"/>
      <c r="BL3" s="1685"/>
      <c r="BM3" s="1685"/>
      <c r="BN3" s="1685"/>
      <c r="BO3" s="1685"/>
    </row>
    <row r="4" spans="1:67" s="1558" customFormat="1" ht="15" thickBot="1">
      <c r="A4" s="60" t="s">
        <v>1160</v>
      </c>
      <c r="B4" s="1687"/>
      <c r="C4" s="1688"/>
      <c r="D4" s="1689"/>
      <c r="E4" s="1688" t="s">
        <v>1161</v>
      </c>
      <c r="F4" s="1688"/>
      <c r="G4" s="1688"/>
      <c r="H4" s="1688"/>
      <c r="I4" s="1688"/>
      <c r="J4" s="1690"/>
      <c r="K4" s="1691"/>
      <c r="L4" s="1692"/>
      <c r="M4" s="1688"/>
      <c r="N4" s="1688" t="s">
        <v>1162</v>
      </c>
      <c r="O4" s="1688"/>
      <c r="P4" s="1688"/>
      <c r="Q4" s="1688"/>
      <c r="R4" s="1688"/>
      <c r="S4" s="1690"/>
      <c r="T4" s="2632" t="str">
        <f>'数据-汇总表'!I17</f>
        <v>按面积比例</v>
      </c>
      <c r="U4" s="1687" t="s">
        <v>1163</v>
      </c>
      <c r="V4" s="1688"/>
      <c r="W4" s="1688"/>
      <c r="X4" s="1688"/>
      <c r="Y4" s="1690"/>
      <c r="Z4" s="1651" t="s">
        <v>1164</v>
      </c>
      <c r="AA4" s="1651"/>
      <c r="AB4" s="1651"/>
      <c r="AC4" s="1651"/>
      <c r="AD4" s="1651"/>
      <c r="AE4" s="1649" t="s">
        <v>1165</v>
      </c>
      <c r="AF4" s="1651"/>
      <c r="AG4" s="1693"/>
      <c r="AH4" s="1687"/>
      <c r="AI4" s="1688"/>
      <c r="AJ4" s="1688"/>
      <c r="AK4" s="1688"/>
      <c r="AL4" s="1688"/>
      <c r="AM4" s="1690"/>
      <c r="AN4" s="2647"/>
      <c r="AO4" s="2647"/>
      <c r="AP4" s="2647"/>
      <c r="AQ4" s="2647"/>
      <c r="AR4" s="2647"/>
      <c r="AS4" s="1685"/>
      <c r="AT4" s="1685"/>
      <c r="AU4" s="1685"/>
      <c r="AV4" s="1685"/>
      <c r="AW4" s="1685"/>
      <c r="AX4" s="1685"/>
      <c r="AY4" s="1685"/>
      <c r="AZ4" s="1685"/>
      <c r="BA4" s="1685"/>
      <c r="BB4" s="1685"/>
      <c r="BC4" s="1685"/>
      <c r="BD4" s="1685"/>
      <c r="BE4" s="1685"/>
      <c r="BF4" s="1685"/>
      <c r="BG4" s="1685"/>
      <c r="BH4" s="1685"/>
      <c r="BI4" s="1685"/>
      <c r="BJ4" s="1685"/>
      <c r="BK4" s="1685"/>
      <c r="BL4" s="1685"/>
      <c r="BM4" s="1685"/>
      <c r="BN4" s="1685"/>
      <c r="BO4" s="1685"/>
    </row>
    <row r="5" spans="1:67" s="1559" customFormat="1" ht="42">
      <c r="A5" s="1694" t="s">
        <v>1166</v>
      </c>
      <c r="B5" s="1695" t="s">
        <v>1167</v>
      </c>
      <c r="C5" s="1696" t="s">
        <v>1168</v>
      </c>
      <c r="D5" s="1697" t="s">
        <v>1169</v>
      </c>
      <c r="E5" s="1047" t="s">
        <v>1170</v>
      </c>
      <c r="F5" s="1698" t="s">
        <v>1171</v>
      </c>
      <c r="G5" s="1047" t="s">
        <v>1172</v>
      </c>
      <c r="H5" s="1047" t="s">
        <v>1173</v>
      </c>
      <c r="I5" s="1047" t="s">
        <v>1174</v>
      </c>
      <c r="J5" s="1699" t="s">
        <v>1175</v>
      </c>
      <c r="K5" s="1700" t="s">
        <v>1176</v>
      </c>
      <c r="L5" s="1701" t="s">
        <v>1177</v>
      </c>
      <c r="M5" s="1702" t="s">
        <v>1178</v>
      </c>
      <c r="N5" s="1703" t="s">
        <v>3440</v>
      </c>
      <c r="O5" s="1701" t="s">
        <v>1179</v>
      </c>
      <c r="P5" s="1704" t="s">
        <v>1180</v>
      </c>
      <c r="Q5" s="61" t="s">
        <v>1181</v>
      </c>
      <c r="R5" s="1705" t="s">
        <v>1182</v>
      </c>
      <c r="S5" s="1706" t="s">
        <v>1183</v>
      </c>
      <c r="T5" s="1707" t="s">
        <v>1184</v>
      </c>
      <c r="U5" s="1046" t="s">
        <v>1185</v>
      </c>
      <c r="V5" s="1047" t="s">
        <v>1186</v>
      </c>
      <c r="W5" s="1047" t="s">
        <v>1187</v>
      </c>
      <c r="X5" s="63"/>
      <c r="Y5" s="62" t="s">
        <v>1188</v>
      </c>
      <c r="Z5" s="1708" t="s">
        <v>1185</v>
      </c>
      <c r="AA5" s="1047" t="s">
        <v>1186</v>
      </c>
      <c r="AB5" s="1047" t="s">
        <v>1187</v>
      </c>
      <c r="AC5" s="63"/>
      <c r="AD5" s="63" t="s">
        <v>1188</v>
      </c>
      <c r="AE5" s="1046" t="s">
        <v>1189</v>
      </c>
      <c r="AF5" s="1047" t="s">
        <v>1190</v>
      </c>
      <c r="AG5" s="62" t="s">
        <v>1191</v>
      </c>
      <c r="AH5" s="1046" t="s">
        <v>1192</v>
      </c>
      <c r="AI5" s="1708" t="s">
        <v>1193</v>
      </c>
      <c r="AJ5" s="1708" t="s">
        <v>1194</v>
      </c>
      <c r="AK5" s="1047" t="s">
        <v>1195</v>
      </c>
      <c r="AL5" s="1047" t="s">
        <v>1196</v>
      </c>
      <c r="AM5" s="62" t="s">
        <v>1197</v>
      </c>
      <c r="AN5" s="1709" t="s">
        <v>1198</v>
      </c>
      <c r="AO5" s="1561" t="s">
        <v>1199</v>
      </c>
      <c r="AP5" s="1028" t="s">
        <v>1200</v>
      </c>
      <c r="AQ5" s="1710" t="s">
        <v>1201</v>
      </c>
      <c r="AR5" s="1710" t="s">
        <v>1202</v>
      </c>
      <c r="AS5" s="1571"/>
      <c r="AT5" s="1571"/>
      <c r="AU5" s="1571"/>
      <c r="AV5" s="1571"/>
      <c r="AW5" s="1571"/>
      <c r="AX5" s="1571"/>
      <c r="AY5" s="1571"/>
      <c r="AZ5" s="1571"/>
      <c r="BA5" s="1571"/>
      <c r="BB5" s="1571"/>
      <c r="BC5" s="1571"/>
      <c r="BD5" s="1571"/>
      <c r="BE5" s="1571"/>
      <c r="BF5" s="1571"/>
      <c r="BG5" s="1571"/>
      <c r="BH5" s="1571"/>
      <c r="BI5" s="1571"/>
      <c r="BJ5" s="1571"/>
      <c r="BK5" s="1571"/>
      <c r="BL5" s="1571"/>
      <c r="BM5" s="1571"/>
      <c r="BN5" s="1571"/>
      <c r="BO5" s="1571"/>
    </row>
    <row r="6" spans="1:67" s="1558" customFormat="1" ht="14.25">
      <c r="A6" s="1711" t="str">
        <f>'数据-汇总表'!C19</f>
        <v>公共服务（办公）</v>
      </c>
      <c r="B6" s="1712" t="str">
        <f>IF(A6=0,"","经营性")</f>
        <v>经营性</v>
      </c>
      <c r="C6" s="1713" t="s">
        <v>3427</v>
      </c>
      <c r="D6" s="858">
        <f>SUMIF(项目基本情况!C$12:I$12,C6,项目基本情况!C$14:I$14)</f>
        <v>50</v>
      </c>
      <c r="E6" s="857">
        <f>IF(B6="","",SUMIF(项目基本情况!C$12:I$12,C6,项目基本情况!C$13:I$13))</f>
        <v>55805</v>
      </c>
      <c r="F6" s="64">
        <f>SUMIF(项目基本情况!C$12:I$12,C6,项目基本情况!C$15:I$15)</f>
        <v>28.5</v>
      </c>
      <c r="G6" s="65">
        <f>IF(ISERROR(ROUND(POWER(1+H6,D6-F6)*(POWER(1+H6,F6)-1)/(POWER(1+H6,D6)-1),3)),0,ROUND(POWER(1+H6,D6-F6)*(POWER(1+H6,F6)-1)/(POWER(1+H6,D6)-1),3))</f>
        <v>0.80400000000000005</v>
      </c>
      <c r="H6" s="732">
        <v>4.4999999999999998E-2</v>
      </c>
      <c r="I6" s="3475">
        <v>0.05</v>
      </c>
      <c r="J6" s="66">
        <v>7.0000000000000007E-2</v>
      </c>
      <c r="K6" s="1030">
        <f>SUMIF('数据-汇总表'!C$19:C$33,A6,'数据-汇总表'!E$19:E$33)</f>
        <v>17559.11</v>
      </c>
      <c r="L6" s="733">
        <v>6000</v>
      </c>
      <c r="M6" s="67">
        <f t="shared" ref="M6:M14" si="0">ROUND(K6*L6/10000,0)</f>
        <v>10535</v>
      </c>
      <c r="N6" s="731">
        <f>N20</f>
        <v>0.87</v>
      </c>
      <c r="O6" s="67" t="str">
        <f>IF($N$5="成新度","——",ROUND(M6*N6,0))</f>
        <v>——</v>
      </c>
      <c r="P6" s="68" t="str">
        <f>IF($N$5="成新度","——",M6-O6)</f>
        <v>——</v>
      </c>
      <c r="Q6" s="734">
        <v>0.15</v>
      </c>
      <c r="R6" s="69">
        <f ca="1">SUMIF('数据-汇总表'!C$19:C$33,A6,'数据-汇总表'!R$19:R$27)</f>
        <v>15637.42</v>
      </c>
      <c r="S6" s="51">
        <f>IF('数据-汇总表'!$I$17="按面积比例",SUMIF('数据-汇总表'!C$19:C$33,A6,'数据-汇总表'!K$19:K$33),SUMIF('数据-汇总表'!C$19:C$33,A6,'数据-汇总表'!N$19:N$33))</f>
        <v>0</v>
      </c>
      <c r="T6" s="1172">
        <f>ROUND($L$14*S6/10000,0)</f>
        <v>0</v>
      </c>
      <c r="U6" s="3402">
        <f>W21</f>
        <v>3.5</v>
      </c>
      <c r="V6" s="3831">
        <v>0.02</v>
      </c>
      <c r="W6" s="3831">
        <v>0.15</v>
      </c>
      <c r="X6" s="1040"/>
      <c r="Y6" s="71">
        <f>N6</f>
        <v>0.87</v>
      </c>
      <c r="Z6" s="72"/>
      <c r="AA6" s="66"/>
      <c r="AB6" s="66"/>
      <c r="AC6" s="1040"/>
      <c r="AD6" s="73"/>
      <c r="AE6" s="1041">
        <f ca="1">IF(AN6="",0,SUMIF(INDIRECT("'"&amp;AN6&amp;"'"&amp;"!E:E"),$AE$5,INDIRECT("'"&amp;AN6&amp;"'"&amp;"!F:F")))</f>
        <v>28.5</v>
      </c>
      <c r="AF6" s="1347"/>
      <c r="AG6" s="138">
        <f>IF(AF6="",0,AE6-AF6)</f>
        <v>0</v>
      </c>
      <c r="AH6" s="74">
        <f>V20*0.7</f>
        <v>12238.148999999999</v>
      </c>
      <c r="AI6" s="76">
        <v>365</v>
      </c>
      <c r="AJ6" s="77"/>
      <c r="AK6" s="78">
        <v>5.0000000000000001E-3</v>
      </c>
      <c r="AL6" s="79">
        <v>1E-3</v>
      </c>
      <c r="AM6" s="80">
        <v>5.0000000000000001E-3</v>
      </c>
      <c r="AN6" s="1714" t="s">
        <v>3627</v>
      </c>
      <c r="AO6" s="52">
        <f ca="1">SUMIF(INDIRECT("'"&amp;AN6&amp;"'"&amp;"!A:A"),"总价",INDIRECT("'"&amp;AN6&amp;"'"&amp;"!B:B"))</f>
        <v>19725</v>
      </c>
      <c r="AP6" s="1715">
        <f>IF(C6="住宅",K6*L6,0)</f>
        <v>0</v>
      </c>
      <c r="AQ6" s="52">
        <f>ROUND($L$14*$N$14*S6/10000,0)</f>
        <v>0</v>
      </c>
      <c r="AR6" s="52">
        <f>ROUND($L$14*(1-$N$14)*S6/10000,0)</f>
        <v>0</v>
      </c>
      <c r="AS6" s="1685"/>
      <c r="AT6" s="1685"/>
      <c r="AU6" s="1685"/>
      <c r="AV6" s="1685"/>
      <c r="AW6" s="1685"/>
      <c r="AX6" s="1685"/>
      <c r="AY6" s="1685"/>
      <c r="AZ6" s="1685"/>
      <c r="BA6" s="1685"/>
      <c r="BB6" s="1685"/>
      <c r="BC6" s="1685"/>
      <c r="BD6" s="1685"/>
      <c r="BE6" s="1685"/>
      <c r="BF6" s="1685"/>
      <c r="BG6" s="1685"/>
      <c r="BH6" s="1685"/>
      <c r="BI6" s="1685"/>
      <c r="BJ6" s="1685"/>
      <c r="BK6" s="1685"/>
      <c r="BL6" s="1685"/>
      <c r="BM6" s="1685"/>
      <c r="BN6" s="1685"/>
      <c r="BO6" s="1685"/>
    </row>
    <row r="7" spans="1:67" s="1558" customFormat="1" ht="14.25">
      <c r="A7" s="1711">
        <f>'数据-汇总表'!C20</f>
        <v>0</v>
      </c>
      <c r="B7" s="1712" t="str">
        <f t="shared" ref="B7:B13" si="1">IF(A7=0,"","经营性")</f>
        <v/>
      </c>
      <c r="C7" s="1713"/>
      <c r="D7" s="858">
        <f>SUMIF(项目基本情况!C$12:I$12,C7,项目基本情况!C$14:I$14)</f>
        <v>0</v>
      </c>
      <c r="E7" s="857" t="str">
        <f>IF(B7="","",SUMIF(项目基本情况!C$12:I$12,C7,项目基本情况!C$13:I$13))</f>
        <v/>
      </c>
      <c r="F7" s="64">
        <f>SUMIF(项目基本情况!C$12:I$12,C7,项目基本情况!C$15:I$15)</f>
        <v>0</v>
      </c>
      <c r="G7" s="65">
        <f t="shared" ref="G7:G11" si="2">IF(ISERROR(ROUND(POWER(1+H7,D7-F7)*(POWER(1+H7,F7)-1)/(POWER(1+H7,D7)-1),3)),0,ROUND(POWER(1+H7,D7-F7)*(POWER(1+H7,F7)-1)/(POWER(1+H7,D7)-1),3))</f>
        <v>0</v>
      </c>
      <c r="H7" s="732"/>
      <c r="I7" s="732"/>
      <c r="J7" s="66"/>
      <c r="K7" s="1030">
        <f>SUMIF('数据-汇总表'!C$19:C$33,A7,'数据-汇总表'!E$19:E$33)</f>
        <v>0</v>
      </c>
      <c r="L7" s="733"/>
      <c r="M7" s="67">
        <f t="shared" si="0"/>
        <v>0</v>
      </c>
      <c r="N7" s="731"/>
      <c r="O7" s="67" t="str">
        <f t="shared" ref="O7:O14" si="3">IF($N$5="成新度","——",ROUND(M7*N7,0))</f>
        <v>——</v>
      </c>
      <c r="P7" s="68" t="str">
        <f t="shared" ref="P7:P14" si="4">IF($N$5="成新度","——",M7-O7)</f>
        <v>——</v>
      </c>
      <c r="Q7" s="734"/>
      <c r="R7" s="69">
        <f ca="1">SUMIF('数据-汇总表'!C$19:C$33,A7,'数据-汇总表'!R$19:R$27)</f>
        <v>0</v>
      </c>
      <c r="S7" s="51">
        <f>IF('数据-汇总表'!$I$17="按面积比例",SUMIF('数据-汇总表'!C$19:C$33,A7,'数据-汇总表'!K$19:K$33),SUMIF('数据-汇总表'!C$19:C$33,A7,'数据-汇总表'!N$19:N$33))</f>
        <v>0</v>
      </c>
      <c r="T7" s="1172">
        <f t="shared" ref="T7:T13" si="5">ROUND($L$14*S7/10000,0)</f>
        <v>0</v>
      </c>
      <c r="U7" s="3402"/>
      <c r="V7" s="70"/>
      <c r="W7" s="70"/>
      <c r="X7" s="1040"/>
      <c r="Y7" s="71"/>
      <c r="Z7" s="72"/>
      <c r="AA7" s="66"/>
      <c r="AB7" s="66"/>
      <c r="AC7" s="1040"/>
      <c r="AD7" s="73"/>
      <c r="AE7" s="1041">
        <f t="shared" ref="AE7:AE13" ca="1" si="6">IF(AN7="",0,SUMIF(INDIRECT("'"&amp;AN7&amp;"'"&amp;"!E:E"),$AE$5,INDIRECT("'"&amp;AN7&amp;"'"&amp;"!F:F")))</f>
        <v>0</v>
      </c>
      <c r="AF7" s="1347"/>
      <c r="AG7" s="138">
        <f t="shared" ref="AG7:AG13" si="7">IF(AF7="",0,AE7-AF7)</f>
        <v>0</v>
      </c>
      <c r="AH7" s="74"/>
      <c r="AI7" s="76"/>
      <c r="AJ7" s="77"/>
      <c r="AK7" s="78"/>
      <c r="AL7" s="79"/>
      <c r="AM7" s="80"/>
      <c r="AN7" s="1714"/>
      <c r="AO7" s="52" t="e">
        <f t="shared" ref="AO7:AO13" ca="1" si="8">SUMIF(INDIRECT("'"&amp;AN7&amp;"'"&amp;"!A:A"),"总价",INDIRECT("'"&amp;AN7&amp;"'"&amp;"!B:B"))</f>
        <v>#REF!</v>
      </c>
      <c r="AP7" s="1715">
        <f t="shared" ref="AP7:AP13" si="9">IF(C7="住宅",K7*L7,0)</f>
        <v>0</v>
      </c>
      <c r="AQ7" s="52">
        <f t="shared" ref="AQ7:AQ13" si="10">ROUND($L$14*$N$14*S7/10000,0)</f>
        <v>0</v>
      </c>
      <c r="AR7" s="52">
        <f t="shared" ref="AR7:AR13" si="11">ROUND($L$14*(1-$N$14)*S7/10000,0)</f>
        <v>0</v>
      </c>
      <c r="AS7" s="1685"/>
      <c r="AT7" s="1685"/>
      <c r="AU7" s="1685"/>
      <c r="AV7" s="1685"/>
      <c r="AW7" s="1685"/>
      <c r="AX7" s="1685"/>
      <c r="AY7" s="1685"/>
      <c r="AZ7" s="1685"/>
      <c r="BA7" s="1685"/>
      <c r="BB7" s="1685"/>
      <c r="BC7" s="1685"/>
      <c r="BD7" s="1685"/>
      <c r="BE7" s="1685"/>
      <c r="BF7" s="1685"/>
      <c r="BG7" s="1685"/>
      <c r="BH7" s="1685"/>
      <c r="BI7" s="1685"/>
      <c r="BJ7" s="1685"/>
      <c r="BK7" s="1685"/>
      <c r="BL7" s="1685"/>
      <c r="BM7" s="1685"/>
      <c r="BN7" s="1685"/>
      <c r="BO7" s="1685"/>
    </row>
    <row r="8" spans="1:67" s="1558" customFormat="1" ht="14.25">
      <c r="A8" s="1711">
        <f>'数据-汇总表'!C21</f>
        <v>0</v>
      </c>
      <c r="B8" s="1712" t="str">
        <f t="shared" si="1"/>
        <v/>
      </c>
      <c r="C8" s="1713"/>
      <c r="D8" s="858">
        <f>SUMIF(项目基本情况!C$12:I$12,C8,项目基本情况!C$14:I$14)</f>
        <v>0</v>
      </c>
      <c r="E8" s="857" t="str">
        <f>IF(B8="","",SUMIF(项目基本情况!C$12:I$12,C8,项目基本情况!C$13:I$13))</f>
        <v/>
      </c>
      <c r="F8" s="64">
        <f>SUMIF(项目基本情况!C$12:I$12,C8,项目基本情况!C$15:I$15)</f>
        <v>0</v>
      </c>
      <c r="G8" s="65">
        <f t="shared" si="2"/>
        <v>0</v>
      </c>
      <c r="H8" s="732"/>
      <c r="I8" s="732"/>
      <c r="J8" s="66"/>
      <c r="K8" s="1030">
        <f>SUMIF('数据-汇总表'!C$19:C$33,A8,'数据-汇总表'!E$19:E$33)</f>
        <v>0</v>
      </c>
      <c r="L8" s="733"/>
      <c r="M8" s="67">
        <f>ROUND(K8*L8/10000,0)</f>
        <v>0</v>
      </c>
      <c r="N8" s="731"/>
      <c r="O8" s="67" t="str">
        <f t="shared" si="3"/>
        <v>——</v>
      </c>
      <c r="P8" s="68" t="str">
        <f t="shared" si="4"/>
        <v>——</v>
      </c>
      <c r="Q8" s="734"/>
      <c r="R8" s="69">
        <f ca="1">SUMIF('数据-汇总表'!C$19:C$33,A8,'数据-汇总表'!R$19:R$27)</f>
        <v>0</v>
      </c>
      <c r="S8" s="51">
        <f>IF('数据-汇总表'!$I$17="按面积比例",SUMIF('数据-汇总表'!C$19:C$33,A8,'数据-汇总表'!K$19:K$33),SUMIF('数据-汇总表'!C$19:C$33,A8,'数据-汇总表'!N$19:N$33))</f>
        <v>0</v>
      </c>
      <c r="T8" s="1172">
        <f t="shared" si="5"/>
        <v>0</v>
      </c>
      <c r="U8" s="3403"/>
      <c r="V8" s="735"/>
      <c r="W8" s="735"/>
      <c r="X8" s="1040"/>
      <c r="Y8" s="71"/>
      <c r="Z8" s="72"/>
      <c r="AA8" s="66"/>
      <c r="AB8" s="66"/>
      <c r="AC8" s="1040"/>
      <c r="AD8" s="73"/>
      <c r="AE8" s="1041">
        <f t="shared" ca="1" si="6"/>
        <v>0</v>
      </c>
      <c r="AF8" s="1347"/>
      <c r="AG8" s="138">
        <f t="shared" si="7"/>
        <v>0</v>
      </c>
      <c r="AH8" s="736"/>
      <c r="AI8" s="76"/>
      <c r="AJ8" s="77"/>
      <c r="AK8" s="737"/>
      <c r="AL8" s="738"/>
      <c r="AM8" s="739"/>
      <c r="AN8" s="1714"/>
      <c r="AO8" s="52" t="e">
        <f t="shared" ca="1" si="8"/>
        <v>#REF!</v>
      </c>
      <c r="AP8" s="1715">
        <f t="shared" si="9"/>
        <v>0</v>
      </c>
      <c r="AQ8" s="52">
        <f t="shared" si="10"/>
        <v>0</v>
      </c>
      <c r="AR8" s="52">
        <f t="shared" si="11"/>
        <v>0</v>
      </c>
      <c r="AS8" s="1685"/>
      <c r="AT8" s="1685"/>
      <c r="AU8" s="1685"/>
      <c r="AV8" s="1685"/>
      <c r="AW8" s="1685"/>
      <c r="AX8" s="1685"/>
      <c r="AY8" s="1685"/>
      <c r="AZ8" s="1685"/>
      <c r="BA8" s="1685"/>
      <c r="BB8" s="1685"/>
      <c r="BC8" s="1685"/>
      <c r="BD8" s="1685"/>
      <c r="BE8" s="1685"/>
      <c r="BF8" s="1685"/>
      <c r="BG8" s="1685"/>
      <c r="BH8" s="1685"/>
      <c r="BI8" s="1685"/>
      <c r="BJ8" s="1685"/>
      <c r="BK8" s="1685"/>
      <c r="BL8" s="1685"/>
      <c r="BM8" s="1685"/>
      <c r="BN8" s="1685"/>
      <c r="BO8" s="1685"/>
    </row>
    <row r="9" spans="1:67" s="1558" customFormat="1" ht="14.25">
      <c r="A9" s="1711">
        <f>'数据-汇总表'!C22</f>
        <v>0</v>
      </c>
      <c r="B9" s="1712" t="str">
        <f t="shared" si="1"/>
        <v/>
      </c>
      <c r="C9" s="1713"/>
      <c r="D9" s="858">
        <f>SUMIF(项目基本情况!C$12:I$12,C9,项目基本情况!C$14:I$14)</f>
        <v>0</v>
      </c>
      <c r="E9" s="857" t="str">
        <f>IF(B9="","",SUMIF(项目基本情况!C$12:I$12,C9,项目基本情况!C$13:I$13))</f>
        <v/>
      </c>
      <c r="F9" s="64">
        <f>SUMIF(项目基本情况!C$12:I$12,C9,项目基本情况!C$15:I$15)</f>
        <v>0</v>
      </c>
      <c r="G9" s="65">
        <f t="shared" si="2"/>
        <v>0</v>
      </c>
      <c r="H9" s="66"/>
      <c r="I9" s="66"/>
      <c r="J9" s="66"/>
      <c r="K9" s="1030">
        <f>SUMIF('数据-汇总表'!C$19:C$33,A9,'数据-汇总表'!E$19:E$33)</f>
        <v>0</v>
      </c>
      <c r="L9" s="733"/>
      <c r="M9" s="67">
        <f t="shared" si="0"/>
        <v>0</v>
      </c>
      <c r="N9" s="731"/>
      <c r="O9" s="67" t="str">
        <f t="shared" si="3"/>
        <v>——</v>
      </c>
      <c r="P9" s="68" t="str">
        <f t="shared" si="4"/>
        <v>——</v>
      </c>
      <c r="Q9" s="81"/>
      <c r="R9" s="69">
        <f ca="1">SUMIF('数据-汇总表'!C$19:C$33,A9,'数据-汇总表'!R$19:R$27)</f>
        <v>0</v>
      </c>
      <c r="S9" s="51">
        <f>IF('数据-汇总表'!$I$17="按面积比例",SUMIF('数据-汇总表'!C$19:C$33,A9,'数据-汇总表'!K$19:K$33),SUMIF('数据-汇总表'!C$19:C$33,A9,'数据-汇总表'!N$19:N$33))</f>
        <v>0</v>
      </c>
      <c r="T9" s="1172">
        <f t="shared" si="5"/>
        <v>0</v>
      </c>
      <c r="U9" s="3402"/>
      <c r="V9" s="70"/>
      <c r="W9" s="70"/>
      <c r="X9" s="1040"/>
      <c r="Y9" s="71"/>
      <c r="Z9" s="72"/>
      <c r="AA9" s="66"/>
      <c r="AB9" s="66"/>
      <c r="AC9" s="1040"/>
      <c r="AD9" s="73"/>
      <c r="AE9" s="1041">
        <f t="shared" ca="1" si="6"/>
        <v>0</v>
      </c>
      <c r="AF9" s="1347"/>
      <c r="AG9" s="138">
        <f t="shared" si="7"/>
        <v>0</v>
      </c>
      <c r="AH9" s="74"/>
      <c r="AI9" s="76"/>
      <c r="AJ9" s="77"/>
      <c r="AK9" s="78"/>
      <c r="AL9" s="79"/>
      <c r="AM9" s="80"/>
      <c r="AN9" s="1714"/>
      <c r="AO9" s="52" t="e">
        <f t="shared" ca="1" si="8"/>
        <v>#REF!</v>
      </c>
      <c r="AP9" s="1715">
        <f t="shared" si="9"/>
        <v>0</v>
      </c>
      <c r="AQ9" s="52">
        <f t="shared" si="10"/>
        <v>0</v>
      </c>
      <c r="AR9" s="52">
        <f t="shared" si="11"/>
        <v>0</v>
      </c>
      <c r="AS9" s="1685"/>
      <c r="AT9" s="1685"/>
      <c r="AU9" s="1685"/>
      <c r="AV9" s="1685"/>
      <c r="AW9" s="1685"/>
      <c r="AX9" s="1685"/>
      <c r="AY9" s="1685"/>
      <c r="AZ9" s="1685"/>
      <c r="BA9" s="1685"/>
      <c r="BB9" s="1685"/>
      <c r="BC9" s="1685"/>
      <c r="BD9" s="1685"/>
      <c r="BE9" s="1685"/>
      <c r="BF9" s="1685"/>
      <c r="BG9" s="1685"/>
      <c r="BH9" s="1685"/>
      <c r="BI9" s="1685"/>
      <c r="BJ9" s="1685"/>
      <c r="BK9" s="1685"/>
      <c r="BL9" s="1685"/>
      <c r="BM9" s="1685"/>
      <c r="BN9" s="1685"/>
      <c r="BO9" s="1685"/>
    </row>
    <row r="10" spans="1:67" s="1558" customFormat="1" ht="14.25">
      <c r="A10" s="1711">
        <f>'数据-汇总表'!C23</f>
        <v>0</v>
      </c>
      <c r="B10" s="1712" t="str">
        <f t="shared" si="1"/>
        <v/>
      </c>
      <c r="C10" s="1713"/>
      <c r="D10" s="858">
        <f>SUMIF(项目基本情况!C$12:I$12,C10,项目基本情况!C$14:I$14)</f>
        <v>0</v>
      </c>
      <c r="E10" s="857" t="str">
        <f>IF(B10="","",SUMIF(项目基本情况!C$12:I$12,C10,项目基本情况!C$13:I$13))</f>
        <v/>
      </c>
      <c r="F10" s="64">
        <f>SUMIF(项目基本情况!C$12:I$12,C10,项目基本情况!C$15:I$15)</f>
        <v>0</v>
      </c>
      <c r="G10" s="65">
        <f t="shared" si="2"/>
        <v>0</v>
      </c>
      <c r="H10" s="66"/>
      <c r="I10" s="66"/>
      <c r="J10" s="66"/>
      <c r="K10" s="1030">
        <f>SUMIF('数据-汇总表'!C$19:C$33,A10,'数据-汇总表'!E$19:E$33)</f>
        <v>0</v>
      </c>
      <c r="L10" s="733"/>
      <c r="M10" s="67">
        <f t="shared" si="0"/>
        <v>0</v>
      </c>
      <c r="N10" s="731"/>
      <c r="O10" s="67" t="str">
        <f t="shared" si="3"/>
        <v>——</v>
      </c>
      <c r="P10" s="68" t="str">
        <f t="shared" si="4"/>
        <v>——</v>
      </c>
      <c r="Q10" s="81"/>
      <c r="R10" s="69">
        <f ca="1">SUMIF('数据-汇总表'!C$19:C$33,A10,'数据-汇总表'!R$19:R$27)</f>
        <v>0</v>
      </c>
      <c r="S10" s="51">
        <f>IF('数据-汇总表'!$I$17="按面积比例",SUMIF('数据-汇总表'!C$19:C$33,A10,'数据-汇总表'!K$19:K$33),SUMIF('数据-汇总表'!C$19:C$33,A10,'数据-汇总表'!N$19:N$33))</f>
        <v>0</v>
      </c>
      <c r="T10" s="1172">
        <f t="shared" si="5"/>
        <v>0</v>
      </c>
      <c r="U10" s="3402"/>
      <c r="V10" s="70"/>
      <c r="W10" s="70"/>
      <c r="X10" s="1040"/>
      <c r="Y10" s="71"/>
      <c r="Z10" s="72"/>
      <c r="AA10" s="66"/>
      <c r="AB10" s="66"/>
      <c r="AC10" s="1040"/>
      <c r="AD10" s="73"/>
      <c r="AE10" s="1041">
        <f t="shared" ca="1" si="6"/>
        <v>0</v>
      </c>
      <c r="AF10" s="1347"/>
      <c r="AG10" s="138">
        <f t="shared" si="7"/>
        <v>0</v>
      </c>
      <c r="AH10" s="74"/>
      <c r="AI10" s="76"/>
      <c r="AJ10" s="77"/>
      <c r="AK10" s="78"/>
      <c r="AL10" s="79"/>
      <c r="AM10" s="80"/>
      <c r="AN10" s="1714"/>
      <c r="AO10" s="52" t="e">
        <f t="shared" ca="1" si="8"/>
        <v>#REF!</v>
      </c>
      <c r="AP10" s="1715">
        <f t="shared" si="9"/>
        <v>0</v>
      </c>
      <c r="AQ10" s="52">
        <f t="shared" si="10"/>
        <v>0</v>
      </c>
      <c r="AR10" s="52">
        <f t="shared" si="11"/>
        <v>0</v>
      </c>
      <c r="AS10" s="1685"/>
      <c r="AT10" s="1685"/>
      <c r="AU10" s="1685"/>
      <c r="AV10" s="1685"/>
      <c r="AW10" s="1685"/>
      <c r="AX10" s="1685"/>
      <c r="AY10" s="1685"/>
      <c r="AZ10" s="1685"/>
      <c r="BA10" s="1685"/>
      <c r="BB10" s="1685"/>
      <c r="BC10" s="1685"/>
      <c r="BD10" s="1685"/>
      <c r="BE10" s="1685"/>
      <c r="BF10" s="1685"/>
      <c r="BG10" s="1685"/>
      <c r="BH10" s="1685"/>
      <c r="BI10" s="1685"/>
      <c r="BJ10" s="1685"/>
      <c r="BK10" s="1685"/>
      <c r="BL10" s="1685"/>
      <c r="BM10" s="1685"/>
      <c r="BN10" s="1685"/>
      <c r="BO10" s="1685"/>
    </row>
    <row r="11" spans="1:67" s="1558" customFormat="1" ht="14.25">
      <c r="A11" s="1711">
        <f>'数据-汇总表'!C24</f>
        <v>0</v>
      </c>
      <c r="B11" s="1712" t="str">
        <f t="shared" si="1"/>
        <v/>
      </c>
      <c r="C11" s="1713"/>
      <c r="D11" s="858">
        <f>SUMIF(项目基本情况!C$12:I$12,C11,项目基本情况!C$14:I$14)</f>
        <v>0</v>
      </c>
      <c r="E11" s="857" t="str">
        <f>IF(B11="","",SUMIF(项目基本情况!C$12:I$12,C11,项目基本情况!C$13:I$13))</f>
        <v/>
      </c>
      <c r="F11" s="64">
        <f>SUMIF(项目基本情况!C$12:I$12,C11,项目基本情况!C$15:I$15)</f>
        <v>0</v>
      </c>
      <c r="G11" s="65">
        <f t="shared" si="2"/>
        <v>0</v>
      </c>
      <c r="H11" s="66"/>
      <c r="I11" s="66"/>
      <c r="J11" s="66"/>
      <c r="K11" s="1030">
        <f>SUMIF('数据-汇总表'!C$19:C$33,A11,'数据-汇总表'!E$19:E$33)</f>
        <v>0</v>
      </c>
      <c r="L11" s="82"/>
      <c r="M11" s="67">
        <f t="shared" si="0"/>
        <v>0</v>
      </c>
      <c r="N11" s="731"/>
      <c r="O11" s="67" t="str">
        <f t="shared" si="3"/>
        <v>——</v>
      </c>
      <c r="P11" s="68" t="str">
        <f t="shared" si="4"/>
        <v>——</v>
      </c>
      <c r="Q11" s="81"/>
      <c r="R11" s="69">
        <f ca="1">SUMIF('数据-汇总表'!C$19:C$33,A11,'数据-汇总表'!R$19:R$27)</f>
        <v>0</v>
      </c>
      <c r="S11" s="51">
        <f>IF('数据-汇总表'!$I$17="按面积比例",SUMIF('数据-汇总表'!C$19:C$33,A11,'数据-汇总表'!K$19:K$33),SUMIF('数据-汇总表'!C$19:C$33,A11,'数据-汇总表'!N$19:N$33))</f>
        <v>0</v>
      </c>
      <c r="T11" s="1172">
        <f t="shared" si="5"/>
        <v>0</v>
      </c>
      <c r="U11" s="3402"/>
      <c r="V11" s="66"/>
      <c r="W11" s="66"/>
      <c r="X11" s="1040"/>
      <c r="Y11" s="71"/>
      <c r="Z11" s="84"/>
      <c r="AA11" s="66"/>
      <c r="AB11" s="66"/>
      <c r="AC11" s="1040"/>
      <c r="AD11" s="73"/>
      <c r="AE11" s="1041">
        <f t="shared" ca="1" si="6"/>
        <v>0</v>
      </c>
      <c r="AF11" s="1347"/>
      <c r="AG11" s="138">
        <f t="shared" si="7"/>
        <v>0</v>
      </c>
      <c r="AH11" s="74"/>
      <c r="AI11" s="76"/>
      <c r="AJ11" s="77"/>
      <c r="AK11" s="85"/>
      <c r="AL11" s="86"/>
      <c r="AM11" s="87"/>
      <c r="AN11" s="1714"/>
      <c r="AO11" s="52" t="e">
        <f t="shared" ca="1" si="8"/>
        <v>#REF!</v>
      </c>
      <c r="AP11" s="1715">
        <f t="shared" si="9"/>
        <v>0</v>
      </c>
      <c r="AQ11" s="52">
        <f t="shared" si="10"/>
        <v>0</v>
      </c>
      <c r="AR11" s="52">
        <f t="shared" si="11"/>
        <v>0</v>
      </c>
      <c r="AS11" s="1685"/>
      <c r="AT11" s="1685"/>
      <c r="AU11" s="1685"/>
      <c r="AV11" s="1685"/>
      <c r="AW11" s="1685"/>
      <c r="AX11" s="1685"/>
      <c r="AY11" s="1685"/>
      <c r="AZ11" s="1685"/>
      <c r="BA11" s="1685"/>
      <c r="BB11" s="1685"/>
      <c r="BC11" s="1685"/>
      <c r="BD11" s="1685"/>
      <c r="BE11" s="1685"/>
      <c r="BF11" s="1685"/>
      <c r="BG11" s="1685"/>
      <c r="BH11" s="1685"/>
      <c r="BI11" s="1685"/>
      <c r="BJ11" s="1685"/>
      <c r="BK11" s="1685"/>
      <c r="BL11" s="1685"/>
      <c r="BM11" s="1685"/>
      <c r="BN11" s="1685"/>
      <c r="BO11" s="1685"/>
    </row>
    <row r="12" spans="1:67" s="1558" customFormat="1" ht="14.25">
      <c r="A12" s="1711">
        <f>'数据-汇总表'!C25</f>
        <v>0</v>
      </c>
      <c r="B12" s="1712" t="str">
        <f t="shared" si="1"/>
        <v/>
      </c>
      <c r="C12" s="1713"/>
      <c r="D12" s="858">
        <f>SUMIF(项目基本情况!C$12:I$12,C12,项目基本情况!C$14:I$14)</f>
        <v>0</v>
      </c>
      <c r="E12" s="857" t="str">
        <f>IF(B12="","",SUMIF(项目基本情况!C$12:I$12,C12,项目基本情况!C$13:I$13))</f>
        <v/>
      </c>
      <c r="F12" s="64">
        <f>SUMIF(项目基本情况!C$12:I$12,C12,项目基本情况!C$15:I$15)</f>
        <v>0</v>
      </c>
      <c r="G12" s="65">
        <f>IF(ISERROR(ROUND(POWER(1+H12,D12-F12)*(POWER(1+H12,F12)-1)/(POWER(1+H12,D12)-1),3)),0,ROUND(POWER(1+H12,D12-F12)*(POWER(1+H12,F12)-1)/(POWER(1+H12,D12)-1),3))</f>
        <v>0</v>
      </c>
      <c r="H12" s="66"/>
      <c r="I12" s="66"/>
      <c r="J12" s="66"/>
      <c r="K12" s="1030">
        <f>SUMIF('数据-汇总表'!C$19:C$33,A12,'数据-汇总表'!E$19:E$33)</f>
        <v>0</v>
      </c>
      <c r="L12" s="82"/>
      <c r="M12" s="67">
        <f>ROUND(K12*L12/10000,0)</f>
        <v>0</v>
      </c>
      <c r="N12" s="731"/>
      <c r="O12" s="67" t="str">
        <f t="shared" si="3"/>
        <v>——</v>
      </c>
      <c r="P12" s="68" t="str">
        <f t="shared" si="4"/>
        <v>——</v>
      </c>
      <c r="Q12" s="81"/>
      <c r="R12" s="69">
        <f ca="1">SUMIF('数据-汇总表'!C$19:C$33,A12,'数据-汇总表'!R$19:R$27)</f>
        <v>0</v>
      </c>
      <c r="S12" s="51">
        <f>IF('数据-汇总表'!$I$17="按面积比例",SUMIF('数据-汇总表'!C$19:C$33,A12,'数据-汇总表'!K$19:K$33),SUMIF('数据-汇总表'!C$19:C$33,A12,'数据-汇总表'!N$19:N$33))</f>
        <v>0</v>
      </c>
      <c r="T12" s="1172">
        <f t="shared" si="5"/>
        <v>0</v>
      </c>
      <c r="U12" s="3402"/>
      <c r="V12" s="66"/>
      <c r="W12" s="66"/>
      <c r="X12" s="1040"/>
      <c r="Y12" s="71"/>
      <c r="Z12" s="84"/>
      <c r="AA12" s="66"/>
      <c r="AB12" s="66"/>
      <c r="AC12" s="1040"/>
      <c r="AD12" s="73"/>
      <c r="AE12" s="1041">
        <f t="shared" ca="1" si="6"/>
        <v>0</v>
      </c>
      <c r="AF12" s="1347"/>
      <c r="AG12" s="138">
        <f t="shared" si="7"/>
        <v>0</v>
      </c>
      <c r="AH12" s="74"/>
      <c r="AI12" s="76"/>
      <c r="AJ12" s="77"/>
      <c r="AK12" s="85"/>
      <c r="AL12" s="86"/>
      <c r="AM12" s="87"/>
      <c r="AN12" s="1714"/>
      <c r="AO12" s="52" t="e">
        <f t="shared" ca="1" si="8"/>
        <v>#REF!</v>
      </c>
      <c r="AP12" s="1715">
        <f t="shared" si="9"/>
        <v>0</v>
      </c>
      <c r="AQ12" s="52">
        <f t="shared" si="10"/>
        <v>0</v>
      </c>
      <c r="AR12" s="52">
        <f t="shared" si="11"/>
        <v>0</v>
      </c>
      <c r="AS12" s="1685"/>
      <c r="AT12" s="1685"/>
      <c r="AU12" s="1685"/>
      <c r="AV12" s="1685"/>
      <c r="AW12" s="1685"/>
      <c r="AX12" s="1685"/>
      <c r="AY12" s="1685"/>
      <c r="AZ12" s="1685"/>
      <c r="BA12" s="1685"/>
      <c r="BB12" s="1685"/>
      <c r="BC12" s="1685"/>
      <c r="BD12" s="1685"/>
      <c r="BE12" s="1685"/>
      <c r="BF12" s="1685"/>
      <c r="BG12" s="1685"/>
      <c r="BH12" s="1685"/>
      <c r="BI12" s="1685"/>
      <c r="BJ12" s="1685"/>
      <c r="BK12" s="1685"/>
      <c r="BL12" s="1685"/>
      <c r="BM12" s="1685"/>
      <c r="BN12" s="1685"/>
      <c r="BO12" s="1685"/>
    </row>
    <row r="13" spans="1:67" s="1558" customFormat="1" ht="14.25">
      <c r="A13" s="1711">
        <f>'数据-汇总表'!C26</f>
        <v>0</v>
      </c>
      <c r="B13" s="1712" t="str">
        <f t="shared" si="1"/>
        <v/>
      </c>
      <c r="C13" s="1713"/>
      <c r="D13" s="858">
        <f>SUMIF(项目基本情况!C$12:I$12,C13,项目基本情况!C$14:I$14)</f>
        <v>0</v>
      </c>
      <c r="E13" s="857" t="str">
        <f>IF(B13="","",SUMIF(项目基本情况!C$12:I$12,C13,项目基本情况!C$13:I$13))</f>
        <v/>
      </c>
      <c r="F13" s="64">
        <f>SUMIF(项目基本情况!C$12:I$12,C13,项目基本情况!C$15:I$15)</f>
        <v>0</v>
      </c>
      <c r="G13" s="65">
        <f>IF(ISERROR(ROUND(POWER(1+H13,D13-F13)*(POWER(1+H13,F13)-1)/(POWER(1+H13,D13)-1),3)),0,ROUND(POWER(1+H13,D13-F13)*(POWER(1+H13,F13)-1)/(POWER(1+H13,D13)-1),3))</f>
        <v>0</v>
      </c>
      <c r="H13" s="66"/>
      <c r="I13" s="66"/>
      <c r="J13" s="66"/>
      <c r="K13" s="1030">
        <f>SUMIF('数据-汇总表'!C$19:C$33,A13,'数据-汇总表'!E$19:E$33)</f>
        <v>0</v>
      </c>
      <c r="L13" s="82"/>
      <c r="M13" s="67">
        <f>ROUND(K13*L13/10000,0)</f>
        <v>0</v>
      </c>
      <c r="N13" s="83"/>
      <c r="O13" s="67" t="str">
        <f t="shared" si="3"/>
        <v>——</v>
      </c>
      <c r="P13" s="68" t="str">
        <f t="shared" si="4"/>
        <v>——</v>
      </c>
      <c r="Q13" s="81"/>
      <c r="R13" s="69">
        <f ca="1">SUMIF('数据-汇总表'!C$19:C$33,A13,'数据-汇总表'!R$19:R$27)</f>
        <v>0</v>
      </c>
      <c r="S13" s="51">
        <f>IF('数据-汇总表'!$I$17="按面积比例",SUMIF('数据-汇总表'!C$19:C$33,A13,'数据-汇总表'!K$19:K$33),SUMIF('数据-汇总表'!C$19:C$33,A13,'数据-汇总表'!N$19:N$33))</f>
        <v>0</v>
      </c>
      <c r="T13" s="1172">
        <f t="shared" si="5"/>
        <v>0</v>
      </c>
      <c r="U13" s="3404"/>
      <c r="V13" s="70"/>
      <c r="W13" s="70"/>
      <c r="X13" s="1040"/>
      <c r="Y13" s="71"/>
      <c r="Z13" s="72"/>
      <c r="AA13" s="66"/>
      <c r="AB13" s="66"/>
      <c r="AC13" s="1040"/>
      <c r="AD13" s="73"/>
      <c r="AE13" s="1041">
        <f t="shared" ca="1" si="6"/>
        <v>0</v>
      </c>
      <c r="AF13" s="1347"/>
      <c r="AG13" s="138">
        <f t="shared" si="7"/>
        <v>0</v>
      </c>
      <c r="AH13" s="74"/>
      <c r="AI13" s="76"/>
      <c r="AJ13" s="77"/>
      <c r="AK13" s="78"/>
      <c r="AL13" s="79"/>
      <c r="AM13" s="80"/>
      <c r="AN13" s="1714"/>
      <c r="AO13" s="52" t="e">
        <f t="shared" ca="1" si="8"/>
        <v>#REF!</v>
      </c>
      <c r="AP13" s="1715">
        <f t="shared" si="9"/>
        <v>0</v>
      </c>
      <c r="AQ13" s="52">
        <f t="shared" si="10"/>
        <v>0</v>
      </c>
      <c r="AR13" s="52">
        <f t="shared" si="11"/>
        <v>0</v>
      </c>
      <c r="AS13" s="1685"/>
      <c r="AT13" s="1685"/>
      <c r="AU13" s="1685"/>
      <c r="AV13" s="1685"/>
      <c r="AW13" s="1685"/>
      <c r="AX13" s="1685"/>
      <c r="AY13" s="1685"/>
      <c r="AZ13" s="1685"/>
      <c r="BA13" s="1685"/>
      <c r="BB13" s="1685"/>
      <c r="BC13" s="1685"/>
      <c r="BD13" s="1685"/>
      <c r="BE13" s="1685"/>
      <c r="BF13" s="1685"/>
      <c r="BG13" s="1685"/>
      <c r="BH13" s="1685"/>
      <c r="BI13" s="1685"/>
      <c r="BJ13" s="1685"/>
      <c r="BK13" s="1685"/>
      <c r="BL13" s="1685"/>
      <c r="BM13" s="1685"/>
      <c r="BN13" s="1685"/>
      <c r="BO13" s="1685"/>
    </row>
    <row r="14" spans="1:67" s="1558" customFormat="1" ht="14.25">
      <c r="A14" s="1716" t="s">
        <v>1203</v>
      </c>
      <c r="B14" s="1712" t="s">
        <v>1204</v>
      </c>
      <c r="C14" s="1717" t="s">
        <v>1203</v>
      </c>
      <c r="D14" s="858"/>
      <c r="E14" s="857"/>
      <c r="F14" s="64"/>
      <c r="G14" s="65"/>
      <c r="H14" s="1029"/>
      <c r="I14" s="1029"/>
      <c r="J14" s="1029"/>
      <c r="K14" s="1030">
        <f>SUMIF('数据-汇总表'!C$19:C$33,A14,'数据-汇总表'!E$19:E$33)</f>
        <v>0</v>
      </c>
      <c r="L14" s="82"/>
      <c r="M14" s="67">
        <f t="shared" si="0"/>
        <v>0</v>
      </c>
      <c r="N14" s="83"/>
      <c r="O14" s="67" t="str">
        <f t="shared" si="3"/>
        <v>——</v>
      </c>
      <c r="P14" s="68" t="str">
        <f t="shared" si="4"/>
        <v>——</v>
      </c>
      <c r="Q14" s="1033"/>
      <c r="R14" s="69"/>
      <c r="S14" s="51"/>
      <c r="T14" s="1172"/>
      <c r="U14" s="670"/>
      <c r="V14" s="1035"/>
      <c r="W14" s="1035"/>
      <c r="X14" s="1036"/>
      <c r="Y14" s="1037"/>
      <c r="Z14" s="1038"/>
      <c r="AA14" s="1039"/>
      <c r="AB14" s="1039"/>
      <c r="AC14" s="1040"/>
      <c r="AD14" s="1036"/>
      <c r="AE14" s="1041"/>
      <c r="AF14" s="52"/>
      <c r="AG14" s="138"/>
      <c r="AH14" s="1041"/>
      <c r="AI14" s="1356"/>
      <c r="AJ14" s="704"/>
      <c r="AK14" s="1042"/>
      <c r="AL14" s="1043"/>
      <c r="AM14" s="1044"/>
      <c r="AN14" s="2645"/>
      <c r="AO14" s="2647"/>
      <c r="AP14" s="2647"/>
      <c r="AQ14" s="2647"/>
      <c r="AR14" s="2647"/>
      <c r="AS14" s="1685"/>
      <c r="AT14" s="1685"/>
      <c r="AU14" s="1685"/>
      <c r="AV14" s="1685"/>
      <c r="AW14" s="1685"/>
      <c r="AX14" s="1685"/>
      <c r="AY14" s="1685"/>
      <c r="AZ14" s="1685"/>
      <c r="BA14" s="1685"/>
      <c r="BB14" s="1685"/>
      <c r="BC14" s="1685"/>
      <c r="BD14" s="1685"/>
      <c r="BE14" s="1685"/>
      <c r="BF14" s="1685"/>
      <c r="BG14" s="1685"/>
      <c r="BH14" s="1685"/>
      <c r="BI14" s="1685"/>
      <c r="BJ14" s="1685"/>
      <c r="BK14" s="1685"/>
      <c r="BL14" s="1685"/>
      <c r="BM14" s="1685"/>
      <c r="BN14" s="1685"/>
      <c r="BO14" s="1685"/>
    </row>
    <row r="15" spans="1:67" s="1558" customFormat="1" ht="27">
      <c r="A15" s="1716" t="s">
        <v>1205</v>
      </c>
      <c r="B15" s="1712" t="s">
        <v>1204</v>
      </c>
      <c r="C15" s="1717" t="s">
        <v>1206</v>
      </c>
      <c r="D15" s="858"/>
      <c r="E15" s="857"/>
      <c r="F15" s="64"/>
      <c r="G15" s="65"/>
      <c r="H15" s="1029"/>
      <c r="I15" s="1029"/>
      <c r="J15" s="1029"/>
      <c r="K15" s="1030">
        <f>SUMIF('数据-汇总表'!C$19:C$33,A15,'数据-汇总表'!E$19:E$33)</f>
        <v>0</v>
      </c>
      <c r="L15" s="1031"/>
      <c r="M15" s="67"/>
      <c r="N15" s="1032"/>
      <c r="O15" s="67"/>
      <c r="P15" s="68"/>
      <c r="Q15" s="1033"/>
      <c r="R15" s="69"/>
      <c r="S15" s="51"/>
      <c r="T15" s="1172"/>
      <c r="U15" s="670"/>
      <c r="V15" s="1035"/>
      <c r="W15" s="1035"/>
      <c r="X15" s="1036"/>
      <c r="Y15" s="1037"/>
      <c r="Z15" s="1038"/>
      <c r="AA15" s="1039"/>
      <c r="AB15" s="1039"/>
      <c r="AC15" s="1040"/>
      <c r="AD15" s="1036"/>
      <c r="AE15" s="1041"/>
      <c r="AF15" s="52"/>
      <c r="AG15" s="138"/>
      <c r="AH15" s="1041"/>
      <c r="AI15" s="1356"/>
      <c r="AJ15" s="704"/>
      <c r="AK15" s="1042"/>
      <c r="AL15" s="1043"/>
      <c r="AM15" s="1044"/>
      <c r="AN15" s="2645"/>
      <c r="AO15" s="2647"/>
      <c r="AP15" s="2647"/>
      <c r="AQ15" s="2647"/>
      <c r="AR15" s="2647"/>
      <c r="AS15" s="1685"/>
      <c r="AT15" s="1685"/>
      <c r="AU15" s="1685"/>
      <c r="AV15" s="1685"/>
      <c r="AW15" s="1685"/>
      <c r="AX15" s="1685"/>
      <c r="AY15" s="1685"/>
      <c r="AZ15" s="1685"/>
      <c r="BA15" s="1685"/>
      <c r="BB15" s="1685"/>
      <c r="BC15" s="1685"/>
      <c r="BD15" s="1685"/>
      <c r="BE15" s="1685"/>
      <c r="BF15" s="1685"/>
      <c r="BG15" s="1685"/>
      <c r="BH15" s="1685"/>
      <c r="BI15" s="1685"/>
      <c r="BJ15" s="1685"/>
      <c r="BK15" s="1685"/>
      <c r="BL15" s="1685"/>
      <c r="BM15" s="1685"/>
      <c r="BN15" s="1685"/>
      <c r="BO15" s="1685"/>
    </row>
    <row r="16" spans="1:67" s="1558" customFormat="1" ht="15.75" thickBot="1">
      <c r="A16" s="1718" t="s">
        <v>1207</v>
      </c>
      <c r="B16" s="88"/>
      <c r="C16" s="833"/>
      <c r="D16" s="1719"/>
      <c r="E16" s="88"/>
      <c r="F16" s="88"/>
      <c r="G16" s="89">
        <f>ROUND(SUMPRODUCT(G6:G13,K6:K13)/SUMPRODUCT((G6:G13&gt;0)*(K6:K13)),3)</f>
        <v>0.80400000000000005</v>
      </c>
      <c r="H16" s="90">
        <f>ROUND(SUMPRODUCT(H6:H13,K6:K13)/SUMPRODUCT((H6:H13&gt;0)*(K6:K13)),3)</f>
        <v>4.4999999999999998E-2</v>
      </c>
      <c r="I16" s="91"/>
      <c r="J16" s="91"/>
      <c r="K16" s="92">
        <f>SUM(K6:K15)</f>
        <v>17559.11</v>
      </c>
      <c r="L16" s="93">
        <f>ROUND(M16*10000/SUM(K6:K14),0)</f>
        <v>6000</v>
      </c>
      <c r="M16" s="93">
        <f>SUM(M6:M14)</f>
        <v>10535</v>
      </c>
      <c r="N16" s="94">
        <f>ROUND(SUMPRODUCT(M6:M14,N6:N14)/M16,3)</f>
        <v>0.87</v>
      </c>
      <c r="O16" s="93">
        <f>SUM(O6:O14)</f>
        <v>0</v>
      </c>
      <c r="P16" s="93">
        <f>SUM(P6:P14)</f>
        <v>0</v>
      </c>
      <c r="Q16" s="95">
        <f>ROUND(SUMPRODUCT(Q6:Q13,K6:K13)/SUMPRODUCT((Q6:Q13&gt;0)*(K6:K13)),2)</f>
        <v>0.15</v>
      </c>
      <c r="R16" s="1034">
        <f ca="1">SUM(R6:R13)</f>
        <v>15637.42</v>
      </c>
      <c r="S16" s="96">
        <f>SUM(S6:S13)</f>
        <v>0</v>
      </c>
      <c r="T16" s="97">
        <f>IF(SUMIF(T6:T13,"&lt;9E307")=M14,SUMIF(T6:T13,"&lt;9E307"),"有误，请检查")</f>
        <v>0</v>
      </c>
      <c r="U16" s="98"/>
      <c r="V16" s="99"/>
      <c r="W16" s="99"/>
      <c r="X16" s="102"/>
      <c r="Y16" s="100"/>
      <c r="Z16" s="101"/>
      <c r="AA16" s="99"/>
      <c r="AB16" s="99"/>
      <c r="AC16" s="102"/>
      <c r="AD16" s="102"/>
      <c r="AE16" s="98"/>
      <c r="AF16" s="99"/>
      <c r="AG16" s="100"/>
      <c r="AH16" s="98"/>
      <c r="AI16" s="101"/>
      <c r="AJ16" s="101"/>
      <c r="AK16" s="99"/>
      <c r="AL16" s="99"/>
      <c r="AM16" s="100"/>
      <c r="AN16" s="2645"/>
      <c r="AO16" s="2647"/>
      <c r="AP16" s="2647"/>
      <c r="AQ16" s="2647"/>
      <c r="AR16" s="2647"/>
      <c r="AS16" s="1685"/>
      <c r="AT16" s="1685"/>
      <c r="AU16" s="1685"/>
      <c r="AV16" s="1685"/>
      <c r="AW16" s="1685"/>
      <c r="AX16" s="1685"/>
      <c r="AY16" s="1685"/>
      <c r="AZ16" s="1685"/>
      <c r="BA16" s="1685"/>
      <c r="BB16" s="1685"/>
      <c r="BC16" s="1685"/>
      <c r="BD16" s="1685"/>
      <c r="BE16" s="1685"/>
      <c r="BF16" s="1685"/>
      <c r="BG16" s="1685"/>
      <c r="BH16" s="1685"/>
      <c r="BI16" s="1685"/>
      <c r="BJ16" s="1685"/>
      <c r="BK16" s="1685"/>
      <c r="BL16" s="1685"/>
      <c r="BM16" s="1685"/>
      <c r="BN16" s="1685"/>
      <c r="BO16" s="1685"/>
    </row>
    <row r="17" spans="1:67" ht="13.5" thickBot="1">
      <c r="A17" s="1720"/>
      <c r="B17" s="2656"/>
      <c r="C17" s="2645"/>
      <c r="D17" s="2649"/>
      <c r="E17" s="2649"/>
      <c r="F17" s="2645"/>
      <c r="G17" s="2645"/>
      <c r="H17" s="2645"/>
      <c r="I17" s="2645"/>
      <c r="J17" s="2645"/>
      <c r="K17" s="2646"/>
      <c r="L17" s="2646"/>
      <c r="M17" s="3446" t="s">
        <v>3441</v>
      </c>
      <c r="N17" s="2645">
        <v>2014</v>
      </c>
      <c r="O17" s="2645"/>
      <c r="P17" s="2645"/>
      <c r="Q17" s="2645"/>
      <c r="R17" s="2645"/>
      <c r="S17" s="2645"/>
      <c r="T17" s="2645"/>
      <c r="U17" s="2645"/>
      <c r="V17" s="2645"/>
      <c r="W17" s="2645"/>
      <c r="X17" s="2645"/>
      <c r="Y17" s="2645"/>
      <c r="Z17" s="2645"/>
      <c r="AA17" s="2645"/>
      <c r="AB17" s="2645"/>
      <c r="AC17" s="2645"/>
      <c r="AD17" s="2645"/>
      <c r="AE17" s="2645"/>
      <c r="AF17" s="2645"/>
      <c r="AG17" s="2645"/>
      <c r="AH17" s="2645"/>
      <c r="AI17" s="2645"/>
      <c r="AJ17" s="2645"/>
      <c r="AK17" s="2645"/>
      <c r="AL17" s="2645"/>
      <c r="AM17" s="2645"/>
      <c r="AN17" s="2645"/>
      <c r="AO17" s="2645"/>
      <c r="AP17" s="2645"/>
      <c r="AQ17" s="2645"/>
      <c r="AR17" s="2645"/>
    </row>
    <row r="18" spans="1:67" ht="15" thickBot="1">
      <c r="A18" s="60" t="s">
        <v>1208</v>
      </c>
      <c r="B18" s="2659"/>
      <c r="C18" s="2647"/>
      <c r="D18" s="2650"/>
      <c r="E18" s="2647"/>
      <c r="F18" s="2647"/>
      <c r="G18" s="2647"/>
      <c r="H18" s="2647"/>
      <c r="I18" s="2647"/>
      <c r="J18" s="2647"/>
      <c r="K18" s="2646"/>
      <c r="L18" s="2646"/>
      <c r="M18" s="3446" t="s">
        <v>3442</v>
      </c>
      <c r="N18" s="2645">
        <f>ROUND(1-(1-0%)*(2024-N17)/60,2)</f>
        <v>0.83</v>
      </c>
      <c r="O18" s="2645"/>
      <c r="P18" s="2645"/>
      <c r="Q18" s="2645"/>
      <c r="R18" s="2645"/>
      <c r="S18" s="2645"/>
      <c r="T18" s="2645"/>
      <c r="U18" s="2645"/>
      <c r="V18" s="3446" t="s">
        <v>3658</v>
      </c>
      <c r="W18" s="3446" t="s">
        <v>3660</v>
      </c>
      <c r="X18" s="2645"/>
      <c r="Y18" s="2645"/>
      <c r="Z18" s="2645"/>
      <c r="AA18" s="2645"/>
      <c r="AB18" s="2645"/>
      <c r="AC18" s="2645"/>
      <c r="AD18" s="2645"/>
      <c r="AE18" s="2645"/>
      <c r="AF18" s="2645"/>
      <c r="AG18" s="2645"/>
      <c r="AH18" s="2645"/>
      <c r="AI18" s="2645"/>
      <c r="AJ18" s="2645"/>
      <c r="AK18" s="2645"/>
      <c r="AL18" s="2645"/>
      <c r="AM18" s="2645"/>
      <c r="AN18" s="2645"/>
      <c r="AO18" s="2645"/>
      <c r="AP18" s="2645"/>
      <c r="AQ18" s="2645"/>
      <c r="AR18" s="2645"/>
    </row>
    <row r="19" spans="1:67" ht="14.25">
      <c r="A19" s="1721" t="s">
        <v>1209</v>
      </c>
      <c r="B19" s="103">
        <v>0</v>
      </c>
      <c r="C19" s="2773" t="s">
        <v>2277</v>
      </c>
      <c r="D19" s="2650"/>
      <c r="E19" s="2647"/>
      <c r="F19" s="2647"/>
      <c r="G19" s="2647"/>
      <c r="H19" s="2647"/>
      <c r="I19" s="2647"/>
      <c r="J19" s="2647"/>
      <c r="K19" s="2646"/>
      <c r="L19" s="2646"/>
      <c r="M19" s="3446" t="s">
        <v>3443</v>
      </c>
      <c r="N19" s="3447">
        <v>0.9</v>
      </c>
      <c r="O19" s="2645"/>
      <c r="P19" s="2645"/>
      <c r="Q19" s="2645"/>
      <c r="R19" s="2645"/>
      <c r="S19" s="2645"/>
      <c r="T19" s="2645"/>
      <c r="U19" s="3446" t="s">
        <v>3656</v>
      </c>
      <c r="V19" s="2645">
        <f>'数据-汇总表'!F31</f>
        <v>76.040000000000006</v>
      </c>
      <c r="W19" s="2645">
        <v>5</v>
      </c>
      <c r="X19" s="2645"/>
      <c r="Y19" s="2645"/>
      <c r="Z19" s="2645"/>
      <c r="AA19" s="2645"/>
      <c r="AB19" s="2645"/>
      <c r="AC19" s="2645"/>
      <c r="AD19" s="2645"/>
      <c r="AE19" s="2645"/>
      <c r="AF19" s="2645"/>
      <c r="AG19" s="2645"/>
      <c r="AH19" s="2645"/>
      <c r="AI19" s="2645"/>
      <c r="AJ19" s="2645"/>
      <c r="AK19" s="2645"/>
      <c r="AL19" s="2645"/>
      <c r="AM19" s="2645"/>
      <c r="AN19" s="2645"/>
      <c r="AO19" s="2645"/>
      <c r="AP19" s="2645"/>
      <c r="AQ19" s="2645"/>
      <c r="AR19" s="2645"/>
    </row>
    <row r="20" spans="1:67" ht="14.25">
      <c r="A20" s="1722" t="s">
        <v>1210</v>
      </c>
      <c r="B20" s="104">
        <v>2</v>
      </c>
      <c r="C20" s="2774" t="s">
        <v>2275</v>
      </c>
      <c r="D20" s="2650"/>
      <c r="E20" s="2647"/>
      <c r="F20" s="2647"/>
      <c r="G20" s="2647"/>
      <c r="H20" s="2647"/>
      <c r="I20" s="2647"/>
      <c r="J20" s="2647"/>
      <c r="K20" s="2646"/>
      <c r="L20" s="2646"/>
      <c r="M20" s="3446" t="s">
        <v>3444</v>
      </c>
      <c r="N20" s="2645">
        <f>ROUND((N19+N18)/2,2)</f>
        <v>0.87</v>
      </c>
      <c r="O20" s="2645"/>
      <c r="P20" s="2645"/>
      <c r="Q20" s="2645"/>
      <c r="R20" s="2645"/>
      <c r="S20" s="2645"/>
      <c r="T20" s="2645"/>
      <c r="U20" s="3446" t="s">
        <v>3657</v>
      </c>
      <c r="V20" s="2645">
        <f>'数据-汇总表'!G31</f>
        <v>17483.07</v>
      </c>
      <c r="W20" s="2645">
        <f>W19*0.7</f>
        <v>3.5</v>
      </c>
      <c r="X20" s="2645"/>
      <c r="Y20" s="2645"/>
      <c r="Z20" s="2645"/>
      <c r="AA20" s="2645"/>
      <c r="AB20" s="2645"/>
      <c r="AC20" s="2645"/>
      <c r="AD20" s="2645"/>
      <c r="AE20" s="2645"/>
      <c r="AF20" s="2645"/>
      <c r="AG20" s="2645"/>
      <c r="AH20" s="2645"/>
      <c r="AI20" s="2645"/>
      <c r="AJ20" s="2645"/>
      <c r="AK20" s="2645"/>
      <c r="AL20" s="2645"/>
      <c r="AM20" s="2645"/>
      <c r="AN20" s="2645"/>
      <c r="AO20" s="2645"/>
      <c r="AP20" s="2645"/>
      <c r="AQ20" s="2645"/>
      <c r="AR20" s="2645"/>
    </row>
    <row r="21" spans="1:67" ht="14.25">
      <c r="A21" s="1723" t="s">
        <v>1211</v>
      </c>
      <c r="B21" s="104">
        <f>B20</f>
        <v>2</v>
      </c>
      <c r="C21" s="2647"/>
      <c r="D21" s="2650"/>
      <c r="E21" s="2647"/>
      <c r="F21" s="2647"/>
      <c r="G21" s="2647"/>
      <c r="H21" s="2647"/>
      <c r="I21" s="2647"/>
      <c r="J21" s="2647"/>
      <c r="K21" s="1474" t="s">
        <v>3431</v>
      </c>
      <c r="L21" s="3438"/>
      <c r="M21" s="3438"/>
      <c r="N21" s="3438"/>
      <c r="O21" s="2645"/>
      <c r="P21" s="2645"/>
      <c r="Q21" s="2645"/>
      <c r="R21" s="2645"/>
      <c r="S21" s="2645"/>
      <c r="T21" s="2645"/>
      <c r="U21" s="3446" t="s">
        <v>3659</v>
      </c>
      <c r="V21" s="2645">
        <f>SUM(V19:V20)</f>
        <v>17559.11</v>
      </c>
      <c r="W21" s="2645">
        <f>ROUND(W19*V19/V21+W20*V20/V21,1)</f>
        <v>3.5</v>
      </c>
      <c r="X21" s="2645"/>
      <c r="Y21" s="2645"/>
      <c r="Z21" s="2645"/>
      <c r="AA21" s="2645"/>
      <c r="AB21" s="2645"/>
      <c r="AC21" s="2645"/>
      <c r="AD21" s="2645"/>
      <c r="AE21" s="2645"/>
      <c r="AF21" s="2645"/>
      <c r="AG21" s="2645"/>
      <c r="AH21" s="2645"/>
      <c r="AI21" s="2645"/>
      <c r="AJ21" s="2645"/>
      <c r="AK21" s="2645"/>
      <c r="AL21" s="2645"/>
      <c r="AM21" s="2645"/>
      <c r="AN21" s="2645"/>
      <c r="AO21" s="2645"/>
      <c r="AP21" s="2645"/>
      <c r="AQ21" s="2645"/>
      <c r="AR21" s="2645"/>
    </row>
    <row r="22" spans="1:67" ht="14.25">
      <c r="A22" s="1722" t="s">
        <v>1212</v>
      </c>
      <c r="B22" s="105">
        <f>B19+B20</f>
        <v>2</v>
      </c>
      <c r="C22" s="2647"/>
      <c r="D22" s="2650"/>
      <c r="E22" s="2647"/>
      <c r="F22" s="2647"/>
      <c r="G22" s="2647"/>
      <c r="H22" s="2647"/>
      <c r="I22" s="2647"/>
      <c r="J22" s="2647"/>
      <c r="K22" s="3439"/>
      <c r="L22" s="3440" t="s">
        <v>3393</v>
      </c>
      <c r="M22" s="3440" t="s">
        <v>3432</v>
      </c>
      <c r="N22" s="3440" t="s">
        <v>3423</v>
      </c>
      <c r="O22" s="2645"/>
      <c r="P22" s="2645"/>
      <c r="Q22" s="2645"/>
      <c r="R22" s="2645"/>
      <c r="S22" s="2645"/>
      <c r="T22" s="2645"/>
      <c r="U22" s="2645"/>
      <c r="V22" s="2645"/>
      <c r="W22" s="2645"/>
      <c r="X22" s="2645"/>
      <c r="Y22" s="2645"/>
      <c r="Z22" s="2645"/>
      <c r="AA22" s="2645"/>
      <c r="AB22" s="2645"/>
      <c r="AC22" s="2645"/>
      <c r="AD22" s="2645"/>
      <c r="AE22" s="2645"/>
      <c r="AF22" s="2645"/>
      <c r="AG22" s="2645"/>
      <c r="AH22" s="2645"/>
      <c r="AI22" s="2645"/>
      <c r="AJ22" s="2645"/>
      <c r="AK22" s="2645"/>
      <c r="AL22" s="2645"/>
      <c r="AM22" s="2645"/>
      <c r="AN22" s="2645"/>
      <c r="AO22" s="2645"/>
      <c r="AP22" s="2645"/>
      <c r="AQ22" s="2645"/>
      <c r="AR22" s="2645"/>
    </row>
    <row r="23" spans="1:67" ht="14.25">
      <c r="A23" s="1723" t="s">
        <v>1213</v>
      </c>
      <c r="B23" s="105">
        <f>B19+B21</f>
        <v>2</v>
      </c>
      <c r="C23" s="2647"/>
      <c r="D23" s="2650"/>
      <c r="E23" s="2647"/>
      <c r="F23" s="2647"/>
      <c r="G23" s="2647"/>
      <c r="H23" s="2647"/>
      <c r="I23" s="2647"/>
      <c r="J23" s="2647"/>
      <c r="K23" s="3441" t="s">
        <v>3433</v>
      </c>
      <c r="L23" s="3442">
        <f>L24</f>
        <v>17559.11</v>
      </c>
      <c r="M23" s="3442">
        <f>ROUND(N23*10000/L23,0)</f>
        <v>5920</v>
      </c>
      <c r="N23" s="3442">
        <f>N24+N27+N28+N29</f>
        <v>10395</v>
      </c>
      <c r="O23" s="2645"/>
      <c r="P23" s="2645"/>
      <c r="Q23" s="2645"/>
      <c r="R23" s="2645"/>
      <c r="S23" s="2645"/>
      <c r="T23" s="2645"/>
      <c r="U23" s="2645"/>
      <c r="V23" s="2645"/>
      <c r="W23" s="2645"/>
      <c r="X23" s="2645"/>
      <c r="Y23" s="2645"/>
      <c r="Z23" s="2645"/>
      <c r="AA23" s="2645"/>
      <c r="AB23" s="2645"/>
      <c r="AC23" s="2645"/>
      <c r="AD23" s="2645"/>
      <c r="AE23" s="2645"/>
      <c r="AF23" s="2645"/>
      <c r="AG23" s="2645"/>
      <c r="AH23" s="2645"/>
      <c r="AI23" s="2645"/>
      <c r="AJ23" s="2645"/>
      <c r="AK23" s="2645"/>
      <c r="AL23" s="2645"/>
      <c r="AM23" s="2645"/>
      <c r="AN23" s="2645"/>
      <c r="AO23" s="2645"/>
      <c r="AP23" s="2645"/>
      <c r="AQ23" s="2645"/>
      <c r="AR23" s="2645"/>
    </row>
    <row r="24" spans="1:67" ht="15" thickBot="1">
      <c r="A24" s="1724" t="s">
        <v>1214</v>
      </c>
      <c r="B24" s="106">
        <f>B20-B21</f>
        <v>0</v>
      </c>
      <c r="C24" s="2647"/>
      <c r="D24" s="2650"/>
      <c r="E24" s="2647"/>
      <c r="F24" s="2647"/>
      <c r="G24" s="2647"/>
      <c r="H24" s="2647"/>
      <c r="I24" s="2647"/>
      <c r="J24" s="2647"/>
      <c r="K24" s="3441" t="s">
        <v>3434</v>
      </c>
      <c r="L24" s="3442">
        <f>L25+L26</f>
        <v>17559.11</v>
      </c>
      <c r="M24" s="3442">
        <f>ROUND(N24/L24*10000,0)</f>
        <v>1795</v>
      </c>
      <c r="N24" s="3442">
        <f>N25+N26</f>
        <v>3152</v>
      </c>
      <c r="O24" s="2645"/>
      <c r="P24" s="2645"/>
      <c r="Q24" s="2645"/>
      <c r="R24" s="2645"/>
      <c r="S24" s="2645"/>
      <c r="T24" s="2645"/>
      <c r="U24" s="2645"/>
      <c r="V24" s="2645"/>
      <c r="W24" s="2645"/>
      <c r="X24" s="2645"/>
      <c r="Y24" s="2645"/>
      <c r="Z24" s="2645"/>
      <c r="AA24" s="2645"/>
      <c r="AB24" s="2645"/>
      <c r="AC24" s="2645"/>
      <c r="AD24" s="2645"/>
      <c r="AE24" s="2645"/>
      <c r="AF24" s="2645"/>
      <c r="AG24" s="2645"/>
      <c r="AH24" s="2645"/>
      <c r="AI24" s="2645"/>
      <c r="AJ24" s="2645"/>
      <c r="AK24" s="2645"/>
      <c r="AL24" s="2645"/>
      <c r="AM24" s="2645"/>
      <c r="AN24" s="2645"/>
      <c r="AO24" s="2645"/>
      <c r="AP24" s="2645"/>
      <c r="AQ24" s="2645"/>
      <c r="AR24" s="2645"/>
    </row>
    <row r="25" spans="1:67" ht="15" thickBot="1">
      <c r="A25" s="1556"/>
      <c r="B25" s="1686"/>
      <c r="C25" s="2647"/>
      <c r="D25" s="2650"/>
      <c r="E25" s="2647"/>
      <c r="F25" s="2647"/>
      <c r="G25" s="2647"/>
      <c r="H25" s="2647"/>
      <c r="I25" s="2647"/>
      <c r="J25" s="2647"/>
      <c r="K25" s="3440" t="s">
        <v>3425</v>
      </c>
      <c r="L25" s="3443">
        <f>K16</f>
        <v>17559.11</v>
      </c>
      <c r="M25" s="3439">
        <v>1795</v>
      </c>
      <c r="N25" s="3439">
        <f>ROUND(M25*L25/10000,0)</f>
        <v>3152</v>
      </c>
      <c r="O25" s="2645"/>
      <c r="P25" s="2645"/>
      <c r="Q25" s="2645"/>
      <c r="R25" s="2645"/>
      <c r="S25" s="2645"/>
      <c r="T25" s="2645"/>
      <c r="U25" s="2645"/>
      <c r="V25" s="2645"/>
      <c r="W25" s="2645"/>
      <c r="X25" s="2645"/>
      <c r="Y25" s="2645"/>
      <c r="Z25" s="2645"/>
      <c r="AA25" s="2645"/>
      <c r="AB25" s="2645"/>
      <c r="AC25" s="2645"/>
      <c r="AD25" s="2645"/>
      <c r="AE25" s="2645"/>
      <c r="AF25" s="2645"/>
      <c r="AG25" s="2645"/>
      <c r="AH25" s="2645"/>
      <c r="AI25" s="2645"/>
      <c r="AJ25" s="2645"/>
      <c r="AK25" s="2645"/>
      <c r="AL25" s="2645"/>
      <c r="AM25" s="2645"/>
      <c r="AN25" s="2645"/>
      <c r="AO25" s="2645"/>
      <c r="AP25" s="2645"/>
      <c r="AQ25" s="2645"/>
      <c r="AR25" s="2645"/>
    </row>
    <row r="26" spans="1:67" ht="15" thickBot="1">
      <c r="A26" s="1682" t="s">
        <v>1215</v>
      </c>
      <c r="B26" s="1725" t="s">
        <v>1216</v>
      </c>
      <c r="C26" s="2651" t="s">
        <v>1217</v>
      </c>
      <c r="D26" s="2650"/>
      <c r="E26" s="2647"/>
      <c r="F26" s="2647"/>
      <c r="G26" s="2647"/>
      <c r="H26" s="2647"/>
      <c r="I26" s="2647"/>
      <c r="J26" s="2647"/>
      <c r="K26" s="3440" t="s">
        <v>3428</v>
      </c>
      <c r="L26" s="3439">
        <f>'[3]数据-汇总表'!G30</f>
        <v>0</v>
      </c>
      <c r="M26" s="3439">
        <v>0</v>
      </c>
      <c r="N26" s="3439">
        <f t="shared" ref="N26:N30" si="12">ROUND(M26*L26/10000,0)</f>
        <v>0</v>
      </c>
      <c r="O26" s="2645"/>
      <c r="P26" s="2645"/>
      <c r="Q26" s="2645"/>
      <c r="R26" s="2645"/>
      <c r="S26" s="2645"/>
      <c r="T26" s="2645"/>
      <c r="U26" s="2645"/>
      <c r="V26" s="2645"/>
      <c r="W26" s="2645"/>
      <c r="X26" s="2645"/>
      <c r="Y26" s="2645"/>
      <c r="Z26" s="2645"/>
      <c r="AA26" s="2645"/>
      <c r="AB26" s="2645"/>
      <c r="AC26" s="2645"/>
      <c r="AD26" s="2645"/>
      <c r="AE26" s="2645"/>
      <c r="AF26" s="2645"/>
      <c r="AG26" s="2645"/>
      <c r="AH26" s="2645"/>
      <c r="AI26" s="2645"/>
      <c r="AJ26" s="2645"/>
      <c r="AK26" s="2645"/>
      <c r="AL26" s="2645"/>
      <c r="AM26" s="2645"/>
      <c r="AN26" s="2645"/>
      <c r="AO26" s="2645"/>
      <c r="AP26" s="2645"/>
      <c r="AQ26" s="2645"/>
      <c r="AR26" s="2645"/>
    </row>
    <row r="27" spans="1:67" s="1727" customFormat="1" ht="27.75">
      <c r="A27" s="1726" t="s">
        <v>1218</v>
      </c>
      <c r="B27" s="107">
        <v>160</v>
      </c>
      <c r="C27" s="2775" t="s">
        <v>2279</v>
      </c>
      <c r="D27" s="2653"/>
      <c r="E27" s="2635"/>
      <c r="F27" s="2635"/>
      <c r="G27" s="2647"/>
      <c r="H27" s="2647"/>
      <c r="I27" s="2647"/>
      <c r="J27" s="2647"/>
      <c r="K27" s="3441" t="s">
        <v>3435</v>
      </c>
      <c r="L27" s="3442">
        <f>L24</f>
        <v>17559.11</v>
      </c>
      <c r="M27" s="3442">
        <v>700</v>
      </c>
      <c r="N27" s="3439">
        <f t="shared" si="12"/>
        <v>1229</v>
      </c>
      <c r="O27" s="2645"/>
      <c r="P27" s="2645"/>
      <c r="Q27" s="2645"/>
      <c r="R27" s="2645"/>
      <c r="S27" s="2645"/>
      <c r="T27" s="2645"/>
      <c r="U27" s="2645"/>
      <c r="V27" s="2645"/>
      <c r="W27" s="2645"/>
      <c r="X27" s="2645"/>
      <c r="Y27" s="2645"/>
      <c r="Z27" s="2645"/>
      <c r="AA27" s="2645"/>
      <c r="AB27" s="2645"/>
      <c r="AC27" s="2645"/>
      <c r="AD27" s="2645"/>
      <c r="AE27" s="2645"/>
      <c r="AF27" s="2645"/>
      <c r="AG27" s="2645"/>
      <c r="AH27" s="2645"/>
      <c r="AI27" s="2645"/>
      <c r="AJ27" s="2645"/>
      <c r="AK27" s="2645"/>
      <c r="AL27" s="2645"/>
      <c r="AM27" s="2645"/>
      <c r="AN27" s="2645"/>
      <c r="AO27" s="2645"/>
      <c r="AP27" s="2645"/>
      <c r="AQ27" s="2645"/>
      <c r="AR27" s="2645"/>
      <c r="AS27" s="794"/>
      <c r="AT27" s="794"/>
      <c r="AU27" s="794"/>
      <c r="AV27" s="794"/>
      <c r="AW27" s="794"/>
      <c r="AX27" s="794"/>
      <c r="AY27" s="794"/>
      <c r="AZ27" s="794"/>
      <c r="BA27" s="794"/>
      <c r="BB27" s="794"/>
      <c r="BC27" s="794"/>
      <c r="BD27" s="794"/>
      <c r="BE27" s="794"/>
      <c r="BF27" s="794"/>
      <c r="BG27" s="794"/>
      <c r="BH27" s="794"/>
      <c r="BI27" s="794"/>
      <c r="BJ27" s="794"/>
      <c r="BK27" s="794"/>
      <c r="BL27" s="794"/>
      <c r="BM27" s="794"/>
      <c r="BN27" s="794"/>
      <c r="BO27" s="794"/>
    </row>
    <row r="28" spans="1:67" s="1727" customFormat="1" ht="27.75">
      <c r="A28" s="1728" t="s">
        <v>1219</v>
      </c>
      <c r="B28" s="110">
        <v>200</v>
      </c>
      <c r="C28" s="2654"/>
      <c r="D28" s="2653"/>
      <c r="E28" s="2635"/>
      <c r="F28" s="2635"/>
      <c r="G28" s="2647"/>
      <c r="H28" s="2647"/>
      <c r="I28" s="2647"/>
      <c r="J28" s="2647"/>
      <c r="K28" s="3441" t="s">
        <v>3436</v>
      </c>
      <c r="L28" s="3442">
        <f>L27</f>
        <v>17559.11</v>
      </c>
      <c r="M28" s="3442">
        <v>0</v>
      </c>
      <c r="N28" s="3439">
        <f t="shared" si="12"/>
        <v>0</v>
      </c>
      <c r="O28" s="2645"/>
      <c r="P28" s="2645"/>
      <c r="Q28" s="2645"/>
      <c r="R28" s="2645"/>
      <c r="S28" s="2645"/>
      <c r="T28" s="2645"/>
      <c r="U28" s="2645"/>
      <c r="V28" s="2645"/>
      <c r="W28" s="2645"/>
      <c r="X28" s="2645"/>
      <c r="Y28" s="2645"/>
      <c r="Z28" s="2645"/>
      <c r="AA28" s="2645"/>
      <c r="AB28" s="2645"/>
      <c r="AC28" s="2645"/>
      <c r="AD28" s="2645"/>
      <c r="AE28" s="2645"/>
      <c r="AF28" s="2645"/>
      <c r="AG28" s="2645"/>
      <c r="AH28" s="2645"/>
      <c r="AI28" s="2645"/>
      <c r="AJ28" s="2645"/>
      <c r="AK28" s="2645"/>
      <c r="AL28" s="2645"/>
      <c r="AM28" s="2645"/>
      <c r="AN28" s="2645"/>
      <c r="AO28" s="2645"/>
      <c r="AP28" s="2645"/>
      <c r="AQ28" s="2645"/>
      <c r="AR28" s="2645"/>
      <c r="AS28" s="794"/>
      <c r="AT28" s="794"/>
      <c r="AU28" s="794"/>
      <c r="AV28" s="794"/>
      <c r="AW28" s="794"/>
      <c r="AX28" s="794"/>
      <c r="AY28" s="794"/>
      <c r="AZ28" s="794"/>
      <c r="BA28" s="794"/>
      <c r="BB28" s="794"/>
      <c r="BC28" s="794"/>
      <c r="BD28" s="794"/>
      <c r="BE28" s="794"/>
      <c r="BF28" s="794"/>
      <c r="BG28" s="794"/>
      <c r="BH28" s="794"/>
      <c r="BI28" s="794"/>
      <c r="BJ28" s="794"/>
      <c r="BK28" s="794"/>
      <c r="BL28" s="794"/>
      <c r="BM28" s="794"/>
      <c r="BN28" s="794"/>
      <c r="BO28" s="794"/>
    </row>
    <row r="29" spans="1:67" s="1727" customFormat="1" ht="28.5" thickBot="1">
      <c r="A29" s="1729" t="s">
        <v>1220</v>
      </c>
      <c r="B29" s="112">
        <f ca="1">成本法!C10</f>
        <v>351</v>
      </c>
      <c r="C29" s="2776" t="s">
        <v>2266</v>
      </c>
      <c r="D29" s="2653"/>
      <c r="E29" s="2635"/>
      <c r="F29" s="2635"/>
      <c r="G29" s="2647"/>
      <c r="H29" s="2647"/>
      <c r="I29" s="2647"/>
      <c r="J29" s="2647"/>
      <c r="K29" s="3441" t="s">
        <v>3437</v>
      </c>
      <c r="L29" s="3442">
        <f>L28</f>
        <v>17559.11</v>
      </c>
      <c r="M29" s="3442">
        <v>3425</v>
      </c>
      <c r="N29" s="3439">
        <f t="shared" si="12"/>
        <v>6014</v>
      </c>
      <c r="O29" s="2645"/>
      <c r="P29" s="2645"/>
      <c r="Q29" s="2645"/>
      <c r="R29" s="2645"/>
      <c r="S29" s="2645"/>
      <c r="T29" s="2645"/>
      <c r="U29" s="2645"/>
      <c r="V29" s="2645"/>
      <c r="W29" s="2645"/>
      <c r="X29" s="2645"/>
      <c r="Y29" s="2645"/>
      <c r="Z29" s="2645"/>
      <c r="AA29" s="2645"/>
      <c r="AB29" s="2645"/>
      <c r="AC29" s="2645"/>
      <c r="AD29" s="2645"/>
      <c r="AE29" s="2645"/>
      <c r="AF29" s="2645"/>
      <c r="AG29" s="2645"/>
      <c r="AH29" s="2645"/>
      <c r="AI29" s="2645"/>
      <c r="AJ29" s="2645"/>
      <c r="AK29" s="2645"/>
      <c r="AL29" s="2645"/>
      <c r="AM29" s="2645"/>
      <c r="AN29" s="2645"/>
      <c r="AO29" s="2645"/>
      <c r="AP29" s="2645"/>
      <c r="AQ29" s="2645"/>
      <c r="AR29" s="2645"/>
      <c r="AS29" s="794"/>
      <c r="AT29" s="794"/>
      <c r="AU29" s="794"/>
      <c r="AV29" s="794"/>
      <c r="AW29" s="794"/>
      <c r="AX29" s="794"/>
      <c r="AY29" s="794"/>
      <c r="AZ29" s="794"/>
      <c r="BA29" s="794"/>
      <c r="BB29" s="794"/>
      <c r="BC29" s="794"/>
      <c r="BD29" s="794"/>
      <c r="BE29" s="794"/>
      <c r="BF29" s="794"/>
      <c r="BG29" s="794"/>
      <c r="BH29" s="794"/>
      <c r="BI29" s="794"/>
      <c r="BJ29" s="794"/>
      <c r="BK29" s="794"/>
      <c r="BL29" s="794"/>
      <c r="BM29" s="794"/>
      <c r="BN29" s="794"/>
      <c r="BO29" s="794"/>
    </row>
    <row r="30" spans="1:67" s="1727" customFormat="1" ht="27">
      <c r="A30" s="1730" t="s">
        <v>1221</v>
      </c>
      <c r="B30" s="671">
        <v>200</v>
      </c>
      <c r="C30" s="2654"/>
      <c r="D30" s="2653"/>
      <c r="E30" s="2635"/>
      <c r="F30" s="2635"/>
      <c r="G30" s="2647"/>
      <c r="H30" s="2647"/>
      <c r="I30" s="2647"/>
      <c r="J30" s="2647"/>
      <c r="K30" s="3441" t="s">
        <v>3438</v>
      </c>
      <c r="L30" s="3445">
        <f>L29*0.2/3</f>
        <v>1170.6073333333334</v>
      </c>
      <c r="M30" s="3445">
        <f>M29</f>
        <v>3425</v>
      </c>
      <c r="N30" s="3439">
        <f t="shared" si="12"/>
        <v>401</v>
      </c>
      <c r="O30" s="2645"/>
      <c r="P30" s="2645"/>
      <c r="Q30" s="2645"/>
      <c r="R30" s="2645"/>
      <c r="S30" s="2645"/>
      <c r="T30" s="2645"/>
      <c r="U30" s="2645"/>
      <c r="V30" s="2645"/>
      <c r="W30" s="2645"/>
      <c r="X30" s="2645"/>
      <c r="Y30" s="2645"/>
      <c r="Z30" s="2645"/>
      <c r="AA30" s="2645"/>
      <c r="AB30" s="2645"/>
      <c r="AC30" s="2645"/>
      <c r="AD30" s="2645"/>
      <c r="AE30" s="2645"/>
      <c r="AF30" s="2645"/>
      <c r="AG30" s="2645"/>
      <c r="AH30" s="2645"/>
      <c r="AI30" s="2645"/>
      <c r="AJ30" s="2645"/>
      <c r="AK30" s="2645"/>
      <c r="AL30" s="2645"/>
      <c r="AM30" s="2645"/>
      <c r="AN30" s="2645"/>
      <c r="AO30" s="2645"/>
      <c r="AP30" s="2645"/>
      <c r="AQ30" s="2645"/>
      <c r="AR30" s="2645"/>
      <c r="AS30" s="794"/>
      <c r="AT30" s="794"/>
      <c r="AU30" s="794"/>
      <c r="AV30" s="794"/>
      <c r="AW30" s="794"/>
      <c r="AX30" s="794"/>
      <c r="AY30" s="794"/>
      <c r="AZ30" s="794"/>
      <c r="BA30" s="794"/>
      <c r="BB30" s="794"/>
      <c r="BC30" s="794"/>
      <c r="BD30" s="794"/>
      <c r="BE30" s="794"/>
      <c r="BF30" s="794"/>
      <c r="BG30" s="794"/>
      <c r="BH30" s="794"/>
      <c r="BI30" s="794"/>
      <c r="BJ30" s="794"/>
      <c r="BK30" s="794"/>
      <c r="BL30" s="794"/>
      <c r="BM30" s="794"/>
      <c r="BN30" s="794"/>
      <c r="BO30" s="794"/>
    </row>
    <row r="31" spans="1:67" s="1727" customFormat="1" ht="27">
      <c r="A31" s="1728" t="s">
        <v>1222</v>
      </c>
      <c r="B31" s="111">
        <f>B30-B32</f>
        <v>200</v>
      </c>
      <c r="C31" s="2652"/>
      <c r="D31" s="2653"/>
      <c r="E31" s="2635"/>
      <c r="F31" s="2635"/>
      <c r="G31" s="2647"/>
      <c r="H31" s="2647"/>
      <c r="I31" s="2647"/>
      <c r="J31" s="2647"/>
      <c r="K31" s="3441"/>
      <c r="L31" s="3444"/>
      <c r="M31" s="3439"/>
      <c r="N31" s="3439"/>
      <c r="O31" s="2645"/>
      <c r="P31" s="2645"/>
      <c r="Q31" s="2645"/>
      <c r="R31" s="2645"/>
      <c r="S31" s="2645"/>
      <c r="T31" s="2645"/>
      <c r="U31" s="2645"/>
      <c r="V31" s="2645"/>
      <c r="W31" s="2645"/>
      <c r="X31" s="2645"/>
      <c r="Y31" s="2645"/>
      <c r="Z31" s="2645"/>
      <c r="AA31" s="2645"/>
      <c r="AB31" s="2645"/>
      <c r="AC31" s="2645"/>
      <c r="AD31" s="2645"/>
      <c r="AE31" s="2645"/>
      <c r="AF31" s="2645"/>
      <c r="AG31" s="2645"/>
      <c r="AH31" s="2645"/>
      <c r="AI31" s="2645"/>
      <c r="AJ31" s="2645"/>
      <c r="AK31" s="2645"/>
      <c r="AL31" s="2645"/>
      <c r="AM31" s="2645"/>
      <c r="AN31" s="2645"/>
      <c r="AO31" s="2645"/>
      <c r="AP31" s="2645"/>
      <c r="AQ31" s="2645"/>
      <c r="AR31" s="2645"/>
      <c r="AS31" s="794"/>
      <c r="AT31" s="794"/>
      <c r="AU31" s="794"/>
      <c r="AV31" s="794"/>
      <c r="AW31" s="794"/>
      <c r="AX31" s="794"/>
      <c r="AY31" s="794"/>
      <c r="AZ31" s="794"/>
      <c r="BA31" s="794"/>
      <c r="BB31" s="794"/>
      <c r="BC31" s="794"/>
      <c r="BD31" s="794"/>
      <c r="BE31" s="794"/>
      <c r="BF31" s="794"/>
      <c r="BG31" s="794"/>
      <c r="BH31" s="794"/>
      <c r="BI31" s="794"/>
      <c r="BJ31" s="794"/>
      <c r="BK31" s="794"/>
      <c r="BL31" s="794"/>
      <c r="BM31" s="794"/>
      <c r="BN31" s="794"/>
      <c r="BO31" s="794"/>
    </row>
    <row r="32" spans="1:67" s="1727" customFormat="1" ht="27.75" thickBot="1">
      <c r="A32" s="1731" t="s">
        <v>1223</v>
      </c>
      <c r="B32" s="672">
        <v>0</v>
      </c>
      <c r="C32" s="2654"/>
      <c r="D32" s="2650"/>
      <c r="E32" s="2647"/>
      <c r="F32" s="2647"/>
      <c r="G32" s="2647"/>
      <c r="H32" s="2647"/>
      <c r="I32" s="2647"/>
      <c r="J32" s="2647"/>
      <c r="K32" s="3440" t="s">
        <v>3439</v>
      </c>
      <c r="L32" s="3439">
        <f>L24</f>
        <v>17559.11</v>
      </c>
      <c r="M32" s="3439">
        <f>ROUND(N32/L32*10000,0)</f>
        <v>6148</v>
      </c>
      <c r="N32" s="3439">
        <f>N31+N30+N23</f>
        <v>10796</v>
      </c>
      <c r="O32" s="2645"/>
      <c r="P32" s="2645"/>
      <c r="Q32" s="2645"/>
      <c r="R32" s="2645"/>
      <c r="S32" s="2645"/>
      <c r="T32" s="2645"/>
      <c r="U32" s="2645"/>
      <c r="V32" s="2645"/>
      <c r="W32" s="2645"/>
      <c r="X32" s="2645"/>
      <c r="Y32" s="2645"/>
      <c r="Z32" s="2645"/>
      <c r="AA32" s="2645"/>
      <c r="AB32" s="2645"/>
      <c r="AC32" s="2645"/>
      <c r="AD32" s="2645"/>
      <c r="AE32" s="2645"/>
      <c r="AF32" s="2645"/>
      <c r="AG32" s="2645"/>
      <c r="AH32" s="2645"/>
      <c r="AI32" s="2645"/>
      <c r="AJ32" s="2645"/>
      <c r="AK32" s="2645"/>
      <c r="AL32" s="2645"/>
      <c r="AM32" s="2645"/>
      <c r="AN32" s="2645"/>
      <c r="AO32" s="2645"/>
      <c r="AP32" s="2645"/>
      <c r="AQ32" s="2645"/>
      <c r="AR32" s="2645"/>
      <c r="AS32" s="794"/>
      <c r="AT32" s="794"/>
      <c r="AU32" s="794"/>
      <c r="AV32" s="794"/>
      <c r="AW32" s="794"/>
      <c r="AX32" s="794"/>
      <c r="AY32" s="794"/>
      <c r="AZ32" s="794"/>
      <c r="BA32" s="794"/>
      <c r="BB32" s="794"/>
      <c r="BC32" s="794"/>
      <c r="BD32" s="794"/>
      <c r="BE32" s="794"/>
      <c r="BF32" s="794"/>
      <c r="BG32" s="794"/>
      <c r="BH32" s="794"/>
      <c r="BI32" s="794"/>
      <c r="BJ32" s="794"/>
      <c r="BK32" s="794"/>
      <c r="BL32" s="794"/>
      <c r="BM32" s="794"/>
      <c r="BN32" s="794"/>
      <c r="BO32" s="794"/>
    </row>
    <row r="33" spans="1:67" s="1727" customFormat="1" ht="14.25">
      <c r="A33" s="1726" t="s">
        <v>1224</v>
      </c>
      <c r="B33" s="673">
        <v>0.03</v>
      </c>
      <c r="C33" s="2777" t="s">
        <v>2267</v>
      </c>
      <c r="D33" s="2650"/>
      <c r="E33" s="2647"/>
      <c r="F33" s="2647"/>
      <c r="G33" s="2647"/>
      <c r="H33" s="2647"/>
      <c r="I33" s="2647"/>
      <c r="J33" s="2647"/>
      <c r="K33" s="2646"/>
      <c r="L33" s="2646"/>
      <c r="M33" s="2645"/>
      <c r="N33" s="2645"/>
      <c r="O33" s="2645"/>
      <c r="P33" s="2645"/>
      <c r="Q33" s="2645"/>
      <c r="R33" s="2645"/>
      <c r="S33" s="2645"/>
      <c r="T33" s="2645"/>
      <c r="U33" s="2645"/>
      <c r="V33" s="2645"/>
      <c r="W33" s="2645"/>
      <c r="X33" s="2645"/>
      <c r="Y33" s="2645"/>
      <c r="Z33" s="2645"/>
      <c r="AA33" s="2645"/>
      <c r="AB33" s="2645"/>
      <c r="AC33" s="2645"/>
      <c r="AD33" s="2645"/>
      <c r="AE33" s="2645"/>
      <c r="AF33" s="2645"/>
      <c r="AG33" s="2645"/>
      <c r="AH33" s="2645"/>
      <c r="AI33" s="2645"/>
      <c r="AJ33" s="2645"/>
      <c r="AK33" s="2645"/>
      <c r="AL33" s="2645"/>
      <c r="AM33" s="2645"/>
      <c r="AN33" s="2645"/>
      <c r="AO33" s="2645"/>
      <c r="AP33" s="2645"/>
      <c r="AQ33" s="2645"/>
      <c r="AR33" s="2645"/>
      <c r="AS33" s="794"/>
      <c r="AT33" s="794"/>
      <c r="AU33" s="794"/>
      <c r="AV33" s="794"/>
      <c r="AW33" s="794"/>
      <c r="AX33" s="794"/>
      <c r="AY33" s="794"/>
      <c r="AZ33" s="794"/>
      <c r="BA33" s="794"/>
      <c r="BB33" s="794"/>
      <c r="BC33" s="794"/>
      <c r="BD33" s="794"/>
      <c r="BE33" s="794"/>
      <c r="BF33" s="794"/>
      <c r="BG33" s="794"/>
      <c r="BH33" s="794"/>
      <c r="BI33" s="794"/>
      <c r="BJ33" s="794"/>
      <c r="BK33" s="794"/>
      <c r="BL33" s="794"/>
      <c r="BM33" s="794"/>
      <c r="BN33" s="794"/>
      <c r="BO33" s="794"/>
    </row>
    <row r="34" spans="1:67" s="1727" customFormat="1" ht="14.25">
      <c r="A34" s="1728" t="s">
        <v>1225</v>
      </c>
      <c r="B34" s="113">
        <v>0</v>
      </c>
      <c r="C34" s="2777" t="s">
        <v>2268</v>
      </c>
      <c r="D34" s="2658" t="s">
        <v>2276</v>
      </c>
      <c r="E34" s="2656"/>
      <c r="F34" s="2647"/>
      <c r="G34" s="2647"/>
      <c r="H34" s="2647"/>
      <c r="I34" s="2647"/>
      <c r="J34" s="2647"/>
      <c r="K34" s="2646"/>
      <c r="L34" s="2646"/>
      <c r="M34" s="2645"/>
      <c r="N34" s="2645"/>
      <c r="O34" s="2645"/>
      <c r="P34" s="2645"/>
      <c r="Q34" s="2645"/>
      <c r="R34" s="2645"/>
      <c r="S34" s="2645"/>
      <c r="T34" s="2645"/>
      <c r="U34" s="2645"/>
      <c r="V34" s="2645"/>
      <c r="W34" s="2645"/>
      <c r="X34" s="2645"/>
      <c r="Y34" s="2645"/>
      <c r="Z34" s="2645"/>
      <c r="AA34" s="2645"/>
      <c r="AB34" s="2645"/>
      <c r="AC34" s="2645"/>
      <c r="AD34" s="2645"/>
      <c r="AE34" s="2645"/>
      <c r="AF34" s="2645"/>
      <c r="AG34" s="2645"/>
      <c r="AH34" s="2645"/>
      <c r="AI34" s="2645"/>
      <c r="AJ34" s="2645"/>
      <c r="AK34" s="2645"/>
      <c r="AL34" s="2645"/>
      <c r="AM34" s="2645"/>
      <c r="AN34" s="2645"/>
      <c r="AO34" s="2645"/>
      <c r="AP34" s="2645"/>
      <c r="AQ34" s="2645"/>
      <c r="AR34" s="2645"/>
      <c r="AS34" s="794"/>
      <c r="AT34" s="794"/>
      <c r="AU34" s="794"/>
      <c r="AV34" s="794"/>
      <c r="AW34" s="794"/>
      <c r="AX34" s="794"/>
      <c r="AY34" s="794"/>
      <c r="AZ34" s="794"/>
      <c r="BA34" s="794"/>
      <c r="BB34" s="794"/>
      <c r="BC34" s="794"/>
      <c r="BD34" s="794"/>
      <c r="BE34" s="794"/>
      <c r="BF34" s="794"/>
      <c r="BG34" s="794"/>
      <c r="BH34" s="794"/>
      <c r="BI34" s="794"/>
      <c r="BJ34" s="794"/>
      <c r="BK34" s="794"/>
      <c r="BL34" s="794"/>
      <c r="BM34" s="794"/>
      <c r="BN34" s="794"/>
      <c r="BO34" s="794"/>
    </row>
    <row r="35" spans="1:67" s="1727" customFormat="1" ht="14.25">
      <c r="A35" s="1728" t="s">
        <v>1226</v>
      </c>
      <c r="B35" s="110">
        <f>B30</f>
        <v>200</v>
      </c>
      <c r="C35" s="2777" t="s">
        <v>2269</v>
      </c>
      <c r="D35" s="2653"/>
      <c r="E35" s="2635"/>
      <c r="F35" s="2635"/>
      <c r="G35" s="2647"/>
      <c r="H35" s="2647"/>
      <c r="I35" s="2647"/>
      <c r="J35" s="2647"/>
      <c r="K35" s="2646"/>
      <c r="L35" s="2646"/>
      <c r="M35" s="2645"/>
      <c r="N35" s="2645"/>
      <c r="O35" s="2645"/>
      <c r="P35" s="2645"/>
      <c r="Q35" s="2645"/>
      <c r="R35" s="2645"/>
      <c r="S35" s="2645"/>
      <c r="T35" s="2645"/>
      <c r="U35" s="2645"/>
      <c r="V35" s="2645"/>
      <c r="W35" s="2645"/>
      <c r="X35" s="2645"/>
      <c r="Y35" s="2645"/>
      <c r="Z35" s="2645"/>
      <c r="AA35" s="2645"/>
      <c r="AB35" s="2645"/>
      <c r="AC35" s="2645"/>
      <c r="AD35" s="2645"/>
      <c r="AE35" s="2645"/>
      <c r="AF35" s="2645"/>
      <c r="AG35" s="2645"/>
      <c r="AH35" s="2645"/>
      <c r="AI35" s="2645"/>
      <c r="AJ35" s="2645"/>
      <c r="AK35" s="2645"/>
      <c r="AL35" s="2645"/>
      <c r="AM35" s="2645"/>
      <c r="AN35" s="2645"/>
      <c r="AO35" s="2645"/>
      <c r="AP35" s="2645"/>
      <c r="AQ35" s="2645"/>
      <c r="AR35" s="2645"/>
      <c r="AS35" s="794"/>
      <c r="AT35" s="794"/>
      <c r="AU35" s="794"/>
      <c r="AV35" s="794"/>
      <c r="AW35" s="794"/>
      <c r="AX35" s="794"/>
      <c r="AY35" s="794"/>
      <c r="AZ35" s="794"/>
      <c r="BA35" s="794"/>
      <c r="BB35" s="794"/>
      <c r="BC35" s="794"/>
      <c r="BD35" s="794"/>
      <c r="BE35" s="794"/>
      <c r="BF35" s="794"/>
      <c r="BG35" s="794"/>
      <c r="BH35" s="794"/>
      <c r="BI35" s="794"/>
      <c r="BJ35" s="794"/>
      <c r="BK35" s="794"/>
      <c r="BL35" s="794"/>
      <c r="BM35" s="794"/>
      <c r="BN35" s="794"/>
      <c r="BO35" s="794"/>
    </row>
    <row r="36" spans="1:67" ht="15" thickBot="1">
      <c r="A36" s="1729" t="s">
        <v>1227</v>
      </c>
      <c r="B36" s="114">
        <v>0.02</v>
      </c>
      <c r="C36" s="2777" t="s">
        <v>2270</v>
      </c>
      <c r="D36" s="2650"/>
      <c r="E36" s="2647"/>
      <c r="F36" s="2647"/>
      <c r="G36" s="2647"/>
      <c r="H36" s="2647"/>
      <c r="I36" s="2647"/>
      <c r="J36" s="2647"/>
      <c r="K36" s="2646"/>
      <c r="L36" s="2646"/>
      <c r="M36" s="2645"/>
      <c r="N36" s="2645"/>
      <c r="O36" s="2645"/>
      <c r="P36" s="2645"/>
      <c r="Q36" s="2645"/>
      <c r="R36" s="2645"/>
      <c r="S36" s="2645"/>
      <c r="T36" s="2645"/>
      <c r="U36" s="2645"/>
      <c r="V36" s="2645"/>
      <c r="W36" s="2645"/>
      <c r="X36" s="2645"/>
      <c r="Y36" s="2645"/>
      <c r="Z36" s="2645"/>
      <c r="AA36" s="2645"/>
      <c r="AB36" s="2645"/>
      <c r="AC36" s="2645"/>
      <c r="AD36" s="2645"/>
      <c r="AE36" s="2645"/>
      <c r="AF36" s="2645"/>
      <c r="AG36" s="2645"/>
      <c r="AH36" s="2645"/>
      <c r="AI36" s="2645"/>
      <c r="AJ36" s="2645"/>
      <c r="AK36" s="2645"/>
      <c r="AL36" s="2645"/>
      <c r="AM36" s="2645"/>
      <c r="AN36" s="2645"/>
      <c r="AO36" s="2645"/>
      <c r="AP36" s="2645"/>
      <c r="AQ36" s="2645"/>
      <c r="AR36" s="2645"/>
    </row>
    <row r="37" spans="1:67" ht="14.25">
      <c r="A37" s="1730" t="s">
        <v>1228</v>
      </c>
      <c r="B37" s="115">
        <v>0.03</v>
      </c>
      <c r="C37" s="2777" t="s">
        <v>2271</v>
      </c>
      <c r="D37" s="2650"/>
      <c r="E37" s="2647"/>
      <c r="F37" s="2647"/>
      <c r="G37" s="2647"/>
      <c r="H37" s="2647"/>
      <c r="I37" s="2647"/>
      <c r="J37" s="2647"/>
      <c r="K37" s="2646"/>
      <c r="L37" s="2646"/>
      <c r="M37" s="2645"/>
      <c r="N37" s="2645"/>
      <c r="O37" s="2645"/>
      <c r="P37" s="2645"/>
      <c r="Q37" s="2645"/>
      <c r="R37" s="2645"/>
      <c r="S37" s="2645"/>
      <c r="T37" s="2645"/>
      <c r="U37" s="2645"/>
      <c r="V37" s="2645"/>
      <c r="W37" s="2645"/>
      <c r="X37" s="2645"/>
      <c r="Y37" s="2645"/>
      <c r="Z37" s="2645"/>
      <c r="AA37" s="2645"/>
      <c r="AB37" s="2645"/>
      <c r="AC37" s="2645"/>
      <c r="AD37" s="2645"/>
      <c r="AE37" s="2645"/>
      <c r="AF37" s="2645"/>
      <c r="AG37" s="2645"/>
      <c r="AH37" s="2645"/>
      <c r="AI37" s="2645"/>
      <c r="AJ37" s="2645"/>
      <c r="AK37" s="2645"/>
      <c r="AL37" s="2645"/>
      <c r="AM37" s="2645"/>
      <c r="AN37" s="2645"/>
      <c r="AO37" s="2645"/>
      <c r="AP37" s="2645"/>
      <c r="AQ37" s="2645"/>
      <c r="AR37" s="2645"/>
    </row>
    <row r="38" spans="1:67" ht="14.25">
      <c r="A38" s="1728" t="s">
        <v>1229</v>
      </c>
      <c r="B38" s="113">
        <v>0.03</v>
      </c>
      <c r="C38" s="2777" t="s">
        <v>2271</v>
      </c>
      <c r="D38" s="2650"/>
      <c r="E38" s="2647"/>
      <c r="F38" s="2647"/>
      <c r="G38" s="2647"/>
      <c r="H38" s="2647"/>
      <c r="I38" s="2647"/>
      <c r="J38" s="2647"/>
      <c r="K38" s="2646"/>
      <c r="L38" s="2646"/>
      <c r="M38" s="2645"/>
      <c r="N38" s="2645"/>
      <c r="O38" s="2645"/>
      <c r="P38" s="2645"/>
      <c r="Q38" s="2645"/>
      <c r="R38" s="2645"/>
      <c r="S38" s="2645"/>
      <c r="T38" s="2645"/>
      <c r="U38" s="2645"/>
      <c r="V38" s="2645"/>
      <c r="W38" s="2645"/>
      <c r="X38" s="2645"/>
      <c r="Y38" s="2645"/>
      <c r="Z38" s="2645"/>
      <c r="AA38" s="2645"/>
      <c r="AB38" s="2645"/>
      <c r="AC38" s="2645"/>
      <c r="AD38" s="2645"/>
      <c r="AE38" s="2645"/>
      <c r="AF38" s="2645"/>
      <c r="AG38" s="2645"/>
      <c r="AH38" s="2645"/>
      <c r="AI38" s="2645"/>
      <c r="AJ38" s="2645"/>
      <c r="AK38" s="2645"/>
      <c r="AL38" s="2645"/>
      <c r="AM38" s="2645"/>
      <c r="AN38" s="2645"/>
      <c r="AO38" s="2645"/>
      <c r="AP38" s="2645"/>
      <c r="AQ38" s="2645"/>
      <c r="AR38" s="2645"/>
    </row>
    <row r="39" spans="1:67" ht="14.25">
      <c r="A39" s="1731" t="s">
        <v>1230</v>
      </c>
      <c r="B39" s="317">
        <f ca="1">存贷款利率!I1</f>
        <v>1.4999999999999999E-2</v>
      </c>
      <c r="C39" s="2655"/>
      <c r="D39" s="2650"/>
      <c r="E39" s="2647"/>
      <c r="F39" s="2647"/>
      <c r="G39" s="2647"/>
      <c r="H39" s="2647"/>
      <c r="I39" s="2647"/>
      <c r="J39" s="2647"/>
      <c r="K39" s="2646"/>
      <c r="L39" s="2646"/>
      <c r="M39" s="2645"/>
      <c r="N39" s="2645"/>
      <c r="O39" s="2645"/>
      <c r="P39" s="2645"/>
      <c r="Q39" s="2645"/>
      <c r="R39" s="2645"/>
      <c r="S39" s="2645"/>
      <c r="T39" s="2645"/>
      <c r="U39" s="2645"/>
      <c r="V39" s="2645"/>
      <c r="W39" s="2645"/>
      <c r="X39" s="2645"/>
      <c r="Y39" s="2645"/>
      <c r="Z39" s="2645"/>
      <c r="AA39" s="2645"/>
      <c r="AB39" s="2645"/>
      <c r="AC39" s="2645"/>
      <c r="AD39" s="2645"/>
      <c r="AE39" s="2645"/>
      <c r="AF39" s="2645"/>
      <c r="AG39" s="2645"/>
      <c r="AH39" s="2645"/>
      <c r="AI39" s="2645"/>
      <c r="AJ39" s="2645"/>
      <c r="AK39" s="2645"/>
      <c r="AL39" s="2645"/>
      <c r="AM39" s="2645"/>
      <c r="AN39" s="2645"/>
      <c r="AO39" s="2645"/>
      <c r="AP39" s="2645"/>
      <c r="AQ39" s="2645"/>
      <c r="AR39" s="2645"/>
    </row>
    <row r="40" spans="1:67" ht="15" thickBot="1">
      <c r="A40" s="2789" t="s">
        <v>2286</v>
      </c>
      <c r="B40" s="1078">
        <f ca="1">IF(A40="利息：取LPR",存贷款利率!G1,存贷款利率!G1+C40)</f>
        <v>3.4500000000000003E-2</v>
      </c>
      <c r="C40" s="2788">
        <v>5.0000000000000001E-3</v>
      </c>
      <c r="D40" s="2645"/>
      <c r="E40" s="2650"/>
      <c r="F40" s="2647"/>
      <c r="G40" s="2647"/>
      <c r="H40" s="2647"/>
      <c r="I40" s="2647"/>
      <c r="J40" s="2647"/>
      <c r="K40" s="2646"/>
      <c r="L40" s="2646"/>
      <c r="M40" s="2645"/>
      <c r="N40" s="2645"/>
      <c r="O40" s="2645"/>
      <c r="P40" s="2645"/>
      <c r="Q40" s="2645"/>
      <c r="R40" s="2645"/>
      <c r="S40" s="2645"/>
      <c r="T40" s="2645"/>
      <c r="U40" s="2645"/>
      <c r="V40" s="2645"/>
      <c r="W40" s="2645"/>
      <c r="X40" s="2645"/>
      <c r="Y40" s="2645"/>
      <c r="Z40" s="2645"/>
      <c r="AA40" s="2645"/>
      <c r="AB40" s="2645"/>
      <c r="AC40" s="2645"/>
      <c r="AD40" s="2645"/>
      <c r="AE40" s="2645"/>
      <c r="AF40" s="2645"/>
      <c r="AG40" s="2645"/>
      <c r="AH40" s="2645"/>
      <c r="AI40" s="2645"/>
      <c r="AJ40" s="2645"/>
      <c r="AK40" s="2645"/>
      <c r="AL40" s="2645"/>
      <c r="AM40" s="2645"/>
      <c r="AN40" s="2645"/>
      <c r="AO40" s="2645"/>
      <c r="AP40" s="2645"/>
      <c r="AQ40" s="2645"/>
      <c r="AR40" s="2645"/>
    </row>
    <row r="41" spans="1:67" ht="14.25">
      <c r="A41" s="1726" t="s">
        <v>1231</v>
      </c>
      <c r="B41" s="116">
        <f>B42+B43</f>
        <v>5.5000000000000007E-2</v>
      </c>
      <c r="C41" s="2652"/>
      <c r="D41" s="2645"/>
      <c r="E41" s="2650"/>
      <c r="F41" s="2647"/>
      <c r="G41" s="2647"/>
      <c r="H41" s="2647"/>
      <c r="I41" s="2647"/>
      <c r="J41" s="2647"/>
      <c r="K41" s="2646"/>
      <c r="L41" s="2646"/>
      <c r="M41" s="2645"/>
      <c r="N41" s="2645"/>
      <c r="O41" s="2645"/>
      <c r="P41" s="2645"/>
      <c r="Q41" s="2645"/>
      <c r="R41" s="2645"/>
      <c r="S41" s="2645"/>
      <c r="T41" s="2645"/>
      <c r="U41" s="2645"/>
      <c r="V41" s="2645"/>
      <c r="W41" s="2645"/>
      <c r="X41" s="2645"/>
      <c r="Y41" s="2645"/>
      <c r="Z41" s="2645"/>
      <c r="AA41" s="2645"/>
      <c r="AB41" s="2645"/>
      <c r="AC41" s="2645"/>
      <c r="AD41" s="2645"/>
      <c r="AE41" s="2645"/>
      <c r="AF41" s="2645"/>
      <c r="AG41" s="2645"/>
      <c r="AH41" s="2645"/>
      <c r="AI41" s="2645"/>
      <c r="AJ41" s="2645"/>
      <c r="AK41" s="2645"/>
      <c r="AL41" s="2645"/>
      <c r="AM41" s="2645"/>
      <c r="AN41" s="2645"/>
      <c r="AO41" s="2645"/>
      <c r="AP41" s="2645"/>
      <c r="AQ41" s="2645"/>
      <c r="AR41" s="2645"/>
    </row>
    <row r="42" spans="1:67" ht="14.25">
      <c r="A42" s="1732" t="s">
        <v>1232</v>
      </c>
      <c r="B42" s="117">
        <v>0.05</v>
      </c>
      <c r="C42" s="2657">
        <f>IF(B2&lt;DATE(2016,5,1),0,B42)</f>
        <v>0.05</v>
      </c>
      <c r="D42" s="2650"/>
      <c r="E42" s="2647"/>
      <c r="F42" s="2647"/>
      <c r="G42" s="2647"/>
      <c r="H42" s="2647"/>
      <c r="I42" s="2647"/>
      <c r="J42" s="2647"/>
      <c r="K42" s="2646"/>
      <c r="L42" s="2646"/>
      <c r="M42" s="2645"/>
      <c r="N42" s="2645"/>
      <c r="O42" s="2645"/>
      <c r="P42" s="2645"/>
      <c r="Q42" s="2645"/>
      <c r="R42" s="2645"/>
      <c r="S42" s="2645"/>
      <c r="T42" s="2645"/>
      <c r="U42" s="2645"/>
      <c r="V42" s="2645"/>
      <c r="W42" s="2645"/>
      <c r="X42" s="2645"/>
      <c r="Y42" s="2645"/>
      <c r="Z42" s="2645"/>
      <c r="AA42" s="2645"/>
      <c r="AB42" s="2645"/>
      <c r="AC42" s="2645"/>
      <c r="AD42" s="2645"/>
      <c r="AE42" s="2645"/>
      <c r="AF42" s="2645"/>
      <c r="AG42" s="2645"/>
      <c r="AH42" s="2645"/>
      <c r="AI42" s="2645"/>
      <c r="AJ42" s="2645"/>
      <c r="AK42" s="2645"/>
      <c r="AL42" s="2645"/>
      <c r="AM42" s="2645"/>
      <c r="AN42" s="2645"/>
      <c r="AO42" s="2645"/>
      <c r="AP42" s="2645"/>
      <c r="AQ42" s="2645"/>
      <c r="AR42" s="2645"/>
    </row>
    <row r="43" spans="1:67" ht="14.25">
      <c r="A43" s="1732" t="s">
        <v>1233</v>
      </c>
      <c r="B43" s="118">
        <f>B42*(B44+B45+B46)+B47</f>
        <v>5.000000000000001E-3</v>
      </c>
      <c r="C43" s="2652"/>
      <c r="D43" s="2650"/>
      <c r="E43" s="2647"/>
      <c r="F43" s="2647"/>
      <c r="G43" s="2647"/>
      <c r="H43" s="2647"/>
      <c r="I43" s="2647"/>
      <c r="J43" s="2647"/>
      <c r="K43" s="2646"/>
      <c r="L43" s="2646"/>
      <c r="M43" s="2645"/>
      <c r="N43" s="2645"/>
      <c r="O43" s="2645"/>
      <c r="P43" s="2645"/>
      <c r="Q43" s="2645"/>
      <c r="R43" s="2645"/>
      <c r="S43" s="2645"/>
      <c r="T43" s="2645"/>
      <c r="U43" s="2645"/>
      <c r="V43" s="2645"/>
      <c r="W43" s="2645"/>
      <c r="X43" s="2645"/>
      <c r="Y43" s="2645"/>
      <c r="Z43" s="2645"/>
      <c r="AA43" s="2645"/>
      <c r="AB43" s="2645"/>
      <c r="AC43" s="2645"/>
      <c r="AD43" s="2645"/>
      <c r="AE43" s="2645"/>
      <c r="AF43" s="2645"/>
      <c r="AG43" s="2645"/>
      <c r="AH43" s="2645"/>
      <c r="AI43" s="2645"/>
      <c r="AJ43" s="2645"/>
      <c r="AK43" s="2645"/>
      <c r="AL43" s="2645"/>
      <c r="AM43" s="2645"/>
      <c r="AN43" s="2645"/>
      <c r="AO43" s="2645"/>
      <c r="AP43" s="2645"/>
      <c r="AQ43" s="2645"/>
      <c r="AR43" s="2645"/>
    </row>
    <row r="44" spans="1:67" ht="14.25">
      <c r="A44" s="1733" t="s">
        <v>1234</v>
      </c>
      <c r="B44" s="119">
        <v>0.05</v>
      </c>
      <c r="C44" s="2777" t="s">
        <v>2280</v>
      </c>
      <c r="D44" s="2650"/>
      <c r="E44" s="2647"/>
      <c r="F44" s="2647"/>
      <c r="G44" s="2647"/>
      <c r="H44" s="2647"/>
      <c r="I44" s="2647"/>
      <c r="J44" s="2647"/>
      <c r="K44" s="2646"/>
      <c r="L44" s="2646"/>
      <c r="M44" s="2645"/>
      <c r="N44" s="2645"/>
      <c r="O44" s="2645"/>
      <c r="P44" s="2645"/>
      <c r="Q44" s="2645"/>
      <c r="R44" s="2645"/>
      <c r="S44" s="2645"/>
      <c r="T44" s="2645"/>
      <c r="U44" s="2645"/>
      <c r="V44" s="2645"/>
      <c r="W44" s="2645"/>
      <c r="X44" s="2645"/>
      <c r="Y44" s="2645"/>
      <c r="Z44" s="2645"/>
      <c r="AA44" s="2645"/>
      <c r="AB44" s="2645"/>
      <c r="AC44" s="2645"/>
      <c r="AD44" s="2645"/>
      <c r="AE44" s="2645"/>
      <c r="AF44" s="2645"/>
      <c r="AG44" s="2645"/>
      <c r="AH44" s="2645"/>
      <c r="AI44" s="2645"/>
      <c r="AJ44" s="2645"/>
      <c r="AK44" s="2645"/>
      <c r="AL44" s="2645"/>
      <c r="AM44" s="2645"/>
      <c r="AN44" s="2645"/>
      <c r="AO44" s="2645"/>
      <c r="AP44" s="2645"/>
      <c r="AQ44" s="2645"/>
      <c r="AR44" s="2645"/>
    </row>
    <row r="45" spans="1:67" ht="14.25">
      <c r="A45" s="1733" t="s">
        <v>1235</v>
      </c>
      <c r="B45" s="117">
        <v>0.03</v>
      </c>
      <c r="C45" s="2776" t="s">
        <v>2272</v>
      </c>
      <c r="D45" s="2650"/>
      <c r="E45" s="2647"/>
      <c r="F45" s="2647"/>
      <c r="G45" s="2647"/>
      <c r="H45" s="2647"/>
      <c r="I45" s="2647"/>
      <c r="J45" s="2647"/>
      <c r="K45" s="2646"/>
      <c r="L45" s="2646"/>
      <c r="M45" s="2645"/>
      <c r="N45" s="2645"/>
      <c r="O45" s="2645"/>
      <c r="P45" s="2645"/>
      <c r="Q45" s="2645"/>
      <c r="R45" s="2645"/>
      <c r="S45" s="2645"/>
      <c r="T45" s="2645"/>
      <c r="U45" s="2645"/>
      <c r="V45" s="2645"/>
      <c r="W45" s="2645"/>
      <c r="X45" s="2645"/>
      <c r="Y45" s="2645"/>
      <c r="Z45" s="2645"/>
      <c r="AA45" s="2645"/>
      <c r="AB45" s="2645"/>
      <c r="AC45" s="2645"/>
      <c r="AD45" s="2645"/>
      <c r="AE45" s="2645"/>
      <c r="AF45" s="2645"/>
      <c r="AG45" s="2645"/>
      <c r="AH45" s="2645"/>
      <c r="AI45" s="2645"/>
      <c r="AJ45" s="2645"/>
      <c r="AK45" s="2645"/>
      <c r="AL45" s="2645"/>
      <c r="AM45" s="2645"/>
      <c r="AN45" s="2645"/>
      <c r="AO45" s="2645"/>
      <c r="AP45" s="2645"/>
      <c r="AQ45" s="2645"/>
      <c r="AR45" s="2645"/>
    </row>
    <row r="46" spans="1:67" ht="14.25">
      <c r="A46" s="1733" t="s">
        <v>1236</v>
      </c>
      <c r="B46" s="117">
        <v>0.02</v>
      </c>
      <c r="C46" s="2776" t="s">
        <v>2273</v>
      </c>
      <c r="D46" s="2650"/>
      <c r="E46" s="2647"/>
      <c r="F46" s="2647"/>
      <c r="G46" s="2647"/>
      <c r="H46" s="2647"/>
      <c r="I46" s="2647"/>
      <c r="J46" s="2647"/>
      <c r="K46" s="2646"/>
      <c r="L46" s="2646"/>
      <c r="M46" s="2645"/>
      <c r="N46" s="2645"/>
      <c r="O46" s="2645"/>
      <c r="P46" s="2645"/>
      <c r="Q46" s="2645"/>
      <c r="R46" s="2645"/>
      <c r="S46" s="2645"/>
      <c r="T46" s="2645"/>
      <c r="U46" s="2645"/>
      <c r="V46" s="2645"/>
      <c r="W46" s="2645"/>
      <c r="X46" s="2645"/>
      <c r="Y46" s="2645"/>
      <c r="Z46" s="2645"/>
      <c r="AA46" s="2645"/>
      <c r="AB46" s="2645"/>
      <c r="AC46" s="2645"/>
      <c r="AD46" s="2645"/>
      <c r="AE46" s="2645"/>
      <c r="AF46" s="2645"/>
      <c r="AG46" s="2645"/>
      <c r="AH46" s="2645"/>
      <c r="AI46" s="2645"/>
      <c r="AJ46" s="2645"/>
      <c r="AK46" s="2645"/>
      <c r="AL46" s="2645"/>
      <c r="AM46" s="2645"/>
      <c r="AN46" s="2645"/>
      <c r="AO46" s="2645"/>
      <c r="AP46" s="2645"/>
      <c r="AQ46" s="2645"/>
      <c r="AR46" s="2645"/>
    </row>
    <row r="47" spans="1:67" ht="15" thickBot="1">
      <c r="A47" s="1734" t="s">
        <v>1237</v>
      </c>
      <c r="B47" s="120">
        <v>0</v>
      </c>
      <c r="C47" s="2779" t="s">
        <v>2281</v>
      </c>
      <c r="D47" s="2650"/>
      <c r="E47" s="2647"/>
      <c r="F47" s="2647"/>
      <c r="G47" s="2647"/>
      <c r="H47" s="2647"/>
      <c r="I47" s="2647"/>
      <c r="J47" s="2647"/>
      <c r="K47" s="2646"/>
      <c r="L47" s="2646"/>
      <c r="M47" s="2645"/>
      <c r="N47" s="2645"/>
      <c r="O47" s="2645"/>
      <c r="P47" s="2645"/>
      <c r="Q47" s="2645"/>
      <c r="R47" s="2645"/>
      <c r="S47" s="2645"/>
      <c r="T47" s="2645"/>
      <c r="U47" s="2645"/>
      <c r="V47" s="2645"/>
      <c r="W47" s="2645"/>
      <c r="X47" s="2645"/>
      <c r="Y47" s="2645"/>
      <c r="Z47" s="2645"/>
      <c r="AA47" s="2645"/>
      <c r="AB47" s="2645"/>
      <c r="AC47" s="2645"/>
      <c r="AD47" s="2645"/>
      <c r="AE47" s="2645"/>
      <c r="AF47" s="2645"/>
      <c r="AG47" s="2645"/>
      <c r="AH47" s="2645"/>
      <c r="AI47" s="2645"/>
      <c r="AJ47" s="2645"/>
      <c r="AK47" s="2645"/>
      <c r="AL47" s="2645"/>
      <c r="AM47" s="2645"/>
      <c r="AN47" s="2645"/>
      <c r="AO47" s="2645"/>
      <c r="AP47" s="2645"/>
      <c r="AQ47" s="2645"/>
      <c r="AR47" s="2645"/>
    </row>
    <row r="48" spans="1:67" ht="14.25">
      <c r="A48" s="1735" t="s">
        <v>1238</v>
      </c>
      <c r="B48" s="121">
        <v>0.03</v>
      </c>
      <c r="C48" s="2776" t="s">
        <v>2272</v>
      </c>
      <c r="D48" s="2650"/>
      <c r="E48" s="2647"/>
      <c r="F48" s="2647"/>
      <c r="G48" s="2647"/>
      <c r="H48" s="2647"/>
      <c r="I48" s="2647"/>
      <c r="J48" s="2647"/>
      <c r="K48" s="2646"/>
      <c r="L48" s="2646"/>
      <c r="M48" s="2645"/>
      <c r="N48" s="2645"/>
      <c r="O48" s="2645"/>
      <c r="P48" s="2645"/>
      <c r="Q48" s="2645"/>
      <c r="R48" s="2645"/>
      <c r="S48" s="2645"/>
      <c r="T48" s="2645"/>
      <c r="U48" s="2645"/>
      <c r="V48" s="2645"/>
      <c r="W48" s="2645"/>
      <c r="X48" s="2645"/>
      <c r="Y48" s="2645"/>
      <c r="Z48" s="2645"/>
      <c r="AA48" s="2645"/>
      <c r="AB48" s="2645"/>
      <c r="AC48" s="2645"/>
      <c r="AD48" s="2645"/>
      <c r="AE48" s="2645"/>
      <c r="AF48" s="2645"/>
      <c r="AG48" s="2645"/>
      <c r="AH48" s="2645"/>
      <c r="AI48" s="2645"/>
      <c r="AJ48" s="2645"/>
      <c r="AK48" s="2645"/>
      <c r="AL48" s="2645"/>
      <c r="AM48" s="2645"/>
      <c r="AN48" s="2645"/>
      <c r="AO48" s="2645"/>
      <c r="AP48" s="2645"/>
      <c r="AQ48" s="2645"/>
      <c r="AR48" s="2645"/>
    </row>
    <row r="49" spans="1:44" ht="15" thickBot="1">
      <c r="A49" s="1731" t="s">
        <v>1239</v>
      </c>
      <c r="B49" s="117">
        <v>5.0000000000000001E-4</v>
      </c>
      <c r="C49" s="2776" t="s">
        <v>2274</v>
      </c>
      <c r="D49" s="2650"/>
      <c r="E49" s="2647"/>
      <c r="F49" s="2647"/>
      <c r="G49" s="2647"/>
      <c r="H49" s="2647"/>
      <c r="I49" s="2647"/>
      <c r="J49" s="2647"/>
      <c r="K49" s="2646"/>
      <c r="L49" s="2646"/>
      <c r="M49" s="2645"/>
      <c r="N49" s="2645"/>
      <c r="O49" s="2645"/>
      <c r="P49" s="2645"/>
      <c r="Q49" s="2645"/>
      <c r="R49" s="2645"/>
      <c r="S49" s="2645"/>
      <c r="T49" s="2645"/>
      <c r="U49" s="2645"/>
      <c r="V49" s="2645"/>
      <c r="W49" s="2645"/>
      <c r="X49" s="2645"/>
      <c r="Y49" s="2645"/>
      <c r="Z49" s="2645"/>
      <c r="AA49" s="2645"/>
      <c r="AB49" s="2645"/>
      <c r="AC49" s="2645"/>
      <c r="AD49" s="2645"/>
      <c r="AE49" s="2645"/>
      <c r="AF49" s="2645"/>
      <c r="AG49" s="2645"/>
      <c r="AH49" s="2645"/>
      <c r="AI49" s="2645"/>
      <c r="AJ49" s="2645"/>
      <c r="AK49" s="2645"/>
      <c r="AL49" s="2645"/>
      <c r="AM49" s="2645"/>
      <c r="AN49" s="2645"/>
      <c r="AO49" s="2645"/>
      <c r="AP49" s="2645"/>
      <c r="AQ49" s="2645"/>
      <c r="AR49" s="2645"/>
    </row>
    <row r="50" spans="1:44" ht="14.25">
      <c r="A50" s="1736" t="s">
        <v>1240</v>
      </c>
      <c r="B50" s="122">
        <v>1.2E-2</v>
      </c>
      <c r="C50" s="2635"/>
      <c r="D50" s="2650"/>
      <c r="E50" s="2647"/>
      <c r="F50" s="2647"/>
      <c r="G50" s="2647"/>
      <c r="H50" s="2647"/>
      <c r="I50" s="2647"/>
      <c r="J50" s="2647"/>
      <c r="K50" s="2646"/>
      <c r="L50" s="2646"/>
      <c r="M50" s="2645"/>
      <c r="N50" s="2645"/>
      <c r="O50" s="2645"/>
      <c r="P50" s="2645"/>
      <c r="Q50" s="2645"/>
      <c r="R50" s="2645"/>
      <c r="S50" s="2645"/>
      <c r="T50" s="2645"/>
      <c r="U50" s="2645"/>
      <c r="V50" s="2645"/>
      <c r="W50" s="2645"/>
      <c r="X50" s="2645"/>
      <c r="Y50" s="2645"/>
      <c r="Z50" s="2645"/>
      <c r="AA50" s="2645"/>
      <c r="AB50" s="2645"/>
      <c r="AC50" s="2645"/>
      <c r="AD50" s="2645"/>
      <c r="AE50" s="2645"/>
      <c r="AF50" s="2645"/>
      <c r="AG50" s="2645"/>
      <c r="AH50" s="2645"/>
      <c r="AI50" s="2645"/>
      <c r="AJ50" s="2645"/>
      <c r="AK50" s="2645"/>
      <c r="AL50" s="2645"/>
      <c r="AM50" s="2645"/>
      <c r="AN50" s="2645"/>
      <c r="AO50" s="2645"/>
      <c r="AP50" s="2645"/>
      <c r="AQ50" s="2645"/>
      <c r="AR50" s="2645"/>
    </row>
    <row r="51" spans="1:44" ht="15" thickBot="1">
      <c r="A51" s="1729" t="s">
        <v>1241</v>
      </c>
      <c r="B51" s="123">
        <v>0.12</v>
      </c>
      <c r="C51" s="2635"/>
      <c r="D51" s="2650"/>
      <c r="E51" s="2647"/>
      <c r="F51" s="2647"/>
      <c r="G51" s="2647"/>
      <c r="H51" s="2647"/>
      <c r="I51" s="2647"/>
      <c r="J51" s="2647"/>
      <c r="K51" s="2646"/>
      <c r="L51" s="2646"/>
      <c r="M51" s="2645"/>
      <c r="N51" s="2645"/>
      <c r="O51" s="2645"/>
      <c r="P51" s="2645"/>
      <c r="Q51" s="2645"/>
      <c r="R51" s="2645"/>
      <c r="S51" s="2645"/>
      <c r="T51" s="2645"/>
      <c r="U51" s="2645"/>
      <c r="V51" s="2645"/>
      <c r="W51" s="2645"/>
      <c r="X51" s="2645"/>
      <c r="Y51" s="2645"/>
      <c r="Z51" s="2645"/>
      <c r="AA51" s="2645"/>
      <c r="AB51" s="2645"/>
      <c r="AC51" s="2645"/>
      <c r="AD51" s="2645"/>
      <c r="AE51" s="2645"/>
      <c r="AF51" s="2645"/>
      <c r="AG51" s="2645"/>
      <c r="AH51" s="2645"/>
      <c r="AI51" s="2645"/>
      <c r="AJ51" s="2645"/>
      <c r="AK51" s="2645"/>
      <c r="AL51" s="2645"/>
      <c r="AM51" s="2645"/>
      <c r="AN51" s="2645"/>
      <c r="AO51" s="2645"/>
      <c r="AP51" s="2645"/>
      <c r="AQ51" s="2645"/>
      <c r="AR51" s="2645"/>
    </row>
    <row r="52" spans="1:44" ht="14.25">
      <c r="A52" s="1736" t="s">
        <v>1242</v>
      </c>
      <c r="B52" s="124">
        <f>SUMIF(A54:A63,B53,B54:B63)</f>
        <v>1.5</v>
      </c>
      <c r="C52" s="2635"/>
      <c r="D52" s="2650"/>
      <c r="E52" s="2647"/>
      <c r="F52" s="2647"/>
      <c r="G52" s="2647"/>
      <c r="H52" s="2647"/>
      <c r="I52" s="2647"/>
      <c r="J52" s="2647"/>
      <c r="K52" s="2646"/>
      <c r="L52" s="2646"/>
      <c r="M52" s="2645"/>
      <c r="N52" s="2645"/>
      <c r="O52" s="2645"/>
      <c r="P52" s="2645"/>
      <c r="Q52" s="2645"/>
      <c r="R52" s="2645"/>
      <c r="S52" s="2645"/>
      <c r="T52" s="2645"/>
      <c r="U52" s="2645"/>
      <c r="V52" s="2645"/>
      <c r="W52" s="2645"/>
      <c r="X52" s="2645"/>
      <c r="Y52" s="2645"/>
      <c r="Z52" s="2645"/>
      <c r="AA52" s="2645"/>
      <c r="AB52" s="2645"/>
      <c r="AC52" s="2645"/>
      <c r="AD52" s="2645"/>
      <c r="AE52" s="2645"/>
      <c r="AF52" s="2645"/>
      <c r="AG52" s="2645"/>
      <c r="AH52" s="2645"/>
      <c r="AI52" s="2645"/>
      <c r="AJ52" s="2645"/>
      <c r="AK52" s="2645"/>
      <c r="AL52" s="2645"/>
      <c r="AM52" s="2645"/>
      <c r="AN52" s="2645"/>
      <c r="AO52" s="2645"/>
      <c r="AP52" s="2645"/>
      <c r="AQ52" s="2645"/>
      <c r="AR52" s="2645"/>
    </row>
    <row r="53" spans="1:44" ht="27">
      <c r="A53" s="1728" t="s">
        <v>1243</v>
      </c>
      <c r="B53" s="1737" t="s">
        <v>29</v>
      </c>
      <c r="C53" s="2635" t="s">
        <v>1244</v>
      </c>
      <c r="D53" s="2778" t="s">
        <v>2278</v>
      </c>
      <c r="E53" s="2647"/>
      <c r="F53" s="2647"/>
      <c r="G53" s="2647"/>
      <c r="H53" s="2647"/>
      <c r="I53" s="2647"/>
      <c r="J53" s="2647"/>
      <c r="K53" s="2646"/>
      <c r="L53" s="2646"/>
      <c r="M53" s="2645"/>
      <c r="N53" s="2645"/>
      <c r="O53" s="2645"/>
      <c r="P53" s="2645"/>
      <c r="Q53" s="2645"/>
      <c r="R53" s="2645"/>
      <c r="S53" s="2645"/>
      <c r="T53" s="2645"/>
      <c r="U53" s="2645"/>
      <c r="V53" s="2645"/>
      <c r="W53" s="2645"/>
      <c r="X53" s="2645"/>
      <c r="Y53" s="2645"/>
      <c r="Z53" s="2645"/>
      <c r="AA53" s="2645"/>
      <c r="AB53" s="2645"/>
      <c r="AC53" s="2645"/>
      <c r="AD53" s="2645"/>
      <c r="AE53" s="2645"/>
      <c r="AF53" s="2645"/>
      <c r="AG53" s="2645"/>
      <c r="AH53" s="2645"/>
      <c r="AI53" s="2645"/>
      <c r="AJ53" s="2645"/>
      <c r="AK53" s="2645"/>
      <c r="AL53" s="2645"/>
      <c r="AM53" s="2645"/>
      <c r="AN53" s="2645"/>
      <c r="AO53" s="2645"/>
      <c r="AP53" s="2645"/>
      <c r="AQ53" s="2645"/>
      <c r="AR53" s="2645"/>
    </row>
    <row r="54" spans="1:44" ht="14.25">
      <c r="A54" s="1738" t="s">
        <v>1245</v>
      </c>
      <c r="B54" s="75"/>
      <c r="C54" s="2635">
        <v>30</v>
      </c>
      <c r="D54" s="2650"/>
      <c r="E54" s="2647"/>
      <c r="F54" s="2647"/>
      <c r="G54" s="2647"/>
      <c r="H54" s="2647"/>
      <c r="I54" s="2647"/>
      <c r="J54" s="2647"/>
      <c r="K54" s="2646"/>
      <c r="L54" s="2646"/>
      <c r="M54" s="2645"/>
      <c r="N54" s="2645"/>
      <c r="O54" s="2645"/>
      <c r="P54" s="2645"/>
      <c r="Q54" s="2645"/>
      <c r="R54" s="2645"/>
      <c r="S54" s="2645"/>
      <c r="T54" s="2645"/>
      <c r="U54" s="2645"/>
      <c r="V54" s="2645"/>
      <c r="W54" s="2645"/>
      <c r="X54" s="2645"/>
      <c r="Y54" s="2645"/>
      <c r="Z54" s="2645"/>
      <c r="AA54" s="2645"/>
      <c r="AB54" s="2645"/>
      <c r="AC54" s="2645"/>
      <c r="AD54" s="2645"/>
      <c r="AE54" s="2645"/>
      <c r="AF54" s="2645"/>
      <c r="AG54" s="2645"/>
      <c r="AH54" s="2645"/>
      <c r="AI54" s="2645"/>
      <c r="AJ54" s="2645"/>
      <c r="AK54" s="2645"/>
      <c r="AL54" s="2645"/>
      <c r="AM54" s="2645"/>
      <c r="AN54" s="2645"/>
      <c r="AO54" s="2645"/>
      <c r="AP54" s="2645"/>
      <c r="AQ54" s="2645"/>
      <c r="AR54" s="2645"/>
    </row>
    <row r="55" spans="1:44" ht="14.25">
      <c r="A55" s="1738" t="s">
        <v>1246</v>
      </c>
      <c r="B55" s="75"/>
      <c r="C55" s="2635">
        <v>24</v>
      </c>
      <c r="D55" s="2650"/>
      <c r="E55" s="2647"/>
      <c r="F55" s="2647"/>
      <c r="G55" s="2647"/>
      <c r="H55" s="2647"/>
      <c r="I55" s="2648"/>
      <c r="J55" s="2647"/>
      <c r="K55" s="2646"/>
      <c r="L55" s="2646"/>
      <c r="M55" s="2645"/>
      <c r="N55" s="2645"/>
      <c r="O55" s="2645"/>
      <c r="P55" s="2645"/>
      <c r="Q55" s="2645"/>
      <c r="R55" s="2645"/>
      <c r="S55" s="2645"/>
      <c r="T55" s="2645"/>
      <c r="U55" s="2645"/>
      <c r="V55" s="2645"/>
      <c r="W55" s="2645"/>
      <c r="X55" s="2645"/>
      <c r="Y55" s="2645"/>
      <c r="Z55" s="2645"/>
      <c r="AA55" s="2645"/>
      <c r="AB55" s="2645"/>
      <c r="AC55" s="2645"/>
      <c r="AD55" s="2645"/>
      <c r="AE55" s="2645"/>
      <c r="AF55" s="2645"/>
      <c r="AG55" s="2645"/>
      <c r="AH55" s="2645"/>
      <c r="AI55" s="2645"/>
      <c r="AJ55" s="2645"/>
      <c r="AK55" s="2645"/>
      <c r="AL55" s="2645"/>
      <c r="AM55" s="2645"/>
      <c r="AN55" s="2645"/>
      <c r="AO55" s="2645"/>
      <c r="AP55" s="2645"/>
      <c r="AQ55" s="2645"/>
      <c r="AR55" s="2645"/>
    </row>
    <row r="56" spans="1:44" ht="14.25">
      <c r="A56" s="1738" t="s">
        <v>1247</v>
      </c>
      <c r="B56" s="75"/>
      <c r="C56" s="2635">
        <v>18</v>
      </c>
      <c r="D56" s="2650"/>
      <c r="E56" s="2647"/>
      <c r="F56" s="2647"/>
      <c r="G56" s="2647"/>
      <c r="H56" s="2647"/>
      <c r="I56" s="2647"/>
      <c r="J56" s="2647"/>
      <c r="K56" s="2646"/>
      <c r="L56" s="2646"/>
      <c r="M56" s="2645"/>
      <c r="N56" s="2645"/>
      <c r="O56" s="2645"/>
      <c r="P56" s="2645"/>
      <c r="Q56" s="2645"/>
      <c r="R56" s="2645"/>
      <c r="S56" s="2645"/>
      <c r="T56" s="2645"/>
      <c r="U56" s="2645"/>
      <c r="V56" s="2645"/>
      <c r="W56" s="2645"/>
      <c r="X56" s="2645"/>
      <c r="Y56" s="2645"/>
      <c r="Z56" s="2645"/>
      <c r="AA56" s="2645"/>
      <c r="AB56" s="2645"/>
      <c r="AC56" s="2645"/>
      <c r="AD56" s="2645"/>
      <c r="AE56" s="2645"/>
      <c r="AF56" s="2645"/>
      <c r="AG56" s="2645"/>
      <c r="AH56" s="2645"/>
      <c r="AI56" s="2645"/>
      <c r="AJ56" s="2645"/>
      <c r="AK56" s="2645"/>
      <c r="AL56" s="2645"/>
      <c r="AM56" s="2645"/>
      <c r="AN56" s="2645"/>
      <c r="AO56" s="2645"/>
      <c r="AP56" s="2645"/>
      <c r="AQ56" s="2645"/>
      <c r="AR56" s="2645"/>
    </row>
    <row r="57" spans="1:44" ht="14.25">
      <c r="A57" s="1738" t="s">
        <v>1248</v>
      </c>
      <c r="B57" s="75"/>
      <c r="C57" s="2635">
        <v>12</v>
      </c>
      <c r="D57" s="2650"/>
      <c r="E57" s="2647"/>
      <c r="F57" s="2647"/>
      <c r="G57" s="2647"/>
      <c r="H57" s="2647"/>
      <c r="I57" s="2647"/>
      <c r="J57" s="2647"/>
      <c r="K57" s="2646"/>
      <c r="L57" s="2646"/>
      <c r="M57" s="2645"/>
      <c r="N57" s="2645"/>
      <c r="O57" s="2645"/>
      <c r="P57" s="2645"/>
      <c r="Q57" s="2645"/>
      <c r="R57" s="2645"/>
      <c r="S57" s="2645"/>
      <c r="T57" s="2645"/>
      <c r="U57" s="2645"/>
      <c r="V57" s="2645"/>
      <c r="W57" s="2645"/>
      <c r="X57" s="2645"/>
      <c r="Y57" s="2645"/>
      <c r="Z57" s="2645"/>
      <c r="AA57" s="2645"/>
      <c r="AB57" s="2645"/>
      <c r="AC57" s="2645"/>
      <c r="AD57" s="2645"/>
      <c r="AE57" s="2645"/>
      <c r="AF57" s="2645"/>
      <c r="AG57" s="2645"/>
      <c r="AH57" s="2645"/>
      <c r="AI57" s="2645"/>
      <c r="AJ57" s="2645"/>
      <c r="AK57" s="2645"/>
      <c r="AL57" s="2645"/>
      <c r="AM57" s="2645"/>
      <c r="AN57" s="2645"/>
      <c r="AO57" s="2645"/>
      <c r="AP57" s="2645"/>
      <c r="AQ57" s="2645"/>
      <c r="AR57" s="2645"/>
    </row>
    <row r="58" spans="1:44" ht="14.25">
      <c r="A58" s="1738" t="s">
        <v>1249</v>
      </c>
      <c r="B58" s="75"/>
      <c r="C58" s="2635">
        <v>3</v>
      </c>
      <c r="D58" s="2650"/>
      <c r="E58" s="2647"/>
      <c r="F58" s="2647"/>
      <c r="G58" s="2647"/>
      <c r="H58" s="2647"/>
      <c r="I58" s="2647"/>
      <c r="J58" s="2647"/>
      <c r="K58" s="2646"/>
      <c r="L58" s="2646"/>
      <c r="M58" s="2645"/>
      <c r="N58" s="2645"/>
      <c r="O58" s="2645"/>
      <c r="P58" s="2645"/>
      <c r="Q58" s="2645"/>
      <c r="R58" s="2645"/>
      <c r="S58" s="2645"/>
      <c r="T58" s="2645"/>
      <c r="U58" s="2645"/>
      <c r="V58" s="2645"/>
      <c r="W58" s="2645"/>
      <c r="X58" s="2645"/>
      <c r="Y58" s="2645"/>
      <c r="Z58" s="2645"/>
      <c r="AA58" s="2645"/>
      <c r="AB58" s="2645"/>
      <c r="AC58" s="2645"/>
      <c r="AD58" s="2645"/>
      <c r="AE58" s="2645"/>
      <c r="AF58" s="2645"/>
      <c r="AG58" s="2645"/>
      <c r="AH58" s="2645"/>
      <c r="AI58" s="2645"/>
      <c r="AJ58" s="2645"/>
      <c r="AK58" s="2645"/>
      <c r="AL58" s="2645"/>
      <c r="AM58" s="2645"/>
      <c r="AN58" s="2645"/>
      <c r="AO58" s="2645"/>
      <c r="AP58" s="2645"/>
      <c r="AQ58" s="2645"/>
      <c r="AR58" s="2645"/>
    </row>
    <row r="59" spans="1:44" ht="14.25">
      <c r="A59" s="1738" t="s">
        <v>1250</v>
      </c>
      <c r="B59" s="75">
        <f>C59</f>
        <v>1.5</v>
      </c>
      <c r="C59" s="2635">
        <v>1.5</v>
      </c>
      <c r="D59" s="2650"/>
      <c r="E59" s="2647"/>
      <c r="F59" s="2647"/>
      <c r="G59" s="2647"/>
      <c r="H59" s="2647"/>
      <c r="I59" s="2647"/>
      <c r="J59" s="2647"/>
      <c r="K59" s="2646"/>
      <c r="L59" s="2646"/>
      <c r="M59" s="2645"/>
      <c r="N59" s="2645"/>
      <c r="O59" s="2645"/>
      <c r="P59" s="2645"/>
      <c r="Q59" s="2645"/>
      <c r="R59" s="2645"/>
      <c r="S59" s="2645"/>
      <c r="T59" s="2645"/>
      <c r="U59" s="2645"/>
      <c r="V59" s="2645"/>
      <c r="W59" s="2645"/>
      <c r="X59" s="2645"/>
      <c r="Y59" s="2645"/>
      <c r="Z59" s="2645"/>
      <c r="AA59" s="2645"/>
      <c r="AB59" s="2645"/>
      <c r="AC59" s="2645"/>
      <c r="AD59" s="2645"/>
      <c r="AE59" s="2645"/>
      <c r="AF59" s="2645"/>
      <c r="AG59" s="2645"/>
      <c r="AH59" s="2645"/>
      <c r="AI59" s="2645"/>
      <c r="AJ59" s="2645"/>
      <c r="AK59" s="2645"/>
      <c r="AL59" s="2645"/>
      <c r="AM59" s="2645"/>
      <c r="AN59" s="2645"/>
      <c r="AO59" s="2645"/>
      <c r="AP59" s="2645"/>
      <c r="AQ59" s="2645"/>
      <c r="AR59" s="2645"/>
    </row>
    <row r="60" spans="1:44" ht="14.25">
      <c r="A60" s="1738" t="s">
        <v>1251</v>
      </c>
      <c r="B60" s="75"/>
      <c r="C60" s="2647"/>
      <c r="D60" s="2650"/>
      <c r="E60" s="2647"/>
      <c r="F60" s="2647"/>
      <c r="G60" s="2647"/>
      <c r="H60" s="2647"/>
      <c r="I60" s="2647"/>
      <c r="J60" s="2647"/>
      <c r="K60" s="2646"/>
      <c r="L60" s="2646"/>
      <c r="M60" s="2645"/>
      <c r="N60" s="2645"/>
      <c r="O60" s="2645"/>
      <c r="P60" s="2645"/>
      <c r="Q60" s="2645"/>
      <c r="R60" s="2645"/>
      <c r="S60" s="2645"/>
      <c r="T60" s="2645"/>
      <c r="U60" s="2645"/>
      <c r="V60" s="2645"/>
      <c r="W60" s="2645"/>
      <c r="X60" s="2645"/>
      <c r="Y60" s="2645"/>
      <c r="Z60" s="2645"/>
      <c r="AA60" s="2645"/>
      <c r="AB60" s="2645"/>
      <c r="AC60" s="2645"/>
      <c r="AD60" s="2645"/>
      <c r="AE60" s="2645"/>
      <c r="AF60" s="2645"/>
      <c r="AG60" s="2645"/>
      <c r="AH60" s="2645"/>
      <c r="AI60" s="2645"/>
      <c r="AJ60" s="2645"/>
      <c r="AK60" s="2645"/>
      <c r="AL60" s="2645"/>
      <c r="AM60" s="2645"/>
      <c r="AN60" s="2645"/>
      <c r="AO60" s="2645"/>
      <c r="AP60" s="2645"/>
      <c r="AQ60" s="2645"/>
      <c r="AR60" s="2645"/>
    </row>
    <row r="61" spans="1:44" ht="14.25">
      <c r="A61" s="1738" t="s">
        <v>1252</v>
      </c>
      <c r="B61" s="75"/>
      <c r="C61" s="2647"/>
      <c r="D61" s="2650"/>
      <c r="E61" s="2647"/>
      <c r="F61" s="2647"/>
      <c r="G61" s="2647"/>
      <c r="H61" s="2647"/>
      <c r="I61" s="2647"/>
      <c r="J61" s="2647"/>
      <c r="K61" s="2646"/>
      <c r="L61" s="2646"/>
      <c r="M61" s="2645"/>
      <c r="N61" s="2645"/>
      <c r="O61" s="2645"/>
      <c r="P61" s="2645"/>
      <c r="Q61" s="2645"/>
      <c r="R61" s="2645"/>
      <c r="S61" s="2645"/>
      <c r="T61" s="2645"/>
      <c r="U61" s="2645"/>
      <c r="V61" s="2645"/>
      <c r="W61" s="2645"/>
      <c r="X61" s="2645"/>
      <c r="Y61" s="2645"/>
      <c r="Z61" s="2645"/>
      <c r="AA61" s="2645"/>
      <c r="AB61" s="2645"/>
      <c r="AC61" s="2645"/>
      <c r="AD61" s="2645"/>
      <c r="AE61" s="2645"/>
      <c r="AF61" s="2645"/>
      <c r="AG61" s="2645"/>
      <c r="AH61" s="2645"/>
      <c r="AI61" s="2645"/>
      <c r="AJ61" s="2645"/>
      <c r="AK61" s="2645"/>
      <c r="AL61" s="2645"/>
      <c r="AM61" s="2645"/>
      <c r="AN61" s="2645"/>
      <c r="AO61" s="2645"/>
      <c r="AP61" s="2645"/>
      <c r="AQ61" s="2645"/>
      <c r="AR61" s="2645"/>
    </row>
    <row r="62" spans="1:44" ht="14.25">
      <c r="A62" s="1738" t="s">
        <v>1253</v>
      </c>
      <c r="B62" s="75"/>
      <c r="C62" s="2647"/>
      <c r="D62" s="2650"/>
      <c r="E62" s="2647"/>
      <c r="F62" s="2647"/>
      <c r="G62" s="2647"/>
      <c r="H62" s="2647"/>
      <c r="I62" s="2647"/>
      <c r="J62" s="2647"/>
      <c r="K62" s="2646"/>
      <c r="L62" s="2646"/>
      <c r="M62" s="2645"/>
      <c r="N62" s="2645"/>
      <c r="O62" s="2645"/>
      <c r="P62" s="2645"/>
      <c r="Q62" s="2645"/>
      <c r="R62" s="2645"/>
      <c r="S62" s="2645"/>
      <c r="T62" s="2645"/>
      <c r="U62" s="2645"/>
      <c r="V62" s="2645"/>
      <c r="W62" s="2645"/>
      <c r="X62" s="2645"/>
      <c r="Y62" s="2645"/>
      <c r="Z62" s="2645"/>
      <c r="AA62" s="2645"/>
      <c r="AB62" s="2645"/>
      <c r="AC62" s="2645"/>
      <c r="AD62" s="2645"/>
      <c r="AE62" s="2645"/>
      <c r="AF62" s="2645"/>
      <c r="AG62" s="2645"/>
      <c r="AH62" s="2645"/>
      <c r="AI62" s="2645"/>
      <c r="AJ62" s="2645"/>
      <c r="AK62" s="2645"/>
      <c r="AL62" s="2645"/>
      <c r="AM62" s="2645"/>
      <c r="AN62" s="2645"/>
      <c r="AO62" s="2645"/>
      <c r="AP62" s="2645"/>
      <c r="AQ62" s="2645"/>
      <c r="AR62" s="2645"/>
    </row>
    <row r="63" spans="1:44" ht="15" thickBot="1">
      <c r="A63" s="1739" t="s">
        <v>1254</v>
      </c>
      <c r="B63" s="125"/>
      <c r="C63" s="2647"/>
      <c r="D63" s="2650"/>
      <c r="E63" s="2647"/>
      <c r="F63" s="2647"/>
      <c r="G63" s="2647"/>
      <c r="H63" s="2647"/>
      <c r="I63" s="2647"/>
      <c r="J63" s="2647"/>
      <c r="K63" s="2646"/>
      <c r="L63" s="2646"/>
      <c r="M63" s="2645"/>
      <c r="N63" s="2645"/>
      <c r="O63" s="2645"/>
      <c r="P63" s="2645"/>
      <c r="Q63" s="2645"/>
      <c r="R63" s="2645"/>
      <c r="S63" s="2645"/>
      <c r="T63" s="2645"/>
      <c r="U63" s="2645"/>
      <c r="V63" s="2645"/>
      <c r="W63" s="2645"/>
      <c r="X63" s="2645"/>
      <c r="Y63" s="2645"/>
      <c r="Z63" s="2645"/>
      <c r="AA63" s="2645"/>
      <c r="AB63" s="2645"/>
      <c r="AC63" s="2645"/>
      <c r="AD63" s="2645"/>
      <c r="AE63" s="2645"/>
      <c r="AF63" s="2645"/>
      <c r="AG63" s="2645"/>
      <c r="AH63" s="2645"/>
      <c r="AI63" s="2645"/>
      <c r="AJ63" s="2645"/>
      <c r="AK63" s="2645"/>
      <c r="AL63" s="2645"/>
      <c r="AM63" s="2645"/>
      <c r="AN63" s="2645"/>
      <c r="AO63" s="2645"/>
      <c r="AP63" s="2645"/>
      <c r="AQ63" s="2645"/>
      <c r="AR63" s="2645"/>
    </row>
    <row r="64" spans="1:44" s="793" customFormat="1">
      <c r="A64" s="2638"/>
      <c r="B64" s="2645"/>
      <c r="C64" s="2645"/>
      <c r="D64" s="2649"/>
      <c r="E64" s="2645"/>
      <c r="F64" s="2645"/>
      <c r="G64" s="2645"/>
      <c r="H64" s="2645"/>
      <c r="I64" s="2645"/>
      <c r="J64" s="2645"/>
      <c r="K64" s="2646"/>
      <c r="L64" s="2646"/>
      <c r="M64" s="2645"/>
      <c r="N64" s="2645"/>
      <c r="O64" s="2645"/>
      <c r="P64" s="2645"/>
      <c r="Q64" s="2645"/>
      <c r="R64" s="2645"/>
      <c r="S64" s="2645"/>
      <c r="T64" s="2645"/>
      <c r="U64" s="2645"/>
      <c r="V64" s="2645"/>
      <c r="W64" s="2645"/>
      <c r="X64" s="2645"/>
      <c r="Y64" s="2645"/>
      <c r="Z64" s="2645"/>
      <c r="AA64" s="2645"/>
      <c r="AB64" s="2645"/>
      <c r="AC64" s="2645"/>
      <c r="AD64" s="2645"/>
      <c r="AE64" s="2645"/>
      <c r="AF64" s="2645"/>
      <c r="AG64" s="2645"/>
      <c r="AH64" s="2645"/>
      <c r="AI64" s="2645"/>
      <c r="AJ64" s="2645"/>
      <c r="AK64" s="2645"/>
      <c r="AL64" s="2645"/>
      <c r="AM64" s="2645"/>
      <c r="AN64" s="2645"/>
      <c r="AO64" s="2645"/>
      <c r="AP64" s="2645"/>
      <c r="AQ64" s="2645"/>
      <c r="AR64" s="2645"/>
    </row>
    <row r="65" spans="1:44" s="793" customFormat="1">
      <c r="A65" s="2638"/>
      <c r="B65" s="2645"/>
      <c r="C65" s="2645"/>
      <c r="D65" s="2649"/>
      <c r="E65" s="2645"/>
      <c r="F65" s="2645"/>
      <c r="G65" s="2645"/>
      <c r="H65" s="2645"/>
      <c r="I65" s="2645"/>
      <c r="J65" s="2645"/>
      <c r="K65" s="2646"/>
      <c r="L65" s="2646"/>
      <c r="M65" s="2645"/>
      <c r="N65" s="2645"/>
      <c r="O65" s="2645"/>
      <c r="P65" s="2645"/>
      <c r="Q65" s="2645"/>
      <c r="R65" s="2645"/>
      <c r="S65" s="2645"/>
      <c r="T65" s="2645"/>
      <c r="U65" s="2645"/>
      <c r="V65" s="2645"/>
      <c r="W65" s="2645"/>
      <c r="X65" s="2645"/>
      <c r="Y65" s="2645"/>
      <c r="Z65" s="2645"/>
      <c r="AA65" s="2645"/>
      <c r="AB65" s="2645"/>
      <c r="AC65" s="2645"/>
      <c r="AD65" s="2645"/>
      <c r="AE65" s="2645"/>
      <c r="AF65" s="2645"/>
      <c r="AG65" s="2645"/>
      <c r="AH65" s="2645"/>
      <c r="AI65" s="2645"/>
      <c r="AJ65" s="2645"/>
      <c r="AK65" s="2645"/>
      <c r="AL65" s="2645"/>
      <c r="AM65" s="2645"/>
      <c r="AN65" s="2645"/>
      <c r="AO65" s="2645"/>
      <c r="AP65" s="2645"/>
      <c r="AQ65" s="2645"/>
      <c r="AR65" s="2645"/>
    </row>
    <row r="66" spans="1:44" s="793" customFormat="1">
      <c r="A66" s="2638"/>
      <c r="B66" s="2645"/>
      <c r="C66" s="2645"/>
      <c r="D66" s="2649"/>
      <c r="E66" s="2645"/>
      <c r="F66" s="2645"/>
      <c r="G66" s="2645"/>
      <c r="H66" s="2645"/>
      <c r="I66" s="2645"/>
      <c r="J66" s="2645"/>
      <c r="K66" s="2646"/>
      <c r="L66" s="2646"/>
      <c r="M66" s="2645"/>
      <c r="N66" s="2645"/>
      <c r="O66" s="2645"/>
      <c r="P66" s="2645"/>
      <c r="Q66" s="2645"/>
      <c r="R66" s="2645"/>
      <c r="S66" s="2645"/>
      <c r="T66" s="2645"/>
      <c r="U66" s="2645"/>
      <c r="V66" s="2645"/>
      <c r="W66" s="2645"/>
      <c r="X66" s="2645"/>
      <c r="Y66" s="2645"/>
      <c r="Z66" s="2645"/>
      <c r="AA66" s="2645"/>
      <c r="AB66" s="2645"/>
      <c r="AC66" s="2645"/>
      <c r="AD66" s="2645"/>
      <c r="AE66" s="2645"/>
      <c r="AF66" s="2645"/>
      <c r="AG66" s="2645"/>
      <c r="AH66" s="2645"/>
      <c r="AI66" s="2645"/>
      <c r="AJ66" s="2645"/>
      <c r="AK66" s="2645"/>
      <c r="AL66" s="2645"/>
      <c r="AM66" s="2645"/>
      <c r="AN66" s="2645"/>
      <c r="AO66" s="2645"/>
      <c r="AP66" s="2645"/>
      <c r="AQ66" s="2645"/>
      <c r="AR66" s="2645"/>
    </row>
    <row r="67" spans="1:44" s="793" customFormat="1">
      <c r="A67" s="2638"/>
      <c r="B67" s="2645"/>
      <c r="C67" s="2645"/>
      <c r="D67" s="2649"/>
      <c r="E67" s="2645"/>
      <c r="F67" s="2645"/>
      <c r="G67" s="2645"/>
      <c r="H67" s="2645"/>
      <c r="I67" s="2645"/>
      <c r="J67" s="2645"/>
      <c r="K67" s="2646"/>
      <c r="L67" s="2646"/>
      <c r="M67" s="2645"/>
      <c r="N67" s="2645"/>
      <c r="O67" s="2645"/>
      <c r="P67" s="2645"/>
      <c r="Q67" s="2645"/>
      <c r="R67" s="2645"/>
      <c r="S67" s="2645"/>
      <c r="T67" s="2645"/>
      <c r="U67" s="2645"/>
      <c r="V67" s="2645"/>
      <c r="W67" s="2645"/>
      <c r="X67" s="2645"/>
      <c r="Y67" s="2645"/>
      <c r="Z67" s="2645"/>
      <c r="AA67" s="2645"/>
      <c r="AB67" s="2645"/>
      <c r="AC67" s="2645"/>
      <c r="AD67" s="2645"/>
      <c r="AE67" s="2645"/>
      <c r="AF67" s="2645"/>
      <c r="AG67" s="2645"/>
      <c r="AH67" s="2645"/>
      <c r="AI67" s="2645"/>
      <c r="AJ67" s="2645"/>
      <c r="AK67" s="2645"/>
      <c r="AL67" s="2645"/>
      <c r="AM67" s="2645"/>
      <c r="AN67" s="2645"/>
      <c r="AO67" s="2645"/>
      <c r="AP67" s="2645"/>
      <c r="AQ67" s="2645"/>
      <c r="AR67" s="2645"/>
    </row>
    <row r="68" spans="1:44" s="793" customFormat="1">
      <c r="A68" s="2638"/>
      <c r="B68" s="2645"/>
      <c r="C68" s="2645"/>
      <c r="D68" s="2649"/>
      <c r="E68" s="2645"/>
      <c r="F68" s="2645"/>
      <c r="G68" s="2645"/>
      <c r="H68" s="2645"/>
      <c r="I68" s="2645"/>
      <c r="J68" s="2645"/>
      <c r="K68" s="2646"/>
      <c r="L68" s="2646"/>
      <c r="M68" s="2645"/>
      <c r="N68" s="2645"/>
      <c r="O68" s="2645"/>
      <c r="P68" s="2645"/>
      <c r="Q68" s="2645"/>
      <c r="R68" s="2645"/>
      <c r="S68" s="2645"/>
      <c r="T68" s="2645"/>
      <c r="U68" s="2645"/>
      <c r="V68" s="2645"/>
      <c r="W68" s="2645"/>
      <c r="X68" s="2645"/>
      <c r="Y68" s="2645"/>
      <c r="Z68" s="2645"/>
      <c r="AA68" s="2645"/>
      <c r="AB68" s="2645"/>
      <c r="AC68" s="2645"/>
      <c r="AD68" s="2645"/>
      <c r="AE68" s="2645"/>
      <c r="AF68" s="2645"/>
      <c r="AG68" s="2645"/>
      <c r="AH68" s="2645"/>
      <c r="AI68" s="2645"/>
      <c r="AJ68" s="2645"/>
      <c r="AK68" s="2645"/>
      <c r="AL68" s="2645"/>
      <c r="AM68" s="2645"/>
      <c r="AN68" s="2645"/>
      <c r="AO68" s="2645"/>
      <c r="AP68" s="2645"/>
      <c r="AQ68" s="2645"/>
      <c r="AR68" s="2645"/>
    </row>
    <row r="69" spans="1:44" s="793" customFormat="1">
      <c r="A69" s="1740"/>
      <c r="D69" s="1741"/>
      <c r="K69" s="728"/>
      <c r="L69" s="728"/>
    </row>
    <row r="70" spans="1:44" s="793" customFormat="1">
      <c r="A70" s="1740"/>
      <c r="D70" s="1741"/>
      <c r="K70" s="728"/>
      <c r="L70" s="728"/>
    </row>
    <row r="71" spans="1:44" s="793" customFormat="1">
      <c r="A71" s="1740"/>
      <c r="D71" s="1741"/>
      <c r="K71" s="728"/>
      <c r="L71" s="728"/>
    </row>
    <row r="72" spans="1:44" s="793" customFormat="1">
      <c r="A72" s="1740"/>
      <c r="D72" s="1741"/>
      <c r="K72" s="728"/>
      <c r="L72" s="728"/>
    </row>
    <row r="73" spans="1:44" s="793" customFormat="1">
      <c r="A73" s="1740"/>
      <c r="D73" s="1741"/>
      <c r="K73" s="728"/>
      <c r="L73" s="728"/>
    </row>
    <row r="74" spans="1:44" s="793" customFormat="1">
      <c r="A74" s="1740"/>
      <c r="D74" s="1741"/>
      <c r="K74" s="728"/>
      <c r="L74" s="728"/>
    </row>
    <row r="75" spans="1:44" s="793" customFormat="1">
      <c r="A75" s="1740"/>
      <c r="D75" s="1741"/>
      <c r="K75" s="728"/>
      <c r="L75" s="728"/>
    </row>
    <row r="76" spans="1:44" s="793" customFormat="1">
      <c r="A76" s="1740"/>
      <c r="D76" s="1741"/>
      <c r="K76" s="728"/>
      <c r="L76" s="728"/>
    </row>
    <row r="77" spans="1:44" s="793" customFormat="1">
      <c r="A77" s="1740"/>
      <c r="D77" s="1741"/>
      <c r="K77" s="728"/>
      <c r="L77" s="728"/>
    </row>
    <row r="78" spans="1:44" s="793" customFormat="1">
      <c r="A78" s="1740"/>
      <c r="D78" s="1741"/>
      <c r="K78" s="728"/>
      <c r="L78" s="728"/>
    </row>
    <row r="79" spans="1:44" s="793" customFormat="1">
      <c r="A79" s="1740"/>
      <c r="D79" s="1741"/>
      <c r="K79" s="728"/>
      <c r="L79" s="728"/>
    </row>
    <row r="80" spans="1:44" s="793" customFormat="1">
      <c r="A80" s="1740"/>
      <c r="D80" s="1741"/>
      <c r="K80" s="728"/>
      <c r="L80" s="728"/>
    </row>
    <row r="81" spans="1:12" s="793" customFormat="1">
      <c r="A81" s="1740"/>
      <c r="D81" s="1741"/>
      <c r="K81" s="728"/>
      <c r="L81" s="728"/>
    </row>
    <row r="82" spans="1:12" s="793" customFormat="1">
      <c r="A82" s="1740"/>
      <c r="D82" s="1741"/>
      <c r="K82" s="728"/>
      <c r="L82" s="728"/>
    </row>
    <row r="83" spans="1:12" s="793" customFormat="1">
      <c r="A83" s="1740"/>
      <c r="D83" s="1741"/>
      <c r="K83" s="728"/>
      <c r="L83" s="728"/>
    </row>
    <row r="84" spans="1:12" s="793" customFormat="1">
      <c r="A84" s="1740"/>
      <c r="D84" s="1741"/>
      <c r="K84" s="728"/>
      <c r="L84" s="728"/>
    </row>
    <row r="85" spans="1:12" s="793" customFormat="1">
      <c r="A85" s="1740"/>
      <c r="D85" s="1741"/>
      <c r="K85" s="728"/>
      <c r="L85" s="728"/>
    </row>
    <row r="86" spans="1:12" s="793" customFormat="1">
      <c r="A86" s="1740"/>
      <c r="D86" s="1741"/>
      <c r="K86" s="728"/>
      <c r="L86" s="728"/>
    </row>
    <row r="87" spans="1:12" s="793" customFormat="1">
      <c r="A87" s="1740"/>
      <c r="D87" s="1741"/>
      <c r="K87" s="728"/>
      <c r="L87" s="728"/>
    </row>
    <row r="88" spans="1:12" s="793" customFormat="1">
      <c r="A88" s="1740"/>
      <c r="D88" s="1741"/>
      <c r="K88" s="728"/>
      <c r="L88" s="728"/>
    </row>
    <row r="89" spans="1:12" s="793" customFormat="1">
      <c r="A89" s="1740"/>
      <c r="D89" s="1741"/>
      <c r="K89" s="728"/>
      <c r="L89" s="728"/>
    </row>
    <row r="90" spans="1:12" s="793" customFormat="1">
      <c r="A90" s="1740"/>
      <c r="D90" s="1741"/>
      <c r="K90" s="728"/>
      <c r="L90" s="728"/>
    </row>
    <row r="91" spans="1:12" s="793" customFormat="1">
      <c r="A91" s="1740"/>
      <c r="D91" s="1741"/>
      <c r="K91" s="728"/>
      <c r="L91" s="728"/>
    </row>
    <row r="92" spans="1:12" s="793" customFormat="1">
      <c r="A92" s="1740"/>
      <c r="D92" s="1741"/>
      <c r="K92" s="728"/>
      <c r="L92" s="728"/>
    </row>
    <row r="93" spans="1:12" s="793" customFormat="1">
      <c r="A93" s="1740"/>
      <c r="D93" s="1741"/>
      <c r="K93" s="728"/>
      <c r="L93" s="728"/>
    </row>
    <row r="94" spans="1:12" s="793" customFormat="1">
      <c r="A94" s="1740"/>
      <c r="D94" s="1741"/>
      <c r="K94" s="728"/>
      <c r="L94" s="728"/>
    </row>
    <row r="95" spans="1:12" s="793" customFormat="1">
      <c r="A95" s="1740"/>
      <c r="D95" s="1741"/>
      <c r="K95" s="728"/>
      <c r="L95" s="728"/>
    </row>
    <row r="96" spans="1:12" s="793" customFormat="1">
      <c r="A96" s="1740"/>
      <c r="D96" s="1741"/>
      <c r="K96" s="728"/>
      <c r="L96" s="728"/>
    </row>
    <row r="97" spans="1:12" s="793" customFormat="1">
      <c r="A97" s="1740"/>
      <c r="D97" s="1741"/>
      <c r="K97" s="728"/>
      <c r="L97" s="728"/>
    </row>
    <row r="98" spans="1:12" s="793" customFormat="1">
      <c r="A98" s="1740"/>
      <c r="D98" s="1741"/>
      <c r="K98" s="728"/>
      <c r="L98" s="728"/>
    </row>
    <row r="99" spans="1:12" s="793" customFormat="1">
      <c r="A99" s="1740"/>
      <c r="D99" s="1741"/>
      <c r="K99" s="728"/>
      <c r="L99" s="728"/>
    </row>
    <row r="100" spans="1:12" s="793" customFormat="1">
      <c r="A100" s="1740"/>
      <c r="D100" s="1741"/>
      <c r="K100" s="728"/>
      <c r="L100" s="728"/>
    </row>
    <row r="101" spans="1:12" s="793" customFormat="1">
      <c r="A101" s="1740"/>
      <c r="D101" s="1741"/>
      <c r="K101" s="728"/>
      <c r="L101" s="728"/>
    </row>
    <row r="102" spans="1:12" s="793" customFormat="1">
      <c r="A102" s="1740"/>
      <c r="D102" s="1741"/>
      <c r="K102" s="728"/>
      <c r="L102" s="728"/>
    </row>
    <row r="103" spans="1:12" s="793" customFormat="1">
      <c r="A103" s="1740"/>
      <c r="D103" s="1741"/>
      <c r="K103" s="728"/>
      <c r="L103" s="728"/>
    </row>
    <row r="104" spans="1:12" s="793" customFormat="1">
      <c r="A104" s="1740"/>
      <c r="D104" s="1741"/>
      <c r="K104" s="728"/>
      <c r="L104" s="728"/>
    </row>
    <row r="105" spans="1:12" s="793" customFormat="1">
      <c r="A105" s="1740"/>
      <c r="D105" s="1741"/>
      <c r="K105" s="728"/>
      <c r="L105" s="728"/>
    </row>
    <row r="106" spans="1:12" s="793" customFormat="1">
      <c r="A106" s="1740"/>
      <c r="D106" s="1741"/>
      <c r="K106" s="728"/>
      <c r="L106" s="728"/>
    </row>
    <row r="107" spans="1:12" s="793" customFormat="1">
      <c r="A107" s="1740"/>
      <c r="D107" s="1741"/>
      <c r="K107" s="728"/>
      <c r="L107" s="728"/>
    </row>
    <row r="108" spans="1:12" s="793" customFormat="1">
      <c r="A108" s="1740"/>
      <c r="D108" s="1741"/>
      <c r="K108" s="728"/>
      <c r="L108" s="728"/>
    </row>
    <row r="109" spans="1:12" s="793" customFormat="1">
      <c r="A109" s="1740"/>
      <c r="D109" s="1741"/>
      <c r="K109" s="728"/>
      <c r="L109" s="728"/>
    </row>
    <row r="110" spans="1:12" s="793" customFormat="1">
      <c r="A110" s="1740"/>
      <c r="D110" s="1741"/>
      <c r="K110" s="728"/>
      <c r="L110" s="728"/>
    </row>
    <row r="111" spans="1:12" s="793" customFormat="1">
      <c r="A111" s="1740"/>
      <c r="D111" s="1741"/>
      <c r="K111" s="728"/>
      <c r="L111" s="728"/>
    </row>
    <row r="112" spans="1:12" s="793" customFormat="1">
      <c r="A112" s="1740"/>
      <c r="D112" s="1741"/>
      <c r="K112" s="728"/>
      <c r="L112" s="728"/>
    </row>
    <row r="113" spans="1:12" s="793" customFormat="1">
      <c r="A113" s="1740"/>
      <c r="D113" s="1741"/>
      <c r="K113" s="728"/>
      <c r="L113" s="728"/>
    </row>
    <row r="114" spans="1:12" s="793" customFormat="1">
      <c r="A114" s="1740"/>
      <c r="D114" s="1741"/>
      <c r="K114" s="728"/>
      <c r="L114" s="728"/>
    </row>
    <row r="115" spans="1:12" s="793" customFormat="1">
      <c r="A115" s="1740"/>
      <c r="D115" s="1741"/>
      <c r="K115" s="728"/>
      <c r="L115" s="728"/>
    </row>
    <row r="116" spans="1:12" s="793" customFormat="1">
      <c r="A116" s="1740"/>
      <c r="D116" s="1741"/>
      <c r="K116" s="728"/>
      <c r="L116" s="728"/>
    </row>
    <row r="117" spans="1:12" s="793" customFormat="1">
      <c r="A117" s="1740"/>
      <c r="D117" s="1741"/>
      <c r="K117" s="728"/>
      <c r="L117" s="728"/>
    </row>
    <row r="118" spans="1:12" s="793" customFormat="1">
      <c r="A118" s="1740"/>
      <c r="D118" s="1741"/>
      <c r="K118" s="728"/>
      <c r="L118" s="728"/>
    </row>
    <row r="119" spans="1:12" s="793" customFormat="1">
      <c r="A119" s="1740"/>
      <c r="D119" s="1741"/>
      <c r="K119" s="728"/>
      <c r="L119" s="728"/>
    </row>
    <row r="120" spans="1:12" s="793" customFormat="1">
      <c r="A120" s="1740"/>
      <c r="D120" s="1741"/>
      <c r="K120" s="728"/>
      <c r="L120" s="728"/>
    </row>
    <row r="121" spans="1:12" s="793" customFormat="1">
      <c r="A121" s="1740"/>
      <c r="D121" s="1741"/>
      <c r="K121" s="728"/>
      <c r="L121" s="728"/>
    </row>
    <row r="122" spans="1:12" s="793" customFormat="1">
      <c r="A122" s="1740"/>
      <c r="D122" s="1741"/>
      <c r="K122" s="728"/>
      <c r="L122" s="728"/>
    </row>
    <row r="123" spans="1:12" s="793" customFormat="1">
      <c r="A123" s="1740"/>
      <c r="D123" s="1741"/>
      <c r="K123" s="728"/>
      <c r="L123" s="728"/>
    </row>
    <row r="124" spans="1:12" s="793" customFormat="1">
      <c r="A124" s="1740"/>
      <c r="D124" s="1741"/>
      <c r="K124" s="728"/>
      <c r="L124" s="728"/>
    </row>
    <row r="125" spans="1:12" s="793" customFormat="1">
      <c r="A125" s="1740"/>
      <c r="D125" s="1741"/>
      <c r="K125" s="728"/>
      <c r="L125" s="728"/>
    </row>
    <row r="126" spans="1:12" s="793" customFormat="1">
      <c r="A126" s="1740"/>
      <c r="D126" s="1741"/>
      <c r="K126" s="728"/>
      <c r="L126" s="728"/>
    </row>
    <row r="127" spans="1:12" s="793" customFormat="1">
      <c r="A127" s="1740"/>
      <c r="D127" s="1741"/>
      <c r="K127" s="728"/>
      <c r="L127" s="728"/>
    </row>
    <row r="128" spans="1:12" s="793" customFormat="1">
      <c r="A128" s="1740"/>
      <c r="D128" s="1741"/>
      <c r="K128" s="728"/>
      <c r="L128" s="728"/>
    </row>
    <row r="129" spans="1:12" s="793" customFormat="1">
      <c r="A129" s="1740"/>
      <c r="D129" s="1741"/>
      <c r="K129" s="728"/>
      <c r="L129" s="728"/>
    </row>
    <row r="130" spans="1:12" s="793" customFormat="1">
      <c r="A130" s="1740"/>
      <c r="D130" s="1741"/>
      <c r="K130" s="728"/>
      <c r="L130" s="728"/>
    </row>
    <row r="131" spans="1:12" s="793" customFormat="1">
      <c r="A131" s="1740"/>
      <c r="D131" s="1741"/>
      <c r="K131" s="728"/>
      <c r="L131" s="728"/>
    </row>
    <row r="132" spans="1:12" s="793" customFormat="1">
      <c r="A132" s="1740"/>
      <c r="D132" s="1741"/>
      <c r="K132" s="728"/>
      <c r="L132" s="728"/>
    </row>
    <row r="133" spans="1:12" s="793" customFormat="1">
      <c r="A133" s="1740"/>
      <c r="D133" s="1741"/>
      <c r="K133" s="728"/>
      <c r="L133" s="728"/>
    </row>
    <row r="134" spans="1:12" s="1680" customFormat="1">
      <c r="A134" s="1742"/>
      <c r="D134" s="1743"/>
      <c r="K134" s="24"/>
      <c r="L134" s="24"/>
    </row>
    <row r="135" spans="1:12" s="1680" customFormat="1">
      <c r="A135" s="1742"/>
      <c r="D135" s="1743"/>
      <c r="K135" s="24"/>
      <c r="L135" s="24"/>
    </row>
    <row r="136" spans="1:12" s="1680" customFormat="1">
      <c r="A136" s="1742"/>
      <c r="D136" s="1743"/>
      <c r="K136" s="24"/>
      <c r="L136" s="24"/>
    </row>
    <row r="137" spans="1:12" s="1680" customFormat="1">
      <c r="A137" s="1742"/>
      <c r="D137" s="1743"/>
      <c r="K137" s="24"/>
      <c r="L137" s="24"/>
    </row>
    <row r="138" spans="1:12" s="1680" customFormat="1">
      <c r="A138" s="1742"/>
      <c r="D138" s="1743"/>
      <c r="K138" s="24"/>
      <c r="L138" s="24"/>
    </row>
    <row r="139" spans="1:12" s="1680" customFormat="1">
      <c r="A139" s="1742"/>
      <c r="D139" s="1743"/>
      <c r="K139" s="24"/>
      <c r="L139" s="24"/>
    </row>
    <row r="140" spans="1:12" s="1680" customFormat="1">
      <c r="A140" s="1742"/>
      <c r="D140" s="1743"/>
      <c r="K140" s="24"/>
      <c r="L140" s="24"/>
    </row>
    <row r="141" spans="1:12" s="1680" customFormat="1">
      <c r="A141" s="1742"/>
      <c r="D141" s="1743"/>
      <c r="K141" s="24"/>
      <c r="L141" s="24"/>
    </row>
    <row r="142" spans="1:12" s="1680" customFormat="1">
      <c r="A142" s="1742"/>
      <c r="D142" s="1743"/>
      <c r="K142" s="24"/>
      <c r="L142" s="24"/>
    </row>
    <row r="143" spans="1:12" s="1680" customFormat="1">
      <c r="A143" s="1742"/>
      <c r="D143" s="1743"/>
      <c r="K143" s="24"/>
      <c r="L143" s="24"/>
    </row>
    <row r="144" spans="1:12" s="1680" customFormat="1">
      <c r="A144" s="1742"/>
      <c r="D144" s="1743"/>
      <c r="K144" s="24"/>
      <c r="L144" s="24"/>
    </row>
    <row r="145" spans="1:12" s="1680" customFormat="1">
      <c r="A145" s="1742"/>
      <c r="D145" s="1743"/>
      <c r="K145" s="24"/>
      <c r="L145" s="24"/>
    </row>
    <row r="146" spans="1:12" s="1680" customFormat="1">
      <c r="A146" s="1742"/>
      <c r="D146" s="1743"/>
      <c r="K146" s="24"/>
      <c r="L146" s="24"/>
    </row>
    <row r="147" spans="1:12" s="1680" customFormat="1">
      <c r="A147" s="1742"/>
      <c r="D147" s="1743"/>
      <c r="K147" s="24"/>
      <c r="L147" s="24"/>
    </row>
    <row r="148" spans="1:12" s="1680" customFormat="1">
      <c r="A148" s="1742"/>
      <c r="D148" s="1743"/>
      <c r="K148" s="24"/>
      <c r="L148" s="24"/>
    </row>
    <row r="149" spans="1:12" s="1680" customFormat="1">
      <c r="A149" s="1742"/>
      <c r="D149" s="1743"/>
      <c r="K149" s="24"/>
      <c r="L149" s="24"/>
    </row>
    <row r="150" spans="1:12" s="1680" customFormat="1">
      <c r="A150" s="1742"/>
      <c r="D150" s="1743"/>
      <c r="K150" s="24"/>
      <c r="L150" s="24"/>
    </row>
    <row r="151" spans="1:12" s="1680" customFormat="1">
      <c r="A151" s="1742"/>
      <c r="D151" s="1743"/>
      <c r="K151" s="24"/>
      <c r="L151" s="24"/>
    </row>
    <row r="152" spans="1:12" s="1680" customFormat="1">
      <c r="A152" s="1742"/>
      <c r="D152" s="1743"/>
      <c r="K152" s="24"/>
      <c r="L152" s="24"/>
    </row>
    <row r="153" spans="1:12" s="1680" customFormat="1">
      <c r="A153" s="1742"/>
      <c r="D153" s="1743"/>
      <c r="K153" s="24"/>
      <c r="L153" s="24"/>
    </row>
    <row r="154" spans="1:12" s="1680" customFormat="1">
      <c r="A154" s="1742"/>
      <c r="D154" s="1743"/>
      <c r="K154" s="24"/>
      <c r="L154" s="24"/>
    </row>
    <row r="155" spans="1:12" s="1680" customFormat="1">
      <c r="A155" s="1742"/>
      <c r="D155" s="1743"/>
      <c r="K155" s="24"/>
      <c r="L155" s="24"/>
    </row>
    <row r="156" spans="1:12" s="1680" customFormat="1">
      <c r="A156" s="1742"/>
      <c r="D156" s="1743"/>
      <c r="K156" s="24"/>
      <c r="L156" s="24"/>
    </row>
    <row r="157" spans="1:12" s="1680" customFormat="1">
      <c r="A157" s="1742"/>
      <c r="D157" s="1743"/>
      <c r="K157" s="24"/>
      <c r="L157" s="24"/>
    </row>
    <row r="158" spans="1:12" s="1680" customFormat="1">
      <c r="A158" s="1742"/>
      <c r="D158" s="1743"/>
      <c r="K158" s="24"/>
      <c r="L158" s="24"/>
    </row>
    <row r="159" spans="1:12" s="1680" customFormat="1">
      <c r="A159" s="1742"/>
      <c r="D159" s="1743"/>
      <c r="K159" s="24"/>
      <c r="L159" s="24"/>
    </row>
    <row r="160" spans="1:12" s="1680" customFormat="1">
      <c r="A160" s="1742"/>
      <c r="D160" s="1743"/>
      <c r="K160" s="24"/>
      <c r="L160" s="24"/>
    </row>
    <row r="161" spans="1:12" s="1680" customFormat="1">
      <c r="A161" s="1742"/>
      <c r="D161" s="1743"/>
      <c r="K161" s="24"/>
      <c r="L161" s="24"/>
    </row>
    <row r="162" spans="1:12" s="1680" customFormat="1">
      <c r="A162" s="1742"/>
      <c r="D162" s="1743"/>
      <c r="K162" s="24"/>
      <c r="L162" s="24"/>
    </row>
    <row r="163" spans="1:12" s="1680" customFormat="1">
      <c r="A163" s="1742"/>
      <c r="D163" s="1743"/>
      <c r="K163" s="24"/>
      <c r="L163" s="24"/>
    </row>
    <row r="164" spans="1:12" s="1680" customFormat="1">
      <c r="A164" s="1742"/>
      <c r="D164" s="1743"/>
      <c r="K164" s="24"/>
      <c r="L164" s="24"/>
    </row>
    <row r="165" spans="1:12" s="1680" customFormat="1">
      <c r="A165" s="1742"/>
      <c r="D165" s="1743"/>
      <c r="K165" s="24"/>
      <c r="L165" s="24"/>
    </row>
    <row r="166" spans="1:12" s="1680" customFormat="1">
      <c r="A166" s="1742"/>
      <c r="D166" s="1743"/>
      <c r="K166" s="24"/>
      <c r="L166" s="24"/>
    </row>
    <row r="167" spans="1:12" s="1680" customFormat="1">
      <c r="A167" s="1742"/>
      <c r="D167" s="1743"/>
      <c r="K167" s="24"/>
      <c r="L167" s="24"/>
    </row>
    <row r="168" spans="1:12" s="1680" customFormat="1">
      <c r="A168" s="1742"/>
      <c r="D168" s="1743"/>
      <c r="K168" s="24"/>
      <c r="L168" s="24"/>
    </row>
    <row r="169" spans="1:12" s="1680" customFormat="1">
      <c r="A169" s="1742"/>
      <c r="D169" s="1743"/>
      <c r="K169" s="24"/>
      <c r="L169" s="24"/>
    </row>
    <row r="170" spans="1:12" s="1680" customFormat="1">
      <c r="A170" s="1742"/>
      <c r="D170" s="1743"/>
      <c r="K170" s="24"/>
      <c r="L170" s="24"/>
    </row>
    <row r="171" spans="1:12" s="1680" customFormat="1">
      <c r="A171" s="1742"/>
      <c r="D171" s="1743"/>
      <c r="K171" s="24"/>
      <c r="L171" s="24"/>
    </row>
    <row r="172" spans="1:12" s="1680" customFormat="1">
      <c r="A172" s="1742"/>
      <c r="D172" s="1743"/>
      <c r="K172" s="24"/>
      <c r="L172" s="24"/>
    </row>
    <row r="173" spans="1:12" s="1680" customFormat="1">
      <c r="A173" s="1742"/>
      <c r="D173" s="1743"/>
      <c r="K173" s="24"/>
      <c r="L173" s="24"/>
    </row>
    <row r="174" spans="1:12" s="1680" customFormat="1">
      <c r="A174" s="1742"/>
      <c r="D174" s="1743"/>
      <c r="K174" s="24"/>
      <c r="L174" s="24"/>
    </row>
  </sheetData>
  <sheetProtection password="CEE9" sheet="1" objects="1" scenarios="1" formatCells="0" formatColumns="0" formatRows="0"/>
  <phoneticPr fontId="3" type="noConversion"/>
  <dataValidations count="8">
    <dataValidation type="list" allowBlank="1" showInputMessage="1" showErrorMessage="1" sqref="B44">
      <formula1>"7%,5%,1%"</formula1>
    </dataValidation>
    <dataValidation type="list" allowBlank="1" showInputMessage="1" showErrorMessage="1" sqref="B53">
      <formula1>城镇土地纳税等级分级范围</formula1>
    </dataValidation>
    <dataValidation type="list" allowBlank="1" showInputMessage="1" showErrorMessage="1" sqref="N5">
      <formula1>"工程进度,成新度,工程进度/成新度"</formula1>
    </dataValidation>
    <dataValidation type="list" allowBlank="1" showInputMessage="1" showErrorMessage="1" sqref="C6:C15">
      <formula1>地类判定</formula1>
    </dataValidation>
    <dataValidation type="list" showInputMessage="1" showErrorMessage="1" sqref="AI6:AI13">
      <formula1>"365,12,1"</formula1>
    </dataValidation>
    <dataValidation type="list" allowBlank="1" showInputMessage="1" showErrorMessage="1" sqref="B14:B15">
      <formula1>类别</formula1>
    </dataValidation>
    <dataValidation type="list" allowBlank="1" showInputMessage="1" showErrorMessage="1" sqref="AN6:AN13">
      <formula1>估价方法</formula1>
    </dataValidation>
    <dataValidation type="list" allowBlank="1" showInputMessage="1" showErrorMessage="1" sqref="A40">
      <formula1>"利息：取LPR,利息：取LPR加浮动点数"</formula1>
    </dataValidation>
  </dataValidations>
  <pageMargins left="0.7" right="0.7" top="0.75" bottom="0.75" header="0.3" footer="0.3"/>
  <pageSetup paperSize="9" scale="25" fitToHeight="0" orientation="portrait" r:id="rId1"/>
  <ignoredErrors>
    <ignoredError sqref="G16:H16" formulaRange="1"/>
  </ignoredErrors>
  <legacyDrawing r:id="rId2"/>
</worksheet>
</file>

<file path=xl/worksheets/sheet1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2">
    <tabColor rgb="FFFFFF00"/>
    <pageSetUpPr fitToPage="1"/>
  </sheetPr>
  <dimension ref="A1:AC187"/>
  <sheetViews>
    <sheetView view="pageBreakPreview" zoomScale="80" zoomScaleNormal="80" zoomScaleSheetLayoutView="80" workbookViewId="0">
      <pane xSplit="1" ySplit="2" topLeftCell="B3" activePane="bottomRight" state="frozen"/>
      <selection activeCell="C50" sqref="C50"/>
      <selection pane="topRight" activeCell="C50" sqref="C50"/>
      <selection pane="bottomLeft" activeCell="C50" sqref="C50"/>
      <selection pane="bottomRight" activeCell="G6" sqref="G6"/>
    </sheetView>
  </sheetViews>
  <sheetFormatPr defaultColWidth="9" defaultRowHeight="14.25"/>
  <cols>
    <col min="1" max="1" width="9.5" style="1685" customWidth="1"/>
    <col min="2" max="2" width="24.5" style="1571" customWidth="1"/>
    <col min="3" max="3" width="24.5" style="2503" customWidth="1"/>
    <col min="4" max="4" width="2.625" style="2503" customWidth="1"/>
    <col min="5" max="5" width="5.875" style="2503" customWidth="1"/>
    <col min="6" max="6" width="27" style="1571" customWidth="1"/>
    <col min="7" max="7" width="27" style="2504" customWidth="1"/>
    <col min="8" max="8" width="11.875" style="2484" customWidth="1"/>
    <col min="9" max="9" width="16.75" style="2485" customWidth="1"/>
    <col min="10" max="10" width="2.625" style="2484" customWidth="1"/>
    <col min="11" max="11" width="11.875" style="2484" customWidth="1"/>
    <col min="12" max="12" width="16.75" style="2485" customWidth="1"/>
    <col min="13" max="13" width="2.625" style="2484" customWidth="1"/>
    <col min="14" max="14" width="11.875" style="2484" customWidth="1"/>
    <col min="15" max="15" width="16.75" style="2485" customWidth="1"/>
    <col min="16" max="16" width="2.625" style="2484" customWidth="1"/>
    <col min="17" max="17" width="11.875" style="2484" customWidth="1"/>
    <col min="18" max="18" width="16.75" style="2486" customWidth="1"/>
    <col min="19" max="29" width="9" style="799"/>
    <col min="30" max="16384" width="9" style="1685"/>
  </cols>
  <sheetData>
    <row r="1" spans="1:29" s="2453" customFormat="1" ht="18.75" thickBot="1">
      <c r="A1" s="3577" t="s">
        <v>2258</v>
      </c>
      <c r="B1" s="3578"/>
      <c r="C1" s="3578"/>
      <c r="D1" s="3578"/>
      <c r="E1" s="3578"/>
      <c r="F1" s="3578"/>
      <c r="G1" s="3578"/>
      <c r="H1" s="2448"/>
      <c r="I1" s="2449"/>
      <c r="J1" s="2448"/>
      <c r="K1" s="2448"/>
      <c r="L1" s="2449"/>
      <c r="M1" s="2448"/>
      <c r="N1" s="2448"/>
      <c r="O1" s="2449"/>
      <c r="P1" s="2448"/>
      <c r="Q1" s="2450"/>
      <c r="R1" s="2451"/>
      <c r="S1" s="2452"/>
      <c r="T1" s="2452"/>
      <c r="U1" s="2452"/>
      <c r="V1" s="2452"/>
      <c r="W1" s="2452"/>
      <c r="X1" s="2452"/>
      <c r="Y1" s="2452"/>
      <c r="Z1" s="2452"/>
      <c r="AA1" s="2452"/>
      <c r="AB1" s="2452"/>
      <c r="AC1" s="2452"/>
    </row>
    <row r="2" spans="1:29" ht="15" thickBot="1">
      <c r="A2" s="2454"/>
      <c r="B2" s="2455"/>
      <c r="C2" s="2456" t="s">
        <v>2255</v>
      </c>
      <c r="D2" s="2457"/>
      <c r="E2" s="2454"/>
      <c r="F2" s="2458"/>
      <c r="G2" s="2456" t="s">
        <v>2256</v>
      </c>
      <c r="H2" s="799"/>
      <c r="I2" s="799"/>
      <c r="J2" s="799"/>
      <c r="K2" s="799"/>
      <c r="L2" s="799"/>
      <c r="M2" s="799"/>
      <c r="N2" s="799"/>
      <c r="O2" s="799"/>
      <c r="P2" s="799"/>
      <c r="Q2" s="799"/>
      <c r="R2" s="799"/>
    </row>
    <row r="3" spans="1:29" ht="24">
      <c r="A3" s="2437" t="s">
        <v>2257</v>
      </c>
      <c r="B3" s="2459" t="s">
        <v>2229</v>
      </c>
      <c r="C3" s="3450" t="s">
        <v>3599</v>
      </c>
      <c r="D3" s="2460"/>
      <c r="E3" s="2438" t="s">
        <v>2257</v>
      </c>
      <c r="F3" s="2461" t="s">
        <v>2230</v>
      </c>
      <c r="G3" s="3452" t="s">
        <v>3603</v>
      </c>
      <c r="H3" s="799"/>
      <c r="I3" s="799"/>
      <c r="J3" s="799"/>
      <c r="K3" s="799"/>
      <c r="L3" s="799"/>
      <c r="M3" s="799"/>
      <c r="N3" s="799"/>
      <c r="O3" s="799"/>
      <c r="P3" s="799"/>
      <c r="Q3" s="799"/>
      <c r="R3" s="799"/>
    </row>
    <row r="4" spans="1:29">
      <c r="A4" s="2438"/>
      <c r="B4" s="323" t="s">
        <v>2231</v>
      </c>
      <c r="C4" s="3451" t="s">
        <v>3600</v>
      </c>
      <c r="D4" s="2460"/>
      <c r="E4" s="2463"/>
      <c r="F4" s="1372" t="s">
        <v>2232</v>
      </c>
      <c r="G4" s="3453" t="s">
        <v>3604</v>
      </c>
      <c r="H4" s="799"/>
      <c r="I4" s="799"/>
      <c r="J4" s="799"/>
      <c r="K4" s="799"/>
      <c r="L4" s="799"/>
      <c r="M4" s="799"/>
      <c r="N4" s="799"/>
      <c r="O4" s="799"/>
      <c r="P4" s="799"/>
      <c r="Q4" s="799"/>
      <c r="R4" s="799"/>
    </row>
    <row r="5" spans="1:29">
      <c r="A5" s="2438"/>
      <c r="B5" s="323" t="s">
        <v>2234</v>
      </c>
      <c r="C5" s="3451" t="s">
        <v>3602</v>
      </c>
      <c r="D5" s="2460"/>
      <c r="E5" s="2463"/>
      <c r="F5" s="323" t="s">
        <v>2235</v>
      </c>
      <c r="G5" s="3453" t="s">
        <v>3604</v>
      </c>
      <c r="H5" s="799"/>
      <c r="I5" s="799"/>
      <c r="J5" s="799"/>
      <c r="K5" s="799"/>
      <c r="L5" s="799"/>
      <c r="M5" s="799"/>
      <c r="N5" s="799"/>
      <c r="O5" s="799"/>
      <c r="P5" s="799"/>
      <c r="Q5" s="799"/>
      <c r="R5" s="799"/>
    </row>
    <row r="6" spans="1:29" ht="36">
      <c r="A6" s="2438"/>
      <c r="B6" s="323" t="s">
        <v>2237</v>
      </c>
      <c r="C6" s="2464" t="s">
        <v>2233</v>
      </c>
      <c r="D6" s="2460"/>
      <c r="E6" s="2463"/>
      <c r="F6" s="323" t="s">
        <v>2238</v>
      </c>
      <c r="G6" s="3453" t="s">
        <v>3606</v>
      </c>
      <c r="H6" s="799"/>
      <c r="I6" s="799"/>
      <c r="J6" s="799"/>
      <c r="K6" s="799"/>
      <c r="L6" s="799"/>
      <c r="M6" s="799"/>
      <c r="N6" s="799"/>
      <c r="O6" s="799"/>
      <c r="P6" s="799"/>
      <c r="Q6" s="799"/>
      <c r="R6" s="799"/>
    </row>
    <row r="7" spans="1:29" ht="24.75" thickBot="1">
      <c r="A7" s="2438"/>
      <c r="B7" s="323" t="s">
        <v>2235</v>
      </c>
      <c r="C7" s="2464" t="s">
        <v>2236</v>
      </c>
      <c r="D7" s="2465"/>
      <c r="E7" s="2466"/>
      <c r="F7" s="2467" t="s">
        <v>2240</v>
      </c>
      <c r="G7" s="3454" t="s">
        <v>3604</v>
      </c>
      <c r="H7" s="799"/>
      <c r="I7" s="799"/>
      <c r="J7" s="799"/>
      <c r="K7" s="799"/>
      <c r="L7" s="799"/>
      <c r="M7" s="799"/>
      <c r="N7" s="799"/>
      <c r="O7" s="799"/>
      <c r="P7" s="799"/>
      <c r="Q7" s="799"/>
      <c r="R7" s="799"/>
    </row>
    <row r="8" spans="1:29">
      <c r="A8" s="2438"/>
      <c r="B8" s="323" t="s">
        <v>2238</v>
      </c>
      <c r="C8" s="2464" t="s">
        <v>2239</v>
      </c>
      <c r="D8" s="2465"/>
      <c r="E8" s="2465"/>
      <c r="F8" s="2468"/>
      <c r="G8" s="2468"/>
      <c r="H8" s="799"/>
      <c r="I8" s="799"/>
      <c r="J8" s="799"/>
      <c r="K8" s="799"/>
      <c r="L8" s="799"/>
      <c r="M8" s="799"/>
      <c r="N8" s="799"/>
      <c r="O8" s="799"/>
      <c r="P8" s="799"/>
      <c r="Q8" s="799"/>
      <c r="R8" s="799"/>
    </row>
    <row r="9" spans="1:29" ht="24">
      <c r="A9" s="2438"/>
      <c r="B9" s="323" t="s">
        <v>2241</v>
      </c>
      <c r="C9" s="2462" t="s">
        <v>2242</v>
      </c>
      <c r="D9" s="2460"/>
      <c r="E9" s="2465"/>
      <c r="F9" s="2468"/>
      <c r="G9" s="2468"/>
      <c r="H9" s="799"/>
      <c r="I9" s="799"/>
      <c r="J9" s="799"/>
      <c r="K9" s="799"/>
      <c r="L9" s="799"/>
      <c r="M9" s="799"/>
      <c r="N9" s="799"/>
      <c r="O9" s="799"/>
      <c r="P9" s="799"/>
      <c r="Q9" s="799"/>
      <c r="R9" s="799"/>
    </row>
    <row r="10" spans="1:29" s="2474" customFormat="1" ht="15" thickBot="1">
      <c r="A10" s="2439"/>
      <c r="B10" s="2469" t="s">
        <v>2243</v>
      </c>
      <c r="C10" s="2470"/>
      <c r="D10" s="2460"/>
      <c r="E10" s="2460"/>
      <c r="F10" s="2468"/>
      <c r="G10" s="2468"/>
      <c r="H10" s="2471"/>
      <c r="I10" s="2472"/>
      <c r="J10" s="2473"/>
      <c r="K10" s="2471"/>
      <c r="L10" s="2472"/>
      <c r="M10" s="2473"/>
      <c r="N10" s="2471"/>
      <c r="O10" s="2472"/>
      <c r="P10" s="2473"/>
      <c r="Q10" s="2471"/>
      <c r="R10" s="2472"/>
      <c r="S10" s="799"/>
      <c r="T10" s="799"/>
      <c r="U10" s="799"/>
      <c r="V10" s="799"/>
      <c r="W10" s="799"/>
      <c r="X10" s="799"/>
      <c r="Y10" s="799"/>
      <c r="Z10" s="799"/>
      <c r="AA10" s="799"/>
      <c r="AB10" s="799"/>
      <c r="AC10" s="799"/>
    </row>
    <row r="11" spans="1:29" s="2474" customFormat="1">
      <c r="A11" s="2475"/>
      <c r="B11" s="2465"/>
      <c r="C11" s="2460"/>
      <c r="D11" s="2460"/>
      <c r="E11" s="2460"/>
      <c r="F11" s="2465"/>
      <c r="G11" s="2476"/>
      <c r="H11" s="2471"/>
      <c r="I11" s="2472"/>
      <c r="J11" s="2473"/>
      <c r="K11" s="2471"/>
      <c r="L11" s="2472"/>
      <c r="M11" s="2473"/>
      <c r="N11" s="2471"/>
      <c r="O11" s="2472"/>
      <c r="P11" s="2473"/>
      <c r="Q11" s="2471"/>
      <c r="R11" s="2472"/>
      <c r="S11" s="799"/>
      <c r="T11" s="799"/>
      <c r="U11" s="799"/>
      <c r="V11" s="799"/>
      <c r="W11" s="799"/>
      <c r="X11" s="799"/>
      <c r="Y11" s="799"/>
      <c r="Z11" s="799"/>
      <c r="AA11" s="799"/>
      <c r="AB11" s="799"/>
      <c r="AC11" s="799"/>
    </row>
    <row r="12" spans="1:29" s="2453" customFormat="1" ht="18">
      <c r="A12" s="2475"/>
      <c r="B12" s="2465"/>
      <c r="C12" s="2460"/>
      <c r="D12" s="2477"/>
      <c r="E12" s="2460"/>
      <c r="F12" s="2465"/>
      <c r="G12" s="2476"/>
      <c r="H12" s="2478"/>
      <c r="I12" s="2479"/>
      <c r="J12" s="2478"/>
      <c r="K12" s="2478"/>
      <c r="L12" s="2480"/>
      <c r="M12" s="2478"/>
      <c r="N12" s="2481"/>
      <c r="O12" s="2482"/>
      <c r="P12" s="2481"/>
      <c r="Q12" s="2481"/>
      <c r="R12" s="2451"/>
      <c r="S12" s="2452"/>
      <c r="T12" s="2452"/>
      <c r="U12" s="2452"/>
      <c r="V12" s="2452"/>
      <c r="W12" s="2452"/>
      <c r="X12" s="2452"/>
      <c r="Y12" s="2452"/>
      <c r="Z12" s="2452"/>
      <c r="AA12" s="2452"/>
      <c r="AB12" s="2452"/>
      <c r="AC12" s="2452"/>
    </row>
    <row r="13" spans="1:29" ht="15.75" thickBot="1">
      <c r="A13" s="2483" t="s">
        <v>2259</v>
      </c>
      <c r="B13" s="2477"/>
      <c r="C13" s="2477"/>
      <c r="D13" s="2475"/>
      <c r="E13" s="2477"/>
      <c r="F13" s="2477"/>
      <c r="G13" s="2477"/>
    </row>
    <row r="14" spans="1:29" ht="15" thickBot="1">
      <c r="A14" s="2487"/>
      <c r="B14" s="2487"/>
      <c r="C14" s="2488" t="s">
        <v>2244</v>
      </c>
      <c r="D14" s="2460"/>
      <c r="E14" s="2489"/>
      <c r="F14" s="2489"/>
      <c r="G14" s="2456" t="s">
        <v>2245</v>
      </c>
    </row>
    <row r="15" spans="1:29" ht="24">
      <c r="A15" s="2440" t="s">
        <v>2246</v>
      </c>
      <c r="B15" s="2490" t="s">
        <v>2229</v>
      </c>
      <c r="C15" s="2491" t="str">
        <f>C3</f>
        <v>一般</v>
      </c>
      <c r="D15" s="2460"/>
      <c r="E15" s="2441" t="s">
        <v>2247</v>
      </c>
      <c r="F15" s="2490" t="s">
        <v>2248</v>
      </c>
      <c r="G15" s="2492" t="str">
        <f>G3</f>
        <v>较好</v>
      </c>
    </row>
    <row r="16" spans="1:29">
      <c r="A16" s="2442"/>
      <c r="B16" s="2493" t="s">
        <v>2231</v>
      </c>
      <c r="C16" s="2494" t="str">
        <f>C4</f>
        <v>一般</v>
      </c>
      <c r="D16" s="2460"/>
      <c r="E16" s="2443"/>
      <c r="F16" s="2495" t="s">
        <v>2232</v>
      </c>
      <c r="G16" s="2496" t="str">
        <f>G4</f>
        <v>较好</v>
      </c>
    </row>
    <row r="17" spans="1:18">
      <c r="A17" s="2442"/>
      <c r="B17" s="2493" t="s">
        <v>2234</v>
      </c>
      <c r="C17" s="2494" t="str">
        <f>C5</f>
        <v>较好</v>
      </c>
      <c r="D17" s="2465"/>
      <c r="E17" s="2443"/>
      <c r="F17" s="2495" t="s">
        <v>2249</v>
      </c>
      <c r="G17" s="2497"/>
    </row>
    <row r="18" spans="1:18" ht="38.25">
      <c r="A18" s="2442"/>
      <c r="B18" s="2495" t="s">
        <v>2237</v>
      </c>
      <c r="C18" s="2496" t="str">
        <f>C6</f>
        <v>估价对象周边道路状况、公共交通通达情况、停车便捷程度，综合评价交通便捷度较好</v>
      </c>
      <c r="D18" s="2465"/>
      <c r="E18" s="2443"/>
      <c r="F18" s="2495" t="s">
        <v>2240</v>
      </c>
      <c r="G18" s="2496" t="str">
        <f>G7</f>
        <v>较好</v>
      </c>
    </row>
    <row r="19" spans="1:18">
      <c r="A19" s="2442"/>
      <c r="B19" s="2495" t="s">
        <v>2250</v>
      </c>
      <c r="C19" s="2497"/>
      <c r="D19" s="2460"/>
      <c r="E19" s="2443"/>
      <c r="F19" s="323" t="s">
        <v>2235</v>
      </c>
      <c r="G19" s="2496" t="str">
        <f>G5</f>
        <v>较好</v>
      </c>
    </row>
    <row r="20" spans="1:18" ht="25.5">
      <c r="A20" s="2442"/>
      <c r="B20" s="2495" t="s">
        <v>2251</v>
      </c>
      <c r="C20" s="2494" t="str">
        <f>C9</f>
        <v>区域自然环境：；人文环境；综合评价环境状况一般</v>
      </c>
      <c r="D20" s="2465"/>
      <c r="E20" s="2443"/>
      <c r="F20" s="323" t="s">
        <v>2238</v>
      </c>
      <c r="G20" s="2496" t="str">
        <f>G6</f>
        <v>七通</v>
      </c>
    </row>
    <row r="21" spans="1:18" ht="25.5">
      <c r="A21" s="2442"/>
      <c r="B21" s="323" t="s">
        <v>2235</v>
      </c>
      <c r="C21" s="2496" t="str">
        <f>C7</f>
        <v>估价对象所在区域公共配套设施齐备情况</v>
      </c>
      <c r="D21" s="2460"/>
      <c r="E21" s="2443"/>
      <c r="F21" s="2495" t="s">
        <v>2252</v>
      </c>
      <c r="G21" s="2498"/>
    </row>
    <row r="22" spans="1:18" ht="13.5" customHeight="1">
      <c r="A22" s="2442"/>
      <c r="B22" s="323" t="s">
        <v>2238</v>
      </c>
      <c r="C22" s="2496" t="str">
        <f>C8</f>
        <v>估价对象所在区域基础设施水平</v>
      </c>
      <c r="D22" s="2460"/>
      <c r="E22" s="2443"/>
      <c r="F22" s="2495" t="s">
        <v>2243</v>
      </c>
      <c r="G22" s="2497"/>
    </row>
    <row r="23" spans="1:18" s="799" customFormat="1" ht="15" thickBot="1">
      <c r="A23" s="2442"/>
      <c r="B23" s="2495" t="s">
        <v>2252</v>
      </c>
      <c r="C23" s="2498"/>
      <c r="D23" s="1740"/>
      <c r="E23" s="2444"/>
      <c r="F23" s="2499" t="s">
        <v>2253</v>
      </c>
      <c r="G23" s="2500"/>
      <c r="H23" s="2484"/>
      <c r="I23" s="2485"/>
      <c r="J23" s="2484"/>
      <c r="K23" s="2484"/>
      <c r="L23" s="2485"/>
      <c r="M23" s="2484"/>
      <c r="N23" s="2484"/>
      <c r="O23" s="2485"/>
      <c r="P23" s="2484"/>
      <c r="Q23" s="2484"/>
      <c r="R23" s="2486"/>
    </row>
    <row r="24" spans="1:18" s="799" customFormat="1" ht="15" thickBot="1">
      <c r="A24" s="2445"/>
      <c r="B24" s="2499" t="s">
        <v>2254</v>
      </c>
      <c r="C24" s="2501">
        <f>C10</f>
        <v>0</v>
      </c>
      <c r="D24" s="1740"/>
      <c r="E24" s="2435"/>
      <c r="F24" s="2435"/>
      <c r="G24" s="2502"/>
      <c r="H24" s="2484"/>
      <c r="I24" s="2485"/>
      <c r="J24" s="2484"/>
      <c r="K24" s="2484"/>
      <c r="L24" s="2485"/>
      <c r="M24" s="2484"/>
      <c r="N24" s="2484"/>
      <c r="O24" s="2485"/>
      <c r="P24" s="2484"/>
      <c r="Q24" s="2484"/>
      <c r="R24" s="2486"/>
    </row>
    <row r="25" spans="1:18" s="799" customFormat="1">
      <c r="B25" s="2484"/>
      <c r="C25" s="2484"/>
      <c r="D25" s="2484"/>
      <c r="H25" s="2484"/>
      <c r="I25" s="2485"/>
      <c r="J25" s="2484"/>
      <c r="K25" s="2484"/>
      <c r="L25" s="2485"/>
      <c r="M25" s="2484"/>
      <c r="N25" s="2484"/>
      <c r="O25" s="2485"/>
      <c r="P25" s="2484"/>
      <c r="Q25" s="2484"/>
      <c r="R25" s="2486"/>
    </row>
    <row r="26" spans="1:18" s="799" customFormat="1">
      <c r="B26" s="2484"/>
      <c r="C26" s="2484"/>
      <c r="D26" s="2484"/>
      <c r="H26" s="2484"/>
      <c r="I26" s="2485"/>
      <c r="J26" s="2484"/>
      <c r="K26" s="2484"/>
      <c r="L26" s="2485"/>
      <c r="M26" s="2484"/>
      <c r="N26" s="2484"/>
      <c r="O26" s="2485"/>
      <c r="P26" s="2484"/>
      <c r="Q26" s="2484"/>
      <c r="R26" s="2486"/>
    </row>
    <row r="27" spans="1:18" s="799" customFormat="1">
      <c r="B27" s="2484"/>
      <c r="C27" s="2484"/>
      <c r="D27" s="2484"/>
      <c r="H27" s="2484"/>
      <c r="I27" s="2485"/>
      <c r="J27" s="2484"/>
      <c r="K27" s="2484"/>
      <c r="L27" s="2485"/>
      <c r="M27" s="2484"/>
      <c r="N27" s="2484"/>
      <c r="O27" s="2485"/>
      <c r="P27" s="2484"/>
      <c r="Q27" s="2484"/>
      <c r="R27" s="2486"/>
    </row>
    <row r="28" spans="1:18" s="799" customFormat="1">
      <c r="B28" s="2484"/>
      <c r="C28" s="2484"/>
      <c r="D28" s="2484"/>
      <c r="H28" s="2484"/>
      <c r="I28" s="2485"/>
      <c r="J28" s="2484"/>
      <c r="K28" s="2484"/>
      <c r="L28" s="2485"/>
      <c r="M28" s="2484"/>
      <c r="N28" s="2484"/>
      <c r="O28" s="2485"/>
      <c r="P28" s="2484"/>
      <c r="Q28" s="2484"/>
      <c r="R28" s="2486"/>
    </row>
    <row r="29" spans="1:18" s="799" customFormat="1">
      <c r="B29" s="2484"/>
      <c r="C29" s="2484"/>
      <c r="D29" s="2484"/>
      <c r="H29" s="2484"/>
      <c r="I29" s="2485"/>
      <c r="J29" s="2484"/>
      <c r="K29" s="2484"/>
      <c r="L29" s="2485"/>
      <c r="M29" s="2484"/>
      <c r="N29" s="2484"/>
      <c r="O29" s="2485"/>
      <c r="P29" s="2484"/>
      <c r="Q29" s="2484"/>
      <c r="R29" s="2486"/>
    </row>
    <row r="30" spans="1:18" s="799" customFormat="1">
      <c r="B30" s="2484"/>
      <c r="C30" s="2484"/>
      <c r="D30" s="2484"/>
      <c r="H30" s="2484"/>
      <c r="I30" s="2485"/>
      <c r="J30" s="2484"/>
      <c r="K30" s="2484"/>
      <c r="L30" s="2485"/>
      <c r="M30" s="2484"/>
      <c r="N30" s="2484"/>
      <c r="O30" s="2485"/>
      <c r="P30" s="2484"/>
      <c r="Q30" s="2484"/>
      <c r="R30" s="2486"/>
    </row>
    <row r="31" spans="1:18" s="799" customFormat="1">
      <c r="B31" s="2484"/>
      <c r="C31" s="2484"/>
      <c r="D31" s="2484"/>
      <c r="H31" s="2484"/>
      <c r="I31" s="2485"/>
      <c r="J31" s="2484"/>
      <c r="K31" s="2484"/>
      <c r="L31" s="2485"/>
      <c r="M31" s="2484"/>
      <c r="N31" s="2484"/>
      <c r="O31" s="2485"/>
      <c r="P31" s="2484"/>
      <c r="Q31" s="2484"/>
      <c r="R31" s="2486"/>
    </row>
    <row r="32" spans="1:18" s="799" customFormat="1">
      <c r="B32" s="2484"/>
      <c r="C32" s="2484"/>
      <c r="D32" s="2484"/>
      <c r="H32" s="2484"/>
      <c r="I32" s="2485"/>
      <c r="J32" s="2484"/>
      <c r="K32" s="2484"/>
      <c r="L32" s="2485"/>
      <c r="M32" s="2484"/>
      <c r="N32" s="2484"/>
      <c r="O32" s="2485"/>
      <c r="P32" s="2484"/>
      <c r="Q32" s="2484"/>
      <c r="R32" s="2486"/>
    </row>
    <row r="33" spans="2:18" s="799" customFormat="1">
      <c r="B33" s="2484"/>
      <c r="C33" s="2484"/>
      <c r="D33" s="2484"/>
      <c r="H33" s="2484"/>
      <c r="I33" s="2485"/>
      <c r="J33" s="2484"/>
      <c r="K33" s="2484"/>
      <c r="L33" s="2485"/>
      <c r="M33" s="2484"/>
      <c r="N33" s="2484"/>
      <c r="O33" s="2485"/>
      <c r="P33" s="2484"/>
      <c r="Q33" s="2484"/>
      <c r="R33" s="2486"/>
    </row>
    <row r="34" spans="2:18" s="799" customFormat="1">
      <c r="B34" s="2484"/>
      <c r="C34" s="2484"/>
      <c r="D34" s="2484"/>
      <c r="H34" s="2484"/>
      <c r="I34" s="2485"/>
      <c r="J34" s="2484"/>
      <c r="K34" s="2484"/>
      <c r="L34" s="2485"/>
      <c r="M34" s="2484"/>
      <c r="N34" s="2484"/>
      <c r="O34" s="2485"/>
      <c r="P34" s="2484"/>
      <c r="Q34" s="2484"/>
      <c r="R34" s="2486"/>
    </row>
    <row r="35" spans="2:18" s="799" customFormat="1">
      <c r="B35" s="2484"/>
      <c r="C35" s="2484"/>
      <c r="D35" s="2484"/>
      <c r="H35" s="2484"/>
      <c r="I35" s="2485"/>
      <c r="J35" s="2484"/>
      <c r="K35" s="2484"/>
      <c r="L35" s="2485"/>
      <c r="M35" s="2484"/>
      <c r="N35" s="2484"/>
      <c r="O35" s="2485"/>
      <c r="P35" s="2484"/>
      <c r="Q35" s="2484"/>
      <c r="R35" s="2486"/>
    </row>
    <row r="36" spans="2:18" s="799" customFormat="1">
      <c r="B36" s="2484"/>
      <c r="C36" s="2484"/>
      <c r="D36" s="2484"/>
      <c r="H36" s="2484"/>
      <c r="I36" s="2485"/>
      <c r="J36" s="2484"/>
      <c r="K36" s="2484"/>
      <c r="L36" s="2485"/>
      <c r="M36" s="2484"/>
      <c r="N36" s="2484"/>
      <c r="O36" s="2485"/>
      <c r="P36" s="2484"/>
      <c r="Q36" s="2484"/>
      <c r="R36" s="2486"/>
    </row>
    <row r="37" spans="2:18" s="799" customFormat="1">
      <c r="B37" s="2484"/>
      <c r="C37" s="2484"/>
      <c r="D37" s="2484"/>
      <c r="H37" s="2484"/>
      <c r="I37" s="2485"/>
      <c r="J37" s="2484"/>
      <c r="K37" s="2484"/>
      <c r="L37" s="2485"/>
      <c r="M37" s="2484"/>
      <c r="N37" s="2484"/>
      <c r="O37" s="2485"/>
      <c r="P37" s="2484"/>
      <c r="Q37" s="2484"/>
      <c r="R37" s="2486"/>
    </row>
    <row r="38" spans="2:18" s="799" customFormat="1">
      <c r="B38" s="2484"/>
      <c r="C38" s="2484"/>
      <c r="D38" s="2484"/>
      <c r="E38" s="2484"/>
      <c r="F38" s="2484"/>
      <c r="G38" s="2485"/>
      <c r="H38" s="2484"/>
      <c r="I38" s="2485"/>
      <c r="J38" s="2484"/>
      <c r="K38" s="2484"/>
      <c r="L38" s="2485"/>
      <c r="M38" s="2484"/>
      <c r="N38" s="2484"/>
      <c r="O38" s="2485"/>
      <c r="P38" s="2484"/>
      <c r="Q38" s="2484"/>
      <c r="R38" s="2486"/>
    </row>
    <row r="39" spans="2:18" s="799" customFormat="1">
      <c r="B39" s="2484"/>
      <c r="C39" s="2484"/>
      <c r="D39" s="2484"/>
      <c r="E39" s="2484"/>
      <c r="F39" s="2484"/>
      <c r="G39" s="2485"/>
      <c r="H39" s="2484"/>
      <c r="I39" s="2485"/>
      <c r="J39" s="2484"/>
      <c r="K39" s="2484"/>
      <c r="L39" s="2485"/>
      <c r="M39" s="2484"/>
      <c r="N39" s="2484"/>
      <c r="O39" s="2485"/>
      <c r="P39" s="2484"/>
      <c r="Q39" s="2484"/>
      <c r="R39" s="2486"/>
    </row>
    <row r="40" spans="2:18" s="799" customFormat="1">
      <c r="B40" s="2484"/>
      <c r="C40" s="2484"/>
      <c r="D40" s="2484"/>
      <c r="E40" s="2484"/>
      <c r="F40" s="2484"/>
      <c r="G40" s="2485"/>
      <c r="H40" s="2484"/>
      <c r="I40" s="2485"/>
      <c r="J40" s="2484"/>
      <c r="K40" s="2484"/>
      <c r="L40" s="2485"/>
      <c r="M40" s="2484"/>
      <c r="N40" s="2484"/>
      <c r="O40" s="2485"/>
      <c r="P40" s="2484"/>
      <c r="Q40" s="2484"/>
      <c r="R40" s="2486"/>
    </row>
    <row r="41" spans="2:18" s="799" customFormat="1">
      <c r="B41" s="2484"/>
      <c r="C41" s="2484"/>
      <c r="D41" s="2484"/>
      <c r="E41" s="2484"/>
      <c r="F41" s="2484"/>
      <c r="G41" s="2485"/>
      <c r="H41" s="2484"/>
      <c r="I41" s="2485"/>
      <c r="J41" s="2484"/>
      <c r="K41" s="2484"/>
      <c r="L41" s="2485"/>
      <c r="M41" s="2484"/>
      <c r="N41" s="2484"/>
      <c r="O41" s="2485"/>
      <c r="P41" s="2484"/>
      <c r="Q41" s="2484"/>
      <c r="R41" s="2486"/>
    </row>
    <row r="42" spans="2:18" s="799" customFormat="1">
      <c r="B42" s="2484"/>
      <c r="C42" s="2484"/>
      <c r="D42" s="2484"/>
      <c r="E42" s="2484"/>
      <c r="F42" s="2484"/>
      <c r="G42" s="2485"/>
      <c r="H42" s="2484"/>
      <c r="I42" s="2485"/>
      <c r="J42" s="2484"/>
      <c r="K42" s="2484"/>
      <c r="L42" s="2485"/>
      <c r="M42" s="2484"/>
      <c r="N42" s="2484"/>
      <c r="O42" s="2485"/>
      <c r="P42" s="2484"/>
      <c r="Q42" s="2484"/>
      <c r="R42" s="2486"/>
    </row>
    <row r="43" spans="2:18" s="799" customFormat="1">
      <c r="B43" s="2484"/>
      <c r="C43" s="2484"/>
      <c r="D43" s="2484"/>
      <c r="E43" s="2484"/>
      <c r="F43" s="2484"/>
      <c r="G43" s="2485"/>
      <c r="H43" s="2484"/>
      <c r="I43" s="2485"/>
      <c r="J43" s="2484"/>
      <c r="K43" s="2484"/>
      <c r="L43" s="2485"/>
      <c r="M43" s="2484"/>
      <c r="N43" s="2484"/>
      <c r="O43" s="2485"/>
      <c r="P43" s="2484"/>
      <c r="Q43" s="2484"/>
      <c r="R43" s="2486"/>
    </row>
    <row r="44" spans="2:18" s="799" customFormat="1">
      <c r="B44" s="2484"/>
      <c r="C44" s="2484"/>
      <c r="D44" s="2484"/>
      <c r="E44" s="2484"/>
      <c r="F44" s="2484"/>
      <c r="G44" s="2485"/>
      <c r="H44" s="2484"/>
      <c r="I44" s="2485"/>
      <c r="J44" s="2484"/>
      <c r="K44" s="2484"/>
      <c r="L44" s="2485"/>
      <c r="M44" s="2484"/>
      <c r="N44" s="2484"/>
      <c r="O44" s="2485"/>
      <c r="P44" s="2484"/>
      <c r="Q44" s="2484"/>
      <c r="R44" s="2486"/>
    </row>
    <row r="45" spans="2:18" s="799" customFormat="1">
      <c r="B45" s="2484"/>
      <c r="C45" s="2484"/>
      <c r="D45" s="2484"/>
      <c r="E45" s="2484"/>
      <c r="F45" s="2484"/>
      <c r="G45" s="2485"/>
      <c r="H45" s="2484"/>
      <c r="I45" s="2485"/>
      <c r="J45" s="2484"/>
      <c r="K45" s="2484"/>
      <c r="L45" s="2485"/>
      <c r="M45" s="2484"/>
      <c r="N45" s="2484"/>
      <c r="O45" s="2485"/>
      <c r="P45" s="2484"/>
      <c r="Q45" s="2484"/>
      <c r="R45" s="2486"/>
    </row>
    <row r="46" spans="2:18" s="799" customFormat="1">
      <c r="B46" s="2484"/>
      <c r="C46" s="2484"/>
      <c r="D46" s="2484"/>
      <c r="E46" s="2484"/>
      <c r="F46" s="2484"/>
      <c r="G46" s="2485"/>
      <c r="H46" s="2484"/>
      <c r="I46" s="2485"/>
      <c r="J46" s="2484"/>
      <c r="K46" s="2484"/>
      <c r="L46" s="2485"/>
      <c r="M46" s="2484"/>
      <c r="N46" s="2484"/>
      <c r="O46" s="2485"/>
      <c r="P46" s="2484"/>
      <c r="Q46" s="2484"/>
      <c r="R46" s="2486"/>
    </row>
    <row r="47" spans="2:18" s="799" customFormat="1">
      <c r="B47" s="2484"/>
      <c r="C47" s="2484"/>
      <c r="D47" s="2484"/>
      <c r="E47" s="2484"/>
      <c r="F47" s="2484"/>
      <c r="G47" s="2485"/>
      <c r="H47" s="2484"/>
      <c r="I47" s="2485"/>
      <c r="J47" s="2484"/>
      <c r="K47" s="2484"/>
      <c r="L47" s="2485"/>
      <c r="M47" s="2484"/>
      <c r="N47" s="2484"/>
      <c r="O47" s="2485"/>
      <c r="P47" s="2484"/>
      <c r="Q47" s="2484"/>
      <c r="R47" s="2486"/>
    </row>
    <row r="48" spans="2:18" s="799" customFormat="1">
      <c r="B48" s="2484"/>
      <c r="C48" s="2484"/>
      <c r="D48" s="2484"/>
      <c r="E48" s="2484"/>
      <c r="F48" s="2484"/>
      <c r="G48" s="2485"/>
      <c r="H48" s="2484"/>
      <c r="I48" s="2485"/>
      <c r="J48" s="2484"/>
      <c r="K48" s="2484"/>
      <c r="L48" s="2485"/>
      <c r="M48" s="2484"/>
      <c r="N48" s="2484"/>
      <c r="O48" s="2485"/>
      <c r="P48" s="2484"/>
      <c r="Q48" s="2484"/>
      <c r="R48" s="2486"/>
    </row>
    <row r="49" spans="2:18" s="799" customFormat="1">
      <c r="B49" s="2484"/>
      <c r="C49" s="2484"/>
      <c r="D49" s="2484"/>
      <c r="E49" s="2484"/>
      <c r="F49" s="2484"/>
      <c r="G49" s="2485"/>
      <c r="H49" s="2484"/>
      <c r="I49" s="2485"/>
      <c r="J49" s="2484"/>
      <c r="K49" s="2484"/>
      <c r="L49" s="2485"/>
      <c r="M49" s="2484"/>
      <c r="N49" s="2484"/>
      <c r="O49" s="2485"/>
      <c r="P49" s="2484"/>
      <c r="Q49" s="2484"/>
      <c r="R49" s="2486"/>
    </row>
    <row r="50" spans="2:18" s="799" customFormat="1">
      <c r="B50" s="2484"/>
      <c r="C50" s="2484"/>
      <c r="D50" s="2484"/>
      <c r="E50" s="2484"/>
      <c r="F50" s="2484"/>
      <c r="G50" s="2485"/>
      <c r="H50" s="2484"/>
      <c r="I50" s="2485"/>
      <c r="J50" s="2484"/>
      <c r="K50" s="2484"/>
      <c r="L50" s="2485"/>
      <c r="M50" s="2484"/>
      <c r="N50" s="2484"/>
      <c r="O50" s="2485"/>
      <c r="P50" s="2484"/>
      <c r="Q50" s="2484"/>
      <c r="R50" s="2486"/>
    </row>
    <row r="51" spans="2:18" s="799" customFormat="1">
      <c r="B51" s="2484"/>
      <c r="C51" s="2484"/>
      <c r="D51" s="2484"/>
      <c r="E51" s="2484"/>
      <c r="F51" s="2484"/>
      <c r="G51" s="2485"/>
      <c r="H51" s="2484"/>
      <c r="I51" s="2485"/>
      <c r="J51" s="2484"/>
      <c r="K51" s="2484"/>
      <c r="L51" s="2485"/>
      <c r="M51" s="2484"/>
      <c r="N51" s="2484"/>
      <c r="O51" s="2485"/>
      <c r="P51" s="2484"/>
      <c r="Q51" s="2484"/>
      <c r="R51" s="2486"/>
    </row>
    <row r="52" spans="2:18" s="799" customFormat="1">
      <c r="B52" s="2484"/>
      <c r="C52" s="2484"/>
      <c r="D52" s="2484"/>
      <c r="E52" s="2484"/>
      <c r="F52" s="2484"/>
      <c r="G52" s="2485"/>
      <c r="H52" s="2484"/>
      <c r="I52" s="2485"/>
      <c r="J52" s="2484"/>
      <c r="K52" s="2484"/>
      <c r="L52" s="2485"/>
      <c r="M52" s="2484"/>
      <c r="N52" s="2484"/>
      <c r="O52" s="2485"/>
      <c r="P52" s="2484"/>
      <c r="Q52" s="2484"/>
      <c r="R52" s="2486"/>
    </row>
    <row r="53" spans="2:18" s="799" customFormat="1">
      <c r="B53" s="2484"/>
      <c r="C53" s="2484"/>
      <c r="D53" s="2484"/>
      <c r="E53" s="2484"/>
      <c r="F53" s="2484"/>
      <c r="G53" s="2485"/>
      <c r="H53" s="2484"/>
      <c r="I53" s="2485"/>
      <c r="J53" s="2484"/>
      <c r="K53" s="2484"/>
      <c r="L53" s="2485"/>
      <c r="M53" s="2484"/>
      <c r="N53" s="2484"/>
      <c r="O53" s="2485"/>
      <c r="P53" s="2484"/>
      <c r="Q53" s="2484"/>
      <c r="R53" s="2486"/>
    </row>
    <row r="54" spans="2:18" s="799" customFormat="1">
      <c r="B54" s="2484"/>
      <c r="C54" s="2484"/>
      <c r="D54" s="2484"/>
      <c r="E54" s="2484"/>
      <c r="F54" s="2484"/>
      <c r="G54" s="2485"/>
      <c r="H54" s="2484"/>
      <c r="I54" s="2485"/>
      <c r="J54" s="2484"/>
      <c r="K54" s="2484"/>
      <c r="L54" s="2485"/>
      <c r="M54" s="2484"/>
      <c r="N54" s="2484"/>
      <c r="O54" s="2485"/>
      <c r="P54" s="2484"/>
      <c r="Q54" s="2484"/>
      <c r="R54" s="2486"/>
    </row>
    <row r="55" spans="2:18" s="799" customFormat="1">
      <c r="B55" s="2484"/>
      <c r="C55" s="2484"/>
      <c r="D55" s="2484"/>
      <c r="E55" s="2484"/>
      <c r="F55" s="2484"/>
      <c r="G55" s="2485"/>
      <c r="H55" s="2484"/>
      <c r="I55" s="2485"/>
      <c r="J55" s="2484"/>
      <c r="K55" s="2484"/>
      <c r="L55" s="2485"/>
      <c r="M55" s="2484"/>
      <c r="N55" s="2484"/>
      <c r="O55" s="2485"/>
      <c r="P55" s="2484"/>
      <c r="Q55" s="2484"/>
      <c r="R55" s="2486"/>
    </row>
    <row r="56" spans="2:18" s="799" customFormat="1">
      <c r="B56" s="2484"/>
      <c r="C56" s="2484"/>
      <c r="D56" s="2484"/>
      <c r="E56" s="2484"/>
      <c r="F56" s="2484"/>
      <c r="G56" s="2485"/>
      <c r="H56" s="2484"/>
      <c r="I56" s="2485"/>
      <c r="J56" s="2484"/>
      <c r="K56" s="2484"/>
      <c r="L56" s="2485"/>
      <c r="M56" s="2484"/>
      <c r="N56" s="2484"/>
      <c r="O56" s="2485"/>
      <c r="P56" s="2484"/>
      <c r="Q56" s="2484"/>
      <c r="R56" s="2486"/>
    </row>
    <row r="57" spans="2:18" s="799" customFormat="1">
      <c r="B57" s="2484"/>
      <c r="C57" s="2484"/>
      <c r="D57" s="2484"/>
      <c r="E57" s="2484"/>
      <c r="F57" s="2484"/>
      <c r="G57" s="2485"/>
      <c r="H57" s="2484"/>
      <c r="I57" s="2485"/>
      <c r="J57" s="2484"/>
      <c r="K57" s="2484"/>
      <c r="L57" s="2485"/>
      <c r="M57" s="2484"/>
      <c r="N57" s="2484"/>
      <c r="O57" s="2485"/>
      <c r="P57" s="2484"/>
      <c r="Q57" s="2484"/>
      <c r="R57" s="2486"/>
    </row>
    <row r="58" spans="2:18" s="799" customFormat="1">
      <c r="B58" s="2484"/>
      <c r="C58" s="2484"/>
      <c r="D58" s="2484"/>
      <c r="E58" s="2484"/>
      <c r="F58" s="2484"/>
      <c r="G58" s="2485"/>
      <c r="H58" s="2484"/>
      <c r="I58" s="2485"/>
      <c r="J58" s="2484"/>
      <c r="K58" s="2484"/>
      <c r="L58" s="2485"/>
      <c r="M58" s="2484"/>
      <c r="N58" s="2484"/>
      <c r="O58" s="2485"/>
      <c r="P58" s="2484"/>
      <c r="Q58" s="2484"/>
      <c r="R58" s="2486"/>
    </row>
    <row r="59" spans="2:18" s="799" customFormat="1">
      <c r="B59" s="2484"/>
      <c r="C59" s="2484"/>
      <c r="D59" s="2484"/>
      <c r="E59" s="2484"/>
      <c r="F59" s="2484"/>
      <c r="G59" s="2485"/>
      <c r="H59" s="2484"/>
      <c r="I59" s="2485"/>
      <c r="J59" s="2484"/>
      <c r="K59" s="2484"/>
      <c r="L59" s="2485"/>
      <c r="M59" s="2484"/>
      <c r="N59" s="2484"/>
      <c r="O59" s="2485"/>
      <c r="P59" s="2484"/>
      <c r="Q59" s="2484"/>
      <c r="R59" s="2486"/>
    </row>
    <row r="60" spans="2:18" s="799" customFormat="1">
      <c r="B60" s="2484"/>
      <c r="C60" s="2484"/>
      <c r="D60" s="2484"/>
      <c r="E60" s="2484"/>
      <c r="F60" s="2484"/>
      <c r="G60" s="2485"/>
      <c r="H60" s="2484"/>
      <c r="I60" s="2485"/>
      <c r="J60" s="2484"/>
      <c r="K60" s="2484"/>
      <c r="L60" s="2485"/>
      <c r="M60" s="2484"/>
      <c r="N60" s="2484"/>
      <c r="O60" s="2485"/>
      <c r="P60" s="2484"/>
      <c r="Q60" s="2484"/>
      <c r="R60" s="2486"/>
    </row>
    <row r="61" spans="2:18" s="799" customFormat="1">
      <c r="B61" s="2484"/>
      <c r="C61" s="2484"/>
      <c r="D61" s="2484"/>
      <c r="E61" s="2484"/>
      <c r="F61" s="2484"/>
      <c r="G61" s="2485"/>
      <c r="H61" s="2484"/>
      <c r="I61" s="2485"/>
      <c r="J61" s="2484"/>
      <c r="K61" s="2484"/>
      <c r="L61" s="2485"/>
      <c r="M61" s="2484"/>
      <c r="N61" s="2484"/>
      <c r="O61" s="2485"/>
      <c r="P61" s="2484"/>
      <c r="Q61" s="2484"/>
      <c r="R61" s="2486"/>
    </row>
    <row r="62" spans="2:18" s="799" customFormat="1">
      <c r="B62" s="2484"/>
      <c r="C62" s="2484"/>
      <c r="D62" s="2484"/>
      <c r="E62" s="2484"/>
      <c r="F62" s="2484"/>
      <c r="G62" s="2485"/>
      <c r="H62" s="2484"/>
      <c r="I62" s="2485"/>
      <c r="J62" s="2484"/>
      <c r="K62" s="2484"/>
      <c r="L62" s="2485"/>
      <c r="M62" s="2484"/>
      <c r="N62" s="2484"/>
      <c r="O62" s="2485"/>
      <c r="P62" s="2484"/>
      <c r="Q62" s="2484"/>
      <c r="R62" s="2486"/>
    </row>
    <row r="63" spans="2:18" s="799" customFormat="1">
      <c r="B63" s="2484"/>
      <c r="C63" s="2484"/>
      <c r="D63" s="2484"/>
      <c r="E63" s="2484"/>
      <c r="F63" s="2484"/>
      <c r="G63" s="2485"/>
      <c r="H63" s="2484"/>
      <c r="I63" s="2485"/>
      <c r="J63" s="2484"/>
      <c r="K63" s="2484"/>
      <c r="L63" s="2485"/>
      <c r="M63" s="2484"/>
      <c r="N63" s="2484"/>
      <c r="O63" s="2485"/>
      <c r="P63" s="2484"/>
      <c r="Q63" s="2484"/>
      <c r="R63" s="2486"/>
    </row>
    <row r="64" spans="2:18" s="799" customFormat="1">
      <c r="B64" s="2484"/>
      <c r="C64" s="2484"/>
      <c r="D64" s="2484"/>
      <c r="E64" s="2484"/>
      <c r="F64" s="2484"/>
      <c r="G64" s="2485"/>
      <c r="H64" s="2484"/>
      <c r="I64" s="2485"/>
      <c r="J64" s="2484"/>
      <c r="K64" s="2484"/>
      <c r="L64" s="2485"/>
      <c r="M64" s="2484"/>
      <c r="N64" s="2484"/>
      <c r="O64" s="2485"/>
      <c r="P64" s="2484"/>
      <c r="Q64" s="2484"/>
      <c r="R64" s="2486"/>
    </row>
    <row r="65" spans="2:18" s="799" customFormat="1">
      <c r="B65" s="2484"/>
      <c r="C65" s="2484"/>
      <c r="D65" s="2484"/>
      <c r="E65" s="2484"/>
      <c r="F65" s="2484"/>
      <c r="G65" s="2485"/>
      <c r="H65" s="2484"/>
      <c r="I65" s="2485"/>
      <c r="J65" s="2484"/>
      <c r="K65" s="2484"/>
      <c r="L65" s="2485"/>
      <c r="M65" s="2484"/>
      <c r="N65" s="2484"/>
      <c r="O65" s="2485"/>
      <c r="P65" s="2484"/>
      <c r="Q65" s="2484"/>
      <c r="R65" s="2486"/>
    </row>
    <row r="66" spans="2:18" s="799" customFormat="1">
      <c r="B66" s="2484"/>
      <c r="C66" s="2484"/>
      <c r="D66" s="2484"/>
      <c r="E66" s="2484"/>
      <c r="F66" s="2484"/>
      <c r="G66" s="2485"/>
      <c r="H66" s="2484"/>
      <c r="I66" s="2485"/>
      <c r="J66" s="2484"/>
      <c r="K66" s="2484"/>
      <c r="L66" s="2485"/>
      <c r="M66" s="2484"/>
      <c r="N66" s="2484"/>
      <c r="O66" s="2485"/>
      <c r="P66" s="2484"/>
      <c r="Q66" s="2484"/>
      <c r="R66" s="2486"/>
    </row>
    <row r="67" spans="2:18" s="799" customFormat="1">
      <c r="B67" s="2484"/>
      <c r="C67" s="2484"/>
      <c r="D67" s="2484"/>
      <c r="E67" s="2484"/>
      <c r="F67" s="2484"/>
      <c r="G67" s="2485"/>
      <c r="H67" s="2484"/>
      <c r="I67" s="2485"/>
      <c r="J67" s="2484"/>
      <c r="K67" s="2484"/>
      <c r="L67" s="2485"/>
      <c r="M67" s="2484"/>
      <c r="N67" s="2484"/>
      <c r="O67" s="2485"/>
      <c r="P67" s="2484"/>
      <c r="Q67" s="2484"/>
      <c r="R67" s="2486"/>
    </row>
    <row r="68" spans="2:18" s="799" customFormat="1">
      <c r="B68" s="2484"/>
      <c r="C68" s="2484"/>
      <c r="D68" s="2484"/>
      <c r="E68" s="2484"/>
      <c r="F68" s="2484"/>
      <c r="G68" s="2485"/>
      <c r="H68" s="2484"/>
      <c r="I68" s="2485"/>
      <c r="J68" s="2484"/>
      <c r="K68" s="2484"/>
      <c r="L68" s="2485"/>
      <c r="M68" s="2484"/>
      <c r="N68" s="2484"/>
      <c r="O68" s="2485"/>
      <c r="P68" s="2484"/>
      <c r="Q68" s="2484"/>
      <c r="R68" s="2486"/>
    </row>
    <row r="69" spans="2:18" s="799" customFormat="1">
      <c r="B69" s="2484"/>
      <c r="C69" s="2484"/>
      <c r="D69" s="2484"/>
      <c r="E69" s="2484"/>
      <c r="F69" s="2484"/>
      <c r="G69" s="2485"/>
      <c r="H69" s="2484"/>
      <c r="I69" s="2485"/>
      <c r="J69" s="2484"/>
      <c r="K69" s="2484"/>
      <c r="L69" s="2485"/>
      <c r="M69" s="2484"/>
      <c r="N69" s="2484"/>
      <c r="O69" s="2485"/>
      <c r="P69" s="2484"/>
      <c r="Q69" s="2484"/>
      <c r="R69" s="2486"/>
    </row>
    <row r="70" spans="2:18" s="799" customFormat="1">
      <c r="B70" s="2484"/>
      <c r="C70" s="2484"/>
      <c r="D70" s="2484"/>
      <c r="E70" s="2484"/>
      <c r="F70" s="2484"/>
      <c r="G70" s="2485"/>
      <c r="H70" s="2484"/>
      <c r="I70" s="2485"/>
      <c r="J70" s="2484"/>
      <c r="K70" s="2484"/>
      <c r="L70" s="2485"/>
      <c r="M70" s="2484"/>
      <c r="N70" s="2484"/>
      <c r="O70" s="2485"/>
      <c r="P70" s="2484"/>
      <c r="Q70" s="2484"/>
      <c r="R70" s="2486"/>
    </row>
    <row r="71" spans="2:18" s="799" customFormat="1">
      <c r="B71" s="2484"/>
      <c r="C71" s="2484"/>
      <c r="D71" s="2484"/>
      <c r="E71" s="2484"/>
      <c r="F71" s="2484"/>
      <c r="G71" s="2485"/>
      <c r="H71" s="2484"/>
      <c r="I71" s="2485"/>
      <c r="J71" s="2484"/>
      <c r="K71" s="2484"/>
      <c r="L71" s="2485"/>
      <c r="M71" s="2484"/>
      <c r="N71" s="2484"/>
      <c r="O71" s="2485"/>
      <c r="P71" s="2484"/>
      <c r="Q71" s="2484"/>
      <c r="R71" s="2486"/>
    </row>
    <row r="72" spans="2:18" s="799" customFormat="1">
      <c r="B72" s="2484"/>
      <c r="C72" s="2484"/>
      <c r="D72" s="2484"/>
      <c r="E72" s="2484"/>
      <c r="F72" s="2484"/>
      <c r="G72" s="2485"/>
      <c r="H72" s="2484"/>
      <c r="I72" s="2485"/>
      <c r="J72" s="2484"/>
      <c r="K72" s="2484"/>
      <c r="L72" s="2485"/>
      <c r="M72" s="2484"/>
      <c r="N72" s="2484"/>
      <c r="O72" s="2485"/>
      <c r="P72" s="2484"/>
      <c r="Q72" s="2484"/>
      <c r="R72" s="2486"/>
    </row>
    <row r="73" spans="2:18" s="799" customFormat="1">
      <c r="B73" s="2484"/>
      <c r="C73" s="2484"/>
      <c r="D73" s="2484"/>
      <c r="E73" s="2484"/>
      <c r="F73" s="2484"/>
      <c r="G73" s="2485"/>
      <c r="H73" s="2484"/>
      <c r="I73" s="2485"/>
      <c r="J73" s="2484"/>
      <c r="K73" s="2484"/>
      <c r="L73" s="2485"/>
      <c r="M73" s="2484"/>
      <c r="N73" s="2484"/>
      <c r="O73" s="2485"/>
      <c r="P73" s="2484"/>
      <c r="Q73" s="2484"/>
      <c r="R73" s="2486"/>
    </row>
    <row r="74" spans="2:18" s="799" customFormat="1">
      <c r="B74" s="2484"/>
      <c r="C74" s="2484"/>
      <c r="D74" s="2484"/>
      <c r="E74" s="2484"/>
      <c r="F74" s="2484"/>
      <c r="G74" s="2485"/>
      <c r="H74" s="2484"/>
      <c r="I74" s="2485"/>
      <c r="J74" s="2484"/>
      <c r="K74" s="2484"/>
      <c r="L74" s="2485"/>
      <c r="M74" s="2484"/>
      <c r="N74" s="2484"/>
      <c r="O74" s="2485"/>
      <c r="P74" s="2484"/>
      <c r="Q74" s="2484"/>
      <c r="R74" s="2486"/>
    </row>
    <row r="75" spans="2:18" s="799" customFormat="1">
      <c r="B75" s="2484"/>
      <c r="C75" s="2484"/>
      <c r="D75" s="2484"/>
      <c r="E75" s="2484"/>
      <c r="F75" s="2484"/>
      <c r="G75" s="2485"/>
      <c r="H75" s="2484"/>
      <c r="I75" s="2485"/>
      <c r="J75" s="2484"/>
      <c r="K75" s="2484"/>
      <c r="L75" s="2485"/>
      <c r="M75" s="2484"/>
      <c r="N75" s="2484"/>
      <c r="O75" s="2485"/>
      <c r="P75" s="2484"/>
      <c r="Q75" s="2484"/>
      <c r="R75" s="2486"/>
    </row>
    <row r="76" spans="2:18" s="799" customFormat="1">
      <c r="B76" s="2484"/>
      <c r="C76" s="2484"/>
      <c r="D76" s="2484"/>
      <c r="E76" s="2484"/>
      <c r="F76" s="2484"/>
      <c r="G76" s="2485"/>
      <c r="H76" s="2484"/>
      <c r="I76" s="2485"/>
      <c r="J76" s="2484"/>
      <c r="K76" s="2484"/>
      <c r="L76" s="2485"/>
      <c r="M76" s="2484"/>
      <c r="N76" s="2484"/>
      <c r="O76" s="2485"/>
      <c r="P76" s="2484"/>
      <c r="Q76" s="2484"/>
      <c r="R76" s="2486"/>
    </row>
    <row r="77" spans="2:18" s="799" customFormat="1">
      <c r="B77" s="2484"/>
      <c r="C77" s="2484"/>
      <c r="D77" s="2484"/>
      <c r="E77" s="2484"/>
      <c r="F77" s="2484"/>
      <c r="G77" s="2485"/>
      <c r="H77" s="2484"/>
      <c r="I77" s="2485"/>
      <c r="J77" s="2484"/>
      <c r="K77" s="2484"/>
      <c r="L77" s="2485"/>
      <c r="M77" s="2484"/>
      <c r="N77" s="2484"/>
      <c r="O77" s="2485"/>
      <c r="P77" s="2484"/>
      <c r="Q77" s="2484"/>
      <c r="R77" s="2486"/>
    </row>
    <row r="78" spans="2:18" s="799" customFormat="1">
      <c r="B78" s="2484"/>
      <c r="C78" s="2484"/>
      <c r="D78" s="2484"/>
      <c r="E78" s="2484"/>
      <c r="F78" s="2484"/>
      <c r="G78" s="2485"/>
      <c r="H78" s="2484"/>
      <c r="I78" s="2485"/>
      <c r="J78" s="2484"/>
      <c r="K78" s="2484"/>
      <c r="L78" s="2485"/>
      <c r="M78" s="2484"/>
      <c r="N78" s="2484"/>
      <c r="O78" s="2485"/>
      <c r="P78" s="2484"/>
      <c r="Q78" s="2484"/>
      <c r="R78" s="2486"/>
    </row>
    <row r="79" spans="2:18" s="799" customFormat="1">
      <c r="B79" s="2484"/>
      <c r="C79" s="2484"/>
      <c r="D79" s="2484"/>
      <c r="E79" s="2484"/>
      <c r="F79" s="2484"/>
      <c r="G79" s="2485"/>
      <c r="H79" s="2484"/>
      <c r="I79" s="2485"/>
      <c r="J79" s="2484"/>
      <c r="K79" s="2484"/>
      <c r="L79" s="2485"/>
      <c r="M79" s="2484"/>
      <c r="N79" s="2484"/>
      <c r="O79" s="2485"/>
      <c r="P79" s="2484"/>
      <c r="Q79" s="2484"/>
      <c r="R79" s="2486"/>
    </row>
    <row r="80" spans="2:18" s="799" customFormat="1">
      <c r="B80" s="2484"/>
      <c r="C80" s="2484"/>
      <c r="D80" s="2484"/>
      <c r="E80" s="2484"/>
      <c r="F80" s="2484"/>
      <c r="G80" s="2485"/>
      <c r="H80" s="2484"/>
      <c r="I80" s="2485"/>
      <c r="J80" s="2484"/>
      <c r="K80" s="2484"/>
      <c r="L80" s="2485"/>
      <c r="M80" s="2484"/>
      <c r="N80" s="2484"/>
      <c r="O80" s="2485"/>
      <c r="P80" s="2484"/>
      <c r="Q80" s="2484"/>
      <c r="R80" s="2486"/>
    </row>
    <row r="81" spans="2:18" s="799" customFormat="1">
      <c r="B81" s="2484"/>
      <c r="C81" s="2484"/>
      <c r="D81" s="2484"/>
      <c r="E81" s="2484"/>
      <c r="F81" s="2484"/>
      <c r="G81" s="2485"/>
      <c r="H81" s="2484"/>
      <c r="I81" s="2485"/>
      <c r="J81" s="2484"/>
      <c r="K81" s="2484"/>
      <c r="L81" s="2485"/>
      <c r="M81" s="2484"/>
      <c r="N81" s="2484"/>
      <c r="O81" s="2485"/>
      <c r="P81" s="2484"/>
      <c r="Q81" s="2484"/>
      <c r="R81" s="2486"/>
    </row>
    <row r="82" spans="2:18" s="799" customFormat="1">
      <c r="B82" s="2484"/>
      <c r="C82" s="2484"/>
      <c r="D82" s="2484"/>
      <c r="E82" s="2484"/>
      <c r="F82" s="2484"/>
      <c r="G82" s="2485"/>
      <c r="H82" s="2484"/>
      <c r="I82" s="2485"/>
      <c r="J82" s="2484"/>
      <c r="K82" s="2484"/>
      <c r="L82" s="2485"/>
      <c r="M82" s="2484"/>
      <c r="N82" s="2484"/>
      <c r="O82" s="2485"/>
      <c r="P82" s="2484"/>
      <c r="Q82" s="2484"/>
      <c r="R82" s="2486"/>
    </row>
    <row r="83" spans="2:18" s="799" customFormat="1">
      <c r="B83" s="2484"/>
      <c r="C83" s="2484"/>
      <c r="D83" s="2484"/>
      <c r="E83" s="2484"/>
      <c r="F83" s="2484"/>
      <c r="G83" s="2485"/>
      <c r="H83" s="2484"/>
      <c r="I83" s="2485"/>
      <c r="J83" s="2484"/>
      <c r="K83" s="2484"/>
      <c r="L83" s="2485"/>
      <c r="M83" s="2484"/>
      <c r="N83" s="2484"/>
      <c r="O83" s="2485"/>
      <c r="P83" s="2484"/>
      <c r="Q83" s="2484"/>
      <c r="R83" s="2486"/>
    </row>
    <row r="84" spans="2:18" s="799" customFormat="1">
      <c r="B84" s="2484"/>
      <c r="C84" s="2484"/>
      <c r="D84" s="2484"/>
      <c r="E84" s="2484"/>
      <c r="F84" s="2484"/>
      <c r="G84" s="2485"/>
      <c r="H84" s="2484"/>
      <c r="I84" s="2485"/>
      <c r="J84" s="2484"/>
      <c r="K84" s="2484"/>
      <c r="L84" s="2485"/>
      <c r="M84" s="2484"/>
      <c r="N84" s="2484"/>
      <c r="O84" s="2485"/>
      <c r="P84" s="2484"/>
      <c r="Q84" s="2484"/>
      <c r="R84" s="2486"/>
    </row>
    <row r="85" spans="2:18" s="799" customFormat="1">
      <c r="B85" s="2484"/>
      <c r="C85" s="2484"/>
      <c r="D85" s="2484"/>
      <c r="E85" s="2484"/>
      <c r="F85" s="2484"/>
      <c r="G85" s="2485"/>
      <c r="H85" s="2484"/>
      <c r="I85" s="2485"/>
      <c r="J85" s="2484"/>
      <c r="K85" s="2484"/>
      <c r="L85" s="2485"/>
      <c r="M85" s="2484"/>
      <c r="N85" s="2484"/>
      <c r="O85" s="2485"/>
      <c r="P85" s="2484"/>
      <c r="Q85" s="2484"/>
      <c r="R85" s="2486"/>
    </row>
    <row r="86" spans="2:18" s="799" customFormat="1">
      <c r="B86" s="2484"/>
      <c r="C86" s="2484"/>
      <c r="D86" s="2484"/>
      <c r="E86" s="2484"/>
      <c r="F86" s="2484"/>
      <c r="G86" s="2485"/>
      <c r="H86" s="2484"/>
      <c r="I86" s="2485"/>
      <c r="J86" s="2484"/>
      <c r="K86" s="2484"/>
      <c r="L86" s="2485"/>
      <c r="M86" s="2484"/>
      <c r="N86" s="2484"/>
      <c r="O86" s="2485"/>
      <c r="P86" s="2484"/>
      <c r="Q86" s="2484"/>
      <c r="R86" s="2486"/>
    </row>
    <row r="87" spans="2:18" s="799" customFormat="1">
      <c r="B87" s="2484"/>
      <c r="C87" s="2484"/>
      <c r="D87" s="2484"/>
      <c r="E87" s="2484"/>
      <c r="F87" s="2484"/>
      <c r="G87" s="2485"/>
      <c r="H87" s="2484"/>
      <c r="I87" s="2485"/>
      <c r="J87" s="2484"/>
      <c r="K87" s="2484"/>
      <c r="L87" s="2485"/>
      <c r="M87" s="2484"/>
      <c r="N87" s="2484"/>
      <c r="O87" s="2485"/>
      <c r="P87" s="2484"/>
      <c r="Q87" s="2484"/>
      <c r="R87" s="2486"/>
    </row>
    <row r="88" spans="2:18" s="799" customFormat="1">
      <c r="B88" s="2484"/>
      <c r="C88" s="2484"/>
      <c r="D88" s="2484"/>
      <c r="E88" s="2484"/>
      <c r="F88" s="2484"/>
      <c r="G88" s="2485"/>
      <c r="H88" s="2484"/>
      <c r="I88" s="2485"/>
      <c r="J88" s="2484"/>
      <c r="K88" s="2484"/>
      <c r="L88" s="2485"/>
      <c r="M88" s="2484"/>
      <c r="N88" s="2484"/>
      <c r="O88" s="2485"/>
      <c r="P88" s="2484"/>
      <c r="Q88" s="2484"/>
      <c r="R88" s="2486"/>
    </row>
    <row r="89" spans="2:18" s="799" customFormat="1">
      <c r="B89" s="2484"/>
      <c r="C89" s="2484"/>
      <c r="D89" s="2484"/>
      <c r="E89" s="2484"/>
      <c r="F89" s="2484"/>
      <c r="G89" s="2485"/>
      <c r="H89" s="2484"/>
      <c r="I89" s="2485"/>
      <c r="J89" s="2484"/>
      <c r="K89" s="2484"/>
      <c r="L89" s="2485"/>
      <c r="M89" s="2484"/>
      <c r="N89" s="2484"/>
      <c r="O89" s="2485"/>
      <c r="P89" s="2484"/>
      <c r="Q89" s="2484"/>
      <c r="R89" s="2486"/>
    </row>
    <row r="90" spans="2:18" s="799" customFormat="1">
      <c r="B90" s="2484"/>
      <c r="C90" s="2484"/>
      <c r="D90" s="2484"/>
      <c r="E90" s="2484"/>
      <c r="F90" s="2484"/>
      <c r="G90" s="2485"/>
      <c r="H90" s="2484"/>
      <c r="I90" s="2485"/>
      <c r="J90" s="2484"/>
      <c r="K90" s="2484"/>
      <c r="L90" s="2485"/>
      <c r="M90" s="2484"/>
      <c r="N90" s="2484"/>
      <c r="O90" s="2485"/>
      <c r="P90" s="2484"/>
      <c r="Q90" s="2484"/>
      <c r="R90" s="2486"/>
    </row>
    <row r="91" spans="2:18" s="799" customFormat="1">
      <c r="B91" s="2484"/>
      <c r="C91" s="2484"/>
      <c r="D91" s="2484"/>
      <c r="E91" s="2484"/>
      <c r="F91" s="2484"/>
      <c r="G91" s="2485"/>
      <c r="H91" s="2484"/>
      <c r="I91" s="2485"/>
      <c r="J91" s="2484"/>
      <c r="K91" s="2484"/>
      <c r="L91" s="2485"/>
      <c r="M91" s="2484"/>
      <c r="N91" s="2484"/>
      <c r="O91" s="2485"/>
      <c r="P91" s="2484"/>
      <c r="Q91" s="2484"/>
      <c r="R91" s="2486"/>
    </row>
    <row r="92" spans="2:18" s="799" customFormat="1">
      <c r="B92" s="2484"/>
      <c r="C92" s="2484"/>
      <c r="D92" s="2484"/>
      <c r="E92" s="2484"/>
      <c r="F92" s="2484"/>
      <c r="G92" s="2485"/>
      <c r="H92" s="2484"/>
      <c r="I92" s="2485"/>
      <c r="J92" s="2484"/>
      <c r="K92" s="2484"/>
      <c r="L92" s="2485"/>
      <c r="M92" s="2484"/>
      <c r="N92" s="2484"/>
      <c r="O92" s="2485"/>
      <c r="P92" s="2484"/>
      <c r="Q92" s="2484"/>
      <c r="R92" s="2486"/>
    </row>
    <row r="93" spans="2:18" s="799" customFormat="1">
      <c r="B93" s="2484"/>
      <c r="C93" s="2484"/>
      <c r="D93" s="2484"/>
      <c r="E93" s="2484"/>
      <c r="F93" s="2484"/>
      <c r="G93" s="2485"/>
      <c r="H93" s="2484"/>
      <c r="I93" s="2485"/>
      <c r="J93" s="2484"/>
      <c r="K93" s="2484"/>
      <c r="L93" s="2485"/>
      <c r="M93" s="2484"/>
      <c r="N93" s="2484"/>
      <c r="O93" s="2485"/>
      <c r="P93" s="2484"/>
      <c r="Q93" s="2484"/>
      <c r="R93" s="2486"/>
    </row>
    <row r="94" spans="2:18" s="799" customFormat="1">
      <c r="B94" s="2484"/>
      <c r="C94" s="2484"/>
      <c r="D94" s="2484"/>
      <c r="E94" s="2484"/>
      <c r="F94" s="2484"/>
      <c r="G94" s="2485"/>
      <c r="H94" s="2484"/>
      <c r="I94" s="2485"/>
      <c r="J94" s="2484"/>
      <c r="K94" s="2484"/>
      <c r="L94" s="2485"/>
      <c r="M94" s="2484"/>
      <c r="N94" s="2484"/>
      <c r="O94" s="2485"/>
      <c r="P94" s="2484"/>
      <c r="Q94" s="2484"/>
      <c r="R94" s="2486"/>
    </row>
    <row r="95" spans="2:18" s="799" customFormat="1">
      <c r="B95" s="2484"/>
      <c r="C95" s="2484"/>
      <c r="D95" s="2484"/>
      <c r="E95" s="2484"/>
      <c r="F95" s="2484"/>
      <c r="G95" s="2485"/>
      <c r="H95" s="2484"/>
      <c r="I95" s="2485"/>
      <c r="J95" s="2484"/>
      <c r="K95" s="2484"/>
      <c r="L95" s="2485"/>
      <c r="M95" s="2484"/>
      <c r="N95" s="2484"/>
      <c r="O95" s="2485"/>
      <c r="P95" s="2484"/>
      <c r="Q95" s="2484"/>
      <c r="R95" s="2486"/>
    </row>
    <row r="96" spans="2:18" s="799" customFormat="1">
      <c r="B96" s="2484"/>
      <c r="C96" s="2484"/>
      <c r="D96" s="2484"/>
      <c r="E96" s="2484"/>
      <c r="F96" s="2484"/>
      <c r="G96" s="2485"/>
      <c r="H96" s="2484"/>
      <c r="I96" s="2485"/>
      <c r="J96" s="2484"/>
      <c r="K96" s="2484"/>
      <c r="L96" s="2485"/>
      <c r="M96" s="2484"/>
      <c r="N96" s="2484"/>
      <c r="O96" s="2485"/>
      <c r="P96" s="2484"/>
      <c r="Q96" s="2484"/>
      <c r="R96" s="2486"/>
    </row>
    <row r="97" spans="2:18" s="799" customFormat="1">
      <c r="B97" s="2484"/>
      <c r="C97" s="2484"/>
      <c r="D97" s="2484"/>
      <c r="E97" s="2484"/>
      <c r="F97" s="2484"/>
      <c r="G97" s="2485"/>
      <c r="H97" s="2484"/>
      <c r="I97" s="2485"/>
      <c r="J97" s="2484"/>
      <c r="K97" s="2484"/>
      <c r="L97" s="2485"/>
      <c r="M97" s="2484"/>
      <c r="N97" s="2484"/>
      <c r="O97" s="2485"/>
      <c r="P97" s="2484"/>
      <c r="Q97" s="2484"/>
      <c r="R97" s="2486"/>
    </row>
    <row r="98" spans="2:18" s="799" customFormat="1">
      <c r="B98" s="2484"/>
      <c r="C98" s="2484"/>
      <c r="D98" s="2484"/>
      <c r="E98" s="2484"/>
      <c r="F98" s="2484"/>
      <c r="G98" s="2485"/>
      <c r="H98" s="2484"/>
      <c r="I98" s="2485"/>
      <c r="J98" s="2484"/>
      <c r="K98" s="2484"/>
      <c r="L98" s="2485"/>
      <c r="M98" s="2484"/>
      <c r="N98" s="2484"/>
      <c r="O98" s="2485"/>
      <c r="P98" s="2484"/>
      <c r="Q98" s="2484"/>
      <c r="R98" s="2486"/>
    </row>
    <row r="99" spans="2:18" s="799" customFormat="1">
      <c r="B99" s="2484"/>
      <c r="C99" s="2484"/>
      <c r="D99" s="2484"/>
      <c r="E99" s="2484"/>
      <c r="F99" s="2484"/>
      <c r="G99" s="2485"/>
      <c r="H99" s="2484"/>
      <c r="I99" s="2485"/>
      <c r="J99" s="2484"/>
      <c r="K99" s="2484"/>
      <c r="L99" s="2485"/>
      <c r="M99" s="2484"/>
      <c r="N99" s="2484"/>
      <c r="O99" s="2485"/>
      <c r="P99" s="2484"/>
      <c r="Q99" s="2484"/>
      <c r="R99" s="2486"/>
    </row>
    <row r="100" spans="2:18" s="799" customFormat="1">
      <c r="B100" s="2484"/>
      <c r="C100" s="2484"/>
      <c r="D100" s="2484"/>
      <c r="E100" s="2484"/>
      <c r="F100" s="2484"/>
      <c r="G100" s="2485"/>
      <c r="H100" s="2484"/>
      <c r="I100" s="2485"/>
      <c r="J100" s="2484"/>
      <c r="K100" s="2484"/>
      <c r="L100" s="2485"/>
      <c r="M100" s="2484"/>
      <c r="N100" s="2484"/>
      <c r="O100" s="2485"/>
      <c r="P100" s="2484"/>
      <c r="Q100" s="2484"/>
      <c r="R100" s="2486"/>
    </row>
    <row r="101" spans="2:18" s="799" customFormat="1">
      <c r="B101" s="2484"/>
      <c r="C101" s="2484"/>
      <c r="D101" s="2484"/>
      <c r="E101" s="2484"/>
      <c r="F101" s="2484"/>
      <c r="G101" s="2485"/>
      <c r="H101" s="2484"/>
      <c r="I101" s="2485"/>
      <c r="J101" s="2484"/>
      <c r="K101" s="2484"/>
      <c r="L101" s="2485"/>
      <c r="M101" s="2484"/>
      <c r="N101" s="2484"/>
      <c r="O101" s="2485"/>
      <c r="P101" s="2484"/>
      <c r="Q101" s="2484"/>
      <c r="R101" s="2486"/>
    </row>
    <row r="102" spans="2:18" s="799" customFormat="1">
      <c r="B102" s="2484"/>
      <c r="C102" s="2484"/>
      <c r="D102" s="2484"/>
      <c r="E102" s="2484"/>
      <c r="F102" s="2484"/>
      <c r="G102" s="2485"/>
      <c r="H102" s="2484"/>
      <c r="I102" s="2485"/>
      <c r="J102" s="2484"/>
      <c r="K102" s="2484"/>
      <c r="L102" s="2485"/>
      <c r="M102" s="2484"/>
      <c r="N102" s="2484"/>
      <c r="O102" s="2485"/>
      <c r="P102" s="2484"/>
      <c r="Q102" s="2484"/>
      <c r="R102" s="2486"/>
    </row>
    <row r="103" spans="2:18" s="799" customFormat="1">
      <c r="B103" s="2484"/>
      <c r="C103" s="2484"/>
      <c r="D103" s="2484"/>
      <c r="E103" s="2484"/>
      <c r="F103" s="2484"/>
      <c r="G103" s="2485"/>
      <c r="H103" s="2484"/>
      <c r="I103" s="2485"/>
      <c r="J103" s="2484"/>
      <c r="K103" s="2484"/>
      <c r="L103" s="2485"/>
      <c r="M103" s="2484"/>
      <c r="N103" s="2484"/>
      <c r="O103" s="2485"/>
      <c r="P103" s="2484"/>
      <c r="Q103" s="2484"/>
      <c r="R103" s="2486"/>
    </row>
    <row r="104" spans="2:18" s="799" customFormat="1">
      <c r="B104" s="2484"/>
      <c r="C104" s="2484"/>
      <c r="D104" s="2484"/>
      <c r="E104" s="2484"/>
      <c r="F104" s="2484"/>
      <c r="G104" s="2485"/>
      <c r="H104" s="2484"/>
      <c r="I104" s="2485"/>
      <c r="J104" s="2484"/>
      <c r="K104" s="2484"/>
      <c r="L104" s="2485"/>
      <c r="M104" s="2484"/>
      <c r="N104" s="2484"/>
      <c r="O104" s="2485"/>
      <c r="P104" s="2484"/>
      <c r="Q104" s="2484"/>
      <c r="R104" s="2486"/>
    </row>
    <row r="105" spans="2:18" s="799" customFormat="1">
      <c r="B105" s="2484"/>
      <c r="C105" s="2484"/>
      <c r="D105" s="2484"/>
      <c r="E105" s="2484"/>
      <c r="F105" s="2484"/>
      <c r="G105" s="2485"/>
      <c r="H105" s="2484"/>
      <c r="I105" s="2485"/>
      <c r="J105" s="2484"/>
      <c r="K105" s="2484"/>
      <c r="L105" s="2485"/>
      <c r="M105" s="2484"/>
      <c r="N105" s="2484"/>
      <c r="O105" s="2485"/>
      <c r="P105" s="2484"/>
      <c r="Q105" s="2484"/>
      <c r="R105" s="2486"/>
    </row>
    <row r="106" spans="2:18" s="799" customFormat="1">
      <c r="B106" s="2484"/>
      <c r="C106" s="2484"/>
      <c r="D106" s="2484"/>
      <c r="E106" s="2484"/>
      <c r="F106" s="2484"/>
      <c r="G106" s="2485"/>
      <c r="H106" s="2484"/>
      <c r="I106" s="2485"/>
      <c r="J106" s="2484"/>
      <c r="K106" s="2484"/>
      <c r="L106" s="2485"/>
      <c r="M106" s="2484"/>
      <c r="N106" s="2484"/>
      <c r="O106" s="2485"/>
      <c r="P106" s="2484"/>
      <c r="Q106" s="2484"/>
      <c r="R106" s="2486"/>
    </row>
    <row r="107" spans="2:18" s="799" customFormat="1">
      <c r="B107" s="2484"/>
      <c r="C107" s="2484"/>
      <c r="D107" s="2484"/>
      <c r="E107" s="2484"/>
      <c r="F107" s="2484"/>
      <c r="G107" s="2485"/>
      <c r="H107" s="2484"/>
      <c r="I107" s="2485"/>
      <c r="J107" s="2484"/>
      <c r="K107" s="2484"/>
      <c r="L107" s="2485"/>
      <c r="M107" s="2484"/>
      <c r="N107" s="2484"/>
      <c r="O107" s="2485"/>
      <c r="P107" s="2484"/>
      <c r="Q107" s="2484"/>
      <c r="R107" s="2486"/>
    </row>
    <row r="108" spans="2:18" s="799" customFormat="1">
      <c r="B108" s="2484"/>
      <c r="C108" s="2484"/>
      <c r="D108" s="2484"/>
      <c r="E108" s="2484"/>
      <c r="F108" s="2484"/>
      <c r="G108" s="2485"/>
      <c r="H108" s="2484"/>
      <c r="I108" s="2485"/>
      <c r="J108" s="2484"/>
      <c r="K108" s="2484"/>
      <c r="L108" s="2485"/>
      <c r="M108" s="2484"/>
      <c r="N108" s="2484"/>
      <c r="O108" s="2485"/>
      <c r="P108" s="2484"/>
      <c r="Q108" s="2484"/>
      <c r="R108" s="2486"/>
    </row>
    <row r="109" spans="2:18" s="799" customFormat="1">
      <c r="B109" s="2484"/>
      <c r="C109" s="2484"/>
      <c r="D109" s="2484"/>
      <c r="E109" s="2484"/>
      <c r="F109" s="2484"/>
      <c r="G109" s="2485"/>
      <c r="H109" s="2484"/>
      <c r="I109" s="2485"/>
      <c r="J109" s="2484"/>
      <c r="K109" s="2484"/>
      <c r="L109" s="2485"/>
      <c r="M109" s="2484"/>
      <c r="N109" s="2484"/>
      <c r="O109" s="2485"/>
      <c r="P109" s="2484"/>
      <c r="Q109" s="2484"/>
      <c r="R109" s="2486"/>
    </row>
    <row r="110" spans="2:18" s="799" customFormat="1">
      <c r="B110" s="2484"/>
      <c r="C110" s="2484"/>
      <c r="D110" s="2484"/>
      <c r="E110" s="2484"/>
      <c r="F110" s="2484"/>
      <c r="G110" s="2485"/>
      <c r="H110" s="2484"/>
      <c r="I110" s="2485"/>
      <c r="J110" s="2484"/>
      <c r="K110" s="2484"/>
      <c r="L110" s="2485"/>
      <c r="M110" s="2484"/>
      <c r="N110" s="2484"/>
      <c r="O110" s="2485"/>
      <c r="P110" s="2484"/>
      <c r="Q110" s="2484"/>
      <c r="R110" s="2486"/>
    </row>
    <row r="111" spans="2:18" s="799" customFormat="1">
      <c r="B111" s="2484"/>
      <c r="C111" s="2484"/>
      <c r="D111" s="2484"/>
      <c r="E111" s="2484"/>
      <c r="F111" s="2484"/>
      <c r="G111" s="2485"/>
      <c r="H111" s="2484"/>
      <c r="I111" s="2485"/>
      <c r="J111" s="2484"/>
      <c r="K111" s="2484"/>
      <c r="L111" s="2485"/>
      <c r="M111" s="2484"/>
      <c r="N111" s="2484"/>
      <c r="O111" s="2485"/>
      <c r="P111" s="2484"/>
      <c r="Q111" s="2484"/>
      <c r="R111" s="2486"/>
    </row>
    <row r="112" spans="2:18" s="799" customFormat="1">
      <c r="B112" s="2484"/>
      <c r="C112" s="2484"/>
      <c r="D112" s="2484"/>
      <c r="E112" s="2484"/>
      <c r="F112" s="2484"/>
      <c r="G112" s="2485"/>
      <c r="H112" s="2484"/>
      <c r="I112" s="2485"/>
      <c r="J112" s="2484"/>
      <c r="K112" s="2484"/>
      <c r="L112" s="2485"/>
      <c r="M112" s="2484"/>
      <c r="N112" s="2484"/>
      <c r="O112" s="2485"/>
      <c r="P112" s="2484"/>
      <c r="Q112" s="2484"/>
      <c r="R112" s="2486"/>
    </row>
    <row r="113" spans="2:18" s="799" customFormat="1">
      <c r="B113" s="2484"/>
      <c r="C113" s="2484"/>
      <c r="D113" s="2484"/>
      <c r="E113" s="2484"/>
      <c r="F113" s="2484"/>
      <c r="G113" s="2485"/>
      <c r="H113" s="2484"/>
      <c r="I113" s="2485"/>
      <c r="J113" s="2484"/>
      <c r="K113" s="2484"/>
      <c r="L113" s="2485"/>
      <c r="M113" s="2484"/>
      <c r="N113" s="2484"/>
      <c r="O113" s="2485"/>
      <c r="P113" s="2484"/>
      <c r="Q113" s="2484"/>
      <c r="R113" s="2486"/>
    </row>
    <row r="114" spans="2:18" s="799" customFormat="1">
      <c r="B114" s="2484"/>
      <c r="C114" s="2484"/>
      <c r="D114" s="2484"/>
      <c r="E114" s="2484"/>
      <c r="F114" s="2484"/>
      <c r="G114" s="2485"/>
      <c r="H114" s="2484"/>
      <c r="I114" s="2485"/>
      <c r="J114" s="2484"/>
      <c r="K114" s="2484"/>
      <c r="L114" s="2485"/>
      <c r="M114" s="2484"/>
      <c r="N114" s="2484"/>
      <c r="O114" s="2485"/>
      <c r="P114" s="2484"/>
      <c r="Q114" s="2484"/>
      <c r="R114" s="2486"/>
    </row>
    <row r="115" spans="2:18" s="799" customFormat="1">
      <c r="B115" s="2484"/>
      <c r="C115" s="2484"/>
      <c r="D115" s="2484"/>
      <c r="E115" s="2484"/>
      <c r="F115" s="2484"/>
      <c r="G115" s="2485"/>
      <c r="H115" s="2484"/>
      <c r="I115" s="2485"/>
      <c r="J115" s="2484"/>
      <c r="K115" s="2484"/>
      <c r="L115" s="2485"/>
      <c r="M115" s="2484"/>
      <c r="N115" s="2484"/>
      <c r="O115" s="2485"/>
      <c r="P115" s="2484"/>
      <c r="Q115" s="2484"/>
      <c r="R115" s="2486"/>
    </row>
    <row r="116" spans="2:18" s="799" customFormat="1">
      <c r="B116" s="2484"/>
      <c r="C116" s="2484"/>
      <c r="D116" s="2484"/>
      <c r="E116" s="2484"/>
      <c r="F116" s="2484"/>
      <c r="G116" s="2485"/>
      <c r="H116" s="2484"/>
      <c r="I116" s="2485"/>
      <c r="J116" s="2484"/>
      <c r="K116" s="2484"/>
      <c r="L116" s="2485"/>
      <c r="M116" s="2484"/>
      <c r="N116" s="2484"/>
      <c r="O116" s="2485"/>
      <c r="P116" s="2484"/>
      <c r="Q116" s="2484"/>
      <c r="R116" s="2486"/>
    </row>
    <row r="117" spans="2:18" s="799" customFormat="1">
      <c r="B117" s="2484"/>
      <c r="C117" s="2484"/>
      <c r="D117" s="2484"/>
      <c r="E117" s="2484"/>
      <c r="F117" s="2484"/>
      <c r="G117" s="2485"/>
      <c r="H117" s="2484"/>
      <c r="I117" s="2485"/>
      <c r="J117" s="2484"/>
      <c r="K117" s="2484"/>
      <c r="L117" s="2485"/>
      <c r="M117" s="2484"/>
      <c r="N117" s="2484"/>
      <c r="O117" s="2485"/>
      <c r="P117" s="2484"/>
      <c r="Q117" s="2484"/>
      <c r="R117" s="2486"/>
    </row>
    <row r="118" spans="2:18" s="799" customFormat="1">
      <c r="B118" s="2484"/>
      <c r="C118" s="2484"/>
      <c r="D118" s="2484"/>
      <c r="E118" s="2484"/>
      <c r="F118" s="2484"/>
      <c r="G118" s="2485"/>
      <c r="H118" s="2484"/>
      <c r="I118" s="2485"/>
      <c r="J118" s="2484"/>
      <c r="K118" s="2484"/>
      <c r="L118" s="2485"/>
      <c r="M118" s="2484"/>
      <c r="N118" s="2484"/>
      <c r="O118" s="2485"/>
      <c r="P118" s="2484"/>
      <c r="Q118" s="2484"/>
      <c r="R118" s="2486"/>
    </row>
    <row r="119" spans="2:18" s="799" customFormat="1">
      <c r="B119" s="2484"/>
      <c r="C119" s="2484"/>
      <c r="D119" s="2484"/>
      <c r="E119" s="2484"/>
      <c r="F119" s="2484"/>
      <c r="G119" s="2485"/>
      <c r="H119" s="2484"/>
      <c r="I119" s="2485"/>
      <c r="J119" s="2484"/>
      <c r="K119" s="2484"/>
      <c r="L119" s="2485"/>
      <c r="M119" s="2484"/>
      <c r="N119" s="2484"/>
      <c r="O119" s="2485"/>
      <c r="P119" s="2484"/>
      <c r="Q119" s="2484"/>
      <c r="R119" s="2486"/>
    </row>
    <row r="120" spans="2:18" s="799" customFormat="1">
      <c r="B120" s="2484"/>
      <c r="C120" s="2484"/>
      <c r="D120" s="2484"/>
      <c r="E120" s="2484"/>
      <c r="F120" s="2484"/>
      <c r="G120" s="2485"/>
      <c r="H120" s="2484"/>
      <c r="I120" s="2485"/>
      <c r="J120" s="2484"/>
      <c r="K120" s="2484"/>
      <c r="L120" s="2485"/>
      <c r="M120" s="2484"/>
      <c r="N120" s="2484"/>
      <c r="O120" s="2485"/>
      <c r="P120" s="2484"/>
      <c r="Q120" s="2484"/>
      <c r="R120" s="2486"/>
    </row>
    <row r="121" spans="2:18" s="799" customFormat="1">
      <c r="B121" s="2484"/>
      <c r="C121" s="2484"/>
      <c r="D121" s="2484"/>
      <c r="E121" s="2484"/>
      <c r="F121" s="2484"/>
      <c r="G121" s="2485"/>
      <c r="H121" s="2484"/>
      <c r="I121" s="2485"/>
      <c r="J121" s="2484"/>
      <c r="K121" s="2484"/>
      <c r="L121" s="2485"/>
      <c r="M121" s="2484"/>
      <c r="N121" s="2484"/>
      <c r="O121" s="2485"/>
      <c r="P121" s="2484"/>
      <c r="Q121" s="2484"/>
      <c r="R121" s="2486"/>
    </row>
    <row r="122" spans="2:18" s="799" customFormat="1">
      <c r="B122" s="2484"/>
      <c r="C122" s="2484"/>
      <c r="D122" s="2484"/>
      <c r="E122" s="2484"/>
      <c r="F122" s="2484"/>
      <c r="G122" s="2485"/>
      <c r="H122" s="2484"/>
      <c r="I122" s="2485"/>
      <c r="J122" s="2484"/>
      <c r="K122" s="2484"/>
      <c r="L122" s="2485"/>
      <c r="M122" s="2484"/>
      <c r="N122" s="2484"/>
      <c r="O122" s="2485"/>
      <c r="P122" s="2484"/>
      <c r="Q122" s="2484"/>
      <c r="R122" s="2486"/>
    </row>
    <row r="123" spans="2:18" s="799" customFormat="1">
      <c r="B123" s="2484"/>
      <c r="C123" s="2484"/>
      <c r="D123" s="2484"/>
      <c r="E123" s="2484"/>
      <c r="F123" s="2484"/>
      <c r="G123" s="2485"/>
      <c r="H123" s="2484"/>
      <c r="I123" s="2485"/>
      <c r="J123" s="2484"/>
      <c r="K123" s="2484"/>
      <c r="L123" s="2485"/>
      <c r="M123" s="2484"/>
      <c r="N123" s="2484"/>
      <c r="O123" s="2485"/>
      <c r="P123" s="2484"/>
      <c r="Q123" s="2484"/>
      <c r="R123" s="2486"/>
    </row>
    <row r="124" spans="2:18" s="799" customFormat="1">
      <c r="B124" s="2484"/>
      <c r="C124" s="2484"/>
      <c r="D124" s="2484"/>
      <c r="E124" s="2484"/>
      <c r="F124" s="2484"/>
      <c r="G124" s="2485"/>
      <c r="H124" s="2484"/>
      <c r="I124" s="2485"/>
      <c r="J124" s="2484"/>
      <c r="K124" s="2484"/>
      <c r="L124" s="2485"/>
      <c r="M124" s="2484"/>
      <c r="N124" s="2484"/>
      <c r="O124" s="2485"/>
      <c r="P124" s="2484"/>
      <c r="Q124" s="2484"/>
      <c r="R124" s="2486"/>
    </row>
    <row r="125" spans="2:18" s="799" customFormat="1">
      <c r="B125" s="2484"/>
      <c r="C125" s="2484"/>
      <c r="D125" s="2484"/>
      <c r="E125" s="2484"/>
      <c r="F125" s="2484"/>
      <c r="G125" s="2485"/>
      <c r="H125" s="2484"/>
      <c r="I125" s="2485"/>
      <c r="J125" s="2484"/>
      <c r="K125" s="2484"/>
      <c r="L125" s="2485"/>
      <c r="M125" s="2484"/>
      <c r="N125" s="2484"/>
      <c r="O125" s="2485"/>
      <c r="P125" s="2484"/>
      <c r="Q125" s="2484"/>
      <c r="R125" s="2486"/>
    </row>
    <row r="126" spans="2:18" s="799" customFormat="1">
      <c r="B126" s="2484"/>
      <c r="C126" s="2484"/>
      <c r="D126" s="2484"/>
      <c r="E126" s="2484"/>
      <c r="F126" s="2484"/>
      <c r="G126" s="2485"/>
      <c r="H126" s="2484"/>
      <c r="I126" s="2485"/>
      <c r="J126" s="2484"/>
      <c r="K126" s="2484"/>
      <c r="L126" s="2485"/>
      <c r="M126" s="2484"/>
      <c r="N126" s="2484"/>
      <c r="O126" s="2485"/>
      <c r="P126" s="2484"/>
      <c r="Q126" s="2484"/>
      <c r="R126" s="2486"/>
    </row>
    <row r="127" spans="2:18" s="799" customFormat="1">
      <c r="B127" s="2484"/>
      <c r="C127" s="2484"/>
      <c r="D127" s="2484"/>
      <c r="E127" s="2484"/>
      <c r="F127" s="2484"/>
      <c r="G127" s="2485"/>
      <c r="H127" s="2484"/>
      <c r="I127" s="2485"/>
      <c r="J127" s="2484"/>
      <c r="K127" s="2484"/>
      <c r="L127" s="2485"/>
      <c r="M127" s="2484"/>
      <c r="N127" s="2484"/>
      <c r="O127" s="2485"/>
      <c r="P127" s="2484"/>
      <c r="Q127" s="2484"/>
      <c r="R127" s="2486"/>
    </row>
    <row r="128" spans="2:18" s="799" customFormat="1">
      <c r="B128" s="2484"/>
      <c r="C128" s="2484"/>
      <c r="D128" s="2484"/>
      <c r="E128" s="2484"/>
      <c r="F128" s="2484"/>
      <c r="G128" s="2485"/>
      <c r="H128" s="2484"/>
      <c r="I128" s="2485"/>
      <c r="J128" s="2484"/>
      <c r="K128" s="2484"/>
      <c r="L128" s="2485"/>
      <c r="M128" s="2484"/>
      <c r="N128" s="2484"/>
      <c r="O128" s="2485"/>
      <c r="P128" s="2484"/>
      <c r="Q128" s="2484"/>
      <c r="R128" s="2486"/>
    </row>
    <row r="129" spans="2:18" s="799" customFormat="1">
      <c r="B129" s="2484"/>
      <c r="C129" s="2484"/>
      <c r="D129" s="2484"/>
      <c r="E129" s="2484"/>
      <c r="F129" s="2484"/>
      <c r="G129" s="2485"/>
      <c r="H129" s="2484"/>
      <c r="I129" s="2485"/>
      <c r="J129" s="2484"/>
      <c r="K129" s="2484"/>
      <c r="L129" s="2485"/>
      <c r="M129" s="2484"/>
      <c r="N129" s="2484"/>
      <c r="O129" s="2485"/>
      <c r="P129" s="2484"/>
      <c r="Q129" s="2484"/>
      <c r="R129" s="2486"/>
    </row>
    <row r="130" spans="2:18" s="799" customFormat="1">
      <c r="B130" s="2484"/>
      <c r="C130" s="2484"/>
      <c r="D130" s="2484"/>
      <c r="E130" s="2484"/>
      <c r="F130" s="2484"/>
      <c r="G130" s="2485"/>
      <c r="H130" s="2484"/>
      <c r="I130" s="2485"/>
      <c r="J130" s="2484"/>
      <c r="K130" s="2484"/>
      <c r="L130" s="2485"/>
      <c r="M130" s="2484"/>
      <c r="N130" s="2484"/>
      <c r="O130" s="2485"/>
      <c r="P130" s="2484"/>
      <c r="Q130" s="2484"/>
      <c r="R130" s="2486"/>
    </row>
    <row r="131" spans="2:18" s="799" customFormat="1">
      <c r="B131" s="2484"/>
      <c r="C131" s="2484"/>
      <c r="D131" s="2484"/>
      <c r="E131" s="2484"/>
      <c r="F131" s="2484"/>
      <c r="G131" s="2485"/>
      <c r="H131" s="2484"/>
      <c r="I131" s="2485"/>
      <c r="J131" s="2484"/>
      <c r="K131" s="2484"/>
      <c r="L131" s="2485"/>
      <c r="M131" s="2484"/>
      <c r="N131" s="2484"/>
      <c r="O131" s="2485"/>
      <c r="P131" s="2484"/>
      <c r="Q131" s="2484"/>
      <c r="R131" s="2486"/>
    </row>
    <row r="132" spans="2:18" s="799" customFormat="1">
      <c r="B132" s="2484"/>
      <c r="C132" s="2484"/>
      <c r="D132" s="2484"/>
      <c r="E132" s="2484"/>
      <c r="F132" s="2484"/>
      <c r="G132" s="2485"/>
      <c r="H132" s="2484"/>
      <c r="I132" s="2485"/>
      <c r="J132" s="2484"/>
      <c r="K132" s="2484"/>
      <c r="L132" s="2485"/>
      <c r="M132" s="2484"/>
      <c r="N132" s="2484"/>
      <c r="O132" s="2485"/>
      <c r="P132" s="2484"/>
      <c r="Q132" s="2484"/>
      <c r="R132" s="2486"/>
    </row>
    <row r="133" spans="2:18" s="799" customFormat="1">
      <c r="B133" s="2484"/>
      <c r="C133" s="2484"/>
      <c r="D133" s="2484"/>
      <c r="E133" s="2484"/>
      <c r="F133" s="2484"/>
      <c r="G133" s="2485"/>
      <c r="H133" s="2484"/>
      <c r="I133" s="2485"/>
      <c r="J133" s="2484"/>
      <c r="K133" s="2484"/>
      <c r="L133" s="2485"/>
      <c r="M133" s="2484"/>
      <c r="N133" s="2484"/>
      <c r="O133" s="2485"/>
      <c r="P133" s="2484"/>
      <c r="Q133" s="2484"/>
      <c r="R133" s="2486"/>
    </row>
    <row r="134" spans="2:18" s="799" customFormat="1">
      <c r="B134" s="2484"/>
      <c r="C134" s="2484"/>
      <c r="D134" s="2484"/>
      <c r="E134" s="2484"/>
      <c r="F134" s="2484"/>
      <c r="G134" s="2485"/>
      <c r="H134" s="2484"/>
      <c r="I134" s="2485"/>
      <c r="J134" s="2484"/>
      <c r="K134" s="2484"/>
      <c r="L134" s="2485"/>
      <c r="M134" s="2484"/>
      <c r="N134" s="2484"/>
      <c r="O134" s="2485"/>
      <c r="P134" s="2484"/>
      <c r="Q134" s="2484"/>
      <c r="R134" s="2486"/>
    </row>
    <row r="135" spans="2:18" s="799" customFormat="1">
      <c r="B135" s="2484"/>
      <c r="C135" s="2484"/>
      <c r="D135" s="2484"/>
      <c r="E135" s="2484"/>
      <c r="F135" s="2484"/>
      <c r="G135" s="2485"/>
      <c r="H135" s="2484"/>
      <c r="I135" s="2485"/>
      <c r="J135" s="2484"/>
      <c r="K135" s="2484"/>
      <c r="L135" s="2485"/>
      <c r="M135" s="2484"/>
      <c r="N135" s="2484"/>
      <c r="O135" s="2485"/>
      <c r="P135" s="2484"/>
      <c r="Q135" s="2484"/>
      <c r="R135" s="2486"/>
    </row>
    <row r="136" spans="2:18" s="799" customFormat="1">
      <c r="B136" s="2484"/>
      <c r="C136" s="2484"/>
      <c r="D136" s="2484"/>
      <c r="E136" s="2484"/>
      <c r="F136" s="2484"/>
      <c r="G136" s="2485"/>
      <c r="H136" s="2484"/>
      <c r="I136" s="2485"/>
      <c r="J136" s="2484"/>
      <c r="K136" s="2484"/>
      <c r="L136" s="2485"/>
      <c r="M136" s="2484"/>
      <c r="N136" s="2484"/>
      <c r="O136" s="2485"/>
      <c r="P136" s="2484"/>
      <c r="Q136" s="2484"/>
      <c r="R136" s="2486"/>
    </row>
    <row r="137" spans="2:18" s="799" customFormat="1">
      <c r="B137" s="2484"/>
      <c r="C137" s="2484"/>
      <c r="D137" s="2484"/>
      <c r="E137" s="2484"/>
      <c r="F137" s="2484"/>
      <c r="G137" s="2485"/>
      <c r="H137" s="2484"/>
      <c r="I137" s="2485"/>
      <c r="J137" s="2484"/>
      <c r="K137" s="2484"/>
      <c r="L137" s="2485"/>
      <c r="M137" s="2484"/>
      <c r="N137" s="2484"/>
      <c r="O137" s="2485"/>
      <c r="P137" s="2484"/>
      <c r="Q137" s="2484"/>
      <c r="R137" s="2486"/>
    </row>
    <row r="138" spans="2:18" s="799" customFormat="1">
      <c r="B138" s="2484"/>
      <c r="C138" s="2484"/>
      <c r="D138" s="2484"/>
      <c r="E138" s="2484"/>
      <c r="F138" s="2484"/>
      <c r="G138" s="2485"/>
      <c r="H138" s="2484"/>
      <c r="I138" s="2485"/>
      <c r="J138" s="2484"/>
      <c r="K138" s="2484"/>
      <c r="L138" s="2485"/>
      <c r="M138" s="2484"/>
      <c r="N138" s="2484"/>
      <c r="O138" s="2485"/>
      <c r="P138" s="2484"/>
      <c r="Q138" s="2484"/>
      <c r="R138" s="2486"/>
    </row>
    <row r="139" spans="2:18" s="799" customFormat="1">
      <c r="B139" s="2484"/>
      <c r="C139" s="2484"/>
      <c r="D139" s="2484"/>
      <c r="E139" s="2484"/>
      <c r="F139" s="2484"/>
      <c r="G139" s="2485"/>
      <c r="H139" s="2484"/>
      <c r="I139" s="2485"/>
      <c r="J139" s="2484"/>
      <c r="K139" s="2484"/>
      <c r="L139" s="2485"/>
      <c r="M139" s="2484"/>
      <c r="N139" s="2484"/>
      <c r="O139" s="2485"/>
      <c r="P139" s="2484"/>
      <c r="Q139" s="2484"/>
      <c r="R139" s="2486"/>
    </row>
    <row r="140" spans="2:18" s="799" customFormat="1">
      <c r="B140" s="2484"/>
      <c r="C140" s="2484"/>
      <c r="D140" s="2484"/>
      <c r="E140" s="2484"/>
      <c r="F140" s="2484"/>
      <c r="G140" s="2485"/>
      <c r="H140" s="2484"/>
      <c r="I140" s="2485"/>
      <c r="J140" s="2484"/>
      <c r="K140" s="2484"/>
      <c r="L140" s="2485"/>
      <c r="M140" s="2484"/>
      <c r="N140" s="2484"/>
      <c r="O140" s="2485"/>
      <c r="P140" s="2484"/>
      <c r="Q140" s="2484"/>
      <c r="R140" s="2486"/>
    </row>
    <row r="141" spans="2:18" s="799" customFormat="1">
      <c r="B141" s="2484"/>
      <c r="C141" s="2484"/>
      <c r="D141" s="2484"/>
      <c r="E141" s="2484"/>
      <c r="F141" s="2484"/>
      <c r="G141" s="2485"/>
      <c r="H141" s="2484"/>
      <c r="I141" s="2485"/>
      <c r="J141" s="2484"/>
      <c r="K141" s="2484"/>
      <c r="L141" s="2485"/>
      <c r="M141" s="2484"/>
      <c r="N141" s="2484"/>
      <c r="O141" s="2485"/>
      <c r="P141" s="2484"/>
      <c r="Q141" s="2484"/>
      <c r="R141" s="2486"/>
    </row>
    <row r="142" spans="2:18" s="799" customFormat="1">
      <c r="B142" s="2484"/>
      <c r="C142" s="2484"/>
      <c r="D142" s="2484"/>
      <c r="E142" s="2484"/>
      <c r="F142" s="2484"/>
      <c r="G142" s="2485"/>
      <c r="H142" s="2484"/>
      <c r="I142" s="2485"/>
      <c r="J142" s="2484"/>
      <c r="K142" s="2484"/>
      <c r="L142" s="2485"/>
      <c r="M142" s="2484"/>
      <c r="N142" s="2484"/>
      <c r="O142" s="2485"/>
      <c r="P142" s="2484"/>
      <c r="Q142" s="2484"/>
      <c r="R142" s="2486"/>
    </row>
    <row r="143" spans="2:18" s="799" customFormat="1">
      <c r="B143" s="2484"/>
      <c r="C143" s="2484"/>
      <c r="D143" s="2484"/>
      <c r="E143" s="2484"/>
      <c r="F143" s="2484"/>
      <c r="G143" s="2485"/>
      <c r="H143" s="2484"/>
      <c r="I143" s="2485"/>
      <c r="J143" s="2484"/>
      <c r="K143" s="2484"/>
      <c r="L143" s="2485"/>
      <c r="M143" s="2484"/>
      <c r="N143" s="2484"/>
      <c r="O143" s="2485"/>
      <c r="P143" s="2484"/>
      <c r="Q143" s="2484"/>
      <c r="R143" s="2486"/>
    </row>
    <row r="144" spans="2:18" s="799" customFormat="1">
      <c r="B144" s="2484"/>
      <c r="C144" s="2484"/>
      <c r="D144" s="2484"/>
      <c r="E144" s="2484"/>
      <c r="F144" s="2484"/>
      <c r="G144" s="2485"/>
      <c r="H144" s="2484"/>
      <c r="I144" s="2485"/>
      <c r="J144" s="2484"/>
      <c r="K144" s="2484"/>
      <c r="L144" s="2485"/>
      <c r="M144" s="2484"/>
      <c r="N144" s="2484"/>
      <c r="O144" s="2485"/>
      <c r="P144" s="2484"/>
      <c r="Q144" s="2484"/>
      <c r="R144" s="2486"/>
    </row>
    <row r="145" spans="2:18" s="799" customFormat="1">
      <c r="B145" s="2484"/>
      <c r="C145" s="2484"/>
      <c r="D145" s="2484"/>
      <c r="E145" s="2484"/>
      <c r="F145" s="2484"/>
      <c r="G145" s="2485"/>
      <c r="H145" s="2484"/>
      <c r="I145" s="2485"/>
      <c r="J145" s="2484"/>
      <c r="K145" s="2484"/>
      <c r="L145" s="2485"/>
      <c r="M145" s="2484"/>
      <c r="N145" s="2484"/>
      <c r="O145" s="2485"/>
      <c r="P145" s="2484"/>
      <c r="Q145" s="2484"/>
      <c r="R145" s="2486"/>
    </row>
    <row r="146" spans="2:18" s="799" customFormat="1">
      <c r="B146" s="2484"/>
      <c r="C146" s="2484"/>
      <c r="D146" s="2484"/>
      <c r="E146" s="2484"/>
      <c r="F146" s="2484"/>
      <c r="G146" s="2485"/>
      <c r="H146" s="2484"/>
      <c r="I146" s="2485"/>
      <c r="J146" s="2484"/>
      <c r="K146" s="2484"/>
      <c r="L146" s="2485"/>
      <c r="M146" s="2484"/>
      <c r="N146" s="2484"/>
      <c r="O146" s="2485"/>
      <c r="P146" s="2484"/>
      <c r="Q146" s="2484"/>
      <c r="R146" s="2486"/>
    </row>
    <row r="147" spans="2:18" s="799" customFormat="1">
      <c r="B147" s="2484"/>
      <c r="C147" s="2484"/>
      <c r="D147" s="2484"/>
      <c r="E147" s="2484"/>
      <c r="F147" s="2484"/>
      <c r="G147" s="2485"/>
      <c r="H147" s="2484"/>
      <c r="I147" s="2485"/>
      <c r="J147" s="2484"/>
      <c r="K147" s="2484"/>
      <c r="L147" s="2485"/>
      <c r="M147" s="2484"/>
      <c r="N147" s="2484"/>
      <c r="O147" s="2485"/>
      <c r="P147" s="2484"/>
      <c r="Q147" s="2484"/>
      <c r="R147" s="2486"/>
    </row>
    <row r="148" spans="2:18" s="799" customFormat="1">
      <c r="B148" s="2484"/>
      <c r="C148" s="2484"/>
      <c r="D148" s="2484"/>
      <c r="E148" s="2484"/>
      <c r="F148" s="2484"/>
      <c r="G148" s="2485"/>
      <c r="H148" s="2484"/>
      <c r="I148" s="2485"/>
      <c r="J148" s="2484"/>
      <c r="K148" s="2484"/>
      <c r="L148" s="2485"/>
      <c r="M148" s="2484"/>
      <c r="N148" s="2484"/>
      <c r="O148" s="2485"/>
      <c r="P148" s="2484"/>
      <c r="Q148" s="2484"/>
      <c r="R148" s="2486"/>
    </row>
    <row r="149" spans="2:18" s="799" customFormat="1">
      <c r="B149" s="2484"/>
      <c r="C149" s="2484"/>
      <c r="D149" s="2484"/>
      <c r="E149" s="2484"/>
      <c r="F149" s="2484"/>
      <c r="G149" s="2485"/>
      <c r="H149" s="2484"/>
      <c r="I149" s="2485"/>
      <c r="J149" s="2484"/>
      <c r="K149" s="2484"/>
      <c r="L149" s="2485"/>
      <c r="M149" s="2484"/>
      <c r="N149" s="2484"/>
      <c r="O149" s="2485"/>
      <c r="P149" s="2484"/>
      <c r="Q149" s="2484"/>
      <c r="R149" s="2486"/>
    </row>
    <row r="150" spans="2:18" s="799" customFormat="1">
      <c r="B150" s="2484"/>
      <c r="C150" s="2484"/>
      <c r="D150" s="2484"/>
      <c r="E150" s="2484"/>
      <c r="F150" s="2484"/>
      <c r="G150" s="2485"/>
      <c r="H150" s="2484"/>
      <c r="I150" s="2485"/>
      <c r="J150" s="2484"/>
      <c r="K150" s="2484"/>
      <c r="L150" s="2485"/>
      <c r="M150" s="2484"/>
      <c r="N150" s="2484"/>
      <c r="O150" s="2485"/>
      <c r="P150" s="2484"/>
      <c r="Q150" s="2484"/>
      <c r="R150" s="2486"/>
    </row>
    <row r="151" spans="2:18" s="799" customFormat="1">
      <c r="B151" s="2484"/>
      <c r="C151" s="2484"/>
      <c r="D151" s="2484"/>
      <c r="E151" s="2484"/>
      <c r="F151" s="2484"/>
      <c r="G151" s="2485"/>
      <c r="H151" s="2484"/>
      <c r="I151" s="2485"/>
      <c r="J151" s="2484"/>
      <c r="K151" s="2484"/>
      <c r="L151" s="2485"/>
      <c r="M151" s="2484"/>
      <c r="N151" s="2484"/>
      <c r="O151" s="2485"/>
      <c r="P151" s="2484"/>
      <c r="Q151" s="2484"/>
      <c r="R151" s="2486"/>
    </row>
    <row r="152" spans="2:18" s="799" customFormat="1">
      <c r="B152" s="2484"/>
      <c r="C152" s="2484"/>
      <c r="D152" s="2484"/>
      <c r="E152" s="2484"/>
      <c r="F152" s="2484"/>
      <c r="G152" s="2485"/>
      <c r="H152" s="2484"/>
      <c r="I152" s="2485"/>
      <c r="J152" s="2484"/>
      <c r="K152" s="2484"/>
      <c r="L152" s="2485"/>
      <c r="M152" s="2484"/>
      <c r="N152" s="2484"/>
      <c r="O152" s="2485"/>
      <c r="P152" s="2484"/>
      <c r="Q152" s="2484"/>
      <c r="R152" s="2486"/>
    </row>
    <row r="153" spans="2:18" s="799" customFormat="1">
      <c r="B153" s="2484"/>
      <c r="C153" s="2484"/>
      <c r="D153" s="2484"/>
      <c r="E153" s="2484"/>
      <c r="F153" s="2484"/>
      <c r="G153" s="2485"/>
      <c r="H153" s="2484"/>
      <c r="I153" s="2485"/>
      <c r="J153" s="2484"/>
      <c r="K153" s="2484"/>
      <c r="L153" s="2485"/>
      <c r="M153" s="2484"/>
      <c r="N153" s="2484"/>
      <c r="O153" s="2485"/>
      <c r="P153" s="2484"/>
      <c r="Q153" s="2484"/>
      <c r="R153" s="2486"/>
    </row>
    <row r="154" spans="2:18" s="799" customFormat="1">
      <c r="B154" s="2484"/>
      <c r="C154" s="2484"/>
      <c r="D154" s="2484"/>
      <c r="E154" s="2484"/>
      <c r="F154" s="2484"/>
      <c r="G154" s="2485"/>
      <c r="H154" s="2484"/>
      <c r="I154" s="2485"/>
      <c r="J154" s="2484"/>
      <c r="K154" s="2484"/>
      <c r="L154" s="2485"/>
      <c r="M154" s="2484"/>
      <c r="N154" s="2484"/>
      <c r="O154" s="2485"/>
      <c r="P154" s="2484"/>
      <c r="Q154" s="2484"/>
      <c r="R154" s="2486"/>
    </row>
    <row r="155" spans="2:18" s="799" customFormat="1">
      <c r="B155" s="2484"/>
      <c r="C155" s="2484"/>
      <c r="D155" s="2484"/>
      <c r="E155" s="2484"/>
      <c r="F155" s="2484"/>
      <c r="G155" s="2485"/>
      <c r="H155" s="2484"/>
      <c r="I155" s="2485"/>
      <c r="J155" s="2484"/>
      <c r="K155" s="2484"/>
      <c r="L155" s="2485"/>
      <c r="M155" s="2484"/>
      <c r="N155" s="2484"/>
      <c r="O155" s="2485"/>
      <c r="P155" s="2484"/>
      <c r="Q155" s="2484"/>
      <c r="R155" s="2486"/>
    </row>
    <row r="156" spans="2:18" s="799" customFormat="1">
      <c r="B156" s="2484"/>
      <c r="C156" s="2484"/>
      <c r="D156" s="2484"/>
      <c r="E156" s="2484"/>
      <c r="F156" s="2484"/>
      <c r="G156" s="2485"/>
      <c r="H156" s="2484"/>
      <c r="I156" s="2485"/>
      <c r="J156" s="2484"/>
      <c r="K156" s="2484"/>
      <c r="L156" s="2485"/>
      <c r="M156" s="2484"/>
      <c r="N156" s="2484"/>
      <c r="O156" s="2485"/>
      <c r="P156" s="2484"/>
      <c r="Q156" s="2484"/>
      <c r="R156" s="2486"/>
    </row>
    <row r="157" spans="2:18" s="799" customFormat="1">
      <c r="B157" s="2484"/>
      <c r="C157" s="2484"/>
      <c r="D157" s="2484"/>
      <c r="E157" s="2484"/>
      <c r="F157" s="2484"/>
      <c r="G157" s="2485"/>
      <c r="H157" s="2484"/>
      <c r="I157" s="2485"/>
      <c r="J157" s="2484"/>
      <c r="K157" s="2484"/>
      <c r="L157" s="2485"/>
      <c r="M157" s="2484"/>
      <c r="N157" s="2484"/>
      <c r="O157" s="2485"/>
      <c r="P157" s="2484"/>
      <c r="Q157" s="2484"/>
      <c r="R157" s="2486"/>
    </row>
    <row r="158" spans="2:18" s="799" customFormat="1">
      <c r="B158" s="2484"/>
      <c r="C158" s="2484"/>
      <c r="D158" s="2484"/>
      <c r="E158" s="2484"/>
      <c r="F158" s="2484"/>
      <c r="G158" s="2485"/>
      <c r="H158" s="2484"/>
      <c r="I158" s="2485"/>
      <c r="J158" s="2484"/>
      <c r="K158" s="2484"/>
      <c r="L158" s="2485"/>
      <c r="M158" s="2484"/>
      <c r="N158" s="2484"/>
      <c r="O158" s="2485"/>
      <c r="P158" s="2484"/>
      <c r="Q158" s="2484"/>
      <c r="R158" s="2486"/>
    </row>
    <row r="159" spans="2:18" s="799" customFormat="1">
      <c r="B159" s="2484"/>
      <c r="C159" s="2484"/>
      <c r="D159" s="2484"/>
      <c r="E159" s="2484"/>
      <c r="F159" s="2484"/>
      <c r="G159" s="2485"/>
      <c r="H159" s="2484"/>
      <c r="I159" s="2485"/>
      <c r="J159" s="2484"/>
      <c r="K159" s="2484"/>
      <c r="L159" s="2485"/>
      <c r="M159" s="2484"/>
      <c r="N159" s="2484"/>
      <c r="O159" s="2485"/>
      <c r="P159" s="2484"/>
      <c r="Q159" s="2484"/>
      <c r="R159" s="2486"/>
    </row>
    <row r="160" spans="2:18" s="799" customFormat="1">
      <c r="B160" s="2484"/>
      <c r="C160" s="2484"/>
      <c r="D160" s="2484"/>
      <c r="E160" s="2484"/>
      <c r="F160" s="2484"/>
      <c r="G160" s="2485"/>
      <c r="H160" s="2484"/>
      <c r="I160" s="2485"/>
      <c r="J160" s="2484"/>
      <c r="K160" s="2484"/>
      <c r="L160" s="2485"/>
      <c r="M160" s="2484"/>
      <c r="N160" s="2484"/>
      <c r="O160" s="2485"/>
      <c r="P160" s="2484"/>
      <c r="Q160" s="2484"/>
      <c r="R160" s="2486"/>
    </row>
    <row r="161" spans="2:18" s="799" customFormat="1">
      <c r="B161" s="2484"/>
      <c r="C161" s="2484"/>
      <c r="D161" s="2484"/>
      <c r="E161" s="2484"/>
      <c r="F161" s="2484"/>
      <c r="G161" s="2485"/>
      <c r="H161" s="2484"/>
      <c r="I161" s="2485"/>
      <c r="J161" s="2484"/>
      <c r="K161" s="2484"/>
      <c r="L161" s="2485"/>
      <c r="M161" s="2484"/>
      <c r="N161" s="2484"/>
      <c r="O161" s="2485"/>
      <c r="P161" s="2484"/>
      <c r="Q161" s="2484"/>
      <c r="R161" s="2486"/>
    </row>
    <row r="162" spans="2:18" s="799" customFormat="1">
      <c r="B162" s="2484"/>
      <c r="C162" s="2484"/>
      <c r="D162" s="2484"/>
      <c r="E162" s="2484"/>
      <c r="F162" s="2484"/>
      <c r="G162" s="2485"/>
      <c r="H162" s="2484"/>
      <c r="I162" s="2485"/>
      <c r="J162" s="2484"/>
      <c r="K162" s="2484"/>
      <c r="L162" s="2485"/>
      <c r="M162" s="2484"/>
      <c r="N162" s="2484"/>
      <c r="O162" s="2485"/>
      <c r="P162" s="2484"/>
      <c r="Q162" s="2484"/>
      <c r="R162" s="2486"/>
    </row>
    <row r="163" spans="2:18" s="799" customFormat="1">
      <c r="B163" s="2484"/>
      <c r="C163" s="2484"/>
      <c r="D163" s="2484"/>
      <c r="E163" s="2484"/>
      <c r="F163" s="2484"/>
      <c r="G163" s="2485"/>
      <c r="H163" s="2484"/>
      <c r="I163" s="2485"/>
      <c r="J163" s="2484"/>
      <c r="K163" s="2484"/>
      <c r="L163" s="2485"/>
      <c r="M163" s="2484"/>
      <c r="N163" s="2484"/>
      <c r="O163" s="2485"/>
      <c r="P163" s="2484"/>
      <c r="Q163" s="2484"/>
      <c r="R163" s="2486"/>
    </row>
    <row r="164" spans="2:18" s="799" customFormat="1">
      <c r="B164" s="2484"/>
      <c r="C164" s="2484"/>
      <c r="D164" s="2484"/>
      <c r="E164" s="2484"/>
      <c r="F164" s="2484"/>
      <c r="G164" s="2485"/>
      <c r="H164" s="2484"/>
      <c r="I164" s="2485"/>
      <c r="J164" s="2484"/>
      <c r="K164" s="2484"/>
      <c r="L164" s="2485"/>
      <c r="M164" s="2484"/>
      <c r="N164" s="2484"/>
      <c r="O164" s="2485"/>
      <c r="P164" s="2484"/>
      <c r="Q164" s="2484"/>
      <c r="R164" s="2486"/>
    </row>
    <row r="165" spans="2:18" s="799" customFormat="1">
      <c r="B165" s="2484"/>
      <c r="C165" s="2484"/>
      <c r="D165" s="2484"/>
      <c r="E165" s="2484"/>
      <c r="F165" s="2484"/>
      <c r="G165" s="2485"/>
      <c r="H165" s="2484"/>
      <c r="I165" s="2485"/>
      <c r="J165" s="2484"/>
      <c r="K165" s="2484"/>
      <c r="L165" s="2485"/>
      <c r="M165" s="2484"/>
      <c r="N165" s="2484"/>
      <c r="O165" s="2485"/>
      <c r="P165" s="2484"/>
      <c r="Q165" s="2484"/>
      <c r="R165" s="2486"/>
    </row>
    <row r="166" spans="2:18" s="799" customFormat="1">
      <c r="B166" s="2484"/>
      <c r="C166" s="2484"/>
      <c r="D166" s="2484"/>
      <c r="E166" s="2484"/>
      <c r="F166" s="2484"/>
      <c r="G166" s="2485"/>
      <c r="H166" s="2484"/>
      <c r="I166" s="2485"/>
      <c r="J166" s="2484"/>
      <c r="K166" s="2484"/>
      <c r="L166" s="2485"/>
      <c r="M166" s="2484"/>
      <c r="N166" s="2484"/>
      <c r="O166" s="2485"/>
      <c r="P166" s="2484"/>
      <c r="Q166" s="2484"/>
      <c r="R166" s="2486"/>
    </row>
    <row r="167" spans="2:18" s="799" customFormat="1">
      <c r="B167" s="2484"/>
      <c r="C167" s="2484"/>
      <c r="D167" s="2484"/>
      <c r="E167" s="2484"/>
      <c r="F167" s="2484"/>
      <c r="G167" s="2485"/>
      <c r="H167" s="2484"/>
      <c r="I167" s="2485"/>
      <c r="J167" s="2484"/>
      <c r="K167" s="2484"/>
      <c r="L167" s="2485"/>
      <c r="M167" s="2484"/>
      <c r="N167" s="2484"/>
      <c r="O167" s="2485"/>
      <c r="P167" s="2484"/>
      <c r="Q167" s="2484"/>
      <c r="R167" s="2486"/>
    </row>
    <row r="168" spans="2:18" s="799" customFormat="1">
      <c r="B168" s="2484"/>
      <c r="C168" s="2484"/>
      <c r="D168" s="2484"/>
      <c r="E168" s="2484"/>
      <c r="F168" s="2484"/>
      <c r="G168" s="2485"/>
      <c r="H168" s="2484"/>
      <c r="I168" s="2485"/>
      <c r="J168" s="2484"/>
      <c r="K168" s="2484"/>
      <c r="L168" s="2485"/>
      <c r="M168" s="2484"/>
      <c r="N168" s="2484"/>
      <c r="O168" s="2485"/>
      <c r="P168" s="2484"/>
      <c r="Q168" s="2484"/>
      <c r="R168" s="2486"/>
    </row>
    <row r="169" spans="2:18" s="799" customFormat="1">
      <c r="B169" s="2484"/>
      <c r="C169" s="2484"/>
      <c r="D169" s="2484"/>
      <c r="E169" s="2484"/>
      <c r="F169" s="2484"/>
      <c r="G169" s="2485"/>
      <c r="H169" s="2484"/>
      <c r="I169" s="2485"/>
      <c r="J169" s="2484"/>
      <c r="K169" s="2484"/>
      <c r="L169" s="2485"/>
      <c r="M169" s="2484"/>
      <c r="N169" s="2484"/>
      <c r="O169" s="2485"/>
      <c r="P169" s="2484"/>
      <c r="Q169" s="2484"/>
      <c r="R169" s="2486"/>
    </row>
    <row r="170" spans="2:18" s="799" customFormat="1">
      <c r="B170" s="2484"/>
      <c r="C170" s="2484"/>
      <c r="D170" s="2484"/>
      <c r="E170" s="2484"/>
      <c r="F170" s="2484"/>
      <c r="G170" s="2485"/>
      <c r="H170" s="2484"/>
      <c r="I170" s="2485"/>
      <c r="J170" s="2484"/>
      <c r="K170" s="2484"/>
      <c r="L170" s="2485"/>
      <c r="M170" s="2484"/>
      <c r="N170" s="2484"/>
      <c r="O170" s="2485"/>
      <c r="P170" s="2484"/>
      <c r="Q170" s="2484"/>
      <c r="R170" s="2486"/>
    </row>
    <row r="171" spans="2:18" s="799" customFormat="1">
      <c r="B171" s="2484"/>
      <c r="C171" s="2484"/>
      <c r="D171" s="2484"/>
      <c r="E171" s="2484"/>
      <c r="F171" s="2484"/>
      <c r="G171" s="2485"/>
      <c r="H171" s="2484"/>
      <c r="I171" s="2485"/>
      <c r="J171" s="2484"/>
      <c r="K171" s="2484"/>
      <c r="L171" s="2485"/>
      <c r="M171" s="2484"/>
      <c r="N171" s="2484"/>
      <c r="O171" s="2485"/>
      <c r="P171" s="2484"/>
      <c r="Q171" s="2484"/>
      <c r="R171" s="2486"/>
    </row>
    <row r="172" spans="2:18" s="799" customFormat="1">
      <c r="B172" s="2484"/>
      <c r="C172" s="2484"/>
      <c r="D172" s="2484"/>
      <c r="E172" s="2484"/>
      <c r="F172" s="2484"/>
      <c r="G172" s="2485"/>
      <c r="H172" s="2484"/>
      <c r="I172" s="2485"/>
      <c r="J172" s="2484"/>
      <c r="K172" s="2484"/>
      <c r="L172" s="2485"/>
      <c r="M172" s="2484"/>
      <c r="N172" s="2484"/>
      <c r="O172" s="2485"/>
      <c r="P172" s="2484"/>
      <c r="Q172" s="2484"/>
      <c r="R172" s="2486"/>
    </row>
    <row r="173" spans="2:18" s="799" customFormat="1">
      <c r="B173" s="2484"/>
      <c r="C173" s="2484"/>
      <c r="D173" s="2484"/>
      <c r="E173" s="2484"/>
      <c r="F173" s="2484"/>
      <c r="G173" s="2485"/>
      <c r="H173" s="2484"/>
      <c r="I173" s="2485"/>
      <c r="J173" s="2484"/>
      <c r="K173" s="2484"/>
      <c r="L173" s="2485"/>
      <c r="M173" s="2484"/>
      <c r="N173" s="2484"/>
      <c r="O173" s="2485"/>
      <c r="P173" s="2484"/>
      <c r="Q173" s="2484"/>
      <c r="R173" s="2486"/>
    </row>
    <row r="174" spans="2:18" s="799" customFormat="1">
      <c r="B174" s="2484"/>
      <c r="C174" s="2484"/>
      <c r="D174" s="2484"/>
      <c r="E174" s="2484"/>
      <c r="F174" s="2484"/>
      <c r="G174" s="2485"/>
      <c r="H174" s="2484"/>
      <c r="I174" s="2485"/>
      <c r="J174" s="2484"/>
      <c r="K174" s="2484"/>
      <c r="L174" s="2485"/>
      <c r="M174" s="2484"/>
      <c r="N174" s="2484"/>
      <c r="O174" s="2485"/>
      <c r="P174" s="2484"/>
      <c r="Q174" s="2484"/>
      <c r="R174" s="2486"/>
    </row>
    <row r="175" spans="2:18" s="799" customFormat="1">
      <c r="B175" s="2484"/>
      <c r="C175" s="2484"/>
      <c r="D175" s="2484"/>
      <c r="E175" s="2484"/>
      <c r="F175" s="2484"/>
      <c r="G175" s="2485"/>
      <c r="H175" s="2484"/>
      <c r="I175" s="2485"/>
      <c r="J175" s="2484"/>
      <c r="K175" s="2484"/>
      <c r="L175" s="2485"/>
      <c r="M175" s="2484"/>
      <c r="N175" s="2484"/>
      <c r="O175" s="2485"/>
      <c r="P175" s="2484"/>
      <c r="Q175" s="2484"/>
      <c r="R175" s="2486"/>
    </row>
    <row r="176" spans="2:18" s="799" customFormat="1">
      <c r="B176" s="2484"/>
      <c r="C176" s="2484"/>
      <c r="D176" s="2484"/>
      <c r="E176" s="2484"/>
      <c r="F176" s="2484"/>
      <c r="G176" s="2485"/>
      <c r="H176" s="2484"/>
      <c r="I176" s="2485"/>
      <c r="J176" s="2484"/>
      <c r="K176" s="2484"/>
      <c r="L176" s="2485"/>
      <c r="M176" s="2484"/>
      <c r="N176" s="2484"/>
      <c r="O176" s="2485"/>
      <c r="P176" s="2484"/>
      <c r="Q176" s="2484"/>
      <c r="R176" s="2486"/>
    </row>
    <row r="177" spans="1:18" s="799" customFormat="1">
      <c r="B177" s="2484"/>
      <c r="C177" s="2484"/>
      <c r="D177" s="2484"/>
      <c r="E177" s="2484"/>
      <c r="F177" s="2484"/>
      <c r="G177" s="2485"/>
      <c r="H177" s="2484"/>
      <c r="I177" s="2485"/>
      <c r="J177" s="2484"/>
      <c r="K177" s="2484"/>
      <c r="L177" s="2485"/>
      <c r="M177" s="2484"/>
      <c r="N177" s="2484"/>
      <c r="O177" s="2485"/>
      <c r="P177" s="2484"/>
      <c r="Q177" s="2484"/>
      <c r="R177" s="2486"/>
    </row>
    <row r="178" spans="1:18" s="799" customFormat="1">
      <c r="B178" s="2484"/>
      <c r="C178" s="2484"/>
      <c r="D178" s="2484"/>
      <c r="E178" s="2484"/>
      <c r="F178" s="2484"/>
      <c r="G178" s="2485"/>
      <c r="H178" s="2484"/>
      <c r="I178" s="2485"/>
      <c r="J178" s="2484"/>
      <c r="K178" s="2484"/>
      <c r="L178" s="2485"/>
      <c r="M178" s="2484"/>
      <c r="N178" s="2484"/>
      <c r="O178" s="2485"/>
      <c r="P178" s="2484"/>
      <c r="Q178" s="2484"/>
      <c r="R178" s="2486"/>
    </row>
    <row r="179" spans="1:18" s="799" customFormat="1">
      <c r="B179" s="2484"/>
      <c r="C179" s="2484"/>
      <c r="D179" s="2484"/>
      <c r="E179" s="2484"/>
      <c r="F179" s="2484"/>
      <c r="G179" s="2485"/>
      <c r="H179" s="2484"/>
      <c r="I179" s="2485"/>
      <c r="J179" s="2484"/>
      <c r="K179" s="2484"/>
      <c r="L179" s="2485"/>
      <c r="M179" s="2484"/>
      <c r="N179" s="2484"/>
      <c r="O179" s="2485"/>
      <c r="P179" s="2484"/>
      <c r="Q179" s="2484"/>
      <c r="R179" s="2486"/>
    </row>
    <row r="180" spans="1:18" s="799" customFormat="1">
      <c r="B180" s="2484"/>
      <c r="C180" s="2484"/>
      <c r="D180" s="2484"/>
      <c r="E180" s="2484"/>
      <c r="F180" s="2484"/>
      <c r="G180" s="2485"/>
      <c r="H180" s="2484"/>
      <c r="I180" s="2485"/>
      <c r="J180" s="2484"/>
      <c r="K180" s="2484"/>
      <c r="L180" s="2485"/>
      <c r="M180" s="2484"/>
      <c r="N180" s="2484"/>
      <c r="O180" s="2485"/>
      <c r="P180" s="2484"/>
      <c r="Q180" s="2484"/>
      <c r="R180" s="2486"/>
    </row>
    <row r="181" spans="1:18" s="799" customFormat="1">
      <c r="B181" s="2484"/>
      <c r="C181" s="2484"/>
      <c r="D181" s="2484"/>
      <c r="E181" s="2484"/>
      <c r="F181" s="2484"/>
      <c r="G181" s="2485"/>
      <c r="H181" s="2484"/>
      <c r="I181" s="2485"/>
      <c r="J181" s="2484"/>
      <c r="K181" s="2484"/>
      <c r="L181" s="2485"/>
      <c r="M181" s="2484"/>
      <c r="N181" s="2484"/>
      <c r="O181" s="2485"/>
      <c r="P181" s="2484"/>
      <c r="Q181" s="2484"/>
      <c r="R181" s="2486"/>
    </row>
    <row r="182" spans="1:18" s="799" customFormat="1">
      <c r="B182" s="2484"/>
      <c r="C182" s="2484"/>
      <c r="D182" s="2484"/>
      <c r="E182" s="2484"/>
      <c r="F182" s="2484"/>
      <c r="G182" s="2485"/>
      <c r="H182" s="2484"/>
      <c r="I182" s="2485"/>
      <c r="J182" s="2484"/>
      <c r="K182" s="2484"/>
      <c r="L182" s="2485"/>
      <c r="M182" s="2484"/>
      <c r="N182" s="2484"/>
      <c r="O182" s="2485"/>
      <c r="P182" s="2484"/>
      <c r="Q182" s="2484"/>
      <c r="R182" s="2486"/>
    </row>
    <row r="183" spans="1:18" s="799" customFormat="1">
      <c r="B183" s="2484"/>
      <c r="C183" s="2484"/>
      <c r="D183" s="2484"/>
      <c r="E183" s="2484"/>
      <c r="F183" s="2484"/>
      <c r="G183" s="2485"/>
      <c r="H183" s="2484"/>
      <c r="I183" s="2485"/>
      <c r="J183" s="2484"/>
      <c r="K183" s="2484"/>
      <c r="L183" s="2485"/>
      <c r="M183" s="2484"/>
      <c r="N183" s="2484"/>
      <c r="O183" s="2485"/>
      <c r="P183" s="2484"/>
      <c r="Q183" s="2484"/>
      <c r="R183" s="2486"/>
    </row>
    <row r="184" spans="1:18" s="799" customFormat="1">
      <c r="B184" s="2484"/>
      <c r="C184" s="2484"/>
      <c r="D184" s="2484"/>
      <c r="E184" s="2484"/>
      <c r="F184" s="2484"/>
      <c r="G184" s="2485"/>
      <c r="H184" s="2484"/>
      <c r="I184" s="2485"/>
      <c r="J184" s="2484"/>
      <c r="K184" s="2484"/>
      <c r="L184" s="2485"/>
      <c r="M184" s="2484"/>
      <c r="N184" s="2484"/>
      <c r="O184" s="2485"/>
      <c r="P184" s="2484"/>
      <c r="Q184" s="2484"/>
      <c r="R184" s="2486"/>
    </row>
    <row r="185" spans="1:18" s="799" customFormat="1">
      <c r="B185" s="2484"/>
      <c r="C185" s="2484"/>
      <c r="D185" s="2484"/>
      <c r="E185" s="2484"/>
      <c r="F185" s="2484"/>
      <c r="G185" s="2485"/>
      <c r="H185" s="2484"/>
      <c r="I185" s="2485"/>
      <c r="J185" s="2484"/>
      <c r="K185" s="2484"/>
      <c r="L185" s="2485"/>
      <c r="M185" s="2484"/>
      <c r="N185" s="2484"/>
      <c r="O185" s="2485"/>
      <c r="P185" s="2484"/>
      <c r="Q185" s="2484"/>
      <c r="R185" s="2486"/>
    </row>
    <row r="186" spans="1:18">
      <c r="A186" s="799"/>
      <c r="B186" s="2484"/>
      <c r="C186" s="2484"/>
      <c r="E186" s="2484"/>
      <c r="F186" s="2484"/>
      <c r="G186" s="2485"/>
    </row>
    <row r="187" spans="1:18">
      <c r="A187" s="799"/>
      <c r="B187" s="2484"/>
      <c r="C187" s="2484"/>
      <c r="E187" s="2484"/>
      <c r="F187" s="2484"/>
      <c r="G187" s="2485"/>
    </row>
  </sheetData>
  <sheetProtection password="CEE9" sheet="1" objects="1" scenarios="1" formatCells="0" formatColumns="0" formatRows="0"/>
  <mergeCells count="1">
    <mergeCell ref="A1:G1"/>
  </mergeCells>
  <phoneticPr fontId="24" type="noConversion"/>
  <dataValidations count="1">
    <dataValidation type="list" allowBlank="1" showInputMessage="1" showErrorMessage="1" sqref="C23 G21">
      <formula1>临街状况</formula1>
    </dataValidation>
  </dataValidations>
  <pageMargins left="0.7" right="0.7" top="0.75" bottom="0.75" header="0.3" footer="0.3"/>
  <pageSetup paperSize="9" scale="73" fitToHeight="0" orientation="portrait" r:id="rId1"/>
  <legacyDrawing r:id="rId2"/>
</worksheet>
</file>

<file path=xl/worksheets/sheet1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FF0000"/>
  </sheetPr>
  <dimension ref="A1:K26"/>
  <sheetViews>
    <sheetView view="pageBreakPreview" zoomScale="80" zoomScaleNormal="80" zoomScaleSheetLayoutView="80" workbookViewId="0">
      <selection activeCell="M25" sqref="M25"/>
    </sheetView>
  </sheetViews>
  <sheetFormatPr defaultColWidth="9" defaultRowHeight="13.5"/>
  <cols>
    <col min="1" max="1" width="25" style="2506" customWidth="1"/>
    <col min="2" max="9" width="15.75" style="2506" customWidth="1"/>
    <col min="10" max="16384" width="9" style="2506"/>
  </cols>
  <sheetData>
    <row r="1" spans="1:11" ht="16.5">
      <c r="A1" s="2505" t="s">
        <v>665</v>
      </c>
      <c r="B1" s="2505">
        <f>SUM(B14:B23)</f>
        <v>17559.11</v>
      </c>
      <c r="C1" s="2660"/>
      <c r="D1" s="2660"/>
      <c r="E1" s="2660"/>
      <c r="F1" s="2660"/>
      <c r="G1" s="2661"/>
      <c r="H1" s="2662"/>
      <c r="I1" s="2662"/>
      <c r="J1" s="2662"/>
      <c r="K1" s="2662"/>
    </row>
    <row r="2" spans="1:11" ht="16.5">
      <c r="A2" s="2505" t="s">
        <v>653</v>
      </c>
      <c r="B2" s="2505">
        <f>SUM(C14:C23)</f>
        <v>15637.42</v>
      </c>
      <c r="C2" s="2660"/>
      <c r="D2" s="2660"/>
      <c r="E2" s="2660"/>
      <c r="F2" s="2660"/>
      <c r="G2" s="2661"/>
      <c r="H2" s="2662"/>
      <c r="I2" s="2662"/>
      <c r="J2" s="2662"/>
      <c r="K2" s="2662"/>
    </row>
    <row r="3" spans="1:11" ht="16.5">
      <c r="A3" s="2505" t="s">
        <v>662</v>
      </c>
      <c r="B3" s="2507">
        <f>项目基本情况!D3</f>
        <v>45400</v>
      </c>
      <c r="C3" s="2660"/>
      <c r="D3" s="2660"/>
      <c r="E3" s="2660"/>
      <c r="F3" s="2660"/>
      <c r="G3" s="2661"/>
      <c r="H3" s="2662"/>
      <c r="I3" s="2662"/>
      <c r="J3" s="2662"/>
      <c r="K3" s="2662"/>
    </row>
    <row r="4" spans="1:11" ht="33">
      <c r="A4" s="2505" t="s">
        <v>661</v>
      </c>
      <c r="B4" s="2505" t="s">
        <v>660</v>
      </c>
      <c r="C4" s="2505" t="s">
        <v>659</v>
      </c>
      <c r="D4" s="2505" t="s">
        <v>658</v>
      </c>
      <c r="E4" s="2660"/>
      <c r="F4" s="2661"/>
      <c r="G4" s="2661"/>
      <c r="H4" s="2662"/>
      <c r="I4" s="2662"/>
      <c r="J4" s="2662"/>
      <c r="K4" s="2662"/>
    </row>
    <row r="5" spans="1:11" ht="16.5">
      <c r="A5" s="2505" t="s">
        <v>657</v>
      </c>
      <c r="B5" s="2505">
        <f ca="1">SUM(D14:D23)</f>
        <v>18265</v>
      </c>
      <c r="C5" s="2505">
        <f ca="1">IF(B5=D14,结果表!H102,ROUND(B5*10000/$B$1,0))</f>
        <v>10402</v>
      </c>
      <c r="D5" s="2505">
        <f ca="1">ROUND(B5*10000/$B$2,0)</f>
        <v>11680</v>
      </c>
      <c r="E5" s="2660"/>
      <c r="F5" s="2661"/>
      <c r="G5" s="2661"/>
      <c r="H5" s="2662"/>
      <c r="I5" s="2662"/>
      <c r="J5" s="2662"/>
      <c r="K5" s="2662"/>
    </row>
    <row r="6" spans="1:11" ht="16.5">
      <c r="A6" s="2505" t="s">
        <v>656</v>
      </c>
      <c r="B6" s="2505">
        <f ca="1">SUM(G14:G23)</f>
        <v>18265</v>
      </c>
      <c r="C6" s="2505">
        <f ca="1">IF(B6=G14,结果表!H108,ROUND(B6*10000/$B$1,0))</f>
        <v>10402</v>
      </c>
      <c r="D6" s="2505">
        <f ca="1">ROUND(B6*10000/$B$2,0)</f>
        <v>11680</v>
      </c>
      <c r="E6" s="2660"/>
      <c r="F6" s="2661"/>
      <c r="G6" s="2661"/>
      <c r="H6" s="2662"/>
      <c r="I6" s="2662"/>
      <c r="J6" s="2662"/>
      <c r="K6" s="2662"/>
    </row>
    <row r="7" spans="1:11" ht="16.5">
      <c r="A7" s="2505" t="s">
        <v>664</v>
      </c>
      <c r="B7" s="2505">
        <f>SUM(H14:H23)</f>
        <v>0</v>
      </c>
      <c r="C7" s="2505" t="str">
        <f>IF(B7=H14,结果表!H110,ROUND(B7*10000/$B$1,0))</f>
        <v>——</v>
      </c>
      <c r="D7" s="2505">
        <f>ROUND(B7*10000/$B$2,0)</f>
        <v>0</v>
      </c>
      <c r="E7" s="2660"/>
      <c r="F7" s="2661"/>
      <c r="G7" s="2661"/>
      <c r="H7" s="2662"/>
      <c r="I7" s="2662"/>
      <c r="J7" s="2662"/>
      <c r="K7" s="2662"/>
    </row>
    <row r="8" spans="1:11" ht="16.5">
      <c r="A8" s="2505" t="s">
        <v>587</v>
      </c>
      <c r="B8" s="2505">
        <f ca="1">SUM(I14:I23)</f>
        <v>16429</v>
      </c>
      <c r="C8" s="2505">
        <f ca="1">IF(B8=I14,结果表!H112,ROUND(B8*10000/$B$1,0))</f>
        <v>9356</v>
      </c>
      <c r="D8" s="2505">
        <f ca="1">ROUND(B8*10000/$B$2,0)</f>
        <v>10506</v>
      </c>
      <c r="E8" s="2660"/>
      <c r="F8" s="2661"/>
      <c r="G8" s="2661"/>
      <c r="H8" s="2662"/>
      <c r="I8" s="2662"/>
      <c r="J8" s="2662"/>
      <c r="K8" s="2662"/>
    </row>
    <row r="9" spans="1:11" ht="16.5">
      <c r="A9" s="2505" t="s">
        <v>655</v>
      </c>
      <c r="B9" s="2513"/>
      <c r="C9" s="2660"/>
      <c r="D9" s="2660"/>
      <c r="E9" s="2660"/>
      <c r="F9" s="2661"/>
      <c r="G9" s="2661"/>
      <c r="H9" s="2662"/>
      <c r="I9" s="2662"/>
      <c r="J9" s="2662"/>
      <c r="K9" s="2662"/>
    </row>
    <row r="10" spans="1:11" ht="16.5">
      <c r="A10" s="2505" t="s">
        <v>654</v>
      </c>
      <c r="B10" s="2505">
        <f>IF(E10="",0,ROUND(B1*(E10*365/G10)/10000,0))</f>
        <v>0</v>
      </c>
      <c r="C10" s="2505" t="s">
        <v>3331</v>
      </c>
      <c r="D10" s="2505" t="s">
        <v>3332</v>
      </c>
      <c r="E10" s="3415"/>
      <c r="F10" s="3419" t="s">
        <v>3333</v>
      </c>
      <c r="G10" s="3416"/>
      <c r="H10" s="2662"/>
      <c r="I10" s="2662"/>
      <c r="J10" s="2662"/>
      <c r="K10" s="2662"/>
    </row>
    <row r="11" spans="1:11" ht="16.5">
      <c r="A11" s="2505" t="s">
        <v>670</v>
      </c>
      <c r="B11" s="2513"/>
      <c r="C11" s="2660"/>
      <c r="D11" s="2660"/>
      <c r="E11" s="2660"/>
      <c r="F11" s="2661"/>
      <c r="G11" s="2661"/>
      <c r="H11" s="2662"/>
      <c r="I11" s="2662"/>
      <c r="J11" s="2662"/>
      <c r="K11" s="2662"/>
    </row>
    <row r="12" spans="1:11" ht="16.5">
      <c r="A12" s="2660"/>
      <c r="B12" s="2660"/>
      <c r="C12" s="2660"/>
      <c r="D12" s="2660"/>
      <c r="E12" s="2660"/>
      <c r="F12" s="2661"/>
      <c r="G12" s="2661"/>
      <c r="H12" s="2662"/>
      <c r="I12" s="2662"/>
      <c r="J12" s="2662"/>
      <c r="K12" s="2662"/>
    </row>
    <row r="13" spans="1:11" ht="33">
      <c r="A13" s="2508" t="s">
        <v>669</v>
      </c>
      <c r="B13" s="2509" t="s">
        <v>666</v>
      </c>
      <c r="C13" s="2509" t="s">
        <v>668</v>
      </c>
      <c r="D13" s="2509" t="s">
        <v>667</v>
      </c>
      <c r="E13" s="2505" t="s">
        <v>659</v>
      </c>
      <c r="F13" s="2505" t="s">
        <v>658</v>
      </c>
      <c r="G13" s="2509" t="s">
        <v>652</v>
      </c>
      <c r="H13" s="2509" t="s">
        <v>663</v>
      </c>
      <c r="I13" s="2509" t="s">
        <v>651</v>
      </c>
      <c r="J13" s="2661"/>
      <c r="K13" s="2662"/>
    </row>
    <row r="14" spans="1:11" ht="16.5">
      <c r="A14" s="2510" t="s">
        <v>650</v>
      </c>
      <c r="B14" s="2511">
        <f>结果表!B118</f>
        <v>17559.11</v>
      </c>
      <c r="C14" s="2511">
        <f>结果表!C118</f>
        <v>15637.42</v>
      </c>
      <c r="D14" s="2511">
        <f ca="1">结果表!H101</f>
        <v>18265</v>
      </c>
      <c r="E14" s="2511">
        <f ca="1">ROUND(D14*10000/B14,0)</f>
        <v>10402</v>
      </c>
      <c r="F14" s="2511">
        <f ca="1">ROUND(D14*10000/C14,0)</f>
        <v>11680</v>
      </c>
      <c r="G14" s="2511">
        <f ca="1">结果表!H107</f>
        <v>18265</v>
      </c>
      <c r="H14" s="2511"/>
      <c r="I14" s="2511">
        <f ca="1">结果表!H111</f>
        <v>16429</v>
      </c>
      <c r="J14" s="2661"/>
      <c r="K14" s="2662"/>
    </row>
    <row r="15" spans="1:11" ht="16.5">
      <c r="A15" s="2510" t="s">
        <v>649</v>
      </c>
      <c r="B15" s="2512"/>
      <c r="C15" s="2512"/>
      <c r="D15" s="2512"/>
      <c r="E15" s="2511" t="e">
        <f t="shared" ref="E15:E23" si="0">ROUND(D15*10000/B15,0)</f>
        <v>#DIV/0!</v>
      </c>
      <c r="F15" s="2511" t="e">
        <f t="shared" ref="F15:F23" si="1">ROUND(D15*10000/C15,0)</f>
        <v>#DIV/0!</v>
      </c>
      <c r="G15" s="1330"/>
      <c r="H15" s="1330"/>
      <c r="I15" s="2512"/>
      <c r="J15" s="2661"/>
      <c r="K15" s="2662"/>
    </row>
    <row r="16" spans="1:11" ht="16.5">
      <c r="A16" s="2510" t="s">
        <v>648</v>
      </c>
      <c r="B16" s="2512"/>
      <c r="C16" s="2512"/>
      <c r="D16" s="2512"/>
      <c r="E16" s="2511" t="e">
        <f t="shared" si="0"/>
        <v>#DIV/0!</v>
      </c>
      <c r="F16" s="2511" t="e">
        <f t="shared" si="1"/>
        <v>#DIV/0!</v>
      </c>
      <c r="G16" s="1330"/>
      <c r="H16" s="1330"/>
      <c r="I16" s="2512"/>
      <c r="J16" s="2662"/>
      <c r="K16" s="2662"/>
    </row>
    <row r="17" spans="1:11" ht="16.5">
      <c r="A17" s="2510" t="s">
        <v>647</v>
      </c>
      <c r="B17" s="2512"/>
      <c r="C17" s="2512"/>
      <c r="D17" s="2512"/>
      <c r="E17" s="2511" t="e">
        <f t="shared" si="0"/>
        <v>#DIV/0!</v>
      </c>
      <c r="F17" s="2511" t="e">
        <f t="shared" si="1"/>
        <v>#DIV/0!</v>
      </c>
      <c r="G17" s="1330"/>
      <c r="H17" s="1330"/>
      <c r="I17" s="2512"/>
      <c r="J17" s="2662"/>
      <c r="K17" s="2662"/>
    </row>
    <row r="18" spans="1:11" ht="16.5">
      <c r="A18" s="2510" t="s">
        <v>646</v>
      </c>
      <c r="B18" s="2512"/>
      <c r="C18" s="2512"/>
      <c r="D18" s="2512"/>
      <c r="E18" s="2511" t="e">
        <f t="shared" si="0"/>
        <v>#DIV/0!</v>
      </c>
      <c r="F18" s="2511" t="e">
        <f t="shared" si="1"/>
        <v>#DIV/0!</v>
      </c>
      <c r="G18" s="2512"/>
      <c r="H18" s="2512"/>
      <c r="I18" s="2512"/>
      <c r="J18" s="2662"/>
      <c r="K18" s="2662"/>
    </row>
    <row r="19" spans="1:11" ht="16.5">
      <c r="A19" s="2510" t="s">
        <v>645</v>
      </c>
      <c r="B19" s="2512"/>
      <c r="C19" s="2512"/>
      <c r="D19" s="2512"/>
      <c r="E19" s="2511" t="e">
        <f t="shared" si="0"/>
        <v>#DIV/0!</v>
      </c>
      <c r="F19" s="2511" t="e">
        <f t="shared" si="1"/>
        <v>#DIV/0!</v>
      </c>
      <c r="G19" s="2512"/>
      <c r="H19" s="2512"/>
      <c r="I19" s="2512"/>
      <c r="J19" s="2662"/>
      <c r="K19" s="2662"/>
    </row>
    <row r="20" spans="1:11" ht="16.5">
      <c r="A20" s="2510" t="s">
        <v>644</v>
      </c>
      <c r="B20" s="2512"/>
      <c r="C20" s="2512"/>
      <c r="D20" s="2512"/>
      <c r="E20" s="2511" t="e">
        <f t="shared" si="0"/>
        <v>#DIV/0!</v>
      </c>
      <c r="F20" s="2511" t="e">
        <f t="shared" si="1"/>
        <v>#DIV/0!</v>
      </c>
      <c r="G20" s="2512"/>
      <c r="H20" s="2512"/>
      <c r="I20" s="2512"/>
      <c r="J20" s="2662"/>
      <c r="K20" s="2662"/>
    </row>
    <row r="21" spans="1:11" ht="16.5">
      <c r="A21" s="2510" t="s">
        <v>643</v>
      </c>
      <c r="B21" s="2512"/>
      <c r="C21" s="2512"/>
      <c r="D21" s="2512"/>
      <c r="E21" s="2511" t="e">
        <f t="shared" si="0"/>
        <v>#DIV/0!</v>
      </c>
      <c r="F21" s="2511" t="e">
        <f t="shared" si="1"/>
        <v>#DIV/0!</v>
      </c>
      <c r="G21" s="2512"/>
      <c r="H21" s="2512"/>
      <c r="I21" s="2512"/>
      <c r="J21" s="2662"/>
      <c r="K21" s="2662"/>
    </row>
    <row r="22" spans="1:11" ht="16.5">
      <c r="A22" s="2510" t="s">
        <v>642</v>
      </c>
      <c r="B22" s="2512"/>
      <c r="C22" s="2512"/>
      <c r="D22" s="2512"/>
      <c r="E22" s="2511" t="e">
        <f t="shared" si="0"/>
        <v>#DIV/0!</v>
      </c>
      <c r="F22" s="2511" t="e">
        <f t="shared" si="1"/>
        <v>#DIV/0!</v>
      </c>
      <c r="G22" s="2512"/>
      <c r="H22" s="2512"/>
      <c r="I22" s="2512"/>
      <c r="J22" s="2662"/>
      <c r="K22" s="2662"/>
    </row>
    <row r="23" spans="1:11" ht="16.5">
      <c r="A23" s="2510" t="s">
        <v>641</v>
      </c>
      <c r="B23" s="2512"/>
      <c r="C23" s="2512"/>
      <c r="D23" s="2512"/>
      <c r="E23" s="2513" t="e">
        <f t="shared" si="0"/>
        <v>#DIV/0!</v>
      </c>
      <c r="F23" s="2513" t="e">
        <f t="shared" si="1"/>
        <v>#DIV/0!</v>
      </c>
      <c r="G23" s="2512"/>
      <c r="H23" s="2512"/>
      <c r="I23" s="2512"/>
      <c r="J23" s="2662"/>
      <c r="K23" s="2662"/>
    </row>
    <row r="24" spans="1:11">
      <c r="A24" s="2662"/>
      <c r="B24" s="2662"/>
      <c r="C24" s="2662"/>
      <c r="D24" s="2662"/>
      <c r="E24" s="2662"/>
      <c r="F24" s="2662"/>
      <c r="G24" s="2662"/>
      <c r="H24" s="2662"/>
      <c r="I24" s="2662"/>
      <c r="J24" s="2662"/>
      <c r="K24" s="2662"/>
    </row>
    <row r="25" spans="1:11">
      <c r="A25" s="2662"/>
      <c r="B25" s="2662"/>
      <c r="C25" s="2662"/>
      <c r="D25" s="2662"/>
      <c r="E25" s="2662"/>
      <c r="F25" s="2662"/>
      <c r="G25" s="2662"/>
      <c r="H25" s="2662"/>
      <c r="I25" s="2662"/>
      <c r="J25" s="2662"/>
      <c r="K25" s="2662"/>
    </row>
    <row r="26" spans="1:11">
      <c r="A26" s="2662"/>
      <c r="B26" s="2662"/>
      <c r="C26" s="2662"/>
      <c r="D26" s="2662"/>
      <c r="E26" s="2662"/>
      <c r="F26" s="2662"/>
      <c r="G26" s="2662"/>
      <c r="H26" s="2662"/>
      <c r="I26" s="2662"/>
      <c r="J26" s="2662"/>
      <c r="K26" s="2662"/>
    </row>
  </sheetData>
  <sheetProtection password="CEE9" sheet="1" objects="1" scenarios="1" formatCells="0" formatColumns="0" formatRows="0"/>
  <phoneticPr fontId="133" type="noConversion"/>
  <pageMargins left="0.7" right="0.7" top="0.75" bottom="0.75" header="0.3" footer="0.3"/>
  <pageSetup paperSize="9" scale="83" orientation="landscape" r:id="rId1"/>
</worksheet>
</file>

<file path=xl/worksheets/sheet1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9">
    <tabColor rgb="FFFF0000"/>
  </sheetPr>
  <dimension ref="A1:AJ512"/>
  <sheetViews>
    <sheetView tabSelected="1" view="pageBreakPreview" zoomScale="90" zoomScaleNormal="100" zoomScaleSheetLayoutView="90" zoomScalePageLayoutView="80" workbookViewId="0">
      <selection activeCell="G30" sqref="G29:G30"/>
    </sheetView>
  </sheetViews>
  <sheetFormatPr defaultColWidth="12.625" defaultRowHeight="21.75" customHeight="1"/>
  <cols>
    <col min="1" max="2" width="12.625" style="1752"/>
    <col min="3" max="4" width="12.625" style="1752" customWidth="1"/>
    <col min="5" max="9" width="12.625" style="1752"/>
    <col min="10" max="11" width="12.625" style="725" customWidth="1"/>
    <col min="12" max="12" width="12.625" style="725"/>
    <col min="13" max="13" width="14.125" style="725" bestFit="1" customWidth="1"/>
    <col min="14" max="26" width="12.625" style="725"/>
    <col min="27" max="35" width="12.625" style="1751"/>
    <col min="36" max="16384" width="12.625" style="1752"/>
  </cols>
  <sheetData>
    <row r="1" spans="1:12" ht="21.75" customHeight="1" thickBot="1">
      <c r="A1" s="1636" t="s">
        <v>1260</v>
      </c>
      <c r="B1" s="1746"/>
      <c r="C1" s="1747" t="s">
        <v>3429</v>
      </c>
      <c r="D1" s="1746"/>
      <c r="E1" s="1746"/>
      <c r="F1" s="1748" t="s">
        <v>1261</v>
      </c>
      <c r="G1" s="1560" t="s">
        <v>3370</v>
      </c>
      <c r="H1" s="1749" t="str">
        <f>IF(G1="现房","——","估价对象范围")</f>
        <v>——</v>
      </c>
      <c r="I1" s="1750" t="s">
        <v>3629</v>
      </c>
    </row>
    <row r="2" spans="1:12" ht="21.75" customHeight="1" thickBot="1">
      <c r="A2" s="3613" t="str">
        <f>项目基本情况!S2</f>
        <v>北京市昌平区生命园路20号院1号楼-1至4层101房地产</v>
      </c>
      <c r="B2" s="3614"/>
      <c r="C2" s="3614"/>
      <c r="D2" s="3614"/>
      <c r="E2" s="3614"/>
      <c r="F2" s="3614"/>
      <c r="G2" s="3614"/>
      <c r="H2" s="3614"/>
      <c r="I2" s="3615"/>
    </row>
    <row r="3" spans="1:12" ht="12.75">
      <c r="A3" s="3617" t="s">
        <v>1262</v>
      </c>
      <c r="B3" s="3618"/>
      <c r="C3" s="3618"/>
      <c r="D3" s="3618"/>
      <c r="E3" s="3618"/>
      <c r="F3" s="3618"/>
      <c r="G3" s="3618"/>
      <c r="H3" s="3618"/>
      <c r="I3" s="3618"/>
    </row>
    <row r="4" spans="1:12" ht="14.25">
      <c r="A4" s="1753" t="s">
        <v>1263</v>
      </c>
      <c r="B4" s="1754" t="s">
        <v>1264</v>
      </c>
      <c r="C4" s="1755" t="s">
        <v>3628</v>
      </c>
      <c r="D4" s="1755" t="s">
        <v>3627</v>
      </c>
      <c r="E4" s="3619" t="s">
        <v>1265</v>
      </c>
      <c r="F4" s="3620"/>
      <c r="G4" s="3620"/>
      <c r="H4" s="3620"/>
      <c r="I4" s="3621"/>
      <c r="K4" s="146" t="str">
        <f>IF(ISNUMBER(FIND("比较法",结果表!C4)),"比较法",IF(ISNUMBER(FIND("成本法",结果表!C4)),"成本法",IF(ISNUMBER(FIND("假设开发法",结果表!C4)),"假设开发法",IF(ISNUMBER(FIND("收益法",结果表!C4)),"收益法","基准地价系数修正法"))))</f>
        <v>成本法</v>
      </c>
      <c r="L4" s="146" t="str">
        <f>IF(ISNUMBER(FIND("比较法",结果表!D4)),"比较法",IF(ISNUMBER(FIND("成本法",结果表!D4)),"成本法",IF(ISNUMBER(FIND("假设开发法",结果表!D4)),"假设开发法",IF(ISNUMBER(FIND("收益法",结果表!D4)),"收益法","基准地价系数修正法"))))</f>
        <v>收益法</v>
      </c>
    </row>
    <row r="5" spans="1:12" ht="12.75">
      <c r="A5" s="3593" t="s">
        <v>1266</v>
      </c>
      <c r="B5" s="3580">
        <v>25</v>
      </c>
      <c r="C5" s="3596"/>
      <c r="D5" s="3616"/>
      <c r="E5" s="131" t="s">
        <v>1267</v>
      </c>
      <c r="F5" s="1756"/>
      <c r="G5" s="1756"/>
      <c r="H5" s="1756"/>
      <c r="I5" s="1372"/>
    </row>
    <row r="6" spans="1:12" ht="12.75">
      <c r="A6" s="3593"/>
      <c r="B6" s="3580"/>
      <c r="C6" s="3597"/>
      <c r="D6" s="3616"/>
      <c r="E6" s="131" t="s">
        <v>1268</v>
      </c>
      <c r="F6" s="1756"/>
      <c r="G6" s="1756"/>
      <c r="H6" s="1756"/>
      <c r="I6" s="1372"/>
    </row>
    <row r="7" spans="1:12" ht="12.75">
      <c r="A7" s="3593"/>
      <c r="B7" s="3580"/>
      <c r="C7" s="3598"/>
      <c r="D7" s="3616"/>
      <c r="E7" s="131" t="s">
        <v>1269</v>
      </c>
      <c r="F7" s="1756"/>
      <c r="G7" s="1756"/>
      <c r="H7" s="1756"/>
      <c r="I7" s="1372"/>
    </row>
    <row r="8" spans="1:12" ht="12.75">
      <c r="A8" s="3593" t="s">
        <v>1270</v>
      </c>
      <c r="B8" s="3580">
        <v>15</v>
      </c>
      <c r="C8" s="3596"/>
      <c r="D8" s="3616"/>
      <c r="E8" s="131" t="s">
        <v>1271</v>
      </c>
      <c r="F8" s="1756"/>
      <c r="G8" s="1756"/>
      <c r="H8" s="1756"/>
      <c r="I8" s="1372"/>
    </row>
    <row r="9" spans="1:12" ht="12.75">
      <c r="A9" s="3593"/>
      <c r="B9" s="3580"/>
      <c r="C9" s="3598"/>
      <c r="D9" s="3616"/>
      <c r="E9" s="131" t="s">
        <v>1272</v>
      </c>
      <c r="F9" s="1756"/>
      <c r="G9" s="1756"/>
      <c r="H9" s="1756"/>
      <c r="I9" s="1372"/>
    </row>
    <row r="10" spans="1:12" ht="12.75">
      <c r="A10" s="3593" t="s">
        <v>1273</v>
      </c>
      <c r="B10" s="3580">
        <v>15</v>
      </c>
      <c r="C10" s="3596"/>
      <c r="D10" s="3616"/>
      <c r="E10" s="131" t="s">
        <v>1274</v>
      </c>
      <c r="F10" s="1756"/>
      <c r="G10" s="1756"/>
      <c r="H10" s="1756"/>
      <c r="I10" s="1372"/>
    </row>
    <row r="11" spans="1:12" ht="12.75">
      <c r="A11" s="3593"/>
      <c r="B11" s="3580"/>
      <c r="C11" s="3598"/>
      <c r="D11" s="3616"/>
      <c r="E11" s="131" t="s">
        <v>1275</v>
      </c>
      <c r="F11" s="1756"/>
      <c r="G11" s="1756"/>
      <c r="H11" s="1756"/>
      <c r="I11" s="1372"/>
    </row>
    <row r="12" spans="1:12" ht="12.75">
      <c r="A12" s="3593" t="s">
        <v>1276</v>
      </c>
      <c r="B12" s="3580">
        <v>15</v>
      </c>
      <c r="C12" s="3596"/>
      <c r="D12" s="3616"/>
      <c r="E12" s="131" t="s">
        <v>1277</v>
      </c>
      <c r="F12" s="1756"/>
      <c r="G12" s="1756"/>
      <c r="H12" s="1756"/>
      <c r="I12" s="1372"/>
    </row>
    <row r="13" spans="1:12" ht="12.75">
      <c r="A13" s="3593"/>
      <c r="B13" s="3580"/>
      <c r="C13" s="3598"/>
      <c r="D13" s="3616"/>
      <c r="E13" s="131" t="s">
        <v>1278</v>
      </c>
      <c r="F13" s="1756"/>
      <c r="G13" s="1756"/>
      <c r="H13" s="1756"/>
      <c r="I13" s="1372"/>
    </row>
    <row r="14" spans="1:12" ht="12.75">
      <c r="A14" s="3593" t="s">
        <v>1279</v>
      </c>
      <c r="B14" s="3580">
        <v>30</v>
      </c>
      <c r="C14" s="3596">
        <v>5</v>
      </c>
      <c r="D14" s="3616">
        <v>5</v>
      </c>
      <c r="E14" s="131" t="s">
        <v>1280</v>
      </c>
      <c r="F14" s="1756"/>
      <c r="G14" s="1756"/>
      <c r="H14" s="1756"/>
      <c r="I14" s="1372"/>
    </row>
    <row r="15" spans="1:12" ht="12.75">
      <c r="A15" s="3593"/>
      <c r="B15" s="3580"/>
      <c r="C15" s="3597"/>
      <c r="D15" s="3616"/>
      <c r="E15" s="131" t="s">
        <v>1281</v>
      </c>
      <c r="F15" s="1756"/>
      <c r="G15" s="1756"/>
      <c r="H15" s="1756"/>
      <c r="I15" s="1372"/>
    </row>
    <row r="16" spans="1:12" ht="12.75">
      <c r="A16" s="3593"/>
      <c r="B16" s="3580"/>
      <c r="C16" s="3598"/>
      <c r="D16" s="3616"/>
      <c r="E16" s="131" t="s">
        <v>1282</v>
      </c>
      <c r="F16" s="1756"/>
      <c r="G16" s="1756"/>
      <c r="H16" s="1756"/>
      <c r="I16" s="1372"/>
    </row>
    <row r="17" spans="1:36" ht="15">
      <c r="A17" s="1757" t="s">
        <v>1283</v>
      </c>
      <c r="B17" s="56"/>
      <c r="C17" s="132">
        <f>SUM(C5:C16)</f>
        <v>5</v>
      </c>
      <c r="D17" s="132">
        <f>SUM(D5:D16)</f>
        <v>5</v>
      </c>
      <c r="E17" s="129"/>
      <c r="F17" s="129"/>
      <c r="G17" s="129"/>
      <c r="H17" s="129"/>
      <c r="I17" s="129"/>
      <c r="K17" s="302"/>
      <c r="L17" s="302" t="s">
        <v>1284</v>
      </c>
      <c r="M17" s="302" t="s">
        <v>1285</v>
      </c>
    </row>
    <row r="18" spans="1:36" ht="31.9" customHeight="1" thickBot="1">
      <c r="A18" s="1758" t="s">
        <v>1286</v>
      </c>
      <c r="B18" s="1759"/>
      <c r="C18" s="133">
        <f>ROUND(C17/SUM(C17:D17),2)</f>
        <v>0.5</v>
      </c>
      <c r="D18" s="133">
        <f>1-C18</f>
        <v>0.5</v>
      </c>
      <c r="E18" s="3603" t="s">
        <v>2112</v>
      </c>
      <c r="F18" s="3604"/>
      <c r="G18" s="3604"/>
      <c r="H18" s="3604"/>
      <c r="I18" s="3604"/>
      <c r="J18" s="3471" t="s">
        <v>3652</v>
      </c>
      <c r="K18" s="302" t="s">
        <v>1287</v>
      </c>
      <c r="L18" s="302">
        <f>IF(C1="",'数据-汇总表'!E3,SUMIF(项目类型,C1,'数据-汇总表'!E17:E26)+SUMIF(项目类型,C1,'数据-汇总表'!I17:I26))</f>
        <v>17559.11</v>
      </c>
      <c r="M18" s="302">
        <f>IF(C1="",'数据-汇总表'!E3,SUMIF(项目类型,C1,'数据-汇总表'!E17:E26))</f>
        <v>17559.11</v>
      </c>
    </row>
    <row r="19" spans="1:36" ht="15">
      <c r="A19" s="1760" t="s">
        <v>1288</v>
      </c>
      <c r="B19" s="1761" t="s">
        <v>1289</v>
      </c>
      <c r="C19" s="134">
        <f ca="1">SUMIF(INDIRECT("'"&amp;C4&amp;"'"&amp;"!A:A"),结果表!B19,INDIRECT("'"&amp;C4&amp;"'"&amp;"!B:B"))</f>
        <v>16805</v>
      </c>
      <c r="D19" s="135">
        <f ca="1">SUMIF(INDIRECT("'"&amp;D4&amp;"'"&amp;"!A:A"),结果表!B19,INDIRECT("'"&amp;D4&amp;"'"&amp;"!B:B"))</f>
        <v>19725</v>
      </c>
      <c r="E19" s="1760" t="s">
        <v>1290</v>
      </c>
      <c r="F19" s="1761" t="s">
        <v>1289</v>
      </c>
      <c r="G19" s="136">
        <f ca="1">ROUND(C19*$C$18+D19*$D$18,0)</f>
        <v>18265</v>
      </c>
      <c r="H19" s="1762" t="s">
        <v>1291</v>
      </c>
      <c r="I19" s="129"/>
      <c r="J19" s="728">
        <f>指标!J39</f>
        <v>31452</v>
      </c>
      <c r="K19" s="302" t="s">
        <v>1292</v>
      </c>
      <c r="L19" s="302">
        <f>IF(C1="",'数据-汇总表'!D3,SUMIF(项目类型,C1,'数据-汇总表'!D17:D26)+SUMIF(项目类型,C1,'数据-汇总表'!H17:H27))</f>
        <v>15637.42</v>
      </c>
      <c r="M19" s="302">
        <f>IF(C1="",'数据-汇总表'!D3,SUMIF(项目类型,C1,'数据-汇总表'!D17:D26))</f>
        <v>15637.42</v>
      </c>
    </row>
    <row r="20" spans="1:36" ht="15">
      <c r="A20" s="1763"/>
      <c r="B20" s="1026" t="s">
        <v>1293</v>
      </c>
      <c r="C20" s="137">
        <f ca="1">SUMIF(INDIRECT("'"&amp;C4&amp;"'"&amp;"!A:A"),结果表!B20,INDIRECT("'"&amp;C4&amp;"'"&amp;"!B:B"))</f>
        <v>9571</v>
      </c>
      <c r="D20" s="138">
        <f ca="1">SUMIF(INDIRECT("'"&amp;D4&amp;"'"&amp;"!A:A"),结果表!B20,INDIRECT("'"&amp;D4&amp;"'"&amp;"!B:B"))</f>
        <v>11233</v>
      </c>
      <c r="E20" s="1763"/>
      <c r="F20" s="1026" t="s">
        <v>1293</v>
      </c>
      <c r="G20" s="139">
        <f ca="1">ROUND(C20*$C$18+D20*$D$18,0)</f>
        <v>10402</v>
      </c>
      <c r="H20" s="808" t="s">
        <v>1294</v>
      </c>
      <c r="I20" s="129"/>
      <c r="J20" s="728">
        <f>指标!I39</f>
        <v>17912</v>
      </c>
    </row>
    <row r="21" spans="1:36" ht="15" customHeight="1" thickBot="1">
      <c r="A21" s="828"/>
      <c r="B21" s="1764" t="s">
        <v>1295</v>
      </c>
      <c r="C21" s="719">
        <f ca="1">ROUND(C19*10000/L19,0)</f>
        <v>10747</v>
      </c>
      <c r="D21" s="720">
        <f ca="1">ROUND(D19*10000/L19,0)</f>
        <v>12614</v>
      </c>
      <c r="E21" s="828"/>
      <c r="F21" s="1764" t="s">
        <v>1295</v>
      </c>
      <c r="G21" s="140">
        <f ca="1">ROUND(G19*10000/L19,0)</f>
        <v>11680</v>
      </c>
      <c r="H21" s="1765" t="s">
        <v>1294</v>
      </c>
      <c r="I21" s="129"/>
      <c r="J21" s="728">
        <f>指标!K39</f>
        <v>29788.880000000001</v>
      </c>
    </row>
    <row r="22" spans="1:36" ht="15" thickBot="1">
      <c r="A22" s="1687" t="s">
        <v>1296</v>
      </c>
      <c r="B22" s="1766"/>
      <c r="C22" s="1767"/>
      <c r="D22" s="721">
        <f ca="1">IF(C19&lt;D19,D19/C19-1,C19/D19-1)</f>
        <v>0.17375781017554304</v>
      </c>
      <c r="E22" s="129"/>
      <c r="F22" s="129"/>
      <c r="G22" s="129"/>
      <c r="H22" s="129"/>
      <c r="I22" s="129"/>
      <c r="J22" s="725">
        <f ca="1">(J19-G19)/J19</f>
        <v>0.41927381406587816</v>
      </c>
      <c r="L22" s="3472" t="s">
        <v>3661</v>
      </c>
      <c r="M22" s="3472" t="s">
        <v>3663</v>
      </c>
      <c r="N22" s="3472" t="s">
        <v>3664</v>
      </c>
      <c r="O22" s="3472" t="s">
        <v>3665</v>
      </c>
    </row>
    <row r="23" spans="1:36" ht="13.5" thickBot="1">
      <c r="A23" s="1746"/>
      <c r="B23" s="1746"/>
      <c r="C23" s="1746"/>
      <c r="D23" s="1746"/>
      <c r="E23" s="129"/>
      <c r="F23" s="129"/>
      <c r="G23" s="129"/>
      <c r="H23" s="129"/>
      <c r="I23" s="129"/>
      <c r="L23" s="2517" t="s">
        <v>3662</v>
      </c>
      <c r="M23" s="2517">
        <v>24883</v>
      </c>
      <c r="N23" s="2517">
        <v>19390</v>
      </c>
      <c r="O23" s="2517">
        <v>17441</v>
      </c>
    </row>
    <row r="24" spans="1:36" ht="14.25">
      <c r="A24" s="3587" t="s">
        <v>1297</v>
      </c>
      <c r="B24" s="1761" t="s">
        <v>1289</v>
      </c>
      <c r="C24" s="136">
        <f>IF(B30=0,0,D30)</f>
        <v>0</v>
      </c>
      <c r="D24" s="1768"/>
      <c r="E24" s="129"/>
      <c r="F24" s="129"/>
      <c r="G24" s="129"/>
      <c r="H24" s="129"/>
      <c r="I24" s="129"/>
      <c r="L24" s="2517"/>
      <c r="M24" s="2517"/>
      <c r="N24" s="2517"/>
      <c r="O24" s="2517"/>
    </row>
    <row r="25" spans="1:36" ht="14.25">
      <c r="A25" s="3588"/>
      <c r="B25" s="1026" t="s">
        <v>1293</v>
      </c>
      <c r="C25" s="141">
        <f>IF(B30=0,0,C30)</f>
        <v>0</v>
      </c>
      <c r="D25" s="1769"/>
      <c r="E25" s="129"/>
      <c r="F25" s="129"/>
      <c r="G25" s="129"/>
      <c r="H25" s="129"/>
      <c r="I25" s="129"/>
      <c r="L25" s="2517"/>
      <c r="M25" s="2517"/>
      <c r="N25" s="2517"/>
      <c r="O25" s="2517"/>
    </row>
    <row r="26" spans="1:36" ht="13.5" customHeight="1">
      <c r="A26" s="1770" t="s">
        <v>1298</v>
      </c>
      <c r="B26" s="142" t="s">
        <v>1299</v>
      </c>
      <c r="C26" s="142" t="s">
        <v>1300</v>
      </c>
      <c r="D26" s="143" t="s">
        <v>1301</v>
      </c>
      <c r="E26" s="129"/>
      <c r="F26" s="129"/>
      <c r="G26" s="129"/>
      <c r="H26" s="129"/>
      <c r="I26" s="129"/>
      <c r="L26" s="2517"/>
      <c r="M26" s="2517"/>
      <c r="N26" s="2517"/>
      <c r="O26" s="2517"/>
    </row>
    <row r="27" spans="1:36" ht="14.25">
      <c r="A27" s="1770"/>
      <c r="B27" s="142">
        <v>0</v>
      </c>
      <c r="C27" s="142">
        <v>0</v>
      </c>
      <c r="D27" s="143">
        <f>ROUND(C27*B27/10000,0)</f>
        <v>0</v>
      </c>
      <c r="E27" s="129"/>
      <c r="F27" s="129"/>
      <c r="G27" s="129"/>
      <c r="H27" s="129"/>
      <c r="I27" s="129"/>
      <c r="L27" s="2517"/>
      <c r="M27" s="2517"/>
      <c r="N27" s="2517"/>
      <c r="O27" s="2517"/>
    </row>
    <row r="28" spans="1:36" ht="14.25">
      <c r="A28" s="1770"/>
      <c r="B28" s="142"/>
      <c r="C28" s="142"/>
      <c r="D28" s="143"/>
      <c r="E28" s="129"/>
      <c r="F28" s="129"/>
      <c r="G28" s="129"/>
      <c r="H28" s="129"/>
      <c r="I28" s="129"/>
      <c r="L28" s="2517"/>
      <c r="M28" s="2517"/>
      <c r="N28" s="2517"/>
      <c r="O28" s="2517"/>
    </row>
    <row r="29" spans="1:36" ht="14.25">
      <c r="A29" s="1770"/>
      <c r="B29" s="142"/>
      <c r="C29" s="142"/>
      <c r="D29" s="143"/>
      <c r="E29" s="129"/>
      <c r="F29" s="129"/>
      <c r="G29" s="129"/>
      <c r="H29" s="129"/>
      <c r="I29" s="129"/>
      <c r="L29" s="2517"/>
      <c r="M29" s="2517"/>
      <c r="N29" s="2517"/>
      <c r="O29" s="2517"/>
    </row>
    <row r="30" spans="1:36" ht="15" thickBot="1">
      <c r="A30" s="142" t="s">
        <v>1302</v>
      </c>
      <c r="B30" s="142"/>
      <c r="C30" s="142"/>
      <c r="D30" s="142"/>
      <c r="E30" s="2302" t="s">
        <v>2113</v>
      </c>
      <c r="F30" s="129"/>
      <c r="G30" s="129"/>
      <c r="H30" s="129"/>
      <c r="I30" s="129"/>
      <c r="L30" s="2517"/>
      <c r="M30" s="2517"/>
      <c r="N30" s="2517"/>
      <c r="O30" s="2517"/>
    </row>
    <row r="31" spans="1:36" s="2308" customFormat="1" ht="26.45" customHeight="1" thickTop="1" thickBot="1">
      <c r="A31" s="2303"/>
      <c r="B31" s="2304"/>
      <c r="C31" s="2304"/>
      <c r="D31" s="2304"/>
      <c r="E31" s="2304"/>
      <c r="F31" s="2304"/>
      <c r="G31" s="2304"/>
      <c r="H31" s="2304"/>
      <c r="I31" s="2305" t="s">
        <v>2114</v>
      </c>
      <c r="J31" s="2663"/>
      <c r="K31" s="2306"/>
      <c r="L31" s="3473"/>
      <c r="M31" s="3473"/>
      <c r="N31" s="3473"/>
      <c r="O31" s="3473"/>
      <c r="P31" s="2306"/>
      <c r="Q31" s="2306"/>
      <c r="R31" s="2306"/>
      <c r="S31" s="2306"/>
      <c r="T31" s="2306"/>
      <c r="U31" s="2306"/>
      <c r="V31" s="2306"/>
      <c r="W31" s="2306"/>
      <c r="X31" s="2306"/>
      <c r="Y31" s="2306"/>
      <c r="Z31" s="2306"/>
      <c r="AA31" s="2306"/>
      <c r="AB31" s="2307"/>
      <c r="AC31" s="2307"/>
      <c r="AD31" s="2307"/>
      <c r="AE31" s="2307"/>
      <c r="AF31" s="2307"/>
      <c r="AG31" s="2307"/>
      <c r="AH31" s="2307"/>
      <c r="AI31" s="2307"/>
      <c r="AJ31" s="2307"/>
    </row>
    <row r="32" spans="1:36" ht="16.5" thickTop="1" thickBot="1">
      <c r="A32" s="1772" t="s">
        <v>1303</v>
      </c>
      <c r="B32" s="1773"/>
      <c r="C32" s="144">
        <f ca="1">IF(D32="总价",G19-C24,G20-C25)</f>
        <v>18265</v>
      </c>
      <c r="D32" s="1774" t="s">
        <v>3630</v>
      </c>
      <c r="E32" s="129"/>
      <c r="F32" s="129"/>
      <c r="G32" s="129"/>
      <c r="H32" s="129"/>
      <c r="I32" s="129"/>
      <c r="L32" s="2517"/>
      <c r="M32" s="2517"/>
      <c r="N32" s="2517"/>
      <c r="O32" s="2517"/>
    </row>
    <row r="33" spans="1:15" ht="15">
      <c r="A33" s="786" t="s">
        <v>1304</v>
      </c>
      <c r="B33" s="1775"/>
      <c r="C33" s="1776" t="s">
        <v>3631</v>
      </c>
      <c r="D33" s="1777" t="s">
        <v>3628</v>
      </c>
      <c r="E33" s="1778" t="s">
        <v>1305</v>
      </c>
      <c r="F33" s="1779" t="str">
        <f>IF(D32="楼面单价","取值（单价）","取值（总价）")</f>
        <v>取值（总价）</v>
      </c>
      <c r="G33" s="129"/>
      <c r="H33" s="129"/>
      <c r="I33" s="129"/>
      <c r="L33" s="2517"/>
      <c r="M33" s="2517"/>
      <c r="N33" s="2517"/>
      <c r="O33" s="2517"/>
    </row>
    <row r="34" spans="1:15" ht="15">
      <c r="A34" s="1780"/>
      <c r="B34" s="1781" t="s">
        <v>1306</v>
      </c>
      <c r="C34" s="148">
        <f ca="1">IF(C33="自定义",F34,C32-C35)</f>
        <v>3836</v>
      </c>
      <c r="D34" s="861">
        <f ca="1">IF(C33="自定义",ROUND(C34/C32,3),IF(C33="收益比率",SUMIF(INDIRECT("'"&amp;D33&amp;"'"&amp;"!b:b"),"土地收益比率",INDIRECT("'"&amp;D33&amp;"'"&amp;"!c:c")),SUMIF(INDIRECT("'"&amp;D33&amp;"'"&amp;"!b:b"),"土地成本比率",INDIRECT("'"&amp;D33&amp;"'"&amp;"!c:c"))))</f>
        <v>0.20999999999999996</v>
      </c>
      <c r="E34" s="1782" t="s">
        <v>1307</v>
      </c>
      <c r="F34" s="1329"/>
      <c r="G34" s="129"/>
      <c r="H34" s="129"/>
      <c r="I34" s="129"/>
      <c r="L34" s="2517"/>
      <c r="M34" s="2517"/>
      <c r="N34" s="2517"/>
      <c r="O34" s="2517"/>
    </row>
    <row r="35" spans="1:15" ht="15.75" thickBot="1">
      <c r="A35" s="1783"/>
      <c r="B35" s="1784" t="s">
        <v>1308</v>
      </c>
      <c r="C35" s="1170">
        <f ca="1">IF(C33="自定义",F35,ROUND(C32*D35,0))</f>
        <v>14429</v>
      </c>
      <c r="D35" s="1171">
        <f ca="1">IF(C33="自定义",ROUND(C35/C32,3),IF(C33="收益比率",SUMIF(INDIRECT("'"&amp;D33&amp;"'"&amp;"!b:b"),"建筑物收益比率",INDIRECT("'"&amp;D33&amp;"'"&amp;"!c:c")),SUMIF(INDIRECT("'"&amp;D33&amp;"'"&amp;"!b:b"),"建筑物成本比率",INDIRECT("'"&amp;D33&amp;"'"&amp;"!c:c"))))</f>
        <v>0.79</v>
      </c>
      <c r="E35" s="1785" t="s">
        <v>1309</v>
      </c>
      <c r="F35" s="154"/>
      <c r="G35" s="129"/>
      <c r="H35" s="129"/>
      <c r="I35" s="129"/>
      <c r="L35" s="2517"/>
      <c r="M35" s="2517"/>
      <c r="N35" s="2517"/>
      <c r="O35" s="2517"/>
    </row>
    <row r="36" spans="1:15" ht="15.75" thickBot="1">
      <c r="A36" s="3607" t="s">
        <v>1310</v>
      </c>
      <c r="B36" s="1786" t="s">
        <v>1311</v>
      </c>
      <c r="C36" s="145"/>
      <c r="D36" s="1787"/>
      <c r="E36" s="1788"/>
      <c r="F36" s="1789"/>
      <c r="G36" s="129"/>
      <c r="H36" s="129"/>
      <c r="I36" s="129"/>
    </row>
    <row r="37" spans="1:15" ht="15.75" thickBot="1">
      <c r="A37" s="3608"/>
      <c r="B37" s="1673" t="s">
        <v>1312</v>
      </c>
      <c r="C37" s="147"/>
      <c r="D37" s="1139"/>
      <c r="E37" s="1139"/>
      <c r="F37" s="1789"/>
      <c r="G37" s="129"/>
      <c r="H37" s="129"/>
      <c r="I37" s="129"/>
    </row>
    <row r="38" spans="1:15" ht="15.75" thickBot="1">
      <c r="A38" s="3609"/>
      <c r="B38" s="1790" t="s">
        <v>1313</v>
      </c>
      <c r="C38" s="674"/>
      <c r="D38" s="1791" t="s">
        <v>1314</v>
      </c>
      <c r="E38" s="1139"/>
      <c r="F38" s="1789"/>
      <c r="G38" s="129"/>
      <c r="H38" s="129"/>
      <c r="I38" s="129"/>
    </row>
    <row r="39" spans="1:15" ht="15">
      <c r="A39" s="1763" t="s">
        <v>1315</v>
      </c>
      <c r="B39" s="1792" t="s">
        <v>1316</v>
      </c>
      <c r="C39" s="1793" t="s">
        <v>1317</v>
      </c>
      <c r="D39" s="1793" t="s">
        <v>1318</v>
      </c>
      <c r="E39" s="1794" t="s">
        <v>1319</v>
      </c>
      <c r="F39" s="1789"/>
      <c r="G39" s="129"/>
      <c r="H39" s="129"/>
      <c r="I39" s="129"/>
    </row>
    <row r="40" spans="1:15" ht="14.25">
      <c r="A40" s="1795" t="s">
        <v>1320</v>
      </c>
      <c r="B40" s="149"/>
      <c r="C40" s="150"/>
      <c r="D40" s="150"/>
      <c r="E40" s="151"/>
      <c r="F40" s="1789"/>
      <c r="G40" s="129"/>
      <c r="H40" s="129"/>
      <c r="I40" s="129"/>
    </row>
    <row r="41" spans="1:15" ht="14.25">
      <c r="A41" s="1795" t="s">
        <v>1321</v>
      </c>
      <c r="B41" s="149"/>
      <c r="C41" s="150"/>
      <c r="D41" s="150"/>
      <c r="E41" s="151"/>
      <c r="F41" s="1789"/>
      <c r="G41" s="129"/>
      <c r="H41" s="129"/>
      <c r="I41" s="129"/>
    </row>
    <row r="42" spans="1:15" ht="15" thickBot="1">
      <c r="A42" s="1796"/>
      <c r="B42" s="152"/>
      <c r="C42" s="153"/>
      <c r="D42" s="153"/>
      <c r="E42" s="154"/>
      <c r="F42" s="1789"/>
      <c r="G42" s="129"/>
      <c r="H42" s="129"/>
      <c r="I42" s="129"/>
    </row>
    <row r="43" spans="1:15" ht="12.75">
      <c r="A43" s="1576"/>
      <c r="B43" s="1576"/>
      <c r="C43" s="1576"/>
      <c r="D43" s="1576"/>
      <c r="E43" s="1576"/>
      <c r="F43" s="1797"/>
      <c r="G43" s="1797"/>
      <c r="H43" s="1797"/>
      <c r="I43" s="1798"/>
    </row>
    <row r="44" spans="1:15" ht="18.75">
      <c r="A44" s="1799" t="s">
        <v>1322</v>
      </c>
      <c r="B44" s="1800"/>
      <c r="C44" s="1800"/>
      <c r="D44" s="1801"/>
      <c r="E44" s="1801"/>
      <c r="F44" s="1802"/>
      <c r="G44" s="1802"/>
      <c r="H44" s="1802"/>
      <c r="I44" s="1802"/>
      <c r="J44" s="1803" t="s">
        <v>1323</v>
      </c>
      <c r="K44" s="1804"/>
      <c r="L44" s="1804"/>
      <c r="M44" s="1804"/>
      <c r="N44" s="1804"/>
      <c r="O44" s="1804"/>
    </row>
    <row r="45" spans="1:15" ht="14.25" customHeight="1" thickBot="1">
      <c r="A45" s="3584" t="s">
        <v>1324</v>
      </c>
      <c r="B45" s="3585"/>
      <c r="C45" s="3586"/>
      <c r="D45" s="155">
        <f ca="1">ROUND(H101*F45,0)</f>
        <v>18265</v>
      </c>
      <c r="E45" s="156" t="s">
        <v>1325</v>
      </c>
      <c r="F45" s="157">
        <v>1</v>
      </c>
      <c r="G45" s="158" t="s">
        <v>1326</v>
      </c>
      <c r="H45" s="129"/>
      <c r="I45" s="129"/>
      <c r="J45" s="3662" t="s">
        <v>1327</v>
      </c>
      <c r="K45" s="3662"/>
      <c r="L45" s="3662"/>
      <c r="M45" s="3662"/>
      <c r="N45" s="3662"/>
      <c r="O45" s="3662"/>
    </row>
    <row r="46" spans="1:15" ht="14.25" customHeight="1">
      <c r="A46" s="3581" t="s">
        <v>1328</v>
      </c>
      <c r="B46" s="3582"/>
      <c r="C46" s="3582"/>
      <c r="D46" s="3582"/>
      <c r="E46" s="3582"/>
      <c r="F46" s="3582"/>
      <c r="G46" s="3583"/>
      <c r="H46" s="1805"/>
      <c r="I46" s="159"/>
      <c r="J46" s="2516">
        <v>1</v>
      </c>
      <c r="K46" s="3663" t="s">
        <v>1329</v>
      </c>
      <c r="L46" s="3663"/>
      <c r="M46" s="3664"/>
      <c r="N46" s="3664"/>
      <c r="O46" s="3664"/>
    </row>
    <row r="47" spans="1:15" ht="12" customHeight="1">
      <c r="A47" s="160" t="s">
        <v>1330</v>
      </c>
      <c r="B47" s="161"/>
      <c r="C47" s="162"/>
      <c r="D47" s="1087" t="s">
        <v>1331</v>
      </c>
      <c r="E47" s="302" t="s">
        <v>1332</v>
      </c>
      <c r="F47" s="163" t="s">
        <v>1333</v>
      </c>
      <c r="G47" s="2520" t="s">
        <v>1334</v>
      </c>
      <c r="H47" s="2521"/>
      <c r="I47" s="159"/>
      <c r="J47" s="170">
        <v>2</v>
      </c>
      <c r="K47" s="3643" t="s">
        <v>3636</v>
      </c>
      <c r="L47" s="3643"/>
      <c r="M47" s="3665">
        <f>'数据-取费表'!B2</f>
        <v>45400</v>
      </c>
      <c r="N47" s="3665"/>
      <c r="O47" s="3665"/>
    </row>
    <row r="48" spans="1:15" ht="25.5">
      <c r="A48" s="3612" t="s">
        <v>1335</v>
      </c>
      <c r="B48" s="3595"/>
      <c r="C48" s="3595"/>
      <c r="D48" s="2323">
        <f ca="1">IF(H48="情况1",0,IF(H48="情况2",D52,IF(H48="情况3",D53,IF(H48="情况4",D54))))</f>
        <v>957</v>
      </c>
      <c r="E48" s="2333" t="str">
        <f>IF(H48="情况4","(销售额-原购置价)×税（费）率","销售额×税（费）率")</f>
        <v>(销售额-原购置价)×税（费）率</v>
      </c>
      <c r="F48" s="2522">
        <f>IF(H48="情况1","免征",'数据-取费表'!B41)</f>
        <v>5.5000000000000007E-2</v>
      </c>
      <c r="G48" s="2523" t="s">
        <v>1336</v>
      </c>
      <c r="H48" s="2524" t="s">
        <v>3632</v>
      </c>
      <c r="I48" s="1805"/>
      <c r="J48" s="170">
        <v>3</v>
      </c>
      <c r="K48" s="3643" t="s">
        <v>3644</v>
      </c>
      <c r="L48" s="3643"/>
      <c r="M48" s="3666">
        <f ca="1">H101</f>
        <v>18265</v>
      </c>
      <c r="N48" s="3666"/>
      <c r="O48" s="3666"/>
    </row>
    <row r="49" spans="1:35" ht="25.5" customHeight="1">
      <c r="A49" s="2332" t="s">
        <v>1337</v>
      </c>
      <c r="B49" s="3579" t="s">
        <v>1338</v>
      </c>
      <c r="C49" s="3579"/>
      <c r="D49" s="1589">
        <v>0</v>
      </c>
      <c r="E49" s="324" t="s">
        <v>1339</v>
      </c>
      <c r="F49" s="2420" t="s">
        <v>28</v>
      </c>
      <c r="G49" s="3649"/>
      <c r="H49" s="2309" t="s">
        <v>2115</v>
      </c>
      <c r="I49" s="2310"/>
      <c r="J49" s="170">
        <v>4</v>
      </c>
      <c r="K49" s="3643" t="str">
        <f>IF(项目基本情况!E8="房地产抵押价值","房地产抵押价值","抵押担保权已注销时的房地产抵押价值")</f>
        <v>房地产抵押价值</v>
      </c>
      <c r="L49" s="3643"/>
      <c r="M49" s="3666">
        <f ca="1">IF(项目基本情况!E8="房地产抵押价值",H107,H109)</f>
        <v>18265</v>
      </c>
      <c r="N49" s="3666"/>
      <c r="O49" s="3666"/>
    </row>
    <row r="50" spans="1:35" ht="25.5" customHeight="1">
      <c r="A50" s="2525"/>
      <c r="B50" s="3579" t="s">
        <v>1340</v>
      </c>
      <c r="C50" s="3579"/>
      <c r="D50" s="2526"/>
      <c r="E50" s="332"/>
      <c r="F50" s="2420"/>
      <c r="G50" s="3650"/>
      <c r="H50" s="2311" t="s">
        <v>2116</v>
      </c>
      <c r="I50" s="2310"/>
      <c r="J50" s="3666" t="s">
        <v>3637</v>
      </c>
      <c r="K50" s="3666"/>
      <c r="L50" s="3666"/>
      <c r="M50" s="3666"/>
      <c r="N50" s="3666"/>
      <c r="O50" s="3666"/>
    </row>
    <row r="51" spans="1:35" ht="20.45" customHeight="1">
      <c r="A51" s="2527"/>
      <c r="B51" s="3579" t="s">
        <v>1341</v>
      </c>
      <c r="C51" s="3579"/>
      <c r="D51" s="1087"/>
      <c r="E51" s="327"/>
      <c r="F51" s="2420"/>
      <c r="G51" s="3651"/>
      <c r="H51" s="2311" t="s">
        <v>2117</v>
      </c>
      <c r="I51" s="2310"/>
      <c r="J51" s="174" t="s">
        <v>3638</v>
      </c>
      <c r="K51" s="3643" t="s">
        <v>3639</v>
      </c>
      <c r="L51" s="3643"/>
      <c r="M51" s="174" t="s">
        <v>3645</v>
      </c>
      <c r="N51" s="174" t="s">
        <v>3640</v>
      </c>
      <c r="O51" s="174" t="s">
        <v>3641</v>
      </c>
    </row>
    <row r="52" spans="1:35" ht="24" customHeight="1">
      <c r="A52" s="2334" t="s">
        <v>1342</v>
      </c>
      <c r="B52" s="3579" t="s">
        <v>1343</v>
      </c>
      <c r="C52" s="3579"/>
      <c r="D52" s="1087">
        <f ca="1">ROUND(D45*'数据-取费表'!B41/(1+'数据-取费表'!C42),0)</f>
        <v>957</v>
      </c>
      <c r="E52" s="2333" t="s">
        <v>1344</v>
      </c>
      <c r="F52" s="2528">
        <f>'数据-取费表'!B41</f>
        <v>5.5000000000000007E-2</v>
      </c>
      <c r="G52" s="2529"/>
      <c r="H52" s="2518"/>
      <c r="I52" s="1806"/>
      <c r="J52" s="170">
        <v>1</v>
      </c>
      <c r="K52" s="3644" t="s">
        <v>3646</v>
      </c>
      <c r="L52" s="3644"/>
      <c r="M52" s="170">
        <f ca="1">D48</f>
        <v>957</v>
      </c>
      <c r="N52" s="170" t="str">
        <f>E48</f>
        <v>(销售额-原购置价)×税（费）率</v>
      </c>
      <c r="O52" s="3457">
        <f>F48</f>
        <v>5.5000000000000007E-2</v>
      </c>
    </row>
    <row r="53" spans="1:35" ht="12" customHeight="1">
      <c r="A53" s="2334" t="s">
        <v>1345</v>
      </c>
      <c r="B53" s="3605" t="s">
        <v>2263</v>
      </c>
      <c r="C53" s="3606"/>
      <c r="D53" s="1087">
        <f ca="1">ROUND(D45*'数据-取费表'!B41/(1+'数据-取费表'!C42),0)</f>
        <v>957</v>
      </c>
      <c r="E53" s="2333" t="s">
        <v>1344</v>
      </c>
      <c r="F53" s="2528">
        <f>'数据-取费表'!B41</f>
        <v>5.5000000000000007E-2</v>
      </c>
      <c r="G53" s="2529"/>
      <c r="H53" s="2518"/>
      <c r="I53" s="1806"/>
      <c r="J53" s="170">
        <v>2</v>
      </c>
      <c r="K53" s="3644" t="s">
        <v>3647</v>
      </c>
      <c r="L53" s="3644"/>
      <c r="M53" s="170">
        <f t="shared" ref="M53:O54" ca="1" si="0">D55</f>
        <v>9</v>
      </c>
      <c r="N53" s="170" t="str">
        <f t="shared" si="0"/>
        <v>销售额×税（费）率</v>
      </c>
      <c r="O53" s="3457">
        <f t="shared" si="0"/>
        <v>5.0000000000000001E-4</v>
      </c>
    </row>
    <row r="54" spans="1:35" ht="12" customHeight="1">
      <c r="A54" s="2334" t="s">
        <v>1346</v>
      </c>
      <c r="B54" s="3605" t="s">
        <v>2264</v>
      </c>
      <c r="C54" s="3606"/>
      <c r="D54" s="1087">
        <f ca="1">C68</f>
        <v>957</v>
      </c>
      <c r="E54" s="327" t="s">
        <v>1347</v>
      </c>
      <c r="F54" s="2528">
        <f>'数据-取费表'!B41</f>
        <v>5.5000000000000007E-2</v>
      </c>
      <c r="G54" s="2529"/>
      <c r="H54" s="2530"/>
      <c r="I54" s="1806"/>
      <c r="J54" s="170">
        <v>3</v>
      </c>
      <c r="K54" s="3644" t="s">
        <v>3648</v>
      </c>
      <c r="L54" s="3644"/>
      <c r="M54" s="3470">
        <f ca="1">ROUND(M49*5%/1.05,0)</f>
        <v>870</v>
      </c>
      <c r="N54" s="170" t="str">
        <f t="shared" si="0"/>
        <v>增值额×税（费）率</v>
      </c>
      <c r="O54" s="3458" t="str">
        <f t="shared" si="0"/>
        <v>——</v>
      </c>
    </row>
    <row r="55" spans="1:35" ht="24" customHeight="1">
      <c r="A55" s="3594" t="s">
        <v>1348</v>
      </c>
      <c r="B55" s="3595"/>
      <c r="C55" s="3595"/>
      <c r="D55" s="2323">
        <f ca="1">IF(H55="个人住宅",0,ROUND(D45*I55,0))</f>
        <v>9</v>
      </c>
      <c r="E55" s="2333" t="s">
        <v>1349</v>
      </c>
      <c r="F55" s="2528">
        <f>IF(H55="正常",I55,"免征")</f>
        <v>5.0000000000000001E-4</v>
      </c>
      <c r="G55" s="2529"/>
      <c r="H55" s="2524" t="s">
        <v>3633</v>
      </c>
      <c r="I55" s="165">
        <f>'数据-取费表'!B49</f>
        <v>5.0000000000000001E-4</v>
      </c>
      <c r="J55" s="170" t="str">
        <f>IF(H59="非个人房产","",4)</f>
        <v/>
      </c>
      <c r="K55" s="3644" t="str">
        <f>IF(H59="非个人房产","——","个人所得税")</f>
        <v>——</v>
      </c>
      <c r="L55" s="3644"/>
      <c r="M55" s="2029" t="str">
        <f>D59</f>
        <v>——</v>
      </c>
      <c r="N55" s="2029" t="str">
        <f>E59</f>
        <v>——</v>
      </c>
      <c r="O55" s="3459" t="str">
        <f>F59</f>
        <v>——</v>
      </c>
    </row>
    <row r="56" spans="1:35" ht="24.75">
      <c r="A56" s="3594" t="s">
        <v>1350</v>
      </c>
      <c r="B56" s="3595"/>
      <c r="C56" s="3595"/>
      <c r="D56" s="2323">
        <f ca="1">IF(H56="个人住宅",D57,D58)</f>
        <v>10354</v>
      </c>
      <c r="E56" s="2333" t="s">
        <v>1351</v>
      </c>
      <c r="F56" s="2528" t="str">
        <f>IF(H56="正常",F58,"免征")</f>
        <v>——</v>
      </c>
      <c r="G56" s="2531" t="s">
        <v>1352</v>
      </c>
      <c r="H56" s="2532" t="s">
        <v>3633</v>
      </c>
      <c r="I56" s="1807"/>
      <c r="J56" s="170" t="str">
        <f>IF(项目基本情况!K6="上海银行",IF(J55="",4,J55+1),"")</f>
        <v/>
      </c>
      <c r="K56" s="3668" t="str">
        <f>IF(项目基本情况!K6="上海银行","其他处置费用","")</f>
        <v/>
      </c>
      <c r="L56" s="3669"/>
      <c r="M56" s="170" t="str">
        <f>IF(项目基本情况!K6="上海银行",M69,"")</f>
        <v/>
      </c>
      <c r="N56" s="3668" t="str">
        <f>IF(项目基本情况!K6="上海银行","包含处置中涉及的律师、诉讼、拍卖、评估等费用","")</f>
        <v/>
      </c>
      <c r="O56" s="3671"/>
    </row>
    <row r="57" spans="1:35" ht="12.75">
      <c r="A57" s="2334" t="s">
        <v>1337</v>
      </c>
      <c r="B57" s="3605" t="s">
        <v>1353</v>
      </c>
      <c r="C57" s="3606"/>
      <c r="D57" s="1589">
        <v>0</v>
      </c>
      <c r="E57" s="324" t="s">
        <v>1339</v>
      </c>
      <c r="F57" s="302"/>
      <c r="G57" s="2529"/>
      <c r="H57" s="2533"/>
      <c r="I57" s="1807"/>
      <c r="J57" s="3644">
        <f>IF(AND(J55="",J56=""),4,IF(项目基本情况!K6="上海银行",结果表!J56+1,结果表!J55+1))</f>
        <v>4</v>
      </c>
      <c r="K57" s="3644" t="s">
        <v>3649</v>
      </c>
      <c r="L57" s="2555" t="s">
        <v>3642</v>
      </c>
      <c r="M57" s="3460"/>
      <c r="N57" s="3461">
        <f ca="1">SUMIF(M52:M56,"&lt;9e307")</f>
        <v>1836</v>
      </c>
      <c r="O57" s="3462"/>
      <c r="P57" s="2664">
        <f ca="1">N57/M49</f>
        <v>0.10052012044894607</v>
      </c>
    </row>
    <row r="58" spans="1:35" ht="24.75">
      <c r="A58" s="2334" t="s">
        <v>1342</v>
      </c>
      <c r="B58" s="3605" t="s">
        <v>1354</v>
      </c>
      <c r="C58" s="3579"/>
      <c r="D58" s="2323">
        <f ca="1">IF(H58="转让取得",C81,C97)</f>
        <v>10354</v>
      </c>
      <c r="E58" s="2333" t="s">
        <v>1351</v>
      </c>
      <c r="F58" s="302" t="s">
        <v>28</v>
      </c>
      <c r="G58" s="2529"/>
      <c r="H58" s="2532" t="s">
        <v>3634</v>
      </c>
      <c r="I58" s="1807"/>
      <c r="J58" s="3644"/>
      <c r="K58" s="3644"/>
      <c r="L58" s="2555" t="s">
        <v>3643</v>
      </c>
      <c r="M58" s="2555"/>
      <c r="N58" s="3463" t="str">
        <f ca="1">NUMBERSTRING(INT(N57*10000),2)&amp;"元整"</f>
        <v>壹仟捌佰叁拾陆万元整</v>
      </c>
      <c r="O58" s="2096"/>
    </row>
    <row r="59" spans="1:35" ht="24.75" thickBot="1">
      <c r="A59" s="3647" t="s">
        <v>1355</v>
      </c>
      <c r="B59" s="3648"/>
      <c r="C59" s="3648"/>
      <c r="D59" s="2534" t="str">
        <f>IF(H59="非个人房产","——",IF(H59="个人住宅（满五唯一有凭证）",0,IF(H59="个人其他（无凭证）",ROUND(D45*F59,0),ROUND(C67*F59,0))))</f>
        <v>——</v>
      </c>
      <c r="E59" s="2535" t="str">
        <f>IF(H59="非个人房产","——",IF(H59="个人其他（无凭证）","销售额×税（费）率",IF(H59="个人住宅（满五唯一有凭证）","免征","差额计税")))</f>
        <v>——</v>
      </c>
      <c r="F59" s="2536" t="str">
        <f>IF(OR(H59="非个人房产",H59="个人住宅（满五唯一有凭证）"),"——",IF(H59="个人其他（有凭证）",20%,1%))</f>
        <v>——</v>
      </c>
      <c r="G59" s="2537" t="s">
        <v>1352</v>
      </c>
      <c r="H59" s="2313" t="s">
        <v>3635</v>
      </c>
      <c r="I59" s="2312" t="s">
        <v>2118</v>
      </c>
      <c r="J59" s="3645">
        <f>J57+1</f>
        <v>5</v>
      </c>
      <c r="K59" s="3644" t="s">
        <v>3650</v>
      </c>
      <c r="L59" s="170" t="s">
        <v>3642</v>
      </c>
      <c r="M59" s="3464"/>
      <c r="N59" s="3465">
        <f ca="1">M49-N57</f>
        <v>16429</v>
      </c>
      <c r="O59" s="3466"/>
    </row>
    <row r="60" spans="1:35" ht="12" customHeight="1">
      <c r="A60" s="1808"/>
      <c r="B60" s="1746"/>
      <c r="C60" s="1746"/>
      <c r="D60" s="1746"/>
      <c r="E60" s="1577"/>
      <c r="F60" s="1807"/>
      <c r="G60" s="1807"/>
      <c r="H60" s="1809"/>
      <c r="I60" s="129"/>
      <c r="J60" s="3646"/>
      <c r="K60" s="3644"/>
      <c r="L60" s="2555" t="s">
        <v>3643</v>
      </c>
      <c r="M60" s="2555"/>
      <c r="N60" s="3463" t="str">
        <f ca="1">NUMBERSTRING(INT(N59*10000),2)&amp;"元整"</f>
        <v>壹亿陆仟肆佰贰拾玖万元整</v>
      </c>
      <c r="O60" s="2096"/>
    </row>
    <row r="61" spans="1:35" ht="13.5" thickBot="1">
      <c r="A61" s="3592" t="s">
        <v>1356</v>
      </c>
      <c r="B61" s="3592"/>
      <c r="C61" s="3592"/>
      <c r="D61" s="3592"/>
      <c r="E61" s="3592"/>
      <c r="F61" s="1807"/>
      <c r="G61" s="1807"/>
      <c r="H61" s="1809"/>
      <c r="I61" s="129"/>
      <c r="J61" s="170">
        <f>J59+1</f>
        <v>6</v>
      </c>
      <c r="K61" s="3644" t="s">
        <v>3651</v>
      </c>
      <c r="L61" s="3644"/>
      <c r="M61" s="3467"/>
      <c r="N61" s="3468">
        <f ca="1">ROUND(N59*10000/'数据-汇总表'!E3,0)</f>
        <v>9356</v>
      </c>
      <c r="O61" s="3469"/>
    </row>
    <row r="62" spans="1:35" ht="12.75">
      <c r="A62" s="3610" t="s">
        <v>1357</v>
      </c>
      <c r="B62" s="3611"/>
      <c r="C62" s="2020"/>
      <c r="D62" s="2020" t="s">
        <v>1358</v>
      </c>
      <c r="E62" s="166" t="s">
        <v>1359</v>
      </c>
      <c r="F62" s="1807"/>
      <c r="G62" s="1807"/>
      <c r="H62" s="1809"/>
      <c r="I62" s="129"/>
    </row>
    <row r="63" spans="1:35" ht="12.75">
      <c r="A63" s="173" t="s">
        <v>330</v>
      </c>
      <c r="B63" s="167" t="s">
        <v>1360</v>
      </c>
      <c r="C63" s="2538">
        <f ca="1">ROUND((C64+C65)/(1+'数据-取费表'!C42),0)</f>
        <v>17395</v>
      </c>
      <c r="D63" s="167"/>
      <c r="E63" s="168"/>
      <c r="F63" s="1807"/>
      <c r="G63" s="1807"/>
      <c r="H63" s="1809"/>
      <c r="I63" s="129"/>
      <c r="J63" s="3670" t="s">
        <v>1361</v>
      </c>
      <c r="K63" s="1331" t="s">
        <v>1362</v>
      </c>
      <c r="L63" s="1331">
        <f ca="1">IF(M49&gt;10000,M49*0.5%,IF(AND(M49&gt;1000,M49&lt;=10000),M49*1%,IF(AND(M49&gt;100,M49&lt;=1000),M49*3%,IF(AND(M49&gt;10,M49&lt;=100),M49*5%,M49*8%))))</f>
        <v>91.325000000000003</v>
      </c>
      <c r="M63" s="302">
        <f ca="1">ROUND(L63,1)</f>
        <v>91.3</v>
      </c>
      <c r="N63" s="2517"/>
      <c r="Z63" s="1751"/>
      <c r="AI63" s="1752"/>
    </row>
    <row r="64" spans="1:35" ht="14.25" customHeight="1">
      <c r="A64" s="169" t="s">
        <v>325</v>
      </c>
      <c r="B64" s="170" t="s">
        <v>1363</v>
      </c>
      <c r="C64" s="2539">
        <f ca="1">D45</f>
        <v>18265</v>
      </c>
      <c r="D64" s="170" t="s">
        <v>26</v>
      </c>
      <c r="E64" s="172"/>
      <c r="F64" s="1807"/>
      <c r="G64" s="1807"/>
      <c r="H64" s="1809"/>
      <c r="I64" s="129"/>
      <c r="J64" s="3670"/>
      <c r="K64" s="1331" t="s">
        <v>1364</v>
      </c>
      <c r="L64" s="1331">
        <f ca="1">IF(M49&gt;2000,M49*0.5%,IF(AND(M49&gt;1000,M49&lt;=2000),M49*0.6%,IF(AND(M49&gt;500,M49&lt;=1000),M49*0.7%,IF(AND(M49&gt;200,M49&lt;=500),M49*0.8%,IF(AND(M49&gt;100,M49&lt;=200),M49*0.9%,IF(AND(M49&gt;50,M49&lt;=100),M49*1%,IF(AND(M49&gt;20,M49&lt;=50),M49*1.5%,IF(AND(M49&gt;10,M49&lt;=20),M49*2%,IF(AND(M49&gt;1,M49&lt;=10),M49*2.5%)))))))))</f>
        <v>91.325000000000003</v>
      </c>
      <c r="M64" s="302">
        <f t="shared" ref="M64:M65" ca="1" si="1">ROUND(L64,1)</f>
        <v>91.3</v>
      </c>
      <c r="N64" s="2518" t="s">
        <v>1365</v>
      </c>
      <c r="Z64" s="1751"/>
      <c r="AI64" s="1752"/>
    </row>
    <row r="65" spans="1:35" ht="14.25" customHeight="1">
      <c r="A65" s="169" t="s">
        <v>326</v>
      </c>
      <c r="B65" s="170" t="s">
        <v>1366</v>
      </c>
      <c r="C65" s="2540"/>
      <c r="D65" s="170"/>
      <c r="E65" s="172"/>
      <c r="F65" s="1807"/>
      <c r="G65" s="1807"/>
      <c r="H65" s="1809"/>
      <c r="I65" s="129"/>
      <c r="J65" s="3670"/>
      <c r="K65" s="1331" t="s">
        <v>1367</v>
      </c>
      <c r="L65" s="1331">
        <f ca="1">IF(M49&gt;1000,M49*0.1%,IF(AND(M49&gt;500,M49&lt;=1000),M49*0.5%,IF(AND(M49&gt;50,M49&lt;=500),M49*1%,IF(AND(M49&gt;1,M49&lt;=50),M49*1.5%))))</f>
        <v>18.265000000000001</v>
      </c>
      <c r="M65" s="302">
        <f t="shared" ca="1" si="1"/>
        <v>18.3</v>
      </c>
      <c r="N65" s="2518" t="s">
        <v>1365</v>
      </c>
      <c r="Z65" s="1751"/>
      <c r="AI65" s="1752"/>
    </row>
    <row r="66" spans="1:35" ht="14.25" customHeight="1">
      <c r="A66" s="173" t="s">
        <v>327</v>
      </c>
      <c r="B66" s="174" t="s">
        <v>1368</v>
      </c>
      <c r="C66" s="2541"/>
      <c r="D66" s="174" t="s">
        <v>26</v>
      </c>
      <c r="E66" s="1337" t="s">
        <v>671</v>
      </c>
      <c r="F66" s="1807"/>
      <c r="G66" s="1807"/>
      <c r="H66" s="1809"/>
      <c r="I66" s="129"/>
      <c r="J66" s="3670"/>
      <c r="K66" s="1331" t="s">
        <v>1369</v>
      </c>
      <c r="L66" s="1331">
        <f ca="1">M49*0.5%</f>
        <v>91.325000000000003</v>
      </c>
      <c r="M66" s="302">
        <f ca="1">IF(L66&gt;0.5,0.5,ROUND(L66,0))</f>
        <v>0.5</v>
      </c>
      <c r="N66" s="2518" t="s">
        <v>1370</v>
      </c>
      <c r="Z66" s="1751"/>
      <c r="AI66" s="1752"/>
    </row>
    <row r="67" spans="1:35" ht="14.25" customHeight="1">
      <c r="A67" s="173" t="s">
        <v>328</v>
      </c>
      <c r="B67" s="174" t="s">
        <v>1371</v>
      </c>
      <c r="C67" s="2542">
        <f ca="1">C63-C66</f>
        <v>17395</v>
      </c>
      <c r="D67" s="170" t="s">
        <v>26</v>
      </c>
      <c r="E67" s="172"/>
      <c r="F67" s="1807"/>
      <c r="G67" s="1807"/>
      <c r="H67" s="1809"/>
      <c r="I67" s="129"/>
      <c r="J67" s="3670"/>
      <c r="K67" s="1331" t="s">
        <v>1372</v>
      </c>
      <c r="L67" s="1331">
        <f ca="1">IF(M49&gt;=10000,(8.25+(M49-10000)*0.01%),IF(AND(M49&gt;=8000,M49&lt;10000),(7.85+(M49-8000)*0.02%),IF(AND(M49&gt;=5000,M49&lt;8000),(6.65+(M49-5000)*0.04%),IF(AND(M49&gt;=2000,M49&lt;5000),(4.25+(PM49-2000)*0.08%),IF(AND(M49&gt;=1000,M49&lt;2000),(2.75+(M49-1000)*0.15%),IF(AND(M49&gt;=100,M49&lt;1000),(0.5+(M49-100)*0.25%),IF(AND(M49&gt;0,M49&lt;100),M49*0.5%)))))))</f>
        <v>9.0764999999999993</v>
      </c>
      <c r="M67" s="302">
        <f ca="1">ROUND(L67*0.9,1)</f>
        <v>8.1999999999999993</v>
      </c>
      <c r="N67" s="2517"/>
      <c r="Z67" s="1751"/>
      <c r="AI67" s="1752"/>
    </row>
    <row r="68" spans="1:35" ht="14.25" customHeight="1" thickBot="1">
      <c r="A68" s="176" t="s">
        <v>329</v>
      </c>
      <c r="B68" s="177" t="s">
        <v>1373</v>
      </c>
      <c r="C68" s="2543">
        <f ca="1">IF(C67&lt;=0,0,ROUND(C67*D68,0))</f>
        <v>957</v>
      </c>
      <c r="D68" s="2544">
        <f>'数据-取费表'!B41</f>
        <v>5.5000000000000007E-2</v>
      </c>
      <c r="E68" s="178"/>
      <c r="F68" s="1807"/>
      <c r="G68" s="1807"/>
      <c r="H68" s="1809"/>
      <c r="I68" s="129"/>
      <c r="J68" s="3670"/>
      <c r="K68" s="1331" t="s">
        <v>1374</v>
      </c>
      <c r="L68" s="1331">
        <f ca="1">IF(M49&gt;10000,M49*0.5%,IF(AND(M49&gt;5000,M49&lt;=10000),M49*1%,IF(AND(M49&gt;1000,M49&lt;=5000),M49*2%,IF(AND(M49&gt;200,M49&lt;=1000),M49*3%,M49*5%))))</f>
        <v>91.325000000000003</v>
      </c>
      <c r="M68" s="302">
        <f ca="1">ROUND(L68,1)</f>
        <v>91.3</v>
      </c>
      <c r="N68" s="2517"/>
      <c r="Z68" s="1751"/>
      <c r="AI68" s="1752"/>
    </row>
    <row r="69" spans="1:35" s="1771" customFormat="1" ht="16.5" customHeight="1">
      <c r="A69" s="1810"/>
      <c r="B69" s="1811"/>
      <c r="C69" s="1812"/>
      <c r="D69" s="1813"/>
      <c r="E69" s="1814"/>
      <c r="F69" s="1577"/>
      <c r="G69" s="1577"/>
      <c r="H69" s="1576"/>
      <c r="I69" s="1746"/>
      <c r="J69" s="3670"/>
      <c r="K69" s="1331" t="s">
        <v>1375</v>
      </c>
      <c r="L69" s="1331"/>
      <c r="M69" s="302">
        <f ca="1">ROUND(SUM(M63:M68),0)</f>
        <v>301</v>
      </c>
      <c r="N69" s="2519">
        <f ca="1">M69/M49</f>
        <v>1.6479605803449218E-2</v>
      </c>
      <c r="O69" s="725"/>
      <c r="P69" s="725"/>
      <c r="Q69" s="725"/>
      <c r="R69" s="725"/>
      <c r="S69" s="725"/>
      <c r="T69" s="725"/>
      <c r="U69" s="725"/>
      <c r="V69" s="725"/>
      <c r="W69" s="725"/>
      <c r="X69" s="725"/>
      <c r="Y69" s="725"/>
      <c r="Z69" s="1751"/>
      <c r="AA69" s="1751"/>
      <c r="AB69" s="1751"/>
      <c r="AC69" s="1751"/>
      <c r="AD69" s="1751"/>
      <c r="AE69" s="1751"/>
      <c r="AF69" s="1751"/>
      <c r="AG69" s="1751"/>
      <c r="AH69" s="1751"/>
    </row>
    <row r="70" spans="1:35" s="1816" customFormat="1" ht="15" hidden="1" thickBot="1">
      <c r="A70" s="3631" t="s">
        <v>1376</v>
      </c>
      <c r="B70" s="3632"/>
      <c r="C70" s="3632"/>
      <c r="D70" s="3632"/>
      <c r="E70" s="3632"/>
      <c r="F70" s="3632"/>
      <c r="G70" s="3632"/>
      <c r="H70" s="3632"/>
      <c r="I70" s="1815"/>
      <c r="J70" s="2665"/>
      <c r="K70" s="2665"/>
      <c r="L70" s="2665"/>
      <c r="M70" s="2665"/>
      <c r="N70" s="1817"/>
      <c r="O70" s="1817"/>
      <c r="P70" s="1817"/>
      <c r="Q70" s="1817"/>
      <c r="R70" s="1817"/>
      <c r="S70" s="1817"/>
      <c r="T70" s="1817"/>
      <c r="U70" s="1817"/>
      <c r="V70" s="1817"/>
      <c r="W70" s="1817"/>
      <c r="X70" s="1817"/>
      <c r="Y70" s="1817"/>
      <c r="Z70" s="1817"/>
      <c r="AA70" s="1818"/>
      <c r="AB70" s="1818"/>
      <c r="AC70" s="1818"/>
      <c r="AD70" s="1818"/>
      <c r="AE70" s="1818"/>
      <c r="AF70" s="1818"/>
      <c r="AG70" s="1818"/>
      <c r="AH70" s="1818"/>
      <c r="AI70" s="1818"/>
    </row>
    <row r="71" spans="1:35" s="1816" customFormat="1" ht="14.25" hidden="1">
      <c r="A71" s="3610" t="s">
        <v>1357</v>
      </c>
      <c r="B71" s="3611"/>
      <c r="C71" s="2020"/>
      <c r="D71" s="2020" t="s">
        <v>1358</v>
      </c>
      <c r="E71" s="179" t="s">
        <v>1359</v>
      </c>
      <c r="F71" s="180"/>
      <c r="G71" s="180"/>
      <c r="H71" s="181"/>
      <c r="I71" s="1819"/>
      <c r="J71" s="2665"/>
      <c r="K71" s="2665"/>
      <c r="L71" s="2665"/>
      <c r="M71" s="2665"/>
      <c r="N71" s="1817"/>
      <c r="O71" s="1817"/>
      <c r="P71" s="1817"/>
      <c r="Q71" s="1817"/>
      <c r="R71" s="1817"/>
      <c r="S71" s="1817"/>
      <c r="T71" s="1817"/>
      <c r="U71" s="1817"/>
      <c r="V71" s="1817"/>
      <c r="W71" s="1817"/>
      <c r="X71" s="1817"/>
      <c r="Y71" s="1817"/>
      <c r="Z71" s="1817"/>
      <c r="AA71" s="1818"/>
      <c r="AB71" s="1818"/>
      <c r="AC71" s="1818"/>
      <c r="AD71" s="1818"/>
      <c r="AE71" s="1818"/>
      <c r="AF71" s="1818"/>
      <c r="AG71" s="1818"/>
      <c r="AH71" s="1818"/>
      <c r="AI71" s="1818"/>
    </row>
    <row r="72" spans="1:35" s="1816" customFormat="1" ht="14.25" hidden="1">
      <c r="A72" s="173" t="s">
        <v>330</v>
      </c>
      <c r="B72" s="174" t="s">
        <v>1377</v>
      </c>
      <c r="C72" s="2542">
        <f ca="1">ROUND(D45/(1+'数据-取费表'!C42),0)</f>
        <v>17395</v>
      </c>
      <c r="D72" s="170" t="s">
        <v>26</v>
      </c>
      <c r="E72" s="2330"/>
      <c r="F72" s="2329"/>
      <c r="G72" s="2329"/>
      <c r="H72" s="182"/>
      <c r="I72" s="1819"/>
      <c r="J72" s="2665"/>
      <c r="K72" s="2665"/>
      <c r="L72" s="2665"/>
      <c r="M72" s="2665"/>
      <c r="N72" s="1817"/>
      <c r="O72" s="1817"/>
      <c r="P72" s="1817"/>
      <c r="Q72" s="1817"/>
      <c r="R72" s="1817"/>
      <c r="S72" s="1817"/>
      <c r="T72" s="1817"/>
      <c r="U72" s="1817"/>
      <c r="V72" s="1817"/>
      <c r="W72" s="1817"/>
      <c r="X72" s="1817"/>
      <c r="Y72" s="1817"/>
      <c r="Z72" s="1817"/>
      <c r="AA72" s="1818"/>
      <c r="AB72" s="1818"/>
      <c r="AC72" s="1818"/>
      <c r="AD72" s="1818"/>
      <c r="AE72" s="1818"/>
      <c r="AF72" s="1818"/>
      <c r="AG72" s="1818"/>
      <c r="AH72" s="1818"/>
      <c r="AI72" s="1818"/>
    </row>
    <row r="73" spans="1:35" s="1816" customFormat="1" ht="14.25" hidden="1">
      <c r="A73" s="173" t="s">
        <v>327</v>
      </c>
      <c r="B73" s="163" t="s">
        <v>1378</v>
      </c>
      <c r="C73" s="2542">
        <f ca="1">C74+C78</f>
        <v>87</v>
      </c>
      <c r="D73" s="170" t="s">
        <v>26</v>
      </c>
      <c r="E73" s="2330"/>
      <c r="F73" s="2329"/>
      <c r="G73" s="2329"/>
      <c r="H73" s="182"/>
      <c r="I73" s="1819"/>
      <c r="J73" s="1817"/>
      <c r="K73" s="1817"/>
      <c r="L73" s="1817"/>
      <c r="M73" s="1817"/>
      <c r="N73" s="1817"/>
      <c r="O73" s="1817"/>
      <c r="P73" s="1817"/>
      <c r="Q73" s="1817"/>
      <c r="R73" s="1817"/>
      <c r="S73" s="1817"/>
      <c r="T73" s="1817"/>
      <c r="U73" s="1817"/>
      <c r="V73" s="1817"/>
      <c r="W73" s="1817"/>
      <c r="X73" s="1817"/>
      <c r="Y73" s="1817"/>
      <c r="Z73" s="1817"/>
      <c r="AA73" s="1818"/>
      <c r="AB73" s="1818"/>
      <c r="AC73" s="1818"/>
      <c r="AD73" s="1818"/>
      <c r="AE73" s="1818"/>
      <c r="AF73" s="1818"/>
      <c r="AG73" s="1818"/>
      <c r="AH73" s="1818"/>
      <c r="AI73" s="1818"/>
    </row>
    <row r="74" spans="1:35" s="1816" customFormat="1" ht="24" hidden="1">
      <c r="A74" s="169" t="s">
        <v>325</v>
      </c>
      <c r="B74" s="170" t="s">
        <v>1379</v>
      </c>
      <c r="C74" s="170">
        <f>ROUND(IF(G77="2016年5月1日后购买",C75/(1+'数据-取费表'!C42)+C76+C77,C75+C76+C77),0)</f>
        <v>0</v>
      </c>
      <c r="D74" s="170" t="s">
        <v>26</v>
      </c>
      <c r="E74" s="2330"/>
      <c r="F74" s="2329"/>
      <c r="G74" s="2329"/>
      <c r="H74" s="182"/>
      <c r="I74" s="1819"/>
      <c r="J74" s="1817"/>
      <c r="K74" s="1817"/>
      <c r="L74" s="1817"/>
      <c r="M74" s="1817"/>
      <c r="N74" s="1817"/>
      <c r="O74" s="1817"/>
      <c r="P74" s="1817"/>
      <c r="Q74" s="1817"/>
      <c r="R74" s="1817"/>
      <c r="S74" s="1817"/>
      <c r="T74" s="1817"/>
      <c r="U74" s="1817"/>
      <c r="V74" s="1817"/>
      <c r="W74" s="1817"/>
      <c r="X74" s="1817"/>
      <c r="Y74" s="1817"/>
      <c r="Z74" s="1817"/>
      <c r="AA74" s="1818"/>
      <c r="AB74" s="1818"/>
      <c r="AC74" s="1818"/>
      <c r="AD74" s="1818"/>
      <c r="AE74" s="1818"/>
      <c r="AF74" s="1818"/>
      <c r="AG74" s="1818"/>
      <c r="AH74" s="1818"/>
      <c r="AI74" s="1818"/>
    </row>
    <row r="75" spans="1:35" s="1816" customFormat="1" ht="14.25" hidden="1">
      <c r="A75" s="169" t="s">
        <v>331</v>
      </c>
      <c r="B75" s="170" t="s">
        <v>1380</v>
      </c>
      <c r="C75" s="2545"/>
      <c r="D75" s="170" t="s">
        <v>26</v>
      </c>
      <c r="E75" s="184" t="s">
        <v>1381</v>
      </c>
      <c r="F75" s="2546"/>
      <c r="G75" s="184" t="s">
        <v>1382</v>
      </c>
      <c r="H75" s="2547"/>
      <c r="I75" s="1820"/>
      <c r="J75" s="1817"/>
      <c r="K75" s="1817"/>
      <c r="L75" s="1817"/>
      <c r="M75" s="1817"/>
      <c r="N75" s="1817"/>
      <c r="O75" s="1817"/>
      <c r="P75" s="1817"/>
      <c r="Q75" s="1817"/>
      <c r="R75" s="1817"/>
      <c r="S75" s="1817"/>
      <c r="T75" s="1817"/>
      <c r="U75" s="1817"/>
      <c r="V75" s="1817"/>
      <c r="W75" s="1817"/>
      <c r="X75" s="1817"/>
      <c r="Y75" s="1817"/>
      <c r="Z75" s="1817"/>
      <c r="AA75" s="1818"/>
      <c r="AB75" s="1818"/>
      <c r="AC75" s="1818"/>
      <c r="AD75" s="1818"/>
      <c r="AE75" s="1818"/>
      <c r="AF75" s="1818"/>
      <c r="AG75" s="1818"/>
      <c r="AH75" s="1818"/>
      <c r="AI75" s="1818"/>
    </row>
    <row r="76" spans="1:35" s="1816" customFormat="1" ht="24.75" hidden="1" customHeight="1">
      <c r="A76" s="169" t="s">
        <v>332</v>
      </c>
      <c r="B76" s="185" t="s">
        <v>1383</v>
      </c>
      <c r="C76" s="170">
        <f>IF(F75="购房发票",ROUND(C75*H75*D76,0),0)</f>
        <v>0</v>
      </c>
      <c r="D76" s="2548">
        <v>0.05</v>
      </c>
      <c r="E76" s="3605" t="s">
        <v>1384</v>
      </c>
      <c r="F76" s="3579"/>
      <c r="G76" s="3579"/>
      <c r="H76" s="3630"/>
      <c r="I76" s="1819"/>
      <c r="J76" s="1817"/>
      <c r="K76" s="1817"/>
      <c r="L76" s="1817"/>
      <c r="M76" s="1817"/>
      <c r="N76" s="1817"/>
      <c r="O76" s="1817"/>
      <c r="P76" s="1817"/>
      <c r="Q76" s="1817"/>
      <c r="R76" s="1817"/>
      <c r="S76" s="1817"/>
      <c r="T76" s="1817"/>
      <c r="U76" s="1817"/>
      <c r="V76" s="1817"/>
      <c r="W76" s="1817"/>
      <c r="X76" s="1817"/>
      <c r="Y76" s="1817"/>
      <c r="Z76" s="1817"/>
      <c r="AA76" s="1818"/>
      <c r="AB76" s="1818"/>
      <c r="AC76" s="1818"/>
      <c r="AD76" s="1818"/>
      <c r="AE76" s="1818"/>
      <c r="AF76" s="1818"/>
      <c r="AG76" s="1818"/>
      <c r="AH76" s="1818"/>
      <c r="AI76" s="1818"/>
    </row>
    <row r="77" spans="1:35" s="1816" customFormat="1" ht="24.75" hidden="1" customHeight="1">
      <c r="A77" s="169" t="s">
        <v>333</v>
      </c>
      <c r="B77" s="170" t="s">
        <v>1385</v>
      </c>
      <c r="C77" s="170">
        <f>ROUND(IF(G77="个人住宅",0,IF(G77="2016年5月1日前购买",C75*D77,C75*D77/(1+'数据-取费表'!C42))),0)</f>
        <v>0</v>
      </c>
      <c r="D77" s="2549">
        <f>'数据-取费表'!B48+'数据-取费表'!B49</f>
        <v>3.0499999999999999E-2</v>
      </c>
      <c r="E77" s="2323" t="s">
        <v>1386</v>
      </c>
      <c r="F77" s="186"/>
      <c r="G77" s="1821"/>
      <c r="H77" s="2331" t="str">
        <f>IF(G77="个人买卖住房","免征印花税"," ")</f>
        <v xml:space="preserve"> </v>
      </c>
      <c r="I77" s="1819"/>
      <c r="J77" s="1817"/>
      <c r="K77" s="1817"/>
      <c r="L77" s="1817"/>
      <c r="M77" s="1817"/>
      <c r="N77" s="1817"/>
      <c r="O77" s="1817"/>
      <c r="P77" s="1817"/>
      <c r="Q77" s="1817"/>
      <c r="R77" s="1817"/>
      <c r="S77" s="1817"/>
      <c r="T77" s="1817"/>
      <c r="U77" s="1817"/>
      <c r="V77" s="1817"/>
      <c r="W77" s="1817"/>
      <c r="X77" s="1817"/>
      <c r="Y77" s="1817"/>
      <c r="Z77" s="1817"/>
      <c r="AA77" s="1818"/>
      <c r="AB77" s="1818"/>
      <c r="AC77" s="1818"/>
      <c r="AD77" s="1818"/>
      <c r="AE77" s="1818"/>
      <c r="AF77" s="1818"/>
      <c r="AG77" s="1818"/>
      <c r="AH77" s="1818"/>
      <c r="AI77" s="1818"/>
    </row>
    <row r="78" spans="1:35" s="1816" customFormat="1" ht="24.75" hidden="1" customHeight="1">
      <c r="A78" s="169" t="s">
        <v>326</v>
      </c>
      <c r="B78" s="170" t="s">
        <v>1387</v>
      </c>
      <c r="C78" s="2550">
        <f ca="1">ROUND(D45*D78/(1+'数据-取费表'!C42),0)</f>
        <v>87</v>
      </c>
      <c r="D78" s="2551">
        <f>'数据-取费表'!B43</f>
        <v>5.000000000000001E-3</v>
      </c>
      <c r="E78" s="3589" t="s">
        <v>1388</v>
      </c>
      <c r="F78" s="3590"/>
      <c r="G78" s="3590"/>
      <c r="H78" s="3599"/>
      <c r="I78" s="1822"/>
      <c r="J78" s="1817"/>
      <c r="K78" s="1817"/>
      <c r="L78" s="1817"/>
      <c r="M78" s="1817"/>
      <c r="N78" s="1817"/>
      <c r="O78" s="1817"/>
      <c r="P78" s="1817"/>
      <c r="Q78" s="1817"/>
      <c r="R78" s="1817"/>
      <c r="S78" s="1817"/>
      <c r="T78" s="1817"/>
      <c r="U78" s="1817"/>
      <c r="V78" s="1817"/>
      <c r="W78" s="1817"/>
      <c r="X78" s="1817"/>
      <c r="Y78" s="1817"/>
      <c r="Z78" s="1817"/>
      <c r="AA78" s="1818"/>
      <c r="AB78" s="1818"/>
      <c r="AC78" s="1818"/>
      <c r="AD78" s="1818"/>
      <c r="AE78" s="1818"/>
      <c r="AF78" s="1818"/>
      <c r="AG78" s="1818"/>
      <c r="AH78" s="1818"/>
      <c r="AI78" s="1818"/>
    </row>
    <row r="79" spans="1:35" s="1816" customFormat="1" ht="14.25" hidden="1">
      <c r="A79" s="173" t="s">
        <v>334</v>
      </c>
      <c r="B79" s="174" t="s">
        <v>1389</v>
      </c>
      <c r="C79" s="2542">
        <f ca="1">C72-C73</f>
        <v>17308</v>
      </c>
      <c r="D79" s="170" t="s">
        <v>26</v>
      </c>
      <c r="E79" s="2330"/>
      <c r="F79" s="2329"/>
      <c r="G79" s="2329"/>
      <c r="H79" s="182"/>
      <c r="I79" s="1819"/>
      <c r="J79" s="1817"/>
      <c r="K79" s="1817"/>
      <c r="L79" s="1817"/>
      <c r="M79" s="1817"/>
      <c r="N79" s="1817"/>
      <c r="O79" s="1817"/>
      <c r="P79" s="1817"/>
      <c r="Q79" s="1817"/>
      <c r="R79" s="1817"/>
      <c r="S79" s="1817"/>
      <c r="T79" s="1817"/>
      <c r="U79" s="1817"/>
      <c r="V79" s="1817"/>
      <c r="W79" s="1817"/>
      <c r="X79" s="1817"/>
      <c r="Y79" s="1817"/>
      <c r="Z79" s="1817"/>
      <c r="AA79" s="1818"/>
      <c r="AB79" s="1818"/>
      <c r="AC79" s="1818"/>
      <c r="AD79" s="1818"/>
      <c r="AE79" s="1818"/>
      <c r="AF79" s="1818"/>
      <c r="AG79" s="1818"/>
      <c r="AH79" s="1818"/>
      <c r="AI79" s="1818"/>
    </row>
    <row r="80" spans="1:35" s="1816" customFormat="1" ht="24" hidden="1">
      <c r="A80" s="173" t="s">
        <v>335</v>
      </c>
      <c r="B80" s="174" t="s">
        <v>1390</v>
      </c>
      <c r="C80" s="2552">
        <f ca="1">IF(C79&lt;=0,0,C79/C73)</f>
        <v>198.94252873563218</v>
      </c>
      <c r="D80" s="170" t="s">
        <v>26</v>
      </c>
      <c r="E80" s="2323" t="str">
        <f ca="1">IF(C80&gt;=200%,"增值额超过扣除项目金额200%",IF(C80&gt;=100%,"增值额超过扣除项目金额100%，未超过200%",IF(C80&gt;=50%,"增值额超过扣除项目金额50%，未超过100%",IF(C80&lt;50%,"增值额未超过扣除项目金额50%"))))</f>
        <v>增值额超过扣除项目金额200%</v>
      </c>
      <c r="F80" s="2329"/>
      <c r="G80" s="2329"/>
      <c r="H80" s="182"/>
      <c r="I80" s="1819"/>
      <c r="J80" s="1817"/>
      <c r="K80" s="1817"/>
      <c r="L80" s="1817"/>
      <c r="M80" s="1817"/>
      <c r="N80" s="1817"/>
      <c r="O80" s="1817"/>
      <c r="P80" s="1817"/>
      <c r="Q80" s="1817"/>
      <c r="R80" s="1817"/>
      <c r="S80" s="1817"/>
      <c r="T80" s="1817"/>
      <c r="U80" s="1817"/>
      <c r="V80" s="1817"/>
      <c r="W80" s="1817"/>
      <c r="X80" s="1817"/>
      <c r="Y80" s="1817"/>
      <c r="Z80" s="1817"/>
      <c r="AA80" s="1818"/>
      <c r="AB80" s="1818"/>
      <c r="AC80" s="1818"/>
      <c r="AD80" s="1818"/>
      <c r="AE80" s="1818"/>
      <c r="AF80" s="1818"/>
      <c r="AG80" s="1818"/>
      <c r="AH80" s="1818"/>
      <c r="AI80" s="1818"/>
    </row>
    <row r="81" spans="1:35" s="1816" customFormat="1" ht="24.75" hidden="1" thickBot="1">
      <c r="A81" s="176" t="s">
        <v>336</v>
      </c>
      <c r="B81" s="177" t="s">
        <v>1391</v>
      </c>
      <c r="C81" s="2553">
        <f ca="1">ROUND(IF(C79&lt;=0,0,IF(C80&gt;=200%,C79*60%-C73*35%,IF(C80&gt;=100%,C79*50%-C73*15%,IF(C80&gt;=50%,C79*40%-C73*5%,IF(C80&lt;50%,C79*30%,0))))),0)</f>
        <v>10354</v>
      </c>
      <c r="D81" s="2554" t="s">
        <v>26</v>
      </c>
      <c r="E81" s="188" t="str">
        <f ca="1">IF(E80="增值额未超过扣除项目金额50%","土地增值税税额=增值额×30%",IF(E80="增值额超过扣除项目金额50%，未超过100%","土地增值税税额=增值额×40%－扣除项目金额×5% ",IF(E80="增值额超过扣除项目金额100%，未超过200%","土地增值税税额=增值额×50%－扣除项目金额×15%",IF(E80="增值额超过扣除项目金额200%","土地增值税税额=增值额×60%－扣除项目金额×35%"))))</f>
        <v>土地增值税税额=增值额×60%－扣除项目金额×35%</v>
      </c>
      <c r="F81" s="189"/>
      <c r="G81" s="189"/>
      <c r="H81" s="190"/>
      <c r="I81" s="1819"/>
      <c r="J81" s="1817"/>
      <c r="K81" s="1817"/>
      <c r="L81" s="1817"/>
      <c r="M81" s="1817"/>
      <c r="N81" s="1817"/>
      <c r="O81" s="1817"/>
      <c r="P81" s="1817"/>
      <c r="Q81" s="1817"/>
      <c r="R81" s="1817"/>
      <c r="S81" s="1817"/>
      <c r="T81" s="1817"/>
      <c r="U81" s="1817"/>
      <c r="V81" s="1817"/>
      <c r="W81" s="1817"/>
      <c r="X81" s="1817"/>
      <c r="Y81" s="1817"/>
      <c r="Z81" s="1817"/>
      <c r="AA81" s="1818"/>
      <c r="AB81" s="1818"/>
      <c r="AC81" s="1818"/>
      <c r="AD81" s="1818"/>
      <c r="AE81" s="1818"/>
      <c r="AF81" s="1818"/>
      <c r="AG81" s="1818"/>
      <c r="AH81" s="1818"/>
      <c r="AI81" s="1818"/>
    </row>
    <row r="82" spans="1:35" s="1816" customFormat="1" ht="7.5" hidden="1" customHeight="1">
      <c r="A82" s="680"/>
      <c r="B82" s="681"/>
      <c r="C82" s="4"/>
      <c r="D82" s="4"/>
      <c r="E82" s="681"/>
      <c r="F82" s="681"/>
      <c r="G82" s="681"/>
      <c r="H82" s="682"/>
      <c r="I82" s="1822"/>
      <c r="J82" s="1817"/>
      <c r="K82" s="1817"/>
      <c r="L82" s="1817"/>
      <c r="M82" s="1817"/>
      <c r="N82" s="1817"/>
      <c r="O82" s="1817"/>
      <c r="P82" s="1817"/>
      <c r="Q82" s="1817"/>
      <c r="R82" s="1817"/>
      <c r="S82" s="1817"/>
      <c r="T82" s="1817"/>
      <c r="U82" s="1817"/>
      <c r="V82" s="1817"/>
      <c r="W82" s="1817"/>
      <c r="X82" s="1817"/>
      <c r="Y82" s="1817"/>
      <c r="Z82" s="1817"/>
      <c r="AA82" s="1818"/>
      <c r="AB82" s="1818"/>
      <c r="AC82" s="1818"/>
      <c r="AD82" s="1818"/>
      <c r="AE82" s="1818"/>
      <c r="AF82" s="1818"/>
      <c r="AG82" s="1818"/>
      <c r="AH82" s="1818"/>
      <c r="AI82" s="1818"/>
    </row>
    <row r="83" spans="1:35" s="1816" customFormat="1" ht="15" hidden="1" thickBot="1">
      <c r="A83" s="3631" t="s">
        <v>1392</v>
      </c>
      <c r="B83" s="3632"/>
      <c r="C83" s="3632"/>
      <c r="D83" s="3632"/>
      <c r="E83" s="3632"/>
      <c r="F83" s="3632"/>
      <c r="G83" s="3632"/>
      <c r="H83" s="3632"/>
      <c r="I83" s="1820"/>
      <c r="J83" s="1817"/>
      <c r="K83" s="1817"/>
      <c r="L83" s="1817"/>
      <c r="M83" s="1817"/>
      <c r="N83" s="1817"/>
      <c r="O83" s="1817"/>
      <c r="P83" s="1817"/>
      <c r="Q83" s="1817"/>
      <c r="R83" s="1817"/>
      <c r="S83" s="1817"/>
      <c r="T83" s="1817"/>
      <c r="U83" s="1817"/>
      <c r="V83" s="1817"/>
      <c r="W83" s="1817"/>
      <c r="X83" s="1817"/>
      <c r="Y83" s="1817"/>
      <c r="Z83" s="1817"/>
      <c r="AA83" s="1818"/>
      <c r="AB83" s="1818"/>
      <c r="AC83" s="1818"/>
      <c r="AD83" s="1818"/>
      <c r="AE83" s="1818"/>
      <c r="AF83" s="1818"/>
      <c r="AG83" s="1818"/>
      <c r="AH83" s="1818"/>
      <c r="AI83" s="1818"/>
    </row>
    <row r="84" spans="1:35" s="1816" customFormat="1" ht="14.25" hidden="1">
      <c r="A84" s="3610" t="s">
        <v>1357</v>
      </c>
      <c r="B84" s="3611"/>
      <c r="C84" s="2020"/>
      <c r="D84" s="2020" t="s">
        <v>1358</v>
      </c>
      <c r="E84" s="179" t="s">
        <v>1359</v>
      </c>
      <c r="F84" s="180"/>
      <c r="G84" s="180"/>
      <c r="H84" s="191"/>
      <c r="I84" s="1820"/>
      <c r="J84" s="1817"/>
      <c r="K84" s="1817"/>
      <c r="L84" s="1817"/>
      <c r="M84" s="1817"/>
      <c r="N84" s="1817"/>
      <c r="O84" s="1817"/>
      <c r="P84" s="1817"/>
      <c r="Q84" s="1817"/>
      <c r="R84" s="1817"/>
      <c r="S84" s="1817"/>
      <c r="T84" s="1817"/>
      <c r="U84" s="1817"/>
      <c r="V84" s="1817"/>
      <c r="W84" s="1817"/>
      <c r="X84" s="1817"/>
      <c r="Y84" s="1817"/>
      <c r="Z84" s="1817"/>
      <c r="AA84" s="1818"/>
      <c r="AB84" s="1818"/>
      <c r="AC84" s="1818"/>
      <c r="AD84" s="1818"/>
      <c r="AE84" s="1818"/>
      <c r="AF84" s="1818"/>
      <c r="AG84" s="1818"/>
      <c r="AH84" s="1818"/>
      <c r="AI84" s="1818"/>
    </row>
    <row r="85" spans="1:35" s="1816" customFormat="1" ht="14.25" hidden="1">
      <c r="A85" s="173" t="s">
        <v>330</v>
      </c>
      <c r="B85" s="174" t="s">
        <v>1377</v>
      </c>
      <c r="C85" s="2542">
        <f ca="1">ROUND(D45/(1+'数据-取费表'!C42),0)</f>
        <v>17395</v>
      </c>
      <c r="D85" s="170" t="s">
        <v>26</v>
      </c>
      <c r="E85" s="2330"/>
      <c r="F85" s="2329"/>
      <c r="G85" s="2329"/>
      <c r="H85" s="192"/>
      <c r="I85" s="1820"/>
      <c r="J85" s="1817"/>
      <c r="K85" s="1817"/>
      <c r="L85" s="1817"/>
      <c r="M85" s="1817"/>
      <c r="N85" s="1817"/>
      <c r="O85" s="1817"/>
      <c r="P85" s="1817"/>
      <c r="Q85" s="1817"/>
      <c r="R85" s="1817"/>
      <c r="S85" s="1817"/>
      <c r="T85" s="1817"/>
      <c r="U85" s="1817"/>
      <c r="V85" s="1817"/>
      <c r="W85" s="1817"/>
      <c r="X85" s="1817"/>
      <c r="Y85" s="1817"/>
      <c r="Z85" s="1817"/>
      <c r="AA85" s="1818"/>
      <c r="AB85" s="1818"/>
      <c r="AC85" s="1818"/>
      <c r="AD85" s="1818"/>
      <c r="AE85" s="1818"/>
      <c r="AF85" s="1818"/>
      <c r="AG85" s="1818"/>
      <c r="AH85" s="1818"/>
      <c r="AI85" s="1818"/>
    </row>
    <row r="86" spans="1:35" s="1816" customFormat="1" ht="14.25" hidden="1">
      <c r="A86" s="173" t="s">
        <v>327</v>
      </c>
      <c r="B86" s="163" t="s">
        <v>1378</v>
      </c>
      <c r="C86" s="2542">
        <f ca="1">IF(H88="仅含出让金",C87+C90+C91+C92+C93+C94,C87+C91+C92+C93+C94)</f>
        <v>87</v>
      </c>
      <c r="D86" s="2555"/>
      <c r="E86" s="2330"/>
      <c r="F86" s="2329"/>
      <c r="G86" s="2329"/>
      <c r="H86" s="192"/>
      <c r="I86" s="1820"/>
      <c r="J86" s="1817"/>
      <c r="K86" s="1817"/>
      <c r="L86" s="1817"/>
      <c r="M86" s="1817"/>
      <c r="N86" s="1817"/>
      <c r="O86" s="1817"/>
      <c r="P86" s="1817"/>
      <c r="Q86" s="1817"/>
      <c r="R86" s="1817"/>
      <c r="S86" s="1817"/>
      <c r="T86" s="1817"/>
      <c r="U86" s="1817"/>
      <c r="V86" s="1817"/>
      <c r="W86" s="1817"/>
      <c r="X86" s="1817"/>
      <c r="Y86" s="1817"/>
      <c r="Z86" s="1817"/>
      <c r="AA86" s="1818"/>
      <c r="AB86" s="1818"/>
      <c r="AC86" s="1818"/>
      <c r="AD86" s="1818"/>
      <c r="AE86" s="1818"/>
      <c r="AF86" s="1818"/>
      <c r="AG86" s="1818"/>
      <c r="AH86" s="1818"/>
      <c r="AI86" s="1818"/>
    </row>
    <row r="87" spans="1:35" s="1816" customFormat="1" ht="14.25" hidden="1">
      <c r="A87" s="169" t="s">
        <v>325</v>
      </c>
      <c r="B87" s="170" t="s">
        <v>1393</v>
      </c>
      <c r="C87" s="2550">
        <f>C88+C89</f>
        <v>0</v>
      </c>
      <c r="D87" s="2551"/>
      <c r="E87" s="2325"/>
      <c r="F87" s="2326"/>
      <c r="G87" s="2326"/>
      <c r="H87" s="2327"/>
      <c r="I87" s="1820"/>
      <c r="J87" s="1817"/>
      <c r="K87" s="1817"/>
      <c r="L87" s="1817"/>
      <c r="M87" s="1817"/>
      <c r="N87" s="1817"/>
      <c r="O87" s="1817"/>
      <c r="P87" s="1817"/>
      <c r="Q87" s="1817"/>
      <c r="R87" s="1817"/>
      <c r="S87" s="1817"/>
      <c r="T87" s="1817"/>
      <c r="U87" s="1817"/>
      <c r="V87" s="1817"/>
      <c r="W87" s="1817"/>
      <c r="X87" s="1817"/>
      <c r="Y87" s="1817"/>
      <c r="Z87" s="1817"/>
      <c r="AA87" s="1818"/>
      <c r="AB87" s="1818"/>
      <c r="AC87" s="1818"/>
      <c r="AD87" s="1818"/>
      <c r="AE87" s="1818"/>
      <c r="AF87" s="1818"/>
      <c r="AG87" s="1818"/>
      <c r="AH87" s="1818"/>
      <c r="AI87" s="1818"/>
    </row>
    <row r="88" spans="1:35" s="1816" customFormat="1" ht="14.25" hidden="1">
      <c r="A88" s="169" t="s">
        <v>331</v>
      </c>
      <c r="B88" s="170" t="s">
        <v>1394</v>
      </c>
      <c r="C88" s="2556"/>
      <c r="D88" s="2551"/>
      <c r="E88" s="193" t="s">
        <v>1395</v>
      </c>
      <c r="F88" s="2326"/>
      <c r="G88" s="194" t="s">
        <v>1396</v>
      </c>
      <c r="H88" s="1823"/>
      <c r="I88" s="1820"/>
      <c r="J88" s="2514" t="s">
        <v>2260</v>
      </c>
      <c r="K88" s="1817"/>
      <c r="L88" s="1817"/>
      <c r="M88" s="1817"/>
      <c r="N88" s="1817"/>
      <c r="O88" s="1817"/>
      <c r="P88" s="1817"/>
      <c r="Q88" s="1817"/>
      <c r="R88" s="1817"/>
      <c r="S88" s="1817"/>
      <c r="T88" s="1817"/>
      <c r="U88" s="1817"/>
      <c r="V88" s="1817"/>
      <c r="W88" s="1817"/>
      <c r="X88" s="1817"/>
      <c r="Y88" s="1817"/>
      <c r="Z88" s="1817"/>
      <c r="AA88" s="1818"/>
      <c r="AB88" s="1818"/>
      <c r="AC88" s="1818"/>
      <c r="AD88" s="1818"/>
      <c r="AE88" s="1818"/>
      <c r="AF88" s="1818"/>
      <c r="AG88" s="1818"/>
      <c r="AH88" s="1818"/>
      <c r="AI88" s="1818"/>
    </row>
    <row r="89" spans="1:35" s="1816" customFormat="1" ht="14.25" hidden="1">
      <c r="A89" s="169" t="s">
        <v>332</v>
      </c>
      <c r="B89" s="170" t="s">
        <v>1385</v>
      </c>
      <c r="C89" s="2550">
        <f>ROUND(C88*D89,0)</f>
        <v>0</v>
      </c>
      <c r="D89" s="2551">
        <f>'数据-取费表'!B48+'数据-取费表'!B49</f>
        <v>3.0499999999999999E-2</v>
      </c>
      <c r="E89" s="193" t="s">
        <v>1397</v>
      </c>
      <c r="F89" s="2326"/>
      <c r="G89" s="2326"/>
      <c r="H89" s="2327"/>
      <c r="I89" s="1820"/>
      <c r="J89" s="1817"/>
      <c r="K89" s="1817"/>
      <c r="L89" s="1817"/>
      <c r="M89" s="1817"/>
      <c r="N89" s="1817"/>
      <c r="O89" s="1817"/>
      <c r="P89" s="1817"/>
      <c r="Q89" s="1817"/>
      <c r="R89" s="1817"/>
      <c r="S89" s="1817"/>
      <c r="T89" s="1817"/>
      <c r="U89" s="1817"/>
      <c r="V89" s="1817"/>
      <c r="W89" s="1817"/>
      <c r="X89" s="1817"/>
      <c r="Y89" s="1817"/>
      <c r="Z89" s="1817"/>
      <c r="AA89" s="1818"/>
      <c r="AB89" s="1818"/>
      <c r="AC89" s="1818"/>
      <c r="AD89" s="1818"/>
      <c r="AE89" s="1818"/>
      <c r="AF89" s="1818"/>
      <c r="AG89" s="1818"/>
      <c r="AH89" s="1818"/>
      <c r="AI89" s="1818"/>
    </row>
    <row r="90" spans="1:35" s="1816" customFormat="1" ht="14.25" hidden="1">
      <c r="A90" s="169" t="s">
        <v>326</v>
      </c>
      <c r="B90" s="170" t="s">
        <v>1398</v>
      </c>
      <c r="C90" s="2556"/>
      <c r="D90" s="2551"/>
      <c r="E90" s="193" t="str">
        <f>IF(H88="-","土地取得成本中已包含该笔费用"," ")</f>
        <v xml:space="preserve"> </v>
      </c>
      <c r="F90" s="2326"/>
      <c r="G90" s="3672" t="s">
        <v>2110</v>
      </c>
      <c r="H90" s="3673"/>
      <c r="I90" s="1820"/>
      <c r="J90" s="2514" t="s">
        <v>2261</v>
      </c>
      <c r="K90" s="1817"/>
      <c r="L90" s="1817"/>
      <c r="M90" s="1817"/>
      <c r="N90" s="1817"/>
      <c r="O90" s="1817"/>
      <c r="P90" s="1817"/>
      <c r="Q90" s="1817"/>
      <c r="R90" s="1817"/>
      <c r="S90" s="1817"/>
      <c r="T90" s="1817"/>
      <c r="U90" s="1817"/>
      <c r="V90" s="1817"/>
      <c r="W90" s="1817"/>
      <c r="X90" s="1817"/>
      <c r="Y90" s="1817"/>
      <c r="Z90" s="1817"/>
      <c r="AA90" s="1818"/>
      <c r="AB90" s="1818"/>
      <c r="AC90" s="1818"/>
      <c r="AD90" s="1818"/>
      <c r="AE90" s="1818"/>
      <c r="AF90" s="1818"/>
      <c r="AG90" s="1818"/>
      <c r="AH90" s="1818"/>
      <c r="AI90" s="1818"/>
    </row>
    <row r="91" spans="1:35" s="1816" customFormat="1" ht="27.75" hidden="1" customHeight="1">
      <c r="A91" s="169" t="s">
        <v>1399</v>
      </c>
      <c r="B91" s="170" t="s">
        <v>1400</v>
      </c>
      <c r="C91" s="2550">
        <f>IF(H91="——",成本法!C33,I91)</f>
        <v>0</v>
      </c>
      <c r="D91" s="2551"/>
      <c r="E91" s="3589" t="s">
        <v>1401</v>
      </c>
      <c r="F91" s="3590"/>
      <c r="G91" s="3590"/>
      <c r="H91" s="1824"/>
      <c r="I91" s="1825"/>
      <c r="J91" s="1817"/>
      <c r="K91" s="1817"/>
      <c r="L91" s="1817"/>
      <c r="M91" s="1817"/>
      <c r="N91" s="1817"/>
      <c r="O91" s="1817"/>
      <c r="P91" s="1817"/>
      <c r="Q91" s="1817"/>
      <c r="R91" s="1817"/>
      <c r="S91" s="1817"/>
      <c r="T91" s="1817"/>
      <c r="U91" s="1817"/>
      <c r="V91" s="1817"/>
      <c r="W91" s="1817"/>
      <c r="X91" s="1817"/>
      <c r="Y91" s="1817"/>
      <c r="Z91" s="1817"/>
      <c r="AA91" s="1818"/>
      <c r="AB91" s="1818"/>
      <c r="AC91" s="1818"/>
      <c r="AD91" s="1818"/>
      <c r="AE91" s="1818"/>
      <c r="AF91" s="1818"/>
      <c r="AG91" s="1818"/>
      <c r="AH91" s="1818"/>
      <c r="AI91" s="1818"/>
    </row>
    <row r="92" spans="1:35" s="1816" customFormat="1" ht="25.5" hidden="1" customHeight="1">
      <c r="A92" s="169" t="s">
        <v>1402</v>
      </c>
      <c r="B92" s="170" t="s">
        <v>1403</v>
      </c>
      <c r="C92" s="2550">
        <f>ROUND((C87+C90+C91)*D92,0)</f>
        <v>0</v>
      </c>
      <c r="D92" s="2557"/>
      <c r="E92" s="3589" t="s">
        <v>1404</v>
      </c>
      <c r="F92" s="3590"/>
      <c r="G92" s="3590"/>
      <c r="H92" s="3599"/>
      <c r="I92" s="1820"/>
      <c r="J92" s="2515" t="s">
        <v>2262</v>
      </c>
      <c r="K92" s="1817"/>
      <c r="L92" s="1817"/>
      <c r="M92" s="1817"/>
      <c r="N92" s="1817"/>
      <c r="O92" s="1817"/>
      <c r="P92" s="1817"/>
      <c r="Q92" s="1817"/>
      <c r="R92" s="1817"/>
      <c r="S92" s="1817"/>
      <c r="T92" s="1817"/>
      <c r="U92" s="1817"/>
      <c r="V92" s="1817"/>
      <c r="W92" s="1817"/>
      <c r="X92" s="1817"/>
      <c r="Y92" s="1817"/>
      <c r="Z92" s="1817"/>
      <c r="AA92" s="1818"/>
      <c r="AB92" s="1818"/>
      <c r="AC92" s="1818"/>
      <c r="AD92" s="1818"/>
      <c r="AE92" s="1818"/>
      <c r="AF92" s="1818"/>
      <c r="AG92" s="1818"/>
      <c r="AH92" s="1818"/>
      <c r="AI92" s="1818"/>
    </row>
    <row r="93" spans="1:35" s="1816" customFormat="1" ht="25.5" hidden="1" customHeight="1">
      <c r="A93" s="169" t="s">
        <v>1405</v>
      </c>
      <c r="B93" s="170" t="s">
        <v>1387</v>
      </c>
      <c r="C93" s="2550">
        <f ca="1">ROUND(D45*D93/(1+'数据-取费表'!C42),0)</f>
        <v>87</v>
      </c>
      <c r="D93" s="2551">
        <f>'数据-取费表'!B43</f>
        <v>5.000000000000001E-3</v>
      </c>
      <c r="E93" s="3589" t="s">
        <v>1388</v>
      </c>
      <c r="F93" s="3590"/>
      <c r="G93" s="3590"/>
      <c r="H93" s="3599"/>
      <c r="I93" s="1820"/>
      <c r="J93" s="1817"/>
      <c r="K93" s="1817"/>
      <c r="L93" s="1817"/>
      <c r="M93" s="1817"/>
      <c r="N93" s="1817"/>
      <c r="O93" s="1817"/>
      <c r="P93" s="1817"/>
      <c r="Q93" s="1817"/>
      <c r="R93" s="1817"/>
      <c r="S93" s="1817"/>
      <c r="T93" s="1817"/>
      <c r="U93" s="1817"/>
      <c r="V93" s="1817"/>
      <c r="W93" s="1817"/>
      <c r="X93" s="1817"/>
      <c r="Y93" s="1817"/>
      <c r="Z93" s="1817"/>
      <c r="AA93" s="1818"/>
      <c r="AB93" s="1818"/>
      <c r="AC93" s="1818"/>
      <c r="AD93" s="1818"/>
      <c r="AE93" s="1818"/>
      <c r="AF93" s="1818"/>
      <c r="AG93" s="1818"/>
      <c r="AH93" s="1818"/>
      <c r="AI93" s="1818"/>
    </row>
    <row r="94" spans="1:35" s="1816" customFormat="1" ht="36.75" hidden="1" customHeight="1">
      <c r="A94" s="169" t="s">
        <v>1406</v>
      </c>
      <c r="B94" s="170" t="s">
        <v>1407</v>
      </c>
      <c r="C94" s="2556">
        <f>ROUND((C87+C90+C91)*D94,0)</f>
        <v>0</v>
      </c>
      <c r="D94" s="2551">
        <v>0.2</v>
      </c>
      <c r="E94" s="3600" t="s">
        <v>1408</v>
      </c>
      <c r="F94" s="3601"/>
      <c r="G94" s="3601"/>
      <c r="H94" s="3602"/>
      <c r="I94" s="1820"/>
      <c r="J94" s="1817"/>
      <c r="K94" s="1817"/>
      <c r="L94" s="1817"/>
      <c r="M94" s="1817"/>
      <c r="N94" s="1817"/>
      <c r="O94" s="1817"/>
      <c r="P94" s="1817"/>
      <c r="Q94" s="1817"/>
      <c r="R94" s="1817"/>
      <c r="S94" s="1817"/>
      <c r="T94" s="1817"/>
      <c r="U94" s="1817"/>
      <c r="V94" s="1817"/>
      <c r="W94" s="1817"/>
      <c r="X94" s="1817"/>
      <c r="Y94" s="1817"/>
      <c r="Z94" s="1817"/>
      <c r="AA94" s="1818"/>
      <c r="AB94" s="1818"/>
      <c r="AC94" s="1818"/>
      <c r="AD94" s="1818"/>
      <c r="AE94" s="1818"/>
      <c r="AF94" s="1818"/>
      <c r="AG94" s="1818"/>
      <c r="AH94" s="1818"/>
      <c r="AI94" s="1818"/>
    </row>
    <row r="95" spans="1:35" s="1816" customFormat="1" ht="14.25" hidden="1">
      <c r="A95" s="173" t="s">
        <v>334</v>
      </c>
      <c r="B95" s="174" t="s">
        <v>1389</v>
      </c>
      <c r="C95" s="2542">
        <f ca="1">ROUND(C85-C86,0)</f>
        <v>17308</v>
      </c>
      <c r="D95" s="170" t="s">
        <v>26</v>
      </c>
      <c r="E95" s="2330"/>
      <c r="F95" s="2329"/>
      <c r="G95" s="2329"/>
      <c r="H95" s="192"/>
      <c r="I95" s="1820"/>
      <c r="J95" s="1817"/>
      <c r="K95" s="1817"/>
      <c r="L95" s="1817"/>
      <c r="M95" s="1817"/>
      <c r="N95" s="1817"/>
      <c r="O95" s="1817"/>
      <c r="P95" s="1817"/>
      <c r="Q95" s="1817"/>
      <c r="R95" s="1817"/>
      <c r="S95" s="1817"/>
      <c r="T95" s="1817"/>
      <c r="U95" s="1817"/>
      <c r="V95" s="1817"/>
      <c r="W95" s="1817"/>
      <c r="X95" s="1817"/>
      <c r="Y95" s="1817"/>
      <c r="Z95" s="1817"/>
      <c r="AA95" s="1818"/>
      <c r="AB95" s="1818"/>
      <c r="AC95" s="1818"/>
      <c r="AD95" s="1818"/>
      <c r="AE95" s="1818"/>
      <c r="AF95" s="1818"/>
      <c r="AG95" s="1818"/>
      <c r="AH95" s="1818"/>
      <c r="AI95" s="1818"/>
    </row>
    <row r="96" spans="1:35" s="1816" customFormat="1" ht="24" hidden="1">
      <c r="A96" s="173" t="s">
        <v>335</v>
      </c>
      <c r="B96" s="174" t="s">
        <v>1390</v>
      </c>
      <c r="C96" s="2552">
        <f ca="1">IF(C95&lt;=0,0,C95/C86)</f>
        <v>198.94252873563218</v>
      </c>
      <c r="D96" s="170" t="s">
        <v>26</v>
      </c>
      <c r="E96" s="2323" t="str">
        <f ca="1">IF(C96&gt;=200%,"增值额超过扣除项目金额200%",IF(C96&gt;=100%,"增值额超过扣除项目金额100%，未超过200%",IF(C96&gt;=50%,"增值额超过扣除项目金额50%，未超过100%",IF(C96&lt;50%,"增值额未超过扣除项目金额50%"))))</f>
        <v>增值额超过扣除项目金额200%</v>
      </c>
      <c r="F96" s="2329"/>
      <c r="G96" s="2329"/>
      <c r="H96" s="192"/>
      <c r="I96" s="1820"/>
      <c r="J96" s="1817"/>
      <c r="K96" s="1817"/>
      <c r="L96" s="1817"/>
      <c r="M96" s="1817"/>
      <c r="N96" s="1817"/>
      <c r="O96" s="1817"/>
      <c r="P96" s="1817"/>
      <c r="Q96" s="1817"/>
      <c r="R96" s="1817"/>
      <c r="S96" s="1817"/>
      <c r="T96" s="1817"/>
      <c r="U96" s="1817"/>
      <c r="V96" s="1817"/>
      <c r="W96" s="1817"/>
      <c r="X96" s="1817"/>
      <c r="Y96" s="1817"/>
      <c r="Z96" s="1817"/>
      <c r="AA96" s="1818"/>
      <c r="AB96" s="1818"/>
      <c r="AC96" s="1818"/>
      <c r="AD96" s="1818"/>
      <c r="AE96" s="1818"/>
      <c r="AF96" s="1818"/>
      <c r="AG96" s="1818"/>
      <c r="AH96" s="1818"/>
      <c r="AI96" s="1818"/>
    </row>
    <row r="97" spans="1:35" s="1816" customFormat="1" ht="24.75" hidden="1" thickBot="1">
      <c r="A97" s="176" t="s">
        <v>336</v>
      </c>
      <c r="B97" s="177" t="s">
        <v>1391</v>
      </c>
      <c r="C97" s="2553">
        <f ca="1">ROUND(IF(C95&lt;=0,0,IF(C96&gt;=200%,C95*60%-C86*35%,IF(C96&gt;=100%,C95*50%-C86*15%,IF(C96&gt;=50%,C95*40%-C86*5%,IF(C96&lt;50%,C95*30%,0))))),0)</f>
        <v>10354</v>
      </c>
      <c r="D97" s="2554" t="s">
        <v>26</v>
      </c>
      <c r="E97" s="188" t="str">
        <f ca="1">IF(E96="增值额未超过扣除项目金额50%","土地增值税税额=增值额×30%",IF(E96="增值额超过扣除项目金额50%，未超过100%","土地增值税税额=增值额×40%－扣除项目金额×5% ",IF(E96="增值额超过扣除项目金额100%，未超过200%","土地增值税税额=增值额×50%－扣除项目金额×15%",IF(E96="增值额超过扣除项目金额200%","土地增值税税额=增值额×60%－扣除项目金额×35%"))))</f>
        <v>土地增值税税额=增值额×60%－扣除项目金额×35%</v>
      </c>
      <c r="F97" s="189"/>
      <c r="G97" s="189"/>
      <c r="H97" s="195"/>
      <c r="I97" s="1820"/>
      <c r="J97" s="1817"/>
      <c r="K97" s="1817"/>
      <c r="L97" s="1817"/>
      <c r="M97" s="1817"/>
      <c r="N97" s="1817"/>
      <c r="O97" s="1817"/>
      <c r="P97" s="1817"/>
      <c r="Q97" s="1817"/>
      <c r="R97" s="1817"/>
      <c r="S97" s="1817"/>
      <c r="T97" s="1817"/>
      <c r="U97" s="1817"/>
      <c r="V97" s="1817"/>
      <c r="W97" s="1817"/>
      <c r="X97" s="1817"/>
      <c r="Y97" s="1817"/>
      <c r="Z97" s="1817"/>
      <c r="AA97" s="1818"/>
      <c r="AB97" s="1818"/>
      <c r="AC97" s="1818"/>
      <c r="AD97" s="1818"/>
      <c r="AE97" s="1818"/>
      <c r="AF97" s="1818"/>
      <c r="AG97" s="1818"/>
      <c r="AH97" s="1818"/>
      <c r="AI97" s="1818"/>
    </row>
    <row r="98" spans="1:35" ht="21.75" hidden="1" customHeight="1">
      <c r="A98" s="1808"/>
      <c r="B98" s="1746"/>
      <c r="C98" s="1746"/>
      <c r="D98" s="1746"/>
      <c r="E98" s="1577"/>
      <c r="F98" s="1577"/>
      <c r="G98" s="1577"/>
      <c r="H98" s="1576"/>
      <c r="I98" s="129"/>
    </row>
    <row r="99" spans="1:35" ht="21.75" customHeight="1" thickBot="1">
      <c r="A99" s="1799" t="s">
        <v>1409</v>
      </c>
      <c r="B99" s="1746"/>
      <c r="C99" s="1746"/>
      <c r="D99" s="1746"/>
      <c r="E99" s="1577"/>
      <c r="F99" s="1577"/>
      <c r="G99" s="1577"/>
      <c r="H99" s="1576"/>
      <c r="I99" s="129"/>
    </row>
    <row r="100" spans="1:35" ht="18.75" customHeight="1">
      <c r="A100" s="3573" t="s">
        <v>1410</v>
      </c>
      <c r="B100" s="3574"/>
      <c r="C100" s="3574"/>
      <c r="D100" s="3591"/>
      <c r="E100" s="3574" t="s">
        <v>1411</v>
      </c>
      <c r="F100" s="3574"/>
      <c r="G100" s="3574"/>
      <c r="H100" s="3591"/>
      <c r="I100" s="129"/>
    </row>
    <row r="101" spans="1:35" ht="18.75" customHeight="1">
      <c r="A101" s="3652" t="s">
        <v>1412</v>
      </c>
      <c r="B101" s="3653"/>
      <c r="C101" s="2559" t="str">
        <f>C4</f>
        <v>成本法</v>
      </c>
      <c r="D101" s="2560" t="str">
        <f>D4</f>
        <v>收益法</v>
      </c>
      <c r="E101" s="3667" t="s">
        <v>1413</v>
      </c>
      <c r="F101" s="3623"/>
      <c r="G101" s="1826" t="s">
        <v>1414</v>
      </c>
      <c r="H101" s="2569">
        <f ca="1">H118</f>
        <v>18265</v>
      </c>
      <c r="I101" s="129"/>
    </row>
    <row r="102" spans="1:35" ht="18.75" customHeight="1">
      <c r="A102" s="3625" t="s">
        <v>1415</v>
      </c>
      <c r="B102" s="2558" t="s">
        <v>1414</v>
      </c>
      <c r="C102" s="2559">
        <f ca="1">IF(D32="楼面单价",ROUND(C19,0),C19)</f>
        <v>16805</v>
      </c>
      <c r="D102" s="2560">
        <f ca="1">IF(D32="楼面单价",ROUND(D19,0),D19)</f>
        <v>19725</v>
      </c>
      <c r="E102" s="3667"/>
      <c r="F102" s="3623"/>
      <c r="G102" s="1826" t="s">
        <v>1416</v>
      </c>
      <c r="H102" s="2529">
        <f ca="1">I118</f>
        <v>10402</v>
      </c>
      <c r="I102" s="129"/>
    </row>
    <row r="103" spans="1:35" ht="42.75" customHeight="1">
      <c r="A103" s="3625"/>
      <c r="B103" s="2558" t="s">
        <v>1416</v>
      </c>
      <c r="C103" s="2561">
        <f ca="1">C20</f>
        <v>9571</v>
      </c>
      <c r="D103" s="2562">
        <f ca="1">D20</f>
        <v>11233</v>
      </c>
      <c r="E103" s="3660" t="s">
        <v>1417</v>
      </c>
      <c r="F103" s="3661"/>
      <c r="G103" s="1827" t="s">
        <v>1418</v>
      </c>
      <c r="H103" s="2569">
        <f>IF(D36="正常操作",H104+H105+H106,H105+H106)</f>
        <v>0</v>
      </c>
      <c r="I103" s="129"/>
    </row>
    <row r="104" spans="1:35" ht="18.75" customHeight="1">
      <c r="A104" s="3625" t="s">
        <v>1419</v>
      </c>
      <c r="B104" s="2563" t="s">
        <v>1414</v>
      </c>
      <c r="C104" s="2564">
        <f ca="1">H118</f>
        <v>18265</v>
      </c>
      <c r="D104" s="2565"/>
      <c r="E104" s="1673" t="s">
        <v>1420</v>
      </c>
      <c r="F104" s="1665"/>
      <c r="G104" s="1827" t="s">
        <v>1418</v>
      </c>
      <c r="H104" s="2570">
        <f>IF(D36="同一抵押权人同一抵押物续贷",C36&amp;"（续贷，未扣减，详见特别提示）",C36)</f>
        <v>0</v>
      </c>
      <c r="I104" s="129"/>
    </row>
    <row r="105" spans="1:35" ht="18.75" customHeight="1" thickBot="1">
      <c r="A105" s="3626"/>
      <c r="B105" s="2566" t="s">
        <v>1416</v>
      </c>
      <c r="C105" s="2567">
        <f ca="1">I118</f>
        <v>10402</v>
      </c>
      <c r="D105" s="2568"/>
      <c r="E105" s="1673" t="s">
        <v>1421</v>
      </c>
      <c r="F105" s="1665"/>
      <c r="G105" s="1827" t="s">
        <v>1418</v>
      </c>
      <c r="H105" s="2571">
        <f>C37</f>
        <v>0</v>
      </c>
      <c r="I105" s="129"/>
    </row>
    <row r="106" spans="1:35" ht="18.75" customHeight="1">
      <c r="A106" s="1746" t="s">
        <v>1422</v>
      </c>
      <c r="B106" s="1746"/>
      <c r="C106" s="1746"/>
      <c r="D106" s="1746"/>
      <c r="E106" s="1828" t="s">
        <v>1423</v>
      </c>
      <c r="F106" s="1665"/>
      <c r="G106" s="1827" t="s">
        <v>1418</v>
      </c>
      <c r="H106" s="2571">
        <f>C38</f>
        <v>0</v>
      </c>
      <c r="I106" s="129"/>
    </row>
    <row r="107" spans="1:35" ht="18.75" customHeight="1">
      <c r="A107" s="129"/>
      <c r="B107" s="129"/>
      <c r="C107" s="129"/>
      <c r="D107" s="129"/>
      <c r="E107" s="3622" t="str">
        <f>IF(项目基本情况!E8="已注销","——","3.房地产抵押价值")</f>
        <v>3.房地产抵押价值</v>
      </c>
      <c r="F107" s="3623"/>
      <c r="G107" s="1826" t="s">
        <v>1414</v>
      </c>
      <c r="H107" s="2569">
        <f ca="1">IF(E107="——","——",H101-H103)</f>
        <v>18265</v>
      </c>
      <c r="I107" s="129"/>
    </row>
    <row r="108" spans="1:35" ht="18.75" customHeight="1">
      <c r="A108" s="129"/>
      <c r="B108" s="129"/>
      <c r="C108" s="129"/>
      <c r="D108" s="129"/>
      <c r="E108" s="3622"/>
      <c r="F108" s="3623"/>
      <c r="G108" s="1826" t="s">
        <v>1416</v>
      </c>
      <c r="H108" s="2529">
        <f ca="1">IF(H107=H101,H102,ROUND(H107*10000/'数据-汇总表'!E3,0))</f>
        <v>10402</v>
      </c>
      <c r="I108" s="129"/>
    </row>
    <row r="109" spans="1:35" ht="18.75" customHeight="1">
      <c r="A109" s="129"/>
      <c r="B109" s="129"/>
      <c r="C109" s="129"/>
      <c r="D109" s="129"/>
      <c r="E109" s="3622" t="str">
        <f>IF(项目基本情况!E8="已注销及未注销","4.抵押担保权已注销时的房地产抵押价值",IF(项目基本情况!E8="已注销","3.抵押担保权已注销时的房地产抵押价值","——"))</f>
        <v>——</v>
      </c>
      <c r="F109" s="3623"/>
      <c r="G109" s="1826" t="s">
        <v>1414</v>
      </c>
      <c r="H109" s="2572" t="str">
        <f>IF(E109="——","——",H101-H105-H106)</f>
        <v>——</v>
      </c>
      <c r="I109" s="129"/>
    </row>
    <row r="110" spans="1:35" ht="18.75" customHeight="1">
      <c r="A110" s="129"/>
      <c r="B110" s="129"/>
      <c r="C110" s="129"/>
      <c r="D110" s="129"/>
      <c r="E110" s="3622"/>
      <c r="F110" s="3623"/>
      <c r="G110" s="1826" t="s">
        <v>1416</v>
      </c>
      <c r="H110" s="2529" t="str">
        <f>IF(H109="——","——",ROUND(H109*10000/'数据-汇总表'!E3,0))</f>
        <v>——</v>
      </c>
      <c r="I110" s="129"/>
    </row>
    <row r="111" spans="1:35" ht="18.75" customHeight="1">
      <c r="A111" s="129"/>
      <c r="B111" s="129"/>
      <c r="C111" s="129"/>
      <c r="D111" s="129"/>
      <c r="E111" s="3654" t="str">
        <f>IF(项目基本情况!E9="抵押净值",IF(OR(项目基本情况!E8="已注销",项目基本情况!E8="房地产抵押价值"),"4.抵押净值","5.抵押净值"),"——")</f>
        <v>4.抵押净值</v>
      </c>
      <c r="F111" s="3624"/>
      <c r="G111" s="1826" t="s">
        <v>1414</v>
      </c>
      <c r="H111" s="2569">
        <f ca="1">IF(E111="——","——",N59)</f>
        <v>16429</v>
      </c>
      <c r="I111" s="129"/>
    </row>
    <row r="112" spans="1:35" ht="18.75" customHeight="1" thickBot="1">
      <c r="A112" s="129"/>
      <c r="B112" s="129"/>
      <c r="C112" s="129"/>
      <c r="D112" s="129"/>
      <c r="E112" s="3655"/>
      <c r="F112" s="3656"/>
      <c r="G112" s="1829" t="s">
        <v>1416</v>
      </c>
      <c r="H112" s="2573">
        <f ca="1">IF(E111="——","——",N61)</f>
        <v>9356</v>
      </c>
      <c r="I112" s="129"/>
    </row>
    <row r="113" spans="1:27" ht="18.75" customHeight="1">
      <c r="A113" s="129"/>
      <c r="B113" s="129"/>
      <c r="C113" s="129"/>
      <c r="D113" s="129"/>
      <c r="E113" s="3627" t="s">
        <v>1422</v>
      </c>
      <c r="F113" s="3627"/>
      <c r="G113" s="3627"/>
      <c r="H113" s="3627"/>
      <c r="I113" s="129"/>
    </row>
    <row r="114" spans="1:27" ht="3.75" customHeight="1">
      <c r="A114" s="1746"/>
      <c r="B114" s="1746"/>
      <c r="C114" s="1746"/>
      <c r="D114" s="1746"/>
      <c r="E114" s="1808"/>
      <c r="F114" s="1808"/>
      <c r="G114" s="1808"/>
      <c r="H114" s="1808"/>
      <c r="I114" s="1746"/>
    </row>
    <row r="115" spans="1:27" ht="18.75" customHeight="1">
      <c r="A115" s="3637" t="s">
        <v>1424</v>
      </c>
      <c r="B115" s="3638"/>
      <c r="C115" s="3638"/>
      <c r="D115" s="3638"/>
      <c r="E115" s="3638"/>
      <c r="F115" s="3638"/>
      <c r="G115" s="3638"/>
      <c r="H115" s="3638"/>
      <c r="I115" s="3639"/>
    </row>
    <row r="116" spans="1:27" ht="27" customHeight="1">
      <c r="A116" s="3593" t="s">
        <v>1425</v>
      </c>
      <c r="B116" s="3628" t="s">
        <v>1426</v>
      </c>
      <c r="C116" s="3628" t="s">
        <v>1427</v>
      </c>
      <c r="D116" s="3641" t="s">
        <v>1428</v>
      </c>
      <c r="E116" s="3642"/>
      <c r="F116" s="3636" t="s">
        <v>1429</v>
      </c>
      <c r="G116" s="3636"/>
      <c r="H116" s="3593" t="s">
        <v>1430</v>
      </c>
      <c r="I116" s="3593"/>
    </row>
    <row r="117" spans="1:27" ht="18.75" customHeight="1">
      <c r="A117" s="3593"/>
      <c r="B117" s="3629"/>
      <c r="C117" s="3629"/>
      <c r="D117" s="2328" t="s">
        <v>1431</v>
      </c>
      <c r="E117" s="2328" t="s">
        <v>1432</v>
      </c>
      <c r="F117" s="2328" t="s">
        <v>1431</v>
      </c>
      <c r="G117" s="2328" t="s">
        <v>1433</v>
      </c>
      <c r="H117" s="2328" t="s">
        <v>1431</v>
      </c>
      <c r="I117" s="2328" t="s">
        <v>1433</v>
      </c>
    </row>
    <row r="118" spans="1:27" ht="24.75" customHeight="1">
      <c r="A118" s="2574" t="str">
        <f>项目基本情况!S2</f>
        <v>北京市昌平区生命园路20号院1号楼-1至4层101房地产</v>
      </c>
      <c r="B118" s="2328">
        <f>M18</f>
        <v>17559.11</v>
      </c>
      <c r="C118" s="2328">
        <f>M19</f>
        <v>15637.42</v>
      </c>
      <c r="D118" s="2328">
        <f ca="1">ROUND(IF(D32="总价",C34,E118*B118/10000),0)</f>
        <v>3836</v>
      </c>
      <c r="E118" s="2328">
        <f ca="1">ROUND(IF(C33="自定义",IF(D32="楼面单价",C34,D118*10000/B118),I118-G118),0)</f>
        <v>2185</v>
      </c>
      <c r="F118" s="2328">
        <f ca="1">ROUND(IF(D32="总价",C35,G118*B118/10000),0)</f>
        <v>14429</v>
      </c>
      <c r="G118" s="2328">
        <f ca="1">ROUND(IF(D32="楼面单价",C35,F118*10000/B118),0)</f>
        <v>8217</v>
      </c>
      <c r="H118" s="2328">
        <f ca="1">ROUND(IF(D32="总价",C32,I118*B118/10000),0)</f>
        <v>18265</v>
      </c>
      <c r="I118" s="2328">
        <f ca="1">ROUND(IF(D32="楼面单价",C32,H118*10000/B118),0)</f>
        <v>10402</v>
      </c>
    </row>
    <row r="119" spans="1:27" ht="18.75" customHeight="1">
      <c r="A119" s="3593" t="s">
        <v>1434</v>
      </c>
      <c r="B119" s="3593"/>
      <c r="C119" s="3593"/>
      <c r="D119" s="3633" t="str">
        <f ca="1">NUMBERSTRING(INT(D118*10000),2)&amp;"元整"</f>
        <v>叁仟捌佰叁拾陆万元整</v>
      </c>
      <c r="E119" s="3635"/>
      <c r="F119" s="3633" t="str">
        <f ca="1">NUMBERSTRING(INT(F118*10000),2)&amp;"元整"</f>
        <v>壹亿肆仟肆佰贰拾玖万元整</v>
      </c>
      <c r="G119" s="3635"/>
      <c r="H119" s="3633" t="str">
        <f ca="1">NUMBERSTRING(INT(H118*10000),2)&amp;"元整"</f>
        <v>壹亿捌仟贰佰陆拾伍万元整</v>
      </c>
      <c r="I119" s="3635"/>
    </row>
    <row r="120" spans="1:27" ht="18.75" customHeight="1">
      <c r="A120" s="3657" t="str">
        <f>IF(项目基本情况!B9="房地产市场价值","",MID(E103,3,LEN(E103)-2))</f>
        <v>估价师知悉的法定优先受偿款</v>
      </c>
      <c r="B120" s="3658"/>
      <c r="C120" s="3659"/>
      <c r="D120" s="3657">
        <f>H103</f>
        <v>0</v>
      </c>
      <c r="E120" s="3658"/>
      <c r="F120" s="3658"/>
      <c r="G120" s="3658"/>
      <c r="H120" s="3658"/>
      <c r="I120" s="3659"/>
      <c r="J120" s="1751"/>
      <c r="K120" s="1751" t="str">
        <f>IF(D120=0,"故，本次评估不存在"&amp;A120,"故，本次评估"&amp;A120&amp;"为人民币"&amp;D120&amp;"万元整。")</f>
        <v>故，本次评估不存在估价师知悉的法定优先受偿款</v>
      </c>
      <c r="L120" s="1751"/>
      <c r="M120" s="1751"/>
      <c r="N120" s="1751"/>
      <c r="O120" s="1751"/>
      <c r="P120" s="1751"/>
      <c r="Q120" s="1751"/>
      <c r="R120" s="1751"/>
      <c r="S120" s="1751"/>
    </row>
    <row r="121" spans="1:27" ht="18.75" customHeight="1">
      <c r="A121" s="3633" t="s">
        <v>1434</v>
      </c>
      <c r="B121" s="3634"/>
      <c r="C121" s="3635"/>
      <c r="D121" s="3633" t="str">
        <f>IF(D120=0,"零元整",NUMBERSTRING(INT(D120*10000),2)&amp;"元整")</f>
        <v>零元整</v>
      </c>
      <c r="E121" s="3634"/>
      <c r="F121" s="3634"/>
      <c r="G121" s="3634"/>
      <c r="H121" s="3634"/>
      <c r="I121" s="3635"/>
      <c r="AA121" s="725"/>
    </row>
    <row r="122" spans="1:27" ht="18.75" customHeight="1">
      <c r="A122" s="3624" t="str">
        <f>IF(项目基本情况!B9="房地产市场价值","",MID(E107,3,LEN(E107)-2))</f>
        <v>房地产抵押价值</v>
      </c>
      <c r="B122" s="3624"/>
      <c r="C122" s="3624"/>
      <c r="D122" s="3657">
        <f ca="1">H107</f>
        <v>18265</v>
      </c>
      <c r="E122" s="3658"/>
      <c r="F122" s="3658"/>
      <c r="G122" s="3658"/>
      <c r="H122" s="3658"/>
      <c r="I122" s="3659"/>
      <c r="AA122" s="725"/>
    </row>
    <row r="123" spans="1:27" ht="18.75" customHeight="1">
      <c r="A123" s="3593" t="s">
        <v>1434</v>
      </c>
      <c r="B123" s="3593"/>
      <c r="C123" s="3593"/>
      <c r="D123" s="3633" t="str">
        <f ca="1">NUMBERSTRING(INT(D122*10000),2)&amp;"元整"</f>
        <v>壹亿捌仟贰佰陆拾伍万元整</v>
      </c>
      <c r="E123" s="3634"/>
      <c r="F123" s="3634"/>
      <c r="G123" s="3634"/>
      <c r="H123" s="3634"/>
      <c r="I123" s="3635"/>
      <c r="AA123" s="725"/>
    </row>
    <row r="124" spans="1:27" ht="18.75" customHeight="1">
      <c r="A124" s="3624" t="str">
        <f>IF(项目基本情况!B9="房地产市场价值","",MID(E109,3,LEN(E109)-2))</f>
        <v/>
      </c>
      <c r="B124" s="3624"/>
      <c r="C124" s="3624"/>
      <c r="D124" s="3657" t="str">
        <f>H109</f>
        <v>——</v>
      </c>
      <c r="E124" s="3658"/>
      <c r="F124" s="3658"/>
      <c r="G124" s="3658"/>
      <c r="H124" s="3658"/>
      <c r="I124" s="3659"/>
      <c r="AA124" s="725"/>
    </row>
    <row r="125" spans="1:27" ht="18.75" customHeight="1">
      <c r="A125" s="3593" t="s">
        <v>1434</v>
      </c>
      <c r="B125" s="3593"/>
      <c r="C125" s="3593"/>
      <c r="D125" s="3633" t="e">
        <f>NUMBERSTRING(INT(D124*10000),2)&amp;"元整"</f>
        <v>#VALUE!</v>
      </c>
      <c r="E125" s="3634"/>
      <c r="F125" s="3634"/>
      <c r="G125" s="3634"/>
      <c r="H125" s="3634"/>
      <c r="I125" s="3635"/>
      <c r="AA125" s="725"/>
    </row>
    <row r="126" spans="1:27" ht="18.75" customHeight="1">
      <c r="A126" s="3624" t="str">
        <f>IF(项目基本情况!B9="房地产市场价值","",MID(E111,3,LEN(E111)-2))</f>
        <v>抵押净值</v>
      </c>
      <c r="B126" s="3624"/>
      <c r="C126" s="3624"/>
      <c r="D126" s="3657">
        <f ca="1">H111</f>
        <v>16429</v>
      </c>
      <c r="E126" s="3658"/>
      <c r="F126" s="3658"/>
      <c r="G126" s="3658"/>
      <c r="H126" s="3658"/>
      <c r="I126" s="3659"/>
      <c r="AA126" s="725"/>
    </row>
    <row r="127" spans="1:27" ht="18.75" customHeight="1">
      <c r="A127" s="3593" t="s">
        <v>1434</v>
      </c>
      <c r="B127" s="3593"/>
      <c r="C127" s="3593"/>
      <c r="D127" s="3633" t="str">
        <f ca="1">NUMBERSTRING(INT(D126*10000),2)&amp;"元整"</f>
        <v>壹亿陆仟肆佰贰拾玖万元整</v>
      </c>
      <c r="E127" s="3634"/>
      <c r="F127" s="3634"/>
      <c r="G127" s="3634"/>
      <c r="H127" s="3634"/>
      <c r="I127" s="3635"/>
      <c r="AA127" s="725"/>
    </row>
    <row r="128" spans="1:27" ht="21.75" customHeight="1">
      <c r="A128" s="3640" t="s">
        <v>1435</v>
      </c>
      <c r="B128" s="3640"/>
      <c r="C128" s="3640"/>
      <c r="D128" s="3640"/>
      <c r="E128" s="3640"/>
      <c r="F128" s="3640"/>
      <c r="G128" s="3640"/>
      <c r="H128" s="3640"/>
      <c r="I128" s="3640"/>
      <c r="AA128" s="725"/>
    </row>
    <row r="129" spans="1:35" ht="21.75" customHeight="1">
      <c r="A129" s="1830" t="s">
        <v>1436</v>
      </c>
      <c r="B129" s="1831"/>
      <c r="C129" s="1832" t="s">
        <v>1437</v>
      </c>
      <c r="D129" s="1833"/>
      <c r="E129" s="1833"/>
      <c r="F129" s="1833"/>
      <c r="G129" s="1833"/>
      <c r="H129" s="1834"/>
      <c r="I129" s="1835"/>
      <c r="AA129" s="725"/>
    </row>
    <row r="130" spans="1:35" ht="21.75" customHeight="1">
      <c r="A130" s="1836">
        <v>1</v>
      </c>
      <c r="B130" s="1837"/>
      <c r="C130" s="1837"/>
      <c r="D130" s="1838"/>
      <c r="E130" s="1838"/>
      <c r="F130" s="1838"/>
      <c r="G130" s="1838"/>
      <c r="H130" s="1839"/>
      <c r="I130" s="1840"/>
      <c r="AA130" s="725"/>
    </row>
    <row r="131" spans="1:35" ht="21.75" customHeight="1">
      <c r="A131" s="1836">
        <v>2</v>
      </c>
      <c r="B131" s="1837"/>
      <c r="C131" s="1837"/>
      <c r="D131" s="1838"/>
      <c r="E131" s="1838"/>
      <c r="F131" s="1838"/>
      <c r="G131" s="1838"/>
      <c r="H131" s="1839"/>
      <c r="I131" s="1840"/>
      <c r="AA131" s="725"/>
    </row>
    <row r="132" spans="1:35" ht="21.75" customHeight="1">
      <c r="A132" s="1836">
        <v>3</v>
      </c>
      <c r="B132" s="1837"/>
      <c r="C132" s="1837"/>
      <c r="D132" s="1838"/>
      <c r="E132" s="1838"/>
      <c r="F132" s="1838"/>
      <c r="G132" s="1838"/>
      <c r="H132" s="1839"/>
      <c r="I132" s="1840"/>
      <c r="AA132" s="725"/>
    </row>
    <row r="133" spans="1:35" ht="21.75" customHeight="1">
      <c r="A133" s="1841"/>
      <c r="B133" s="1842"/>
      <c r="C133" s="1842"/>
      <c r="D133" s="1843"/>
      <c r="E133" s="1843"/>
      <c r="F133" s="1843"/>
      <c r="G133" s="1843"/>
      <c r="H133" s="1844"/>
      <c r="I133" s="1845"/>
    </row>
    <row r="134" spans="1:35" ht="21.75" customHeight="1">
      <c r="A134" s="1837"/>
      <c r="B134" s="1837"/>
      <c r="C134" s="1837"/>
      <c r="D134" s="1838"/>
      <c r="E134" s="1838"/>
      <c r="F134" s="1838"/>
      <c r="G134" s="1838"/>
      <c r="H134" s="1839"/>
      <c r="I134" s="725"/>
    </row>
    <row r="135" spans="1:35" ht="21.75" customHeight="1">
      <c r="A135" s="725"/>
      <c r="B135" s="725"/>
      <c r="C135" s="725"/>
      <c r="D135" s="725"/>
      <c r="E135" s="725"/>
      <c r="F135" s="1846" t="s">
        <v>1438</v>
      </c>
      <c r="G135" s="1847"/>
      <c r="H135" s="1847"/>
      <c r="I135" s="1848" t="s">
        <v>1439</v>
      </c>
    </row>
    <row r="136" spans="1:35" ht="21.75" customHeight="1">
      <c r="A136" s="725"/>
      <c r="B136" s="1849" t="s">
        <v>1440</v>
      </c>
      <c r="C136" s="725"/>
      <c r="D136" s="725"/>
      <c r="E136" s="725"/>
      <c r="F136" s="725"/>
      <c r="G136" s="725"/>
      <c r="H136" s="725"/>
      <c r="I136" s="725"/>
    </row>
    <row r="137" spans="1:35" ht="21.75" customHeight="1">
      <c r="A137" s="725"/>
      <c r="B137" s="725"/>
      <c r="C137" s="725"/>
      <c r="D137" s="725"/>
      <c r="E137" s="725"/>
      <c r="F137" s="725"/>
      <c r="G137" s="725"/>
      <c r="H137" s="725"/>
      <c r="I137" s="725"/>
    </row>
    <row r="138" spans="1:35" ht="21.75" customHeight="1">
      <c r="A138" s="725"/>
      <c r="B138" s="1847"/>
      <c r="C138" s="1847"/>
      <c r="D138" s="1847"/>
      <c r="E138" s="1847"/>
      <c r="F138" s="1847"/>
      <c r="G138" s="1847"/>
      <c r="H138" s="1847"/>
      <c r="I138" s="1848" t="s">
        <v>1441</v>
      </c>
    </row>
    <row r="139" spans="1:35" ht="21.75" customHeight="1">
      <c r="A139" s="725"/>
      <c r="B139" s="1849" t="s">
        <v>1442</v>
      </c>
      <c r="C139" s="725"/>
      <c r="D139" s="725"/>
      <c r="E139" s="725"/>
      <c r="F139" s="725"/>
      <c r="G139" s="725"/>
      <c r="H139" s="725"/>
      <c r="I139" s="725"/>
    </row>
    <row r="140" spans="1:35" ht="21.75" customHeight="1">
      <c r="A140" s="725"/>
      <c r="B140" s="1849"/>
      <c r="C140" s="725"/>
      <c r="D140" s="725"/>
      <c r="E140" s="725"/>
      <c r="F140" s="725"/>
      <c r="G140" s="725"/>
      <c r="H140" s="725"/>
      <c r="I140" s="725"/>
    </row>
    <row r="141" spans="1:35" ht="21.75" customHeight="1">
      <c r="A141" s="725"/>
      <c r="B141" s="1847"/>
      <c r="C141" s="1847"/>
      <c r="D141" s="1847"/>
      <c r="E141" s="1847"/>
      <c r="F141" s="1847"/>
      <c r="G141" s="1847"/>
      <c r="H141" s="1847"/>
      <c r="I141" s="1848" t="s">
        <v>1441</v>
      </c>
    </row>
    <row r="142" spans="1:35" ht="21.75" customHeight="1">
      <c r="A142" s="725"/>
      <c r="B142" s="1849"/>
      <c r="C142" s="1850"/>
      <c r="D142" s="1851"/>
      <c r="E142" s="1851"/>
      <c r="F142" s="1740"/>
      <c r="G142" s="725"/>
      <c r="H142" s="725"/>
      <c r="I142" s="725"/>
    </row>
    <row r="143" spans="1:35" s="130" customFormat="1" ht="21.75" customHeight="1">
      <c r="A143" s="725"/>
      <c r="B143" s="1849"/>
      <c r="C143" s="1850"/>
      <c r="D143" s="1851"/>
      <c r="E143" s="1851"/>
      <c r="F143" s="1740"/>
      <c r="G143" s="725"/>
      <c r="H143" s="725"/>
      <c r="I143" s="725"/>
      <c r="J143" s="725"/>
      <c r="K143" s="725"/>
      <c r="L143" s="725"/>
      <c r="M143" s="725"/>
      <c r="N143" s="725"/>
      <c r="O143" s="725"/>
      <c r="P143" s="725"/>
      <c r="Q143" s="725"/>
      <c r="R143" s="725"/>
      <c r="S143" s="725"/>
      <c r="T143" s="725"/>
      <c r="U143" s="725"/>
      <c r="V143" s="725"/>
      <c r="W143" s="725"/>
      <c r="X143" s="725"/>
      <c r="Y143" s="725"/>
      <c r="Z143" s="725"/>
      <c r="AA143" s="725"/>
      <c r="AB143" s="725"/>
      <c r="AC143" s="725"/>
      <c r="AD143" s="725"/>
      <c r="AE143" s="725"/>
      <c r="AF143" s="725"/>
      <c r="AG143" s="725"/>
      <c r="AH143" s="725"/>
      <c r="AI143" s="725"/>
    </row>
    <row r="144" spans="1:35" s="130" customFormat="1" ht="21.75" customHeight="1">
      <c r="A144" s="725"/>
      <c r="B144" s="725"/>
      <c r="C144" s="725"/>
      <c r="D144" s="725"/>
      <c r="E144" s="725"/>
      <c r="F144" s="725"/>
      <c r="G144" s="725"/>
      <c r="H144" s="725"/>
      <c r="I144" s="725"/>
      <c r="J144" s="725"/>
      <c r="K144" s="725"/>
      <c r="L144" s="725"/>
      <c r="M144" s="725"/>
      <c r="N144" s="725"/>
      <c r="O144" s="725"/>
      <c r="P144" s="725"/>
      <c r="Q144" s="725"/>
      <c r="R144" s="725"/>
      <c r="S144" s="725"/>
      <c r="T144" s="725"/>
      <c r="U144" s="725"/>
      <c r="V144" s="725"/>
      <c r="W144" s="725"/>
      <c r="X144" s="725"/>
      <c r="Y144" s="725"/>
      <c r="Z144" s="725"/>
      <c r="AA144" s="725"/>
      <c r="AB144" s="725"/>
      <c r="AC144" s="725"/>
      <c r="AD144" s="725"/>
      <c r="AE144" s="725"/>
      <c r="AF144" s="725"/>
      <c r="AG144" s="725"/>
      <c r="AH144" s="725"/>
      <c r="AI144" s="725"/>
    </row>
    <row r="145" spans="1:35" s="130" customFormat="1" ht="21.75" customHeight="1">
      <c r="A145" s="725"/>
      <c r="B145" s="725"/>
      <c r="C145" s="725"/>
      <c r="D145" s="725"/>
      <c r="E145" s="725"/>
      <c r="F145" s="725"/>
      <c r="G145" s="725"/>
      <c r="H145" s="725"/>
      <c r="I145" s="725"/>
      <c r="J145" s="725"/>
      <c r="K145" s="725"/>
      <c r="L145" s="725"/>
      <c r="M145" s="725"/>
      <c r="N145" s="725"/>
      <c r="O145" s="725"/>
      <c r="P145" s="725"/>
      <c r="Q145" s="725"/>
      <c r="R145" s="725"/>
      <c r="S145" s="725"/>
      <c r="T145" s="725"/>
      <c r="U145" s="725"/>
      <c r="V145" s="725"/>
      <c r="W145" s="725"/>
      <c r="X145" s="725"/>
      <c r="Y145" s="725"/>
      <c r="Z145" s="725"/>
      <c r="AA145" s="725"/>
      <c r="AB145" s="725"/>
      <c r="AC145" s="725"/>
      <c r="AD145" s="725"/>
      <c r="AE145" s="725"/>
      <c r="AF145" s="725"/>
      <c r="AG145" s="725"/>
      <c r="AH145" s="725"/>
      <c r="AI145" s="725"/>
    </row>
    <row r="146" spans="1:35" s="725" customFormat="1" ht="21.75" customHeight="1"/>
    <row r="147" spans="1:35" s="725" customFormat="1" ht="21.75" customHeight="1"/>
    <row r="148" spans="1:35" s="725" customFormat="1" ht="21.75" customHeight="1"/>
    <row r="149" spans="1:35" s="725" customFormat="1" ht="21.75" customHeight="1"/>
    <row r="150" spans="1:35" s="725" customFormat="1" ht="21.75" customHeight="1"/>
    <row r="151" spans="1:35" s="725" customFormat="1" ht="21.75" customHeight="1"/>
    <row r="152" spans="1:35" s="725" customFormat="1" ht="21.75" customHeight="1"/>
    <row r="153" spans="1:35" s="725" customFormat="1" ht="21.75" customHeight="1"/>
    <row r="154" spans="1:35" s="725" customFormat="1" ht="21.75" customHeight="1"/>
    <row r="155" spans="1:35" s="725" customFormat="1" ht="21.75" customHeight="1"/>
    <row r="156" spans="1:35" s="725" customFormat="1" ht="21.75" customHeight="1"/>
    <row r="157" spans="1:35" s="725" customFormat="1" ht="21.75" customHeight="1"/>
    <row r="158" spans="1:35" s="725" customFormat="1" ht="21.75" customHeight="1"/>
    <row r="159" spans="1:35" s="725" customFormat="1" ht="21.75" customHeight="1"/>
    <row r="160" spans="1:35" s="725" customFormat="1" ht="21.75" customHeight="1"/>
    <row r="161" s="725" customFormat="1" ht="21.75" customHeight="1"/>
    <row r="162" s="725" customFormat="1" ht="21.75" customHeight="1"/>
    <row r="163" s="725" customFormat="1" ht="21.75" customHeight="1"/>
    <row r="164" s="725" customFormat="1" ht="21.75" customHeight="1"/>
    <row r="165" s="725" customFormat="1" ht="21.75" customHeight="1"/>
    <row r="166" s="725" customFormat="1" ht="21.75" customHeight="1"/>
    <row r="167" s="725" customFormat="1" ht="21.75" customHeight="1"/>
    <row r="168" s="725" customFormat="1" ht="21.75" customHeight="1"/>
    <row r="169" s="725" customFormat="1" ht="21.75" customHeight="1"/>
    <row r="170" s="725" customFormat="1" ht="21.75" customHeight="1"/>
    <row r="171" s="725" customFormat="1" ht="21.75" customHeight="1"/>
    <row r="172" s="725" customFormat="1" ht="21.75" customHeight="1"/>
    <row r="173" s="725" customFormat="1" ht="21.75" customHeight="1"/>
    <row r="174" s="725" customFormat="1" ht="21.75" customHeight="1"/>
    <row r="175" s="725" customFormat="1" ht="21.75" customHeight="1"/>
    <row r="176" s="725" customFormat="1" ht="21.75" customHeight="1"/>
    <row r="177" s="725" customFormat="1" ht="21.75" customHeight="1"/>
    <row r="178" s="725" customFormat="1" ht="21.75" customHeight="1"/>
    <row r="179" s="725" customFormat="1" ht="21.75" customHeight="1"/>
    <row r="180" s="725" customFormat="1" ht="21.75" customHeight="1"/>
    <row r="181" s="725" customFormat="1" ht="21.75" customHeight="1"/>
    <row r="182" s="725" customFormat="1" ht="21.75" customHeight="1"/>
    <row r="183" s="725" customFormat="1" ht="21.75" customHeight="1"/>
    <row r="184" s="725" customFormat="1" ht="21.75" customHeight="1"/>
    <row r="185" s="725" customFormat="1" ht="21.75" customHeight="1"/>
    <row r="186" s="725" customFormat="1" ht="21.75" customHeight="1"/>
    <row r="187" s="725" customFormat="1" ht="21.75" customHeight="1"/>
    <row r="188" s="725" customFormat="1" ht="21.75" customHeight="1"/>
    <row r="189" s="725" customFormat="1" ht="21.75" customHeight="1"/>
    <row r="190" s="725" customFormat="1" ht="21.75" customHeight="1"/>
    <row r="191" s="725" customFormat="1" ht="21.75" customHeight="1"/>
    <row r="192" s="725" customFormat="1" ht="21.75" customHeight="1"/>
    <row r="193" s="725" customFormat="1" ht="21.75" customHeight="1"/>
    <row r="194" s="725" customFormat="1" ht="21.75" customHeight="1"/>
    <row r="195" s="725" customFormat="1" ht="21.75" customHeight="1"/>
    <row r="196" s="725" customFormat="1" ht="21.75" customHeight="1"/>
    <row r="197" s="725" customFormat="1" ht="21.75" customHeight="1"/>
    <row r="198" s="725" customFormat="1" ht="21.75" customHeight="1"/>
    <row r="199" s="725" customFormat="1" ht="21.75" customHeight="1"/>
    <row r="200" s="725" customFormat="1" ht="21.75" customHeight="1"/>
    <row r="201" s="725" customFormat="1" ht="21.75" customHeight="1"/>
    <row r="202" s="725" customFormat="1" ht="21.75" customHeight="1"/>
    <row r="203" s="725" customFormat="1" ht="21.75" customHeight="1"/>
    <row r="204" s="725" customFormat="1" ht="21.75" customHeight="1"/>
    <row r="205" s="725" customFormat="1" ht="21.75" customHeight="1"/>
    <row r="206" s="725" customFormat="1" ht="21.75" customHeight="1"/>
    <row r="207" s="725" customFormat="1" ht="21.75" customHeight="1"/>
    <row r="208" s="725" customFormat="1" ht="21.75" customHeight="1"/>
    <row r="209" s="725" customFormat="1" ht="21.75" customHeight="1"/>
    <row r="210" s="725" customFormat="1" ht="21.75" customHeight="1"/>
    <row r="211" s="725" customFormat="1" ht="21.75" customHeight="1"/>
    <row r="212" s="725" customFormat="1" ht="21.75" customHeight="1"/>
    <row r="213" s="725" customFormat="1" ht="21.75" customHeight="1"/>
    <row r="214" s="725" customFormat="1" ht="21.75" customHeight="1"/>
    <row r="215" s="725" customFormat="1" ht="21.75" customHeight="1"/>
    <row r="216" s="725" customFormat="1" ht="21.75" customHeight="1"/>
    <row r="217" s="725" customFormat="1" ht="21.75" customHeight="1"/>
    <row r="218" s="725" customFormat="1" ht="21.75" customHeight="1"/>
    <row r="219" s="725" customFormat="1" ht="21.75" customHeight="1"/>
    <row r="220" s="725" customFormat="1" ht="21.75" customHeight="1"/>
    <row r="221" s="725" customFormat="1" ht="21.75" customHeight="1"/>
    <row r="222" s="725" customFormat="1" ht="21.75" customHeight="1"/>
    <row r="223" s="725" customFormat="1" ht="21.75" customHeight="1"/>
    <row r="224" s="725" customFormat="1" ht="21.75" customHeight="1"/>
    <row r="225" s="725" customFormat="1" ht="21.75" customHeight="1"/>
    <row r="226" s="725" customFormat="1" ht="21.75" customHeight="1"/>
    <row r="227" s="725" customFormat="1" ht="21.75" customHeight="1"/>
    <row r="228" s="725" customFormat="1" ht="21.75" customHeight="1"/>
    <row r="229" s="725" customFormat="1" ht="21.75" customHeight="1"/>
    <row r="230" s="725" customFormat="1" ht="21.75" customHeight="1"/>
    <row r="231" s="725" customFormat="1" ht="21.75" customHeight="1"/>
    <row r="232" s="725" customFormat="1" ht="21.75" customHeight="1"/>
    <row r="233" s="725" customFormat="1" ht="21.75" customHeight="1"/>
    <row r="234" s="725" customFormat="1" ht="21.75" customHeight="1"/>
    <row r="235" s="725" customFormat="1" ht="21.75" customHeight="1"/>
    <row r="236" s="725" customFormat="1" ht="21.75" customHeight="1"/>
    <row r="237" s="725" customFormat="1" ht="21.75" customHeight="1"/>
    <row r="238" s="725" customFormat="1" ht="21.75" customHeight="1"/>
    <row r="239" s="725" customFormat="1" ht="21.75" customHeight="1"/>
    <row r="240" s="725" customFormat="1" ht="21.75" customHeight="1"/>
    <row r="241" s="725" customFormat="1" ht="21.75" customHeight="1"/>
    <row r="242" s="725" customFormat="1" ht="21.75" customHeight="1"/>
    <row r="243" s="725" customFormat="1" ht="21.75" customHeight="1"/>
    <row r="244" s="725" customFormat="1" ht="21.75" customHeight="1"/>
    <row r="245" s="725" customFormat="1" ht="21.75" customHeight="1"/>
    <row r="246" s="725" customFormat="1" ht="21.75" customHeight="1"/>
    <row r="247" s="725" customFormat="1" ht="21.75" customHeight="1"/>
    <row r="248" s="725" customFormat="1" ht="21.75" customHeight="1"/>
    <row r="249" s="725" customFormat="1" ht="21.75" customHeight="1"/>
    <row r="250" s="725" customFormat="1" ht="21.75" customHeight="1"/>
    <row r="251" s="725" customFormat="1" ht="21.75" customHeight="1"/>
    <row r="252" s="725" customFormat="1" ht="21.75" customHeight="1"/>
    <row r="253" s="725" customFormat="1" ht="21.75" customHeight="1"/>
    <row r="254" s="725" customFormat="1" ht="21.75" customHeight="1"/>
    <row r="255" s="725" customFormat="1" ht="21.75" customHeight="1"/>
    <row r="256" s="725" customFormat="1" ht="21.75" customHeight="1"/>
    <row r="257" s="725" customFormat="1" ht="21.75" customHeight="1"/>
    <row r="258" s="725" customFormat="1" ht="21.75" customHeight="1"/>
    <row r="259" s="725" customFormat="1" ht="21.75" customHeight="1"/>
    <row r="260" s="725" customFormat="1" ht="21.75" customHeight="1"/>
    <row r="261" s="725" customFormat="1" ht="21.75" customHeight="1"/>
    <row r="262" s="725" customFormat="1" ht="21.75" customHeight="1"/>
    <row r="263" s="725" customFormat="1" ht="21.75" customHeight="1"/>
    <row r="264" s="725" customFormat="1" ht="21.75" customHeight="1"/>
    <row r="265" s="725" customFormat="1" ht="21.75" customHeight="1"/>
    <row r="266" s="725" customFormat="1" ht="21.75" customHeight="1"/>
    <row r="267" s="725" customFormat="1" ht="21.75" customHeight="1"/>
    <row r="268" s="725" customFormat="1" ht="21.75" customHeight="1"/>
    <row r="269" s="725" customFormat="1" ht="21.75" customHeight="1"/>
    <row r="270" s="725" customFormat="1" ht="21.75" customHeight="1"/>
    <row r="271" s="725" customFormat="1" ht="21.75" customHeight="1"/>
    <row r="272" s="725" customFormat="1" ht="21.75" customHeight="1"/>
    <row r="273" s="725" customFormat="1" ht="21.75" customHeight="1"/>
    <row r="274" s="725" customFormat="1" ht="21.75" customHeight="1"/>
    <row r="275" s="725" customFormat="1" ht="21.75" customHeight="1"/>
    <row r="276" s="725" customFormat="1" ht="21.75" customHeight="1"/>
    <row r="277" s="725" customFormat="1" ht="21.75" customHeight="1"/>
    <row r="278" s="725" customFormat="1" ht="21.75" customHeight="1"/>
    <row r="279" s="725" customFormat="1" ht="21.75" customHeight="1"/>
    <row r="280" s="725" customFormat="1" ht="21.75" customHeight="1"/>
    <row r="281" s="725" customFormat="1" ht="21.75" customHeight="1"/>
    <row r="282" s="725" customFormat="1" ht="21.75" customHeight="1"/>
    <row r="283" s="725" customFormat="1" ht="21.75" customHeight="1"/>
    <row r="284" s="725" customFormat="1" ht="21.75" customHeight="1"/>
    <row r="285" s="725" customFormat="1" ht="21.75" customHeight="1"/>
    <row r="286" s="725" customFormat="1" ht="21.75" customHeight="1"/>
    <row r="287" s="725" customFormat="1" ht="21.75" customHeight="1"/>
    <row r="288" s="725" customFormat="1" ht="21.75" customHeight="1"/>
    <row r="289" s="725" customFormat="1" ht="21.75" customHeight="1"/>
    <row r="290" s="725" customFormat="1" ht="21.75" customHeight="1"/>
    <row r="291" s="725" customFormat="1" ht="21.75" customHeight="1"/>
    <row r="292" s="725" customFormat="1" ht="21.75" customHeight="1"/>
    <row r="293" s="725" customFormat="1" ht="21.75" customHeight="1"/>
    <row r="294" s="725" customFormat="1" ht="21.75" customHeight="1"/>
    <row r="295" s="725" customFormat="1" ht="21.75" customHeight="1"/>
    <row r="296" s="725" customFormat="1" ht="21.75" customHeight="1"/>
    <row r="297" s="725" customFormat="1" ht="21.75" customHeight="1"/>
    <row r="298" s="725" customFormat="1" ht="21.75" customHeight="1"/>
    <row r="299" s="725" customFormat="1" ht="21.75" customHeight="1"/>
    <row r="300" s="725" customFormat="1" ht="21.75" customHeight="1"/>
    <row r="301" s="725" customFormat="1" ht="21.75" customHeight="1"/>
    <row r="302" s="725" customFormat="1" ht="21.75" customHeight="1"/>
    <row r="303" s="725" customFormat="1" ht="21.75" customHeight="1"/>
    <row r="304" s="725" customFormat="1" ht="21.75" customHeight="1"/>
    <row r="305" s="725" customFormat="1" ht="21.75" customHeight="1"/>
    <row r="306" s="725" customFormat="1" ht="21.75" customHeight="1"/>
    <row r="307" s="725" customFormat="1" ht="21.75" customHeight="1"/>
    <row r="308" s="725" customFormat="1" ht="21.75" customHeight="1"/>
    <row r="309" s="725" customFormat="1" ht="21.75" customHeight="1"/>
    <row r="310" s="725" customFormat="1" ht="21.75" customHeight="1"/>
    <row r="311" s="725" customFormat="1" ht="21.75" customHeight="1"/>
    <row r="312" s="725" customFormat="1" ht="21.75" customHeight="1"/>
    <row r="313" s="725" customFormat="1" ht="21.75" customHeight="1"/>
    <row r="314" s="725" customFormat="1" ht="21.75" customHeight="1"/>
    <row r="315" s="725" customFormat="1" ht="21.75" customHeight="1"/>
    <row r="316" s="725" customFormat="1" ht="21.75" customHeight="1"/>
    <row r="317" s="725" customFormat="1" ht="21.75" customHeight="1"/>
    <row r="318" s="725" customFormat="1" ht="21.75" customHeight="1"/>
    <row r="319" s="725" customFormat="1" ht="21.75" customHeight="1"/>
    <row r="320" s="725" customFormat="1" ht="21.75" customHeight="1"/>
    <row r="321" s="725" customFormat="1" ht="21.75" customHeight="1"/>
    <row r="322" s="725" customFormat="1" ht="21.75" customHeight="1"/>
    <row r="323" s="725" customFormat="1" ht="21.75" customHeight="1"/>
    <row r="324" s="725" customFormat="1" ht="21.75" customHeight="1"/>
    <row r="325" s="725" customFormat="1" ht="21.75" customHeight="1"/>
    <row r="326" s="725" customFormat="1" ht="21.75" customHeight="1"/>
    <row r="327" s="725" customFormat="1" ht="21.75" customHeight="1"/>
    <row r="328" s="725" customFormat="1" ht="21.75" customHeight="1"/>
    <row r="329" s="725" customFormat="1" ht="21.75" customHeight="1"/>
    <row r="330" s="725" customFormat="1" ht="21.75" customHeight="1"/>
    <row r="331" s="725" customFormat="1" ht="21.75" customHeight="1"/>
    <row r="332" s="725" customFormat="1" ht="21.75" customHeight="1"/>
    <row r="333" s="725" customFormat="1" ht="21.75" customHeight="1"/>
    <row r="334" s="725" customFormat="1" ht="21.75" customHeight="1"/>
    <row r="335" s="725" customFormat="1" ht="21.75" customHeight="1"/>
    <row r="336" s="725" customFormat="1" ht="21.75" customHeight="1"/>
    <row r="337" s="725" customFormat="1" ht="21.75" customHeight="1"/>
    <row r="338" s="725" customFormat="1" ht="21.75" customHeight="1"/>
    <row r="339" s="725" customFormat="1" ht="21.75" customHeight="1"/>
    <row r="340" s="725" customFormat="1" ht="21.75" customHeight="1"/>
    <row r="341" s="725" customFormat="1" ht="21.75" customHeight="1"/>
    <row r="342" s="725" customFormat="1" ht="21.75" customHeight="1"/>
    <row r="343" s="725" customFormat="1" ht="21.75" customHeight="1"/>
    <row r="344" s="725" customFormat="1" ht="21.75" customHeight="1"/>
    <row r="345" s="725" customFormat="1" ht="21.75" customHeight="1"/>
    <row r="346" s="725" customFormat="1" ht="21.75" customHeight="1"/>
    <row r="347" s="725" customFormat="1" ht="21.75" customHeight="1"/>
    <row r="348" s="725" customFormat="1" ht="21.75" customHeight="1"/>
    <row r="349" s="725" customFormat="1" ht="21.75" customHeight="1"/>
    <row r="350" s="725" customFormat="1" ht="21.75" customHeight="1"/>
    <row r="351" s="725" customFormat="1" ht="21.75" customHeight="1"/>
    <row r="352" s="725" customFormat="1" ht="21.75" customHeight="1"/>
    <row r="353" s="725" customFormat="1" ht="21.75" customHeight="1"/>
    <row r="354" s="725" customFormat="1" ht="21.75" customHeight="1"/>
    <row r="355" s="725" customFormat="1" ht="21.75" customHeight="1"/>
    <row r="356" s="725" customFormat="1" ht="21.75" customHeight="1"/>
    <row r="357" s="725" customFormat="1" ht="21.75" customHeight="1"/>
    <row r="358" s="725" customFormat="1" ht="21.75" customHeight="1"/>
    <row r="359" s="725" customFormat="1" ht="21.75" customHeight="1"/>
    <row r="360" s="725" customFormat="1" ht="21.75" customHeight="1"/>
    <row r="361" s="725" customFormat="1" ht="21.75" customHeight="1"/>
    <row r="362" s="725" customFormat="1" ht="21.75" customHeight="1"/>
    <row r="363" s="725" customFormat="1" ht="21.75" customHeight="1"/>
    <row r="364" s="725" customFormat="1" ht="21.75" customHeight="1"/>
    <row r="365" s="725" customFormat="1" ht="21.75" customHeight="1"/>
    <row r="366" s="725" customFormat="1" ht="21.75" customHeight="1"/>
    <row r="367" s="725" customFormat="1" ht="21.75" customHeight="1"/>
    <row r="368" s="725" customFormat="1" ht="21.75" customHeight="1"/>
    <row r="369" s="725" customFormat="1" ht="21.75" customHeight="1"/>
    <row r="370" s="725" customFormat="1" ht="21.75" customHeight="1"/>
    <row r="371" s="725" customFormat="1" ht="21.75" customHeight="1"/>
    <row r="372" s="725" customFormat="1" ht="21.75" customHeight="1"/>
    <row r="373" s="725" customFormat="1" ht="21.75" customHeight="1"/>
    <row r="374" s="725" customFormat="1" ht="21.75" customHeight="1"/>
    <row r="375" s="725" customFormat="1" ht="21.75" customHeight="1"/>
    <row r="376" s="725" customFormat="1" ht="21.75" customHeight="1"/>
    <row r="377" s="725" customFormat="1" ht="21.75" customHeight="1"/>
    <row r="378" s="725" customFormat="1" ht="21.75" customHeight="1"/>
    <row r="379" s="725" customFormat="1" ht="21.75" customHeight="1"/>
    <row r="380" s="725" customFormat="1" ht="21.75" customHeight="1"/>
    <row r="381" s="725" customFormat="1" ht="21.75" customHeight="1"/>
    <row r="382" s="725" customFormat="1" ht="21.75" customHeight="1"/>
    <row r="383" s="725" customFormat="1" ht="21.75" customHeight="1"/>
    <row r="384" s="725" customFormat="1" ht="21.75" customHeight="1"/>
    <row r="385" s="725" customFormat="1" ht="21.75" customHeight="1"/>
    <row r="386" s="725" customFormat="1" ht="21.75" customHeight="1"/>
    <row r="387" s="725" customFormat="1" ht="21.75" customHeight="1"/>
    <row r="388" s="725" customFormat="1" ht="21.75" customHeight="1"/>
    <row r="389" s="725" customFormat="1" ht="21.75" customHeight="1"/>
    <row r="390" s="725" customFormat="1" ht="21.75" customHeight="1"/>
    <row r="391" s="725" customFormat="1" ht="21.75" customHeight="1"/>
    <row r="392" s="725" customFormat="1" ht="21.75" customHeight="1"/>
    <row r="393" s="725" customFormat="1" ht="21.75" customHeight="1"/>
    <row r="394" s="725" customFormat="1" ht="21.75" customHeight="1"/>
    <row r="395" s="725" customFormat="1" ht="21.75" customHeight="1"/>
    <row r="396" s="725" customFormat="1" ht="21.75" customHeight="1"/>
    <row r="397" s="725" customFormat="1" ht="21.75" customHeight="1"/>
    <row r="398" s="725" customFormat="1" ht="21.75" customHeight="1"/>
    <row r="399" s="725" customFormat="1" ht="21.75" customHeight="1"/>
    <row r="400" s="725" customFormat="1" ht="21.75" customHeight="1"/>
    <row r="401" spans="10:26" s="725" customFormat="1" ht="21.75" customHeight="1"/>
    <row r="402" spans="10:26" s="725" customFormat="1" ht="21.75" customHeight="1"/>
    <row r="403" spans="10:26" s="725" customFormat="1" ht="21.75" customHeight="1"/>
    <row r="404" spans="10:26" s="725" customFormat="1" ht="21.75" customHeight="1"/>
    <row r="405" spans="10:26" s="725" customFormat="1" ht="21.75" customHeight="1"/>
    <row r="406" spans="10:26" s="725" customFormat="1" ht="21.75" customHeight="1"/>
    <row r="407" spans="10:26" s="725" customFormat="1" ht="21.75" customHeight="1"/>
    <row r="408" spans="10:26" s="725" customFormat="1" ht="21.75" customHeight="1"/>
    <row r="409" spans="10:26" s="1751" customFormat="1" ht="21.75" customHeight="1">
      <c r="J409" s="725"/>
      <c r="K409" s="725"/>
      <c r="L409" s="725"/>
      <c r="M409" s="725"/>
      <c r="N409" s="725"/>
      <c r="O409" s="725"/>
      <c r="P409" s="725"/>
      <c r="Q409" s="725"/>
      <c r="R409" s="725"/>
      <c r="S409" s="725"/>
      <c r="T409" s="725"/>
      <c r="U409" s="725"/>
      <c r="V409" s="725"/>
      <c r="W409" s="725"/>
      <c r="X409" s="725"/>
      <c r="Y409" s="725"/>
      <c r="Z409" s="725"/>
    </row>
    <row r="410" spans="10:26" s="1751" customFormat="1" ht="21.75" customHeight="1">
      <c r="J410" s="725"/>
      <c r="K410" s="725"/>
      <c r="L410" s="725"/>
      <c r="M410" s="725"/>
      <c r="N410" s="725"/>
      <c r="O410" s="725"/>
      <c r="P410" s="725"/>
      <c r="Q410" s="725"/>
      <c r="R410" s="725"/>
      <c r="S410" s="725"/>
      <c r="T410" s="725"/>
      <c r="U410" s="725"/>
      <c r="V410" s="725"/>
      <c r="W410" s="725"/>
      <c r="X410" s="725"/>
      <c r="Y410" s="725"/>
      <c r="Z410" s="725"/>
    </row>
    <row r="411" spans="10:26" s="1751" customFormat="1" ht="21.75" customHeight="1">
      <c r="J411" s="725"/>
      <c r="K411" s="725"/>
      <c r="L411" s="725"/>
      <c r="M411" s="725"/>
      <c r="N411" s="725"/>
      <c r="O411" s="725"/>
      <c r="P411" s="725"/>
      <c r="Q411" s="725"/>
      <c r="R411" s="725"/>
      <c r="S411" s="725"/>
      <c r="T411" s="725"/>
      <c r="U411" s="725"/>
      <c r="V411" s="725"/>
      <c r="W411" s="725"/>
      <c r="X411" s="725"/>
      <c r="Y411" s="725"/>
      <c r="Z411" s="725"/>
    </row>
    <row r="412" spans="10:26" s="1751" customFormat="1" ht="21.75" customHeight="1">
      <c r="J412" s="725"/>
      <c r="K412" s="725"/>
      <c r="L412" s="725"/>
      <c r="M412" s="725"/>
      <c r="N412" s="725"/>
      <c r="O412" s="725"/>
      <c r="P412" s="725"/>
      <c r="Q412" s="725"/>
      <c r="R412" s="725"/>
      <c r="S412" s="725"/>
      <c r="T412" s="725"/>
      <c r="U412" s="725"/>
      <c r="V412" s="725"/>
      <c r="W412" s="725"/>
      <c r="X412" s="725"/>
      <c r="Y412" s="725"/>
      <c r="Z412" s="725"/>
    </row>
    <row r="413" spans="10:26" s="1751" customFormat="1" ht="21.75" customHeight="1">
      <c r="J413" s="725"/>
      <c r="K413" s="725"/>
      <c r="L413" s="725"/>
      <c r="M413" s="725"/>
      <c r="N413" s="725"/>
      <c r="O413" s="725"/>
      <c r="P413" s="725"/>
      <c r="Q413" s="725"/>
      <c r="R413" s="725"/>
      <c r="S413" s="725"/>
      <c r="T413" s="725"/>
      <c r="U413" s="725"/>
      <c r="V413" s="725"/>
      <c r="W413" s="725"/>
      <c r="X413" s="725"/>
      <c r="Y413" s="725"/>
      <c r="Z413" s="725"/>
    </row>
    <row r="414" spans="10:26" s="1751" customFormat="1" ht="21.75" customHeight="1">
      <c r="J414" s="725"/>
      <c r="K414" s="725"/>
      <c r="L414" s="725"/>
      <c r="M414" s="725"/>
      <c r="N414" s="725"/>
      <c r="O414" s="725"/>
      <c r="P414" s="725"/>
      <c r="Q414" s="725"/>
      <c r="R414" s="725"/>
      <c r="S414" s="725"/>
      <c r="T414" s="725"/>
      <c r="U414" s="725"/>
      <c r="V414" s="725"/>
      <c r="W414" s="725"/>
      <c r="X414" s="725"/>
      <c r="Y414" s="725"/>
      <c r="Z414" s="725"/>
    </row>
    <row r="415" spans="10:26" s="1751" customFormat="1" ht="21.75" customHeight="1">
      <c r="J415" s="725"/>
      <c r="K415" s="725"/>
      <c r="L415" s="725"/>
      <c r="M415" s="725"/>
      <c r="N415" s="725"/>
      <c r="O415" s="725"/>
      <c r="P415" s="725"/>
      <c r="Q415" s="725"/>
      <c r="R415" s="725"/>
      <c r="S415" s="725"/>
      <c r="T415" s="725"/>
      <c r="U415" s="725"/>
      <c r="V415" s="725"/>
      <c r="W415" s="725"/>
      <c r="X415" s="725"/>
      <c r="Y415" s="725"/>
      <c r="Z415" s="725"/>
    </row>
    <row r="416" spans="10:26" s="1751" customFormat="1" ht="21.75" customHeight="1">
      <c r="J416" s="725"/>
      <c r="K416" s="725"/>
      <c r="L416" s="725"/>
      <c r="M416" s="725"/>
      <c r="N416" s="725"/>
      <c r="O416" s="725"/>
      <c r="P416" s="725"/>
      <c r="Q416" s="725"/>
      <c r="R416" s="725"/>
      <c r="S416" s="725"/>
      <c r="T416" s="725"/>
      <c r="U416" s="725"/>
      <c r="V416" s="725"/>
      <c r="W416" s="725"/>
      <c r="X416" s="725"/>
      <c r="Y416" s="725"/>
      <c r="Z416" s="725"/>
    </row>
    <row r="417" spans="10:26" s="1751" customFormat="1" ht="21.75" customHeight="1">
      <c r="J417" s="725"/>
      <c r="K417" s="725"/>
      <c r="L417" s="725"/>
      <c r="M417" s="725"/>
      <c r="N417" s="725"/>
      <c r="O417" s="725"/>
      <c r="P417" s="725"/>
      <c r="Q417" s="725"/>
      <c r="R417" s="725"/>
      <c r="S417" s="725"/>
      <c r="T417" s="725"/>
      <c r="U417" s="725"/>
      <c r="V417" s="725"/>
      <c r="W417" s="725"/>
      <c r="X417" s="725"/>
      <c r="Y417" s="725"/>
      <c r="Z417" s="725"/>
    </row>
    <row r="418" spans="10:26" s="1751" customFormat="1" ht="21.75" customHeight="1">
      <c r="J418" s="725"/>
      <c r="K418" s="725"/>
      <c r="L418" s="725"/>
      <c r="M418" s="725"/>
      <c r="N418" s="725"/>
      <c r="O418" s="725"/>
      <c r="P418" s="725"/>
      <c r="Q418" s="725"/>
      <c r="R418" s="725"/>
      <c r="S418" s="725"/>
      <c r="T418" s="725"/>
      <c r="U418" s="725"/>
      <c r="V418" s="725"/>
      <c r="W418" s="725"/>
      <c r="X418" s="725"/>
      <c r="Y418" s="725"/>
      <c r="Z418" s="725"/>
    </row>
    <row r="419" spans="10:26" s="1751" customFormat="1" ht="21.75" customHeight="1">
      <c r="J419" s="725"/>
      <c r="K419" s="725"/>
      <c r="L419" s="725"/>
      <c r="M419" s="725"/>
      <c r="N419" s="725"/>
      <c r="O419" s="725"/>
      <c r="P419" s="725"/>
      <c r="Q419" s="725"/>
      <c r="R419" s="725"/>
      <c r="S419" s="725"/>
      <c r="T419" s="725"/>
      <c r="U419" s="725"/>
      <c r="V419" s="725"/>
      <c r="W419" s="725"/>
      <c r="X419" s="725"/>
      <c r="Y419" s="725"/>
      <c r="Z419" s="725"/>
    </row>
    <row r="420" spans="10:26" s="1751" customFormat="1" ht="21.75" customHeight="1">
      <c r="J420" s="725"/>
      <c r="K420" s="725"/>
      <c r="L420" s="725"/>
      <c r="M420" s="725"/>
      <c r="N420" s="725"/>
      <c r="O420" s="725"/>
      <c r="P420" s="725"/>
      <c r="Q420" s="725"/>
      <c r="R420" s="725"/>
      <c r="S420" s="725"/>
      <c r="T420" s="725"/>
      <c r="U420" s="725"/>
      <c r="V420" s="725"/>
      <c r="W420" s="725"/>
      <c r="X420" s="725"/>
      <c r="Y420" s="725"/>
      <c r="Z420" s="725"/>
    </row>
    <row r="421" spans="10:26" s="1751" customFormat="1" ht="21.75" customHeight="1">
      <c r="J421" s="725"/>
      <c r="K421" s="725"/>
      <c r="L421" s="725"/>
      <c r="M421" s="725"/>
      <c r="N421" s="725"/>
      <c r="O421" s="725"/>
      <c r="P421" s="725"/>
      <c r="Q421" s="725"/>
      <c r="R421" s="725"/>
      <c r="S421" s="725"/>
      <c r="T421" s="725"/>
      <c r="U421" s="725"/>
      <c r="V421" s="725"/>
      <c r="W421" s="725"/>
      <c r="X421" s="725"/>
      <c r="Y421" s="725"/>
      <c r="Z421" s="725"/>
    </row>
    <row r="422" spans="10:26" s="1751" customFormat="1" ht="21.75" customHeight="1">
      <c r="J422" s="725"/>
      <c r="K422" s="725"/>
      <c r="L422" s="725"/>
      <c r="M422" s="725"/>
      <c r="N422" s="725"/>
      <c r="O422" s="725"/>
      <c r="P422" s="725"/>
      <c r="Q422" s="725"/>
      <c r="R422" s="725"/>
      <c r="S422" s="725"/>
      <c r="T422" s="725"/>
      <c r="U422" s="725"/>
      <c r="V422" s="725"/>
      <c r="W422" s="725"/>
      <c r="X422" s="725"/>
      <c r="Y422" s="725"/>
      <c r="Z422" s="725"/>
    </row>
    <row r="423" spans="10:26" s="1751" customFormat="1" ht="21.75" customHeight="1">
      <c r="J423" s="725"/>
      <c r="K423" s="725"/>
      <c r="L423" s="725"/>
      <c r="M423" s="725"/>
      <c r="N423" s="725"/>
      <c r="O423" s="725"/>
      <c r="P423" s="725"/>
      <c r="Q423" s="725"/>
      <c r="R423" s="725"/>
      <c r="S423" s="725"/>
      <c r="T423" s="725"/>
      <c r="U423" s="725"/>
      <c r="V423" s="725"/>
      <c r="W423" s="725"/>
      <c r="X423" s="725"/>
      <c r="Y423" s="725"/>
      <c r="Z423" s="725"/>
    </row>
    <row r="424" spans="10:26" s="1751" customFormat="1" ht="21.75" customHeight="1">
      <c r="J424" s="725"/>
      <c r="K424" s="725"/>
      <c r="L424" s="725"/>
      <c r="M424" s="725"/>
      <c r="N424" s="725"/>
      <c r="O424" s="725"/>
      <c r="P424" s="725"/>
      <c r="Q424" s="725"/>
      <c r="R424" s="725"/>
      <c r="S424" s="725"/>
      <c r="T424" s="725"/>
      <c r="U424" s="725"/>
      <c r="V424" s="725"/>
      <c r="W424" s="725"/>
      <c r="X424" s="725"/>
      <c r="Y424" s="725"/>
      <c r="Z424" s="725"/>
    </row>
    <row r="425" spans="10:26" s="1751" customFormat="1" ht="21.75" customHeight="1">
      <c r="J425" s="725"/>
      <c r="K425" s="725"/>
      <c r="L425" s="725"/>
      <c r="M425" s="725"/>
      <c r="N425" s="725"/>
      <c r="O425" s="725"/>
      <c r="P425" s="725"/>
      <c r="Q425" s="725"/>
      <c r="R425" s="725"/>
      <c r="S425" s="725"/>
      <c r="T425" s="725"/>
      <c r="U425" s="725"/>
      <c r="V425" s="725"/>
      <c r="W425" s="725"/>
      <c r="X425" s="725"/>
      <c r="Y425" s="725"/>
      <c r="Z425" s="725"/>
    </row>
    <row r="426" spans="10:26" s="1751" customFormat="1" ht="21.75" customHeight="1">
      <c r="J426" s="725"/>
      <c r="K426" s="725"/>
      <c r="L426" s="725"/>
      <c r="M426" s="725"/>
      <c r="N426" s="725"/>
      <c r="O426" s="725"/>
      <c r="P426" s="725"/>
      <c r="Q426" s="725"/>
      <c r="R426" s="725"/>
      <c r="S426" s="725"/>
      <c r="T426" s="725"/>
      <c r="U426" s="725"/>
      <c r="V426" s="725"/>
      <c r="W426" s="725"/>
      <c r="X426" s="725"/>
      <c r="Y426" s="725"/>
      <c r="Z426" s="725"/>
    </row>
    <row r="427" spans="10:26" s="1751" customFormat="1" ht="21.75" customHeight="1">
      <c r="J427" s="725"/>
      <c r="K427" s="725"/>
      <c r="L427" s="725"/>
      <c r="M427" s="725"/>
      <c r="N427" s="725"/>
      <c r="O427" s="725"/>
      <c r="P427" s="725"/>
      <c r="Q427" s="725"/>
      <c r="R427" s="725"/>
      <c r="S427" s="725"/>
      <c r="T427" s="725"/>
      <c r="U427" s="725"/>
      <c r="V427" s="725"/>
      <c r="W427" s="725"/>
      <c r="X427" s="725"/>
      <c r="Y427" s="725"/>
      <c r="Z427" s="725"/>
    </row>
    <row r="428" spans="10:26" s="1751" customFormat="1" ht="21.75" customHeight="1">
      <c r="J428" s="725"/>
      <c r="K428" s="725"/>
      <c r="L428" s="725"/>
      <c r="M428" s="725"/>
      <c r="N428" s="725"/>
      <c r="O428" s="725"/>
      <c r="P428" s="725"/>
      <c r="Q428" s="725"/>
      <c r="R428" s="725"/>
      <c r="S428" s="725"/>
      <c r="T428" s="725"/>
      <c r="U428" s="725"/>
      <c r="V428" s="725"/>
      <c r="W428" s="725"/>
      <c r="X428" s="725"/>
      <c r="Y428" s="725"/>
      <c r="Z428" s="725"/>
    </row>
    <row r="429" spans="10:26" s="1751" customFormat="1" ht="21.75" customHeight="1">
      <c r="J429" s="725"/>
      <c r="K429" s="725"/>
      <c r="L429" s="725"/>
      <c r="M429" s="725"/>
      <c r="N429" s="725"/>
      <c r="O429" s="725"/>
      <c r="P429" s="725"/>
      <c r="Q429" s="725"/>
      <c r="R429" s="725"/>
      <c r="S429" s="725"/>
      <c r="T429" s="725"/>
      <c r="U429" s="725"/>
      <c r="V429" s="725"/>
      <c r="W429" s="725"/>
      <c r="X429" s="725"/>
      <c r="Y429" s="725"/>
      <c r="Z429" s="725"/>
    </row>
    <row r="430" spans="10:26" s="1751" customFormat="1" ht="21.75" customHeight="1">
      <c r="J430" s="725"/>
      <c r="K430" s="725"/>
      <c r="L430" s="725"/>
      <c r="M430" s="725"/>
      <c r="N430" s="725"/>
      <c r="O430" s="725"/>
      <c r="P430" s="725"/>
      <c r="Q430" s="725"/>
      <c r="R430" s="725"/>
      <c r="S430" s="725"/>
      <c r="T430" s="725"/>
      <c r="U430" s="725"/>
      <c r="V430" s="725"/>
      <c r="W430" s="725"/>
      <c r="X430" s="725"/>
      <c r="Y430" s="725"/>
      <c r="Z430" s="725"/>
    </row>
    <row r="431" spans="10:26" s="1751" customFormat="1" ht="21.75" customHeight="1">
      <c r="J431" s="725"/>
      <c r="K431" s="725"/>
      <c r="L431" s="725"/>
      <c r="M431" s="725"/>
      <c r="N431" s="725"/>
      <c r="O431" s="725"/>
      <c r="P431" s="725"/>
      <c r="Q431" s="725"/>
      <c r="R431" s="725"/>
      <c r="S431" s="725"/>
      <c r="T431" s="725"/>
      <c r="U431" s="725"/>
      <c r="V431" s="725"/>
      <c r="W431" s="725"/>
      <c r="X431" s="725"/>
      <c r="Y431" s="725"/>
      <c r="Z431" s="725"/>
    </row>
    <row r="432" spans="10:26" s="1751" customFormat="1" ht="21.75" customHeight="1">
      <c r="J432" s="725"/>
      <c r="K432" s="725"/>
      <c r="L432" s="725"/>
      <c r="M432" s="725"/>
      <c r="N432" s="725"/>
      <c r="O432" s="725"/>
      <c r="P432" s="725"/>
      <c r="Q432" s="725"/>
      <c r="R432" s="725"/>
      <c r="S432" s="725"/>
      <c r="T432" s="725"/>
      <c r="U432" s="725"/>
      <c r="V432" s="725"/>
      <c r="W432" s="725"/>
      <c r="X432" s="725"/>
      <c r="Y432" s="725"/>
      <c r="Z432" s="725"/>
    </row>
    <row r="433" spans="10:26" s="1751" customFormat="1" ht="21.75" customHeight="1">
      <c r="J433" s="725"/>
      <c r="K433" s="725"/>
      <c r="L433" s="725"/>
      <c r="M433" s="725"/>
      <c r="N433" s="725"/>
      <c r="O433" s="725"/>
      <c r="P433" s="725"/>
      <c r="Q433" s="725"/>
      <c r="R433" s="725"/>
      <c r="S433" s="725"/>
      <c r="T433" s="725"/>
      <c r="U433" s="725"/>
      <c r="V433" s="725"/>
      <c r="W433" s="725"/>
      <c r="X433" s="725"/>
      <c r="Y433" s="725"/>
      <c r="Z433" s="725"/>
    </row>
    <row r="434" spans="10:26" s="1751" customFormat="1" ht="21.75" customHeight="1">
      <c r="J434" s="725"/>
      <c r="K434" s="725"/>
      <c r="L434" s="725"/>
      <c r="M434" s="725"/>
      <c r="N434" s="725"/>
      <c r="O434" s="725"/>
      <c r="P434" s="725"/>
      <c r="Q434" s="725"/>
      <c r="R434" s="725"/>
      <c r="S434" s="725"/>
      <c r="T434" s="725"/>
      <c r="U434" s="725"/>
      <c r="V434" s="725"/>
      <c r="W434" s="725"/>
      <c r="X434" s="725"/>
      <c r="Y434" s="725"/>
      <c r="Z434" s="725"/>
    </row>
    <row r="435" spans="10:26" s="1751" customFormat="1" ht="21.75" customHeight="1">
      <c r="J435" s="725"/>
      <c r="K435" s="725"/>
      <c r="L435" s="725"/>
      <c r="M435" s="725"/>
      <c r="N435" s="725"/>
      <c r="O435" s="725"/>
      <c r="P435" s="725"/>
      <c r="Q435" s="725"/>
      <c r="R435" s="725"/>
      <c r="S435" s="725"/>
      <c r="T435" s="725"/>
      <c r="U435" s="725"/>
      <c r="V435" s="725"/>
      <c r="W435" s="725"/>
      <c r="X435" s="725"/>
      <c r="Y435" s="725"/>
      <c r="Z435" s="725"/>
    </row>
    <row r="436" spans="10:26" s="1751" customFormat="1" ht="21.75" customHeight="1">
      <c r="J436" s="725"/>
      <c r="K436" s="725"/>
      <c r="L436" s="725"/>
      <c r="M436" s="725"/>
      <c r="N436" s="725"/>
      <c r="O436" s="725"/>
      <c r="P436" s="725"/>
      <c r="Q436" s="725"/>
      <c r="R436" s="725"/>
      <c r="S436" s="725"/>
      <c r="T436" s="725"/>
      <c r="U436" s="725"/>
      <c r="V436" s="725"/>
      <c r="W436" s="725"/>
      <c r="X436" s="725"/>
      <c r="Y436" s="725"/>
      <c r="Z436" s="725"/>
    </row>
    <row r="437" spans="10:26" s="1751" customFormat="1" ht="21.75" customHeight="1">
      <c r="J437" s="725"/>
      <c r="K437" s="725"/>
      <c r="L437" s="725"/>
      <c r="M437" s="725"/>
      <c r="N437" s="725"/>
      <c r="O437" s="725"/>
      <c r="P437" s="725"/>
      <c r="Q437" s="725"/>
      <c r="R437" s="725"/>
      <c r="S437" s="725"/>
      <c r="T437" s="725"/>
      <c r="U437" s="725"/>
      <c r="V437" s="725"/>
      <c r="W437" s="725"/>
      <c r="X437" s="725"/>
      <c r="Y437" s="725"/>
      <c r="Z437" s="725"/>
    </row>
    <row r="438" spans="10:26" s="1751" customFormat="1" ht="21.75" customHeight="1">
      <c r="J438" s="725"/>
      <c r="K438" s="725"/>
      <c r="L438" s="725"/>
      <c r="M438" s="725"/>
      <c r="N438" s="725"/>
      <c r="O438" s="725"/>
      <c r="P438" s="725"/>
      <c r="Q438" s="725"/>
      <c r="R438" s="725"/>
      <c r="S438" s="725"/>
      <c r="T438" s="725"/>
      <c r="U438" s="725"/>
      <c r="V438" s="725"/>
      <c r="W438" s="725"/>
      <c r="X438" s="725"/>
      <c r="Y438" s="725"/>
      <c r="Z438" s="725"/>
    </row>
    <row r="439" spans="10:26" s="1751" customFormat="1" ht="21.75" customHeight="1">
      <c r="J439" s="725"/>
      <c r="K439" s="725"/>
      <c r="L439" s="725"/>
      <c r="M439" s="725"/>
      <c r="N439" s="725"/>
      <c r="O439" s="725"/>
      <c r="P439" s="725"/>
      <c r="Q439" s="725"/>
      <c r="R439" s="725"/>
      <c r="S439" s="725"/>
      <c r="T439" s="725"/>
      <c r="U439" s="725"/>
      <c r="V439" s="725"/>
      <c r="W439" s="725"/>
      <c r="X439" s="725"/>
      <c r="Y439" s="725"/>
      <c r="Z439" s="725"/>
    </row>
    <row r="440" spans="10:26" s="1751" customFormat="1" ht="21.75" customHeight="1">
      <c r="J440" s="725"/>
      <c r="K440" s="725"/>
      <c r="L440" s="725"/>
      <c r="M440" s="725"/>
      <c r="N440" s="725"/>
      <c r="O440" s="725"/>
      <c r="P440" s="725"/>
      <c r="Q440" s="725"/>
      <c r="R440" s="725"/>
      <c r="S440" s="725"/>
      <c r="T440" s="725"/>
      <c r="U440" s="725"/>
      <c r="V440" s="725"/>
      <c r="W440" s="725"/>
      <c r="X440" s="725"/>
      <c r="Y440" s="725"/>
      <c r="Z440" s="725"/>
    </row>
    <row r="441" spans="10:26" s="1751" customFormat="1" ht="21.75" customHeight="1">
      <c r="J441" s="725"/>
      <c r="K441" s="725"/>
      <c r="L441" s="725"/>
      <c r="M441" s="725"/>
      <c r="N441" s="725"/>
      <c r="O441" s="725"/>
      <c r="P441" s="725"/>
      <c r="Q441" s="725"/>
      <c r="R441" s="725"/>
      <c r="S441" s="725"/>
      <c r="T441" s="725"/>
      <c r="U441" s="725"/>
      <c r="V441" s="725"/>
      <c r="W441" s="725"/>
      <c r="X441" s="725"/>
      <c r="Y441" s="725"/>
      <c r="Z441" s="725"/>
    </row>
    <row r="442" spans="10:26" s="1751" customFormat="1" ht="21.75" customHeight="1">
      <c r="J442" s="725"/>
      <c r="K442" s="725"/>
      <c r="L442" s="725"/>
      <c r="M442" s="725"/>
      <c r="N442" s="725"/>
      <c r="O442" s="725"/>
      <c r="P442" s="725"/>
      <c r="Q442" s="725"/>
      <c r="R442" s="725"/>
      <c r="S442" s="725"/>
      <c r="T442" s="725"/>
      <c r="U442" s="725"/>
      <c r="V442" s="725"/>
      <c r="W442" s="725"/>
      <c r="X442" s="725"/>
      <c r="Y442" s="725"/>
      <c r="Z442" s="725"/>
    </row>
    <row r="443" spans="10:26" s="1751" customFormat="1" ht="21.75" customHeight="1">
      <c r="J443" s="725"/>
      <c r="K443" s="725"/>
      <c r="L443" s="725"/>
      <c r="M443" s="725"/>
      <c r="N443" s="725"/>
      <c r="O443" s="725"/>
      <c r="P443" s="725"/>
      <c r="Q443" s="725"/>
      <c r="R443" s="725"/>
      <c r="S443" s="725"/>
      <c r="T443" s="725"/>
      <c r="U443" s="725"/>
      <c r="V443" s="725"/>
      <c r="W443" s="725"/>
      <c r="X443" s="725"/>
      <c r="Y443" s="725"/>
      <c r="Z443" s="725"/>
    </row>
    <row r="444" spans="10:26" s="1751" customFormat="1" ht="21.75" customHeight="1">
      <c r="J444" s="725"/>
      <c r="K444" s="725"/>
      <c r="L444" s="725"/>
      <c r="M444" s="725"/>
      <c r="N444" s="725"/>
      <c r="O444" s="725"/>
      <c r="P444" s="725"/>
      <c r="Q444" s="725"/>
      <c r="R444" s="725"/>
      <c r="S444" s="725"/>
      <c r="T444" s="725"/>
      <c r="U444" s="725"/>
      <c r="V444" s="725"/>
      <c r="W444" s="725"/>
      <c r="X444" s="725"/>
      <c r="Y444" s="725"/>
      <c r="Z444" s="725"/>
    </row>
    <row r="445" spans="10:26" s="1751" customFormat="1" ht="21.75" customHeight="1">
      <c r="J445" s="725"/>
      <c r="K445" s="725"/>
      <c r="L445" s="725"/>
      <c r="M445" s="725"/>
      <c r="N445" s="725"/>
      <c r="O445" s="725"/>
      <c r="P445" s="725"/>
      <c r="Q445" s="725"/>
      <c r="R445" s="725"/>
      <c r="S445" s="725"/>
      <c r="T445" s="725"/>
      <c r="U445" s="725"/>
      <c r="V445" s="725"/>
      <c r="W445" s="725"/>
      <c r="X445" s="725"/>
      <c r="Y445" s="725"/>
      <c r="Z445" s="725"/>
    </row>
    <row r="446" spans="10:26" s="1751" customFormat="1" ht="21.75" customHeight="1">
      <c r="J446" s="725"/>
      <c r="K446" s="725"/>
      <c r="L446" s="725"/>
      <c r="M446" s="725"/>
      <c r="N446" s="725"/>
      <c r="O446" s="725"/>
      <c r="P446" s="725"/>
      <c r="Q446" s="725"/>
      <c r="R446" s="725"/>
      <c r="S446" s="725"/>
      <c r="T446" s="725"/>
      <c r="U446" s="725"/>
      <c r="V446" s="725"/>
      <c r="W446" s="725"/>
      <c r="X446" s="725"/>
      <c r="Y446" s="725"/>
      <c r="Z446" s="725"/>
    </row>
    <row r="447" spans="10:26" s="1751" customFormat="1" ht="21.75" customHeight="1">
      <c r="J447" s="725"/>
      <c r="K447" s="725"/>
      <c r="L447" s="725"/>
      <c r="M447" s="725"/>
      <c r="N447" s="725"/>
      <c r="O447" s="725"/>
      <c r="P447" s="725"/>
      <c r="Q447" s="725"/>
      <c r="R447" s="725"/>
      <c r="S447" s="725"/>
      <c r="T447" s="725"/>
      <c r="U447" s="725"/>
      <c r="V447" s="725"/>
      <c r="W447" s="725"/>
      <c r="X447" s="725"/>
      <c r="Y447" s="725"/>
      <c r="Z447" s="725"/>
    </row>
    <row r="448" spans="10:26" s="1751" customFormat="1" ht="21.75" customHeight="1">
      <c r="J448" s="725"/>
      <c r="K448" s="725"/>
      <c r="L448" s="725"/>
      <c r="M448" s="725"/>
      <c r="N448" s="725"/>
      <c r="O448" s="725"/>
      <c r="P448" s="725"/>
      <c r="Q448" s="725"/>
      <c r="R448" s="725"/>
      <c r="S448" s="725"/>
      <c r="T448" s="725"/>
      <c r="U448" s="725"/>
      <c r="V448" s="725"/>
      <c r="W448" s="725"/>
      <c r="X448" s="725"/>
      <c r="Y448" s="725"/>
      <c r="Z448" s="725"/>
    </row>
    <row r="449" spans="10:26" s="1751" customFormat="1" ht="21.75" customHeight="1">
      <c r="J449" s="725"/>
      <c r="K449" s="725"/>
      <c r="L449" s="725"/>
      <c r="M449" s="725"/>
      <c r="N449" s="725"/>
      <c r="O449" s="725"/>
      <c r="P449" s="725"/>
      <c r="Q449" s="725"/>
      <c r="R449" s="725"/>
      <c r="S449" s="725"/>
      <c r="T449" s="725"/>
      <c r="U449" s="725"/>
      <c r="V449" s="725"/>
      <c r="W449" s="725"/>
      <c r="X449" s="725"/>
      <c r="Y449" s="725"/>
      <c r="Z449" s="725"/>
    </row>
    <row r="450" spans="10:26" s="1751" customFormat="1" ht="21.75" customHeight="1">
      <c r="J450" s="725"/>
      <c r="K450" s="725"/>
      <c r="L450" s="725"/>
      <c r="M450" s="725"/>
      <c r="N450" s="725"/>
      <c r="O450" s="725"/>
      <c r="P450" s="725"/>
      <c r="Q450" s="725"/>
      <c r="R450" s="725"/>
      <c r="S450" s="725"/>
      <c r="T450" s="725"/>
      <c r="U450" s="725"/>
      <c r="V450" s="725"/>
      <c r="W450" s="725"/>
      <c r="X450" s="725"/>
      <c r="Y450" s="725"/>
      <c r="Z450" s="725"/>
    </row>
    <row r="451" spans="10:26" s="1751" customFormat="1" ht="21.75" customHeight="1">
      <c r="J451" s="725"/>
      <c r="K451" s="725"/>
      <c r="L451" s="725"/>
      <c r="M451" s="725"/>
      <c r="N451" s="725"/>
      <c r="O451" s="725"/>
      <c r="P451" s="725"/>
      <c r="Q451" s="725"/>
      <c r="R451" s="725"/>
      <c r="S451" s="725"/>
      <c r="T451" s="725"/>
      <c r="U451" s="725"/>
      <c r="V451" s="725"/>
      <c r="W451" s="725"/>
      <c r="X451" s="725"/>
      <c r="Y451" s="725"/>
      <c r="Z451" s="725"/>
    </row>
    <row r="452" spans="10:26" s="1751" customFormat="1" ht="21.75" customHeight="1">
      <c r="J452" s="725"/>
      <c r="K452" s="725"/>
      <c r="L452" s="725"/>
      <c r="M452" s="725"/>
      <c r="N452" s="725"/>
      <c r="O452" s="725"/>
      <c r="P452" s="725"/>
      <c r="Q452" s="725"/>
      <c r="R452" s="725"/>
      <c r="S452" s="725"/>
      <c r="T452" s="725"/>
      <c r="U452" s="725"/>
      <c r="V452" s="725"/>
      <c r="W452" s="725"/>
      <c r="X452" s="725"/>
      <c r="Y452" s="725"/>
      <c r="Z452" s="725"/>
    </row>
    <row r="453" spans="10:26" s="1751" customFormat="1" ht="21.75" customHeight="1">
      <c r="J453" s="725"/>
      <c r="K453" s="725"/>
      <c r="L453" s="725"/>
      <c r="M453" s="725"/>
      <c r="N453" s="725"/>
      <c r="O453" s="725"/>
      <c r="P453" s="725"/>
      <c r="Q453" s="725"/>
      <c r="R453" s="725"/>
      <c r="S453" s="725"/>
      <c r="T453" s="725"/>
      <c r="U453" s="725"/>
      <c r="V453" s="725"/>
      <c r="W453" s="725"/>
      <c r="X453" s="725"/>
      <c r="Y453" s="725"/>
      <c r="Z453" s="725"/>
    </row>
    <row r="454" spans="10:26" s="1751" customFormat="1" ht="21.75" customHeight="1">
      <c r="J454" s="725"/>
      <c r="K454" s="725"/>
      <c r="L454" s="725"/>
      <c r="M454" s="725"/>
      <c r="N454" s="725"/>
      <c r="O454" s="725"/>
      <c r="P454" s="725"/>
      <c r="Q454" s="725"/>
      <c r="R454" s="725"/>
      <c r="S454" s="725"/>
      <c r="T454" s="725"/>
      <c r="U454" s="725"/>
      <c r="V454" s="725"/>
      <c r="W454" s="725"/>
      <c r="X454" s="725"/>
      <c r="Y454" s="725"/>
      <c r="Z454" s="725"/>
    </row>
    <row r="455" spans="10:26" s="1751" customFormat="1" ht="21.75" customHeight="1">
      <c r="J455" s="725"/>
      <c r="K455" s="725"/>
      <c r="L455" s="725"/>
      <c r="M455" s="725"/>
      <c r="N455" s="725"/>
      <c r="O455" s="725"/>
      <c r="P455" s="725"/>
      <c r="Q455" s="725"/>
      <c r="R455" s="725"/>
      <c r="S455" s="725"/>
      <c r="T455" s="725"/>
      <c r="U455" s="725"/>
      <c r="V455" s="725"/>
      <c r="W455" s="725"/>
      <c r="X455" s="725"/>
      <c r="Y455" s="725"/>
      <c r="Z455" s="725"/>
    </row>
    <row r="456" spans="10:26" s="1751" customFormat="1" ht="21.75" customHeight="1">
      <c r="J456" s="725"/>
      <c r="K456" s="725"/>
      <c r="L456" s="725"/>
      <c r="M456" s="725"/>
      <c r="N456" s="725"/>
      <c r="O456" s="725"/>
      <c r="P456" s="725"/>
      <c r="Q456" s="725"/>
      <c r="R456" s="725"/>
      <c r="S456" s="725"/>
      <c r="T456" s="725"/>
      <c r="U456" s="725"/>
      <c r="V456" s="725"/>
      <c r="W456" s="725"/>
      <c r="X456" s="725"/>
      <c r="Y456" s="725"/>
      <c r="Z456" s="725"/>
    </row>
    <row r="457" spans="10:26" s="1751" customFormat="1" ht="21.75" customHeight="1">
      <c r="J457" s="725"/>
      <c r="K457" s="725"/>
      <c r="L457" s="725"/>
      <c r="M457" s="725"/>
      <c r="N457" s="725"/>
      <c r="O457" s="725"/>
      <c r="P457" s="725"/>
      <c r="Q457" s="725"/>
      <c r="R457" s="725"/>
      <c r="S457" s="725"/>
      <c r="T457" s="725"/>
      <c r="U457" s="725"/>
      <c r="V457" s="725"/>
      <c r="W457" s="725"/>
      <c r="X457" s="725"/>
      <c r="Y457" s="725"/>
      <c r="Z457" s="725"/>
    </row>
    <row r="458" spans="10:26" s="1751" customFormat="1" ht="21.75" customHeight="1">
      <c r="J458" s="725"/>
      <c r="K458" s="725"/>
      <c r="L458" s="725"/>
      <c r="M458" s="725"/>
      <c r="N458" s="725"/>
      <c r="O458" s="725"/>
      <c r="P458" s="725"/>
      <c r="Q458" s="725"/>
      <c r="R458" s="725"/>
      <c r="S458" s="725"/>
      <c r="T458" s="725"/>
      <c r="U458" s="725"/>
      <c r="V458" s="725"/>
      <c r="W458" s="725"/>
      <c r="X458" s="725"/>
      <c r="Y458" s="725"/>
      <c r="Z458" s="725"/>
    </row>
    <row r="459" spans="10:26" s="1751" customFormat="1" ht="21.75" customHeight="1">
      <c r="J459" s="725"/>
      <c r="K459" s="725"/>
      <c r="L459" s="725"/>
      <c r="M459" s="725"/>
      <c r="N459" s="725"/>
      <c r="O459" s="725"/>
      <c r="P459" s="725"/>
      <c r="Q459" s="725"/>
      <c r="R459" s="725"/>
      <c r="S459" s="725"/>
      <c r="T459" s="725"/>
      <c r="U459" s="725"/>
      <c r="V459" s="725"/>
      <c r="W459" s="725"/>
      <c r="X459" s="725"/>
      <c r="Y459" s="725"/>
      <c r="Z459" s="725"/>
    </row>
    <row r="460" spans="10:26" s="1751" customFormat="1" ht="21.75" customHeight="1">
      <c r="J460" s="725"/>
      <c r="K460" s="725"/>
      <c r="L460" s="725"/>
      <c r="M460" s="725"/>
      <c r="N460" s="725"/>
      <c r="O460" s="725"/>
      <c r="P460" s="725"/>
      <c r="Q460" s="725"/>
      <c r="R460" s="725"/>
      <c r="S460" s="725"/>
      <c r="T460" s="725"/>
      <c r="U460" s="725"/>
      <c r="V460" s="725"/>
      <c r="W460" s="725"/>
      <c r="X460" s="725"/>
      <c r="Y460" s="725"/>
      <c r="Z460" s="725"/>
    </row>
    <row r="461" spans="10:26" s="1751" customFormat="1" ht="21.75" customHeight="1">
      <c r="J461" s="725"/>
      <c r="K461" s="725"/>
      <c r="L461" s="725"/>
      <c r="M461" s="725"/>
      <c r="N461" s="725"/>
      <c r="O461" s="725"/>
      <c r="P461" s="725"/>
      <c r="Q461" s="725"/>
      <c r="R461" s="725"/>
      <c r="S461" s="725"/>
      <c r="T461" s="725"/>
      <c r="U461" s="725"/>
      <c r="V461" s="725"/>
      <c r="W461" s="725"/>
      <c r="X461" s="725"/>
      <c r="Y461" s="725"/>
      <c r="Z461" s="725"/>
    </row>
    <row r="462" spans="10:26" s="1751" customFormat="1" ht="21.75" customHeight="1">
      <c r="J462" s="725"/>
      <c r="K462" s="725"/>
      <c r="L462" s="725"/>
      <c r="M462" s="725"/>
      <c r="N462" s="725"/>
      <c r="O462" s="725"/>
      <c r="P462" s="725"/>
      <c r="Q462" s="725"/>
      <c r="R462" s="725"/>
      <c r="S462" s="725"/>
      <c r="T462" s="725"/>
      <c r="U462" s="725"/>
      <c r="V462" s="725"/>
      <c r="W462" s="725"/>
      <c r="X462" s="725"/>
      <c r="Y462" s="725"/>
      <c r="Z462" s="725"/>
    </row>
    <row r="463" spans="10:26" s="1751" customFormat="1" ht="21.75" customHeight="1">
      <c r="J463" s="725"/>
      <c r="K463" s="725"/>
      <c r="L463" s="725"/>
      <c r="M463" s="725"/>
      <c r="N463" s="725"/>
      <c r="O463" s="725"/>
      <c r="P463" s="725"/>
      <c r="Q463" s="725"/>
      <c r="R463" s="725"/>
      <c r="S463" s="725"/>
      <c r="T463" s="725"/>
      <c r="U463" s="725"/>
      <c r="V463" s="725"/>
      <c r="W463" s="725"/>
      <c r="X463" s="725"/>
      <c r="Y463" s="725"/>
      <c r="Z463" s="725"/>
    </row>
    <row r="464" spans="10:26" s="1751" customFormat="1" ht="21.75" customHeight="1">
      <c r="J464" s="725"/>
      <c r="K464" s="725"/>
      <c r="L464" s="725"/>
      <c r="M464" s="725"/>
      <c r="N464" s="725"/>
      <c r="O464" s="725"/>
      <c r="P464" s="725"/>
      <c r="Q464" s="725"/>
      <c r="R464" s="725"/>
      <c r="S464" s="725"/>
      <c r="T464" s="725"/>
      <c r="U464" s="725"/>
      <c r="V464" s="725"/>
      <c r="W464" s="725"/>
      <c r="X464" s="725"/>
      <c r="Y464" s="725"/>
      <c r="Z464" s="725"/>
    </row>
    <row r="465" spans="10:26" s="1751" customFormat="1" ht="21.75" customHeight="1">
      <c r="J465" s="725"/>
      <c r="K465" s="725"/>
      <c r="L465" s="725"/>
      <c r="M465" s="725"/>
      <c r="N465" s="725"/>
      <c r="O465" s="725"/>
      <c r="P465" s="725"/>
      <c r="Q465" s="725"/>
      <c r="R465" s="725"/>
      <c r="S465" s="725"/>
      <c r="T465" s="725"/>
      <c r="U465" s="725"/>
      <c r="V465" s="725"/>
      <c r="W465" s="725"/>
      <c r="X465" s="725"/>
      <c r="Y465" s="725"/>
      <c r="Z465" s="725"/>
    </row>
    <row r="466" spans="10:26" s="1751" customFormat="1" ht="21.75" customHeight="1">
      <c r="J466" s="725"/>
      <c r="K466" s="725"/>
      <c r="L466" s="725"/>
      <c r="M466" s="725"/>
      <c r="N466" s="725"/>
      <c r="O466" s="725"/>
      <c r="P466" s="725"/>
      <c r="Q466" s="725"/>
      <c r="R466" s="725"/>
      <c r="S466" s="725"/>
      <c r="T466" s="725"/>
      <c r="U466" s="725"/>
      <c r="V466" s="725"/>
      <c r="W466" s="725"/>
      <c r="X466" s="725"/>
      <c r="Y466" s="725"/>
      <c r="Z466" s="725"/>
    </row>
    <row r="467" spans="10:26" s="1751" customFormat="1" ht="21.75" customHeight="1">
      <c r="J467" s="725"/>
      <c r="K467" s="725"/>
      <c r="L467" s="725"/>
      <c r="M467" s="725"/>
      <c r="N467" s="725"/>
      <c r="O467" s="725"/>
      <c r="P467" s="725"/>
      <c r="Q467" s="725"/>
      <c r="R467" s="725"/>
      <c r="S467" s="725"/>
      <c r="T467" s="725"/>
      <c r="U467" s="725"/>
      <c r="V467" s="725"/>
      <c r="W467" s="725"/>
      <c r="X467" s="725"/>
      <c r="Y467" s="725"/>
      <c r="Z467" s="725"/>
    </row>
    <row r="468" spans="10:26" s="1751" customFormat="1" ht="21.75" customHeight="1">
      <c r="J468" s="725"/>
      <c r="K468" s="725"/>
      <c r="L468" s="725"/>
      <c r="M468" s="725"/>
      <c r="N468" s="725"/>
      <c r="O468" s="725"/>
      <c r="P468" s="725"/>
      <c r="Q468" s="725"/>
      <c r="R468" s="725"/>
      <c r="S468" s="725"/>
      <c r="T468" s="725"/>
      <c r="U468" s="725"/>
      <c r="V468" s="725"/>
      <c r="W468" s="725"/>
      <c r="X468" s="725"/>
      <c r="Y468" s="725"/>
      <c r="Z468" s="725"/>
    </row>
    <row r="469" spans="10:26" s="1751" customFormat="1" ht="21.75" customHeight="1">
      <c r="J469" s="725"/>
      <c r="K469" s="725"/>
      <c r="L469" s="725"/>
      <c r="M469" s="725"/>
      <c r="N469" s="725"/>
      <c r="O469" s="725"/>
      <c r="P469" s="725"/>
      <c r="Q469" s="725"/>
      <c r="R469" s="725"/>
      <c r="S469" s="725"/>
      <c r="T469" s="725"/>
      <c r="U469" s="725"/>
      <c r="V469" s="725"/>
      <c r="W469" s="725"/>
      <c r="X469" s="725"/>
      <c r="Y469" s="725"/>
      <c r="Z469" s="725"/>
    </row>
    <row r="470" spans="10:26" s="1751" customFormat="1" ht="21.75" customHeight="1">
      <c r="J470" s="725"/>
      <c r="K470" s="725"/>
      <c r="L470" s="725"/>
      <c r="M470" s="725"/>
      <c r="N470" s="725"/>
      <c r="O470" s="725"/>
      <c r="P470" s="725"/>
      <c r="Q470" s="725"/>
      <c r="R470" s="725"/>
      <c r="S470" s="725"/>
      <c r="T470" s="725"/>
      <c r="U470" s="725"/>
      <c r="V470" s="725"/>
      <c r="W470" s="725"/>
      <c r="X470" s="725"/>
      <c r="Y470" s="725"/>
      <c r="Z470" s="725"/>
    </row>
    <row r="471" spans="10:26" s="1751" customFormat="1" ht="21.75" customHeight="1">
      <c r="J471" s="725"/>
      <c r="K471" s="725"/>
      <c r="L471" s="725"/>
      <c r="M471" s="725"/>
      <c r="N471" s="725"/>
      <c r="O471" s="725"/>
      <c r="P471" s="725"/>
      <c r="Q471" s="725"/>
      <c r="R471" s="725"/>
      <c r="S471" s="725"/>
      <c r="T471" s="725"/>
      <c r="U471" s="725"/>
      <c r="V471" s="725"/>
      <c r="W471" s="725"/>
      <c r="X471" s="725"/>
      <c r="Y471" s="725"/>
      <c r="Z471" s="725"/>
    </row>
    <row r="472" spans="10:26" s="1751" customFormat="1" ht="21.75" customHeight="1">
      <c r="J472" s="725"/>
      <c r="K472" s="725"/>
      <c r="L472" s="725"/>
      <c r="M472" s="725"/>
      <c r="N472" s="725"/>
      <c r="O472" s="725"/>
      <c r="P472" s="725"/>
      <c r="Q472" s="725"/>
      <c r="R472" s="725"/>
      <c r="S472" s="725"/>
      <c r="T472" s="725"/>
      <c r="U472" s="725"/>
      <c r="V472" s="725"/>
      <c r="W472" s="725"/>
      <c r="X472" s="725"/>
      <c r="Y472" s="725"/>
      <c r="Z472" s="725"/>
    </row>
    <row r="473" spans="10:26" s="1751" customFormat="1" ht="21.75" customHeight="1">
      <c r="J473" s="725"/>
      <c r="K473" s="725"/>
      <c r="L473" s="725"/>
      <c r="M473" s="725"/>
      <c r="N473" s="725"/>
      <c r="O473" s="725"/>
      <c r="P473" s="725"/>
      <c r="Q473" s="725"/>
      <c r="R473" s="725"/>
      <c r="S473" s="725"/>
      <c r="T473" s="725"/>
      <c r="U473" s="725"/>
      <c r="V473" s="725"/>
      <c r="W473" s="725"/>
      <c r="X473" s="725"/>
      <c r="Y473" s="725"/>
      <c r="Z473" s="725"/>
    </row>
    <row r="474" spans="10:26" s="1751" customFormat="1" ht="21.75" customHeight="1">
      <c r="J474" s="725"/>
      <c r="K474" s="725"/>
      <c r="L474" s="725"/>
      <c r="M474" s="725"/>
      <c r="N474" s="725"/>
      <c r="O474" s="725"/>
      <c r="P474" s="725"/>
      <c r="Q474" s="725"/>
      <c r="R474" s="725"/>
      <c r="S474" s="725"/>
      <c r="T474" s="725"/>
      <c r="U474" s="725"/>
      <c r="V474" s="725"/>
      <c r="W474" s="725"/>
      <c r="X474" s="725"/>
      <c r="Y474" s="725"/>
      <c r="Z474" s="725"/>
    </row>
    <row r="475" spans="10:26" s="1751" customFormat="1" ht="21.75" customHeight="1">
      <c r="J475" s="725"/>
      <c r="K475" s="725"/>
      <c r="L475" s="725"/>
      <c r="M475" s="725"/>
      <c r="N475" s="725"/>
      <c r="O475" s="725"/>
      <c r="P475" s="725"/>
      <c r="Q475" s="725"/>
      <c r="R475" s="725"/>
      <c r="S475" s="725"/>
      <c r="T475" s="725"/>
      <c r="U475" s="725"/>
      <c r="V475" s="725"/>
      <c r="W475" s="725"/>
      <c r="X475" s="725"/>
      <c r="Y475" s="725"/>
      <c r="Z475" s="725"/>
    </row>
    <row r="476" spans="10:26" s="1751" customFormat="1" ht="21.75" customHeight="1">
      <c r="J476" s="725"/>
      <c r="K476" s="725"/>
      <c r="L476" s="725"/>
      <c r="M476" s="725"/>
      <c r="N476" s="725"/>
      <c r="O476" s="725"/>
      <c r="P476" s="725"/>
      <c r="Q476" s="725"/>
      <c r="R476" s="725"/>
      <c r="S476" s="725"/>
      <c r="T476" s="725"/>
      <c r="U476" s="725"/>
      <c r="V476" s="725"/>
      <c r="W476" s="725"/>
      <c r="X476" s="725"/>
      <c r="Y476" s="725"/>
      <c r="Z476" s="725"/>
    </row>
    <row r="477" spans="10:26" s="1751" customFormat="1" ht="21.75" customHeight="1">
      <c r="J477" s="725"/>
      <c r="K477" s="725"/>
      <c r="L477" s="725"/>
      <c r="M477" s="725"/>
      <c r="N477" s="725"/>
      <c r="O477" s="725"/>
      <c r="P477" s="725"/>
      <c r="Q477" s="725"/>
      <c r="R477" s="725"/>
      <c r="S477" s="725"/>
      <c r="T477" s="725"/>
      <c r="U477" s="725"/>
      <c r="V477" s="725"/>
      <c r="W477" s="725"/>
      <c r="X477" s="725"/>
      <c r="Y477" s="725"/>
      <c r="Z477" s="725"/>
    </row>
    <row r="478" spans="10:26" s="1751" customFormat="1" ht="21.75" customHeight="1">
      <c r="J478" s="725"/>
      <c r="K478" s="725"/>
      <c r="L478" s="725"/>
      <c r="M478" s="725"/>
      <c r="N478" s="725"/>
      <c r="O478" s="725"/>
      <c r="P478" s="725"/>
      <c r="Q478" s="725"/>
      <c r="R478" s="725"/>
      <c r="S478" s="725"/>
      <c r="T478" s="725"/>
      <c r="U478" s="725"/>
      <c r="V478" s="725"/>
      <c r="W478" s="725"/>
      <c r="X478" s="725"/>
      <c r="Y478" s="725"/>
      <c r="Z478" s="725"/>
    </row>
    <row r="479" spans="10:26" s="1751" customFormat="1" ht="21.75" customHeight="1">
      <c r="J479" s="725"/>
      <c r="K479" s="725"/>
      <c r="L479" s="725"/>
      <c r="M479" s="725"/>
      <c r="N479" s="725"/>
      <c r="O479" s="725"/>
      <c r="P479" s="725"/>
      <c r="Q479" s="725"/>
      <c r="R479" s="725"/>
      <c r="S479" s="725"/>
      <c r="T479" s="725"/>
      <c r="U479" s="725"/>
      <c r="V479" s="725"/>
      <c r="W479" s="725"/>
      <c r="X479" s="725"/>
      <c r="Y479" s="725"/>
      <c r="Z479" s="725"/>
    </row>
    <row r="480" spans="10:26" s="1751" customFormat="1" ht="21.75" customHeight="1">
      <c r="J480" s="725"/>
      <c r="K480" s="725"/>
      <c r="L480" s="725"/>
      <c r="M480" s="725"/>
      <c r="N480" s="725"/>
      <c r="O480" s="725"/>
      <c r="P480" s="725"/>
      <c r="Q480" s="725"/>
      <c r="R480" s="725"/>
      <c r="S480" s="725"/>
      <c r="T480" s="725"/>
      <c r="U480" s="725"/>
      <c r="V480" s="725"/>
      <c r="W480" s="725"/>
      <c r="X480" s="725"/>
      <c r="Y480" s="725"/>
      <c r="Z480" s="725"/>
    </row>
    <row r="481" spans="10:26" s="1751" customFormat="1" ht="21.75" customHeight="1">
      <c r="J481" s="725"/>
      <c r="K481" s="725"/>
      <c r="L481" s="725"/>
      <c r="M481" s="725"/>
      <c r="N481" s="725"/>
      <c r="O481" s="725"/>
      <c r="P481" s="725"/>
      <c r="Q481" s="725"/>
      <c r="R481" s="725"/>
      <c r="S481" s="725"/>
      <c r="T481" s="725"/>
      <c r="U481" s="725"/>
      <c r="V481" s="725"/>
      <c r="W481" s="725"/>
      <c r="X481" s="725"/>
      <c r="Y481" s="725"/>
      <c r="Z481" s="725"/>
    </row>
    <row r="482" spans="10:26" s="1751" customFormat="1" ht="21.75" customHeight="1">
      <c r="J482" s="725"/>
      <c r="K482" s="725"/>
      <c r="L482" s="725"/>
      <c r="M482" s="725"/>
      <c r="N482" s="725"/>
      <c r="O482" s="725"/>
      <c r="P482" s="725"/>
      <c r="Q482" s="725"/>
      <c r="R482" s="725"/>
      <c r="S482" s="725"/>
      <c r="T482" s="725"/>
      <c r="U482" s="725"/>
      <c r="V482" s="725"/>
      <c r="W482" s="725"/>
      <c r="X482" s="725"/>
      <c r="Y482" s="725"/>
      <c r="Z482" s="725"/>
    </row>
    <row r="483" spans="10:26" s="1751" customFormat="1" ht="21.75" customHeight="1">
      <c r="J483" s="725"/>
      <c r="K483" s="725"/>
      <c r="L483" s="725"/>
      <c r="M483" s="725"/>
      <c r="N483" s="725"/>
      <c r="O483" s="725"/>
      <c r="P483" s="725"/>
      <c r="Q483" s="725"/>
      <c r="R483" s="725"/>
      <c r="S483" s="725"/>
      <c r="T483" s="725"/>
      <c r="U483" s="725"/>
      <c r="V483" s="725"/>
      <c r="W483" s="725"/>
      <c r="X483" s="725"/>
      <c r="Y483" s="725"/>
      <c r="Z483" s="725"/>
    </row>
    <row r="484" spans="10:26" s="1751" customFormat="1" ht="21.75" customHeight="1">
      <c r="J484" s="725"/>
      <c r="K484" s="725"/>
      <c r="L484" s="725"/>
      <c r="M484" s="725"/>
      <c r="N484" s="725"/>
      <c r="O484" s="725"/>
      <c r="P484" s="725"/>
      <c r="Q484" s="725"/>
      <c r="R484" s="725"/>
      <c r="S484" s="725"/>
      <c r="T484" s="725"/>
      <c r="U484" s="725"/>
      <c r="V484" s="725"/>
      <c r="W484" s="725"/>
      <c r="X484" s="725"/>
      <c r="Y484" s="725"/>
      <c r="Z484" s="725"/>
    </row>
    <row r="485" spans="10:26" s="1751" customFormat="1" ht="21.75" customHeight="1">
      <c r="J485" s="725"/>
      <c r="K485" s="725"/>
      <c r="L485" s="725"/>
      <c r="M485" s="725"/>
      <c r="N485" s="725"/>
      <c r="O485" s="725"/>
      <c r="P485" s="725"/>
      <c r="Q485" s="725"/>
      <c r="R485" s="725"/>
      <c r="S485" s="725"/>
      <c r="T485" s="725"/>
      <c r="U485" s="725"/>
      <c r="V485" s="725"/>
      <c r="W485" s="725"/>
      <c r="X485" s="725"/>
      <c r="Y485" s="725"/>
      <c r="Z485" s="725"/>
    </row>
    <row r="486" spans="10:26" s="1751" customFormat="1" ht="21.75" customHeight="1">
      <c r="J486" s="725"/>
      <c r="K486" s="725"/>
      <c r="L486" s="725"/>
      <c r="M486" s="725"/>
      <c r="N486" s="725"/>
      <c r="O486" s="725"/>
      <c r="P486" s="725"/>
      <c r="Q486" s="725"/>
      <c r="R486" s="725"/>
      <c r="S486" s="725"/>
      <c r="T486" s="725"/>
      <c r="U486" s="725"/>
      <c r="V486" s="725"/>
      <c r="W486" s="725"/>
      <c r="X486" s="725"/>
      <c r="Y486" s="725"/>
      <c r="Z486" s="725"/>
    </row>
    <row r="487" spans="10:26" s="1751" customFormat="1" ht="21.75" customHeight="1">
      <c r="J487" s="725"/>
      <c r="K487" s="725"/>
      <c r="L487" s="725"/>
      <c r="M487" s="725"/>
      <c r="N487" s="725"/>
      <c r="O487" s="725"/>
      <c r="P487" s="725"/>
      <c r="Q487" s="725"/>
      <c r="R487" s="725"/>
      <c r="S487" s="725"/>
      <c r="T487" s="725"/>
      <c r="U487" s="725"/>
      <c r="V487" s="725"/>
      <c r="W487" s="725"/>
      <c r="X487" s="725"/>
      <c r="Y487" s="725"/>
      <c r="Z487" s="725"/>
    </row>
    <row r="488" spans="10:26" s="1751" customFormat="1" ht="21.75" customHeight="1">
      <c r="J488" s="725"/>
      <c r="K488" s="725"/>
      <c r="L488" s="725"/>
      <c r="M488" s="725"/>
      <c r="N488" s="725"/>
      <c r="O488" s="725"/>
      <c r="P488" s="725"/>
      <c r="Q488" s="725"/>
      <c r="R488" s="725"/>
      <c r="S488" s="725"/>
      <c r="T488" s="725"/>
      <c r="U488" s="725"/>
      <c r="V488" s="725"/>
      <c r="W488" s="725"/>
      <c r="X488" s="725"/>
      <c r="Y488" s="725"/>
      <c r="Z488" s="725"/>
    </row>
    <row r="489" spans="10:26" s="1751" customFormat="1" ht="21.75" customHeight="1">
      <c r="J489" s="725"/>
      <c r="K489" s="725"/>
      <c r="L489" s="725"/>
      <c r="M489" s="725"/>
      <c r="N489" s="725"/>
      <c r="O489" s="725"/>
      <c r="P489" s="725"/>
      <c r="Q489" s="725"/>
      <c r="R489" s="725"/>
      <c r="S489" s="725"/>
      <c r="T489" s="725"/>
      <c r="U489" s="725"/>
      <c r="V489" s="725"/>
      <c r="W489" s="725"/>
      <c r="X489" s="725"/>
      <c r="Y489" s="725"/>
      <c r="Z489" s="725"/>
    </row>
    <row r="490" spans="10:26" s="1751" customFormat="1" ht="21.75" customHeight="1">
      <c r="J490" s="725"/>
      <c r="K490" s="725"/>
      <c r="L490" s="725"/>
      <c r="M490" s="725"/>
      <c r="N490" s="725"/>
      <c r="O490" s="725"/>
      <c r="P490" s="725"/>
      <c r="Q490" s="725"/>
      <c r="R490" s="725"/>
      <c r="S490" s="725"/>
      <c r="T490" s="725"/>
      <c r="U490" s="725"/>
      <c r="V490" s="725"/>
      <c r="W490" s="725"/>
      <c r="X490" s="725"/>
      <c r="Y490" s="725"/>
      <c r="Z490" s="725"/>
    </row>
    <row r="491" spans="10:26" s="1751" customFormat="1" ht="21.75" customHeight="1">
      <c r="J491" s="725"/>
      <c r="K491" s="725"/>
      <c r="L491" s="725"/>
      <c r="M491" s="725"/>
      <c r="N491" s="725"/>
      <c r="O491" s="725"/>
      <c r="P491" s="725"/>
      <c r="Q491" s="725"/>
      <c r="R491" s="725"/>
      <c r="S491" s="725"/>
      <c r="T491" s="725"/>
      <c r="U491" s="725"/>
      <c r="V491" s="725"/>
      <c r="W491" s="725"/>
      <c r="X491" s="725"/>
      <c r="Y491" s="725"/>
      <c r="Z491" s="725"/>
    </row>
    <row r="492" spans="10:26" s="1751" customFormat="1" ht="21.75" customHeight="1">
      <c r="J492" s="725"/>
      <c r="K492" s="725"/>
      <c r="L492" s="725"/>
      <c r="M492" s="725"/>
      <c r="N492" s="725"/>
      <c r="O492" s="725"/>
      <c r="P492" s="725"/>
      <c r="Q492" s="725"/>
      <c r="R492" s="725"/>
      <c r="S492" s="725"/>
      <c r="T492" s="725"/>
      <c r="U492" s="725"/>
      <c r="V492" s="725"/>
      <c r="W492" s="725"/>
      <c r="X492" s="725"/>
      <c r="Y492" s="725"/>
      <c r="Z492" s="725"/>
    </row>
    <row r="493" spans="10:26" s="1751" customFormat="1" ht="21.75" customHeight="1">
      <c r="J493" s="725"/>
      <c r="K493" s="725"/>
      <c r="L493" s="725"/>
      <c r="M493" s="725"/>
      <c r="N493" s="725"/>
      <c r="O493" s="725"/>
      <c r="P493" s="725"/>
      <c r="Q493" s="725"/>
      <c r="R493" s="725"/>
      <c r="S493" s="725"/>
      <c r="T493" s="725"/>
      <c r="U493" s="725"/>
      <c r="V493" s="725"/>
      <c r="W493" s="725"/>
      <c r="X493" s="725"/>
      <c r="Y493" s="725"/>
      <c r="Z493" s="725"/>
    </row>
    <row r="494" spans="10:26" s="1751" customFormat="1" ht="21.75" customHeight="1">
      <c r="J494" s="725"/>
      <c r="K494" s="725"/>
      <c r="L494" s="725"/>
      <c r="M494" s="725"/>
      <c r="N494" s="725"/>
      <c r="O494" s="725"/>
      <c r="P494" s="725"/>
      <c r="Q494" s="725"/>
      <c r="R494" s="725"/>
      <c r="S494" s="725"/>
      <c r="T494" s="725"/>
      <c r="U494" s="725"/>
      <c r="V494" s="725"/>
      <c r="W494" s="725"/>
      <c r="X494" s="725"/>
      <c r="Y494" s="725"/>
      <c r="Z494" s="725"/>
    </row>
    <row r="495" spans="10:26" s="1751" customFormat="1" ht="21.75" customHeight="1">
      <c r="J495" s="725"/>
      <c r="K495" s="725"/>
      <c r="L495" s="725"/>
      <c r="M495" s="725"/>
      <c r="N495" s="725"/>
      <c r="O495" s="725"/>
      <c r="P495" s="725"/>
      <c r="Q495" s="725"/>
      <c r="R495" s="725"/>
      <c r="S495" s="725"/>
      <c r="T495" s="725"/>
      <c r="U495" s="725"/>
      <c r="V495" s="725"/>
      <c r="W495" s="725"/>
      <c r="X495" s="725"/>
      <c r="Y495" s="725"/>
      <c r="Z495" s="725"/>
    </row>
    <row r="496" spans="10:26" s="1751" customFormat="1" ht="21.75" customHeight="1">
      <c r="J496" s="725"/>
      <c r="K496" s="725"/>
      <c r="L496" s="725"/>
      <c r="M496" s="725"/>
      <c r="N496" s="725"/>
      <c r="O496" s="725"/>
      <c r="P496" s="725"/>
      <c r="Q496" s="725"/>
      <c r="R496" s="725"/>
      <c r="S496" s="725"/>
      <c r="T496" s="725"/>
      <c r="U496" s="725"/>
      <c r="V496" s="725"/>
      <c r="W496" s="725"/>
      <c r="X496" s="725"/>
      <c r="Y496" s="725"/>
      <c r="Z496" s="725"/>
    </row>
    <row r="497" spans="10:26" s="1751" customFormat="1" ht="21.75" customHeight="1">
      <c r="J497" s="725"/>
      <c r="K497" s="725"/>
      <c r="L497" s="725"/>
      <c r="M497" s="725"/>
      <c r="N497" s="725"/>
      <c r="O497" s="725"/>
      <c r="P497" s="725"/>
      <c r="Q497" s="725"/>
      <c r="R497" s="725"/>
      <c r="S497" s="725"/>
      <c r="T497" s="725"/>
      <c r="U497" s="725"/>
      <c r="V497" s="725"/>
      <c r="W497" s="725"/>
      <c r="X497" s="725"/>
      <c r="Y497" s="725"/>
      <c r="Z497" s="725"/>
    </row>
    <row r="498" spans="10:26" s="1751" customFormat="1" ht="21.75" customHeight="1">
      <c r="J498" s="725"/>
      <c r="K498" s="725"/>
      <c r="L498" s="725"/>
      <c r="M498" s="725"/>
      <c r="N498" s="725"/>
      <c r="O498" s="725"/>
      <c r="P498" s="725"/>
      <c r="Q498" s="725"/>
      <c r="R498" s="725"/>
      <c r="S498" s="725"/>
      <c r="T498" s="725"/>
      <c r="U498" s="725"/>
      <c r="V498" s="725"/>
      <c r="W498" s="725"/>
      <c r="X498" s="725"/>
      <c r="Y498" s="725"/>
      <c r="Z498" s="725"/>
    </row>
    <row r="499" spans="10:26" s="1751" customFormat="1" ht="21.75" customHeight="1">
      <c r="J499" s="725"/>
      <c r="K499" s="725"/>
      <c r="L499" s="725"/>
      <c r="M499" s="725"/>
      <c r="N499" s="725"/>
      <c r="O499" s="725"/>
      <c r="P499" s="725"/>
      <c r="Q499" s="725"/>
      <c r="R499" s="725"/>
      <c r="S499" s="725"/>
      <c r="T499" s="725"/>
      <c r="U499" s="725"/>
      <c r="V499" s="725"/>
      <c r="W499" s="725"/>
      <c r="X499" s="725"/>
      <c r="Y499" s="725"/>
      <c r="Z499" s="725"/>
    </row>
    <row r="500" spans="10:26" s="1751" customFormat="1" ht="21.75" customHeight="1">
      <c r="J500" s="725"/>
      <c r="K500" s="725"/>
      <c r="L500" s="725"/>
      <c r="M500" s="725"/>
      <c r="N500" s="725"/>
      <c r="O500" s="725"/>
      <c r="P500" s="725"/>
      <c r="Q500" s="725"/>
      <c r="R500" s="725"/>
      <c r="S500" s="725"/>
      <c r="T500" s="725"/>
      <c r="U500" s="725"/>
      <c r="V500" s="725"/>
      <c r="W500" s="725"/>
      <c r="X500" s="725"/>
      <c r="Y500" s="725"/>
      <c r="Z500" s="725"/>
    </row>
    <row r="501" spans="10:26" s="1751" customFormat="1" ht="21.75" customHeight="1">
      <c r="J501" s="725"/>
      <c r="K501" s="725"/>
      <c r="L501" s="725"/>
      <c r="M501" s="725"/>
      <c r="N501" s="725"/>
      <c r="O501" s="725"/>
      <c r="P501" s="725"/>
      <c r="Q501" s="725"/>
      <c r="R501" s="725"/>
      <c r="S501" s="725"/>
      <c r="T501" s="725"/>
      <c r="U501" s="725"/>
      <c r="V501" s="725"/>
      <c r="W501" s="725"/>
      <c r="X501" s="725"/>
      <c r="Y501" s="725"/>
      <c r="Z501" s="725"/>
    </row>
    <row r="502" spans="10:26" s="1751" customFormat="1" ht="21.75" customHeight="1">
      <c r="J502" s="725"/>
      <c r="K502" s="725"/>
      <c r="L502" s="725"/>
      <c r="M502" s="725"/>
      <c r="N502" s="725"/>
      <c r="O502" s="725"/>
      <c r="P502" s="725"/>
      <c r="Q502" s="725"/>
      <c r="R502" s="725"/>
      <c r="S502" s="725"/>
      <c r="T502" s="725"/>
      <c r="U502" s="725"/>
      <c r="V502" s="725"/>
      <c r="W502" s="725"/>
      <c r="X502" s="725"/>
      <c r="Y502" s="725"/>
      <c r="Z502" s="725"/>
    </row>
    <row r="503" spans="10:26" s="1751" customFormat="1" ht="21.75" customHeight="1">
      <c r="J503" s="725"/>
      <c r="K503" s="725"/>
      <c r="L503" s="725"/>
      <c r="M503" s="725"/>
      <c r="N503" s="725"/>
      <c r="O503" s="725"/>
      <c r="P503" s="725"/>
      <c r="Q503" s="725"/>
      <c r="R503" s="725"/>
      <c r="S503" s="725"/>
      <c r="T503" s="725"/>
      <c r="U503" s="725"/>
      <c r="V503" s="725"/>
      <c r="W503" s="725"/>
      <c r="X503" s="725"/>
      <c r="Y503" s="725"/>
      <c r="Z503" s="725"/>
    </row>
    <row r="504" spans="10:26" s="1751" customFormat="1" ht="21.75" customHeight="1">
      <c r="J504" s="725"/>
      <c r="K504" s="725"/>
      <c r="L504" s="725"/>
      <c r="M504" s="725"/>
      <c r="N504" s="725"/>
      <c r="O504" s="725"/>
      <c r="P504" s="725"/>
      <c r="Q504" s="725"/>
      <c r="R504" s="725"/>
      <c r="S504" s="725"/>
      <c r="T504" s="725"/>
      <c r="U504" s="725"/>
      <c r="V504" s="725"/>
      <c r="W504" s="725"/>
      <c r="X504" s="725"/>
      <c r="Y504" s="725"/>
      <c r="Z504" s="725"/>
    </row>
    <row r="505" spans="10:26" s="1751" customFormat="1" ht="21.75" customHeight="1">
      <c r="J505" s="725"/>
      <c r="K505" s="725"/>
      <c r="L505" s="725"/>
      <c r="M505" s="725"/>
      <c r="N505" s="725"/>
      <c r="O505" s="725"/>
      <c r="P505" s="725"/>
      <c r="Q505" s="725"/>
      <c r="R505" s="725"/>
      <c r="S505" s="725"/>
      <c r="T505" s="725"/>
      <c r="U505" s="725"/>
      <c r="V505" s="725"/>
      <c r="W505" s="725"/>
      <c r="X505" s="725"/>
      <c r="Y505" s="725"/>
      <c r="Z505" s="725"/>
    </row>
    <row r="506" spans="10:26" s="1751" customFormat="1" ht="21.75" customHeight="1">
      <c r="J506" s="725"/>
      <c r="K506" s="725"/>
      <c r="L506" s="725"/>
      <c r="M506" s="725"/>
      <c r="N506" s="725"/>
      <c r="O506" s="725"/>
      <c r="P506" s="725"/>
      <c r="Q506" s="725"/>
      <c r="R506" s="725"/>
      <c r="S506" s="725"/>
      <c r="T506" s="725"/>
      <c r="U506" s="725"/>
      <c r="V506" s="725"/>
      <c r="W506" s="725"/>
      <c r="X506" s="725"/>
      <c r="Y506" s="725"/>
      <c r="Z506" s="725"/>
    </row>
    <row r="507" spans="10:26" s="1751" customFormat="1" ht="21.75" customHeight="1">
      <c r="J507" s="725"/>
      <c r="K507" s="725"/>
      <c r="L507" s="725"/>
      <c r="M507" s="725"/>
      <c r="N507" s="725"/>
      <c r="O507" s="725"/>
      <c r="P507" s="725"/>
      <c r="Q507" s="725"/>
      <c r="R507" s="725"/>
      <c r="S507" s="725"/>
      <c r="T507" s="725"/>
      <c r="U507" s="725"/>
      <c r="V507" s="725"/>
      <c r="W507" s="725"/>
      <c r="X507" s="725"/>
      <c r="Y507" s="725"/>
      <c r="Z507" s="725"/>
    </row>
    <row r="508" spans="10:26" s="1751" customFormat="1" ht="21.75" customHeight="1">
      <c r="J508" s="725"/>
      <c r="K508" s="725"/>
      <c r="L508" s="725"/>
      <c r="M508" s="725"/>
      <c r="N508" s="725"/>
      <c r="O508" s="725"/>
      <c r="P508" s="725"/>
      <c r="Q508" s="725"/>
      <c r="R508" s="725"/>
      <c r="S508" s="725"/>
      <c r="T508" s="725"/>
      <c r="U508" s="725"/>
      <c r="V508" s="725"/>
      <c r="W508" s="725"/>
      <c r="X508" s="725"/>
      <c r="Y508" s="725"/>
      <c r="Z508" s="725"/>
    </row>
    <row r="509" spans="10:26" s="1751" customFormat="1" ht="21.75" customHeight="1">
      <c r="J509" s="725"/>
      <c r="K509" s="725"/>
      <c r="L509" s="725"/>
      <c r="M509" s="725"/>
      <c r="N509" s="725"/>
      <c r="O509" s="725"/>
      <c r="P509" s="725"/>
      <c r="Q509" s="725"/>
      <c r="R509" s="725"/>
      <c r="S509" s="725"/>
      <c r="T509" s="725"/>
      <c r="U509" s="725"/>
      <c r="V509" s="725"/>
      <c r="W509" s="725"/>
      <c r="X509" s="725"/>
      <c r="Y509" s="725"/>
      <c r="Z509" s="725"/>
    </row>
    <row r="510" spans="10:26" s="1751" customFormat="1" ht="21.75" customHeight="1">
      <c r="J510" s="725"/>
      <c r="K510" s="725"/>
      <c r="L510" s="725"/>
      <c r="M510" s="725"/>
      <c r="N510" s="725"/>
      <c r="O510" s="725"/>
      <c r="P510" s="725"/>
      <c r="Q510" s="725"/>
      <c r="R510" s="725"/>
      <c r="S510" s="725"/>
      <c r="T510" s="725"/>
      <c r="U510" s="725"/>
      <c r="V510" s="725"/>
      <c r="W510" s="725"/>
      <c r="X510" s="725"/>
      <c r="Y510" s="725"/>
      <c r="Z510" s="725"/>
    </row>
    <row r="511" spans="10:26" s="1751" customFormat="1" ht="21.75" customHeight="1">
      <c r="J511" s="725"/>
      <c r="K511" s="725"/>
      <c r="L511" s="725"/>
      <c r="M511" s="725"/>
      <c r="N511" s="725"/>
      <c r="O511" s="725"/>
      <c r="P511" s="725"/>
      <c r="Q511" s="725"/>
      <c r="R511" s="725"/>
      <c r="S511" s="725"/>
      <c r="T511" s="725"/>
      <c r="U511" s="725"/>
      <c r="V511" s="725"/>
      <c r="W511" s="725"/>
      <c r="X511" s="725"/>
      <c r="Y511" s="725"/>
      <c r="Z511" s="725"/>
    </row>
    <row r="512" spans="10:26" s="1751" customFormat="1" ht="21.75" customHeight="1">
      <c r="J512" s="725"/>
      <c r="K512" s="725"/>
      <c r="L512" s="725"/>
      <c r="M512" s="725"/>
      <c r="N512" s="725"/>
      <c r="O512" s="725"/>
      <c r="P512" s="725"/>
      <c r="Q512" s="725"/>
      <c r="R512" s="725"/>
      <c r="S512" s="725"/>
      <c r="T512" s="725"/>
      <c r="U512" s="725"/>
      <c r="V512" s="725"/>
      <c r="W512" s="725"/>
      <c r="X512" s="725"/>
      <c r="Y512" s="725"/>
      <c r="Z512" s="725"/>
    </row>
  </sheetData>
  <sheetProtection password="CEE9" sheet="1" objects="1" scenarios="1" formatCells="0" formatColumns="0" formatRows="0"/>
  <mergeCells count="116">
    <mergeCell ref="E103:F103"/>
    <mergeCell ref="J45:O45"/>
    <mergeCell ref="K46:L46"/>
    <mergeCell ref="M46:O46"/>
    <mergeCell ref="K47:L47"/>
    <mergeCell ref="M47:O47"/>
    <mergeCell ref="K48:L48"/>
    <mergeCell ref="M48:O48"/>
    <mergeCell ref="M49:O49"/>
    <mergeCell ref="J50:O50"/>
    <mergeCell ref="K49:L49"/>
    <mergeCell ref="E101:F102"/>
    <mergeCell ref="K56:L56"/>
    <mergeCell ref="J63:J69"/>
    <mergeCell ref="N56:O56"/>
    <mergeCell ref="G90:H90"/>
    <mergeCell ref="H116:I116"/>
    <mergeCell ref="D122:I122"/>
    <mergeCell ref="C116:C117"/>
    <mergeCell ref="A119:C119"/>
    <mergeCell ref="D119:E119"/>
    <mergeCell ref="A120:C120"/>
    <mergeCell ref="D126:I126"/>
    <mergeCell ref="F119:G119"/>
    <mergeCell ref="A125:C125"/>
    <mergeCell ref="D124:I124"/>
    <mergeCell ref="D125:I125"/>
    <mergeCell ref="D123:I123"/>
    <mergeCell ref="D120:I120"/>
    <mergeCell ref="A128:I128"/>
    <mergeCell ref="D116:E116"/>
    <mergeCell ref="H119:I119"/>
    <mergeCell ref="A123:C123"/>
    <mergeCell ref="A124:C124"/>
    <mergeCell ref="K51:L51"/>
    <mergeCell ref="K52:L52"/>
    <mergeCell ref="K53:L53"/>
    <mergeCell ref="A100:D100"/>
    <mergeCell ref="J59:J60"/>
    <mergeCell ref="K59:K60"/>
    <mergeCell ref="K61:L61"/>
    <mergeCell ref="A59:C59"/>
    <mergeCell ref="G49:G51"/>
    <mergeCell ref="A101:B101"/>
    <mergeCell ref="A102:A103"/>
    <mergeCell ref="K54:L54"/>
    <mergeCell ref="K55:L55"/>
    <mergeCell ref="J57:J58"/>
    <mergeCell ref="K57:K58"/>
    <mergeCell ref="E107:F108"/>
    <mergeCell ref="E111:F112"/>
    <mergeCell ref="E92:H92"/>
    <mergeCell ref="A126:C126"/>
    <mergeCell ref="E109:F110"/>
    <mergeCell ref="A84:B84"/>
    <mergeCell ref="E78:H78"/>
    <mergeCell ref="A12:A13"/>
    <mergeCell ref="A127:C127"/>
    <mergeCell ref="A122:C122"/>
    <mergeCell ref="A104:A105"/>
    <mergeCell ref="E113:H113"/>
    <mergeCell ref="B50:C50"/>
    <mergeCell ref="B54:C54"/>
    <mergeCell ref="A71:B71"/>
    <mergeCell ref="B116:B117"/>
    <mergeCell ref="E76:H76"/>
    <mergeCell ref="A70:H70"/>
    <mergeCell ref="B51:C51"/>
    <mergeCell ref="A83:H83"/>
    <mergeCell ref="B57:C57"/>
    <mergeCell ref="D121:I121"/>
    <mergeCell ref="A116:A117"/>
    <mergeCell ref="F116:G116"/>
    <mergeCell ref="A121:C121"/>
    <mergeCell ref="D127:I127"/>
    <mergeCell ref="A115:I115"/>
    <mergeCell ref="D14:D16"/>
    <mergeCell ref="A8:A9"/>
    <mergeCell ref="B52:C52"/>
    <mergeCell ref="B53:C53"/>
    <mergeCell ref="A36:A38"/>
    <mergeCell ref="A62:B62"/>
    <mergeCell ref="B58:C58"/>
    <mergeCell ref="A48:C48"/>
    <mergeCell ref="A2:I2"/>
    <mergeCell ref="A5:A7"/>
    <mergeCell ref="B5:B7"/>
    <mergeCell ref="D12:D13"/>
    <mergeCell ref="A3:I3"/>
    <mergeCell ref="C8:C9"/>
    <mergeCell ref="B8:B9"/>
    <mergeCell ref="A10:A11"/>
    <mergeCell ref="B10:B11"/>
    <mergeCell ref="C5:C7"/>
    <mergeCell ref="D5:D7"/>
    <mergeCell ref="E4:I4"/>
    <mergeCell ref="D10:D11"/>
    <mergeCell ref="D8:D9"/>
    <mergeCell ref="C12:C13"/>
    <mergeCell ref="B12:B13"/>
    <mergeCell ref="C10:C11"/>
    <mergeCell ref="B49:C49"/>
    <mergeCell ref="B14:B16"/>
    <mergeCell ref="A46:G46"/>
    <mergeCell ref="A45:C45"/>
    <mergeCell ref="A24:A25"/>
    <mergeCell ref="E91:G91"/>
    <mergeCell ref="E100:H100"/>
    <mergeCell ref="A61:E61"/>
    <mergeCell ref="A14:A16"/>
    <mergeCell ref="A55:C55"/>
    <mergeCell ref="A56:C56"/>
    <mergeCell ref="C14:C16"/>
    <mergeCell ref="E93:H93"/>
    <mergeCell ref="E94:H94"/>
    <mergeCell ref="E18:I18"/>
  </mergeCells>
  <phoneticPr fontId="8" type="noConversion"/>
  <conditionalFormatting sqref="C5:C7">
    <cfRule type="cellIs" dxfId="176" priority="21" stopIfTrue="1" operator="equal">
      <formula>25</formula>
    </cfRule>
  </conditionalFormatting>
  <conditionalFormatting sqref="C8:C9">
    <cfRule type="cellIs" dxfId="175" priority="19" stopIfTrue="1" operator="equal">
      <formula>15</formula>
    </cfRule>
  </conditionalFormatting>
  <conditionalFormatting sqref="C14:C16">
    <cfRule type="cellIs" dxfId="174" priority="13" stopIfTrue="1" operator="equal">
      <formula>30</formula>
    </cfRule>
  </conditionalFormatting>
  <conditionalFormatting sqref="D5:D7">
    <cfRule type="cellIs" dxfId="173" priority="10" stopIfTrue="1" operator="equal">
      <formula>25</formula>
    </cfRule>
  </conditionalFormatting>
  <conditionalFormatting sqref="D8:D9">
    <cfRule type="cellIs" dxfId="172" priority="9" stopIfTrue="1" operator="equal">
      <formula>15</formula>
    </cfRule>
  </conditionalFormatting>
  <conditionalFormatting sqref="C10:D13">
    <cfRule type="cellIs" dxfId="171" priority="8" stopIfTrue="1" operator="equal">
      <formula>15</formula>
    </cfRule>
  </conditionalFormatting>
  <conditionalFormatting sqref="D14:D16">
    <cfRule type="cellIs" dxfId="170" priority="6" stopIfTrue="1" operator="equal">
      <formula>30</formula>
    </cfRule>
  </conditionalFormatting>
  <conditionalFormatting sqref="C90">
    <cfRule type="expression" dxfId="169" priority="3" stopIfTrue="1">
      <formula>$H$88&lt;&gt;"仅含出让金"</formula>
    </cfRule>
  </conditionalFormatting>
  <conditionalFormatting sqref="C91">
    <cfRule type="expression" dxfId="168" priority="2" stopIfTrue="1">
      <formula>$H$91="由企业提供"</formula>
    </cfRule>
  </conditionalFormatting>
  <conditionalFormatting sqref="E36">
    <cfRule type="expression" dxfId="167" priority="1" stopIfTrue="1">
      <formula>$D$36="同一抵押权人同一抵押物续贷"</formula>
    </cfRule>
  </conditionalFormatting>
  <dataValidations count="23">
    <dataValidation type="list" allowBlank="1" showInputMessage="1" showErrorMessage="1" sqref="C4:D4 D33">
      <formula1>估价方法</formula1>
    </dataValidation>
    <dataValidation type="list" allowBlank="1" showInputMessage="1" showErrorMessage="1" sqref="H55:H56">
      <formula1>"个人住宅,正常"</formula1>
    </dataValidation>
    <dataValidation type="list" allowBlank="1" showInputMessage="1" showErrorMessage="1" sqref="H48">
      <formula1>"情况1,情况2,情况3,情况4"</formula1>
    </dataValidation>
    <dataValidation type="list" allowBlank="1" showInputMessage="1" showErrorMessage="1" sqref="H58">
      <formula1>"转让取得,自行开发建设"</formula1>
    </dataValidation>
    <dataValidation type="list" allowBlank="1" showInputMessage="1" showErrorMessage="1" sqref="D32">
      <formula1>"总价,楼面单价"</formula1>
    </dataValidation>
    <dataValidation type="list" allowBlank="1" showInputMessage="1" showErrorMessage="1" sqref="F45">
      <formula1>"100%,70%,56%"</formula1>
    </dataValidation>
    <dataValidation type="list" allowBlank="1" showInputMessage="1" showErrorMessage="1" sqref="C33">
      <formula1>"成本比率,收益比率,自定义"</formula1>
    </dataValidation>
    <dataValidation type="list" allowBlank="1" showInputMessage="1" showErrorMessage="1" sqref="H91">
      <formula1>"企业提供（在右侧录入）,——"</formula1>
    </dataValidation>
    <dataValidation type="list" allowBlank="1" showInputMessage="1" showErrorMessage="1" sqref="H88">
      <formula1>"仅含出让金,出让金+开发费"</formula1>
    </dataValidation>
    <dataValidation type="list" allowBlank="1" showInputMessage="1" showErrorMessage="1" sqref="F75">
      <formula1>"买卖合同,购房发票"</formula1>
    </dataValidation>
    <dataValidation type="list" allowBlank="1" showInputMessage="1" showErrorMessage="1" sqref="D36">
      <formula1>"同一抵押权人同一抵押物续贷,注销后放款,正常操作"</formula1>
    </dataValidation>
    <dataValidation type="list" allowBlank="1" showInputMessage="1" showErrorMessage="1" sqref="B116:B117">
      <formula1>"建筑面积,规划建筑面积,（规划）建筑面积"</formula1>
    </dataValidation>
    <dataValidation type="list" allowBlank="1" showInputMessage="1" showErrorMessage="1" sqref="C116:C117">
      <formula1>"土地面积,分摊土地面积,（分摊）土地面积"</formula1>
    </dataValidation>
    <dataValidation type="list" allowBlank="1" showInputMessage="1" showErrorMessage="1" sqref="D116:E116">
      <formula1>"出让国有建设用地使用权价值,划拨国有建设用地使用权价值"</formula1>
    </dataValidation>
    <dataValidation type="list" allowBlank="1" showInputMessage="1" showErrorMessage="1" sqref="F116:G116">
      <formula1>"建筑物价值,在建建筑物价值,建筑物/在建建筑物价值"</formula1>
    </dataValidation>
    <dataValidation type="list" allowBlank="1" showInputMessage="1" showErrorMessage="1" sqref="C129">
      <formula1>"无,有"</formula1>
    </dataValidation>
    <dataValidation type="list" showInputMessage="1" showErrorMessage="1" sqref="G1">
      <formula1>"现房,在建,土地,-"</formula1>
    </dataValidation>
    <dataValidation type="list" allowBlank="1" showInputMessage="1" showErrorMessage="1" sqref="I1">
      <formula1>"项目局部,项目全部,——"</formula1>
    </dataValidation>
    <dataValidation type="list" allowBlank="1" showInputMessage="1" showErrorMessage="1" sqref="C1">
      <formula1>项目类型</formula1>
    </dataValidation>
    <dataValidation type="list" allowBlank="1" showInputMessage="1" showErrorMessage="1" sqref="G77">
      <formula1>"个人住宅,2016年5月1日前购买,2016年5月1日后购买"</formula1>
    </dataValidation>
    <dataValidation type="list" allowBlank="1" showInputMessage="1" showErrorMessage="1" sqref="E103">
      <formula1>"2.估价师知悉的法定优先受偿款,2.估价师知悉的除抵押担保权以外的法定优先受偿款"</formula1>
    </dataValidation>
    <dataValidation type="list" allowBlank="1" showInputMessage="1" showErrorMessage="1" sqref="H59">
      <formula1>"非个人房产,个人住宅（满五唯一有凭证）,个人其他（有凭证）,个人其他（无凭证）"</formula1>
    </dataValidation>
    <dataValidation type="list" allowBlank="1" showInputMessage="1" showErrorMessage="1" sqref="D92">
      <formula1>"0,5%,10%"</formula1>
    </dataValidation>
  </dataValidations>
  <pageMargins left="0.43307086614173229" right="0.43307086614173229" top="0.35433070866141736" bottom="0.15748031496062992" header="0.31496062992125984" footer="0.31496062992125984"/>
  <pageSetup paperSize="9" scale="82" orientation="portrait" r:id="rId1"/>
  <rowBreaks count="3" manualBreakCount="3">
    <brk id="43" max="8" man="1"/>
    <brk id="97" max="8" man="1"/>
    <brk id="142" max="8" man="1"/>
  </rowBreaks>
  <legacyDrawing r:id="rId2"/>
</worksheet>
</file>

<file path=xl/worksheets/sheet2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FFC000"/>
    <pageSetUpPr fitToPage="1"/>
  </sheetPr>
  <dimension ref="A1:I57"/>
  <sheetViews>
    <sheetView view="pageBreakPreview" zoomScale="90" zoomScaleNormal="70" zoomScaleSheetLayoutView="90" workbookViewId="0">
      <selection activeCell="L41" sqref="L41"/>
    </sheetView>
  </sheetViews>
  <sheetFormatPr defaultColWidth="8.375" defaultRowHeight="12.75"/>
  <cols>
    <col min="1" max="1" width="10.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9" s="200" customFormat="1" ht="20.25">
      <c r="A1" s="196" t="s">
        <v>1443</v>
      </c>
      <c r="B1" s="1469"/>
      <c r="C1" s="198"/>
      <c r="D1" s="198"/>
      <c r="E1" s="198"/>
      <c r="F1" s="198"/>
      <c r="G1" s="1126">
        <f>MATCH(B1,'数据-取费表'!A6:A16,0)+5</f>
        <v>7</v>
      </c>
    </row>
    <row r="2" spans="1:9" s="200" customFormat="1" ht="18" customHeight="1">
      <c r="A2" s="201" t="s">
        <v>1444</v>
      </c>
      <c r="B2" s="202">
        <f ca="1">IF(D2="——",C52,C52-E2)</f>
        <v>16805</v>
      </c>
      <c r="C2" s="199" t="s">
        <v>1445</v>
      </c>
      <c r="D2" s="1852" t="s">
        <v>43</v>
      </c>
      <c r="E2" s="1169" t="e">
        <f ca="1">SUMIF(INDIRECT("'"&amp;G2&amp;"'"&amp;"!A:A"),"承租人权益价值",INDIRECT("'"&amp;G2&amp;"'"&amp;"!c:c"))</f>
        <v>#REF!</v>
      </c>
      <c r="F2" s="1853" t="s">
        <v>1445</v>
      </c>
      <c r="G2" s="1854"/>
    </row>
    <row r="3" spans="1:9" s="200" customFormat="1" ht="18" customHeight="1" thickBot="1">
      <c r="A3" s="203" t="s">
        <v>1446</v>
      </c>
      <c r="B3" s="204">
        <f ca="1">ROUND(B2*10000/(IF(B1="",'数据-汇总表'!E3,INDIRECT("'数据-取费表'!k"&amp;$G$1))),0)</f>
        <v>9571</v>
      </c>
      <c r="C3" s="199" t="s">
        <v>1447</v>
      </c>
      <c r="D3" s="199"/>
      <c r="E3" s="199"/>
      <c r="F3" s="199"/>
      <c r="G3" s="199"/>
    </row>
    <row r="4" spans="1:9" s="208" customFormat="1" ht="15.75">
      <c r="A4" s="205" t="s">
        <v>1448</v>
      </c>
      <c r="B4" s="206"/>
      <c r="C4" s="206"/>
      <c r="D4" s="206"/>
      <c r="E4" s="206"/>
      <c r="F4" s="206"/>
      <c r="G4" s="207"/>
    </row>
    <row r="5" spans="1:9" s="214" customFormat="1" ht="13.5" customHeight="1">
      <c r="A5" s="255" t="s">
        <v>1449</v>
      </c>
      <c r="B5" s="210" t="s">
        <v>1450</v>
      </c>
      <c r="C5" s="211">
        <f ca="1">C6+C7+C8</f>
        <v>2559</v>
      </c>
      <c r="D5" s="211" t="s">
        <v>1451</v>
      </c>
      <c r="E5" s="212" t="s">
        <v>1452</v>
      </c>
      <c r="F5" s="212" t="s">
        <v>1453</v>
      </c>
      <c r="G5" s="213"/>
    </row>
    <row r="6" spans="1:9" s="214" customFormat="1" ht="13.5" customHeight="1">
      <c r="A6" s="778" t="s">
        <v>1454</v>
      </c>
      <c r="B6" s="215" t="s">
        <v>1455</v>
      </c>
      <c r="C6" s="216">
        <f>基准地价修正!B2</f>
        <v>2143</v>
      </c>
      <c r="D6" s="217"/>
      <c r="E6" s="218"/>
      <c r="F6" s="218"/>
      <c r="G6" s="219"/>
    </row>
    <row r="7" spans="1:9" s="214" customFormat="1" ht="13.5" customHeight="1">
      <c r="A7" s="778" t="s">
        <v>1456</v>
      </c>
      <c r="B7" s="215" t="s">
        <v>1457</v>
      </c>
      <c r="C7" s="220">
        <f>ROUND(C6*F7,0)</f>
        <v>65</v>
      </c>
      <c r="D7" s="220"/>
      <c r="E7" s="218"/>
      <c r="F7" s="221">
        <f>IF(项目基本情况!B8="出让",0,'数据-取费表'!B48+'数据-取费表'!B49)</f>
        <v>3.0499999999999999E-2</v>
      </c>
      <c r="G7" s="219"/>
    </row>
    <row r="8" spans="1:9" s="223" customFormat="1">
      <c r="A8" s="778" t="s">
        <v>1458</v>
      </c>
      <c r="B8" s="215" t="s">
        <v>1459</v>
      </c>
      <c r="C8" s="220">
        <f ca="1">IF(G8="已包含在土地购买价格中","0",IF(B1="",'数据-取费表'!B29,IF(G9="全部缴纳",C9+C10,H9)))</f>
        <v>351</v>
      </c>
      <c r="D8" s="222"/>
      <c r="E8" s="220"/>
      <c r="F8" s="221"/>
      <c r="G8" s="1855" t="s">
        <v>3622</v>
      </c>
    </row>
    <row r="9" spans="1:9" s="214" customFormat="1" ht="13.5" customHeight="1">
      <c r="A9" s="779" t="s">
        <v>355</v>
      </c>
      <c r="B9" s="224" t="s">
        <v>1460</v>
      </c>
      <c r="C9" s="225">
        <f ca="1">ROUND(D9*E9/10000,0)</f>
        <v>0</v>
      </c>
      <c r="D9" s="845">
        <f ca="1">IF(B1="",'数据-汇总表'!E5,IF(INDIRECT("'数据-取费表'!c"&amp;$G$1)="住宅",INDIRECT("'数据-取费表'!k"&amp;$G$1),0))</f>
        <v>0</v>
      </c>
      <c r="E9" s="225">
        <f>'数据-取费表'!B27</f>
        <v>160</v>
      </c>
      <c r="F9" s="221"/>
      <c r="G9" s="1856"/>
      <c r="H9" s="1137"/>
      <c r="I9" s="1857" t="s">
        <v>1461</v>
      </c>
    </row>
    <row r="10" spans="1:9" s="214" customFormat="1" ht="13.5" customHeight="1">
      <c r="A10" s="779" t="s">
        <v>356</v>
      </c>
      <c r="B10" s="224" t="s">
        <v>1462</v>
      </c>
      <c r="C10" s="225">
        <f ca="1">ROUND(D10*E10/10000,0)</f>
        <v>351</v>
      </c>
      <c r="D10" s="845">
        <f ca="1">IF(B1="",'数据-汇总表'!E6,IF(INDIRECT("'数据-取费表'!c"&amp;$G$1)="住宅",INDIRECT("'数据-取费表'!s"&amp;$G$1),INDIRECT("'数据-取费表'!k"&amp;$G$1)+INDIRECT("'数据-取费表'!s"&amp;$G$1)))</f>
        <v>17559.11</v>
      </c>
      <c r="E10" s="225">
        <f>'数据-取费表'!B28</f>
        <v>200</v>
      </c>
      <c r="F10" s="221"/>
      <c r="G10" s="226"/>
    </row>
    <row r="11" spans="1:9" s="214" customFormat="1" ht="13.5" hidden="1" customHeight="1">
      <c r="A11" s="227" t="s">
        <v>4</v>
      </c>
      <c r="B11" s="215" t="s">
        <v>1463</v>
      </c>
      <c r="C11" s="211"/>
      <c r="D11" s="847"/>
      <c r="E11" s="218"/>
      <c r="F11" s="218"/>
      <c r="G11" s="219"/>
    </row>
    <row r="12" spans="1:9" s="214" customFormat="1" ht="13.5" hidden="1" customHeight="1">
      <c r="A12" s="227" t="s">
        <v>5</v>
      </c>
      <c r="B12" s="215" t="s">
        <v>1464</v>
      </c>
      <c r="C12" s="211">
        <v>0</v>
      </c>
      <c r="D12" s="847"/>
      <c r="E12" s="228"/>
      <c r="F12" s="221">
        <v>3.0499999999999999E-2</v>
      </c>
      <c r="G12" s="219"/>
    </row>
    <row r="13" spans="1:9" s="214" customFormat="1" ht="13.5" hidden="1" customHeight="1">
      <c r="A13" s="227" t="s">
        <v>6</v>
      </c>
      <c r="B13" s="215" t="s">
        <v>1465</v>
      </c>
      <c r="C13" s="211"/>
      <c r="D13" s="847"/>
      <c r="E13" s="218"/>
      <c r="F13" s="218"/>
      <c r="G13" s="219"/>
    </row>
    <row r="14" spans="1:9" s="214" customFormat="1" ht="13.5" hidden="1" customHeight="1">
      <c r="A14" s="227" t="s">
        <v>7</v>
      </c>
      <c r="B14" s="215" t="s">
        <v>1466</v>
      </c>
      <c r="C14" s="211"/>
      <c r="D14" s="847"/>
      <c r="E14" s="218"/>
      <c r="F14" s="218"/>
      <c r="G14" s="219" t="s">
        <v>1467</v>
      </c>
    </row>
    <row r="15" spans="1:9" s="214" customFormat="1" ht="13.5" hidden="1" customHeight="1">
      <c r="A15" s="227" t="s">
        <v>8</v>
      </c>
      <c r="B15" s="215" t="s">
        <v>1468</v>
      </c>
      <c r="C15" s="220"/>
      <c r="D15" s="847"/>
      <c r="E15" s="218"/>
      <c r="F15" s="218"/>
      <c r="G15" s="219" t="s">
        <v>1469</v>
      </c>
    </row>
    <row r="16" spans="1:9" s="214" customFormat="1" ht="13.5" hidden="1" customHeight="1">
      <c r="A16" s="227" t="s">
        <v>9</v>
      </c>
      <c r="B16" s="215" t="s">
        <v>1466</v>
      </c>
      <c r="C16" s="220"/>
      <c r="D16" s="847"/>
      <c r="E16" s="218"/>
      <c r="F16" s="218"/>
      <c r="G16" s="219"/>
    </row>
    <row r="17" spans="1:7" s="214" customFormat="1" ht="13.5" hidden="1" customHeight="1">
      <c r="A17" s="227" t="s">
        <v>10</v>
      </c>
      <c r="B17" s="215" t="s">
        <v>1470</v>
      </c>
      <c r="C17" s="229"/>
      <c r="D17" s="848"/>
      <c r="E17" s="229"/>
      <c r="F17" s="229"/>
      <c r="G17" s="219" t="s">
        <v>1469</v>
      </c>
    </row>
    <row r="18" spans="1:7" s="214" customFormat="1" ht="13.5" hidden="1" customHeight="1">
      <c r="A18" s="227" t="s">
        <v>11</v>
      </c>
      <c r="B18" s="215" t="s">
        <v>1471</v>
      </c>
      <c r="C18" s="220">
        <v>0</v>
      </c>
      <c r="D18" s="847"/>
      <c r="E18" s="218"/>
      <c r="F18" s="221">
        <v>3.0499999999999999E-2</v>
      </c>
      <c r="G18" s="219" t="s">
        <v>1472</v>
      </c>
    </row>
    <row r="19" spans="1:7" s="223" customFormat="1" ht="13.5" customHeight="1">
      <c r="A19" s="255" t="s">
        <v>1473</v>
      </c>
      <c r="B19" s="210" t="s">
        <v>1474</v>
      </c>
      <c r="C19" s="211" t="str">
        <f>IF(G19="已包含在土地取得成本中","0",ROUND(D19*E19/10000,0))</f>
        <v>0</v>
      </c>
      <c r="D19" s="849">
        <f ca="1">D9+D10</f>
        <v>17559.11</v>
      </c>
      <c r="E19" s="211">
        <f>'数据-取费表'!B31</f>
        <v>200</v>
      </c>
      <c r="F19" s="231"/>
      <c r="G19" s="1855" t="s">
        <v>3623</v>
      </c>
    </row>
    <row r="20" spans="1:7" s="214" customFormat="1" ht="13.5" customHeight="1">
      <c r="A20" s="255" t="s">
        <v>1475</v>
      </c>
      <c r="B20" s="210" t="s">
        <v>1476</v>
      </c>
      <c r="C20" s="232">
        <f ca="1">ROUND((C5+C19)*F20,0)</f>
        <v>77</v>
      </c>
      <c r="D20" s="232"/>
      <c r="E20" s="232"/>
      <c r="F20" s="233">
        <f>'数据-取费表'!B37</f>
        <v>0.03</v>
      </c>
      <c r="G20" s="234" t="s">
        <v>1477</v>
      </c>
    </row>
    <row r="21" spans="1:7" s="214" customFormat="1" ht="13.5" customHeight="1">
      <c r="A21" s="255" t="s">
        <v>1478</v>
      </c>
      <c r="B21" s="210" t="s">
        <v>1479</v>
      </c>
      <c r="C21" s="235">
        <f>F21</f>
        <v>0.03</v>
      </c>
      <c r="D21" s="236" t="s">
        <v>1480</v>
      </c>
      <c r="E21" s="232"/>
      <c r="F21" s="233">
        <f>'数据-取费表'!B38</f>
        <v>0.03</v>
      </c>
      <c r="G21" s="234" t="s">
        <v>1481</v>
      </c>
    </row>
    <row r="22" spans="1:7" s="214" customFormat="1" ht="13.5" customHeight="1">
      <c r="A22" s="255" t="s">
        <v>1482</v>
      </c>
      <c r="B22" s="210" t="s">
        <v>1483</v>
      </c>
      <c r="C22" s="1104">
        <f ca="1">ROUND(SUM(C23:C25),0)</f>
        <v>183</v>
      </c>
      <c r="D22" s="235">
        <f ca="1">C26</f>
        <v>1E-3</v>
      </c>
      <c r="E22" s="236" t="s">
        <v>1480</v>
      </c>
      <c r="F22" s="237">
        <f ca="1">'数据-取费表'!B40</f>
        <v>3.4500000000000003E-2</v>
      </c>
      <c r="G22" s="234" t="str">
        <f>IF('数据-取费表'!B22&lt;=1,"单利计息","复利计息")</f>
        <v>复利计息</v>
      </c>
    </row>
    <row r="23" spans="1:7" s="214" customFormat="1" ht="13.5" customHeight="1">
      <c r="A23" s="780" t="s">
        <v>1484</v>
      </c>
      <c r="B23" s="215" t="s">
        <v>1485</v>
      </c>
      <c r="C23" s="1105">
        <f ca="1">ROUND(IF('数据-取费表'!B22&lt;=1,C5*F22*'数据-取费表'!B23,C5*(POWER((1+F22),'数据-取费表'!B23)-1)),0)</f>
        <v>180</v>
      </c>
      <c r="D23" s="238"/>
      <c r="E23" s="238"/>
      <c r="F23" s="239"/>
      <c r="G23" s="240" t="s">
        <v>1486</v>
      </c>
    </row>
    <row r="24" spans="1:7" s="214" customFormat="1" ht="13.5" customHeight="1">
      <c r="A24" s="780" t="s">
        <v>1487</v>
      </c>
      <c r="B24" s="215" t="s">
        <v>1488</v>
      </c>
      <c r="C24" s="1105">
        <f ca="1">ROUND(IF('数据-取费表'!B22&lt;=1,C19*F22*('数据-取费表'!B19/2+'数据-取费表'!B21),C19*(POWER((1+F22),('数据-取费表'!B19/2+'数据-取费表'!B21))-1)),0)</f>
        <v>0</v>
      </c>
      <c r="D24" s="238"/>
      <c r="E24" s="238"/>
      <c r="F24" s="239"/>
      <c r="G24" s="240" t="s">
        <v>1489</v>
      </c>
    </row>
    <row r="25" spans="1:7" s="214" customFormat="1" ht="24">
      <c r="A25" s="780" t="s">
        <v>1490</v>
      </c>
      <c r="B25" s="215" t="s">
        <v>1491</v>
      </c>
      <c r="C25" s="1105">
        <f ca="1">ROUND(IF('数据-取费表'!B22&lt;=1,C20*F22*'数据-取费表'!B23/2,C20*(POWER((1+F22),'数据-取费表'!B23/2)-1)),0)</f>
        <v>3</v>
      </c>
      <c r="D25" s="238"/>
      <c r="E25" s="241"/>
      <c r="F25" s="239"/>
      <c r="G25" s="242" t="s">
        <v>1492</v>
      </c>
    </row>
    <row r="26" spans="1:7" s="214" customFormat="1">
      <c r="A26" s="780" t="s">
        <v>350</v>
      </c>
      <c r="B26" s="215" t="s">
        <v>1493</v>
      </c>
      <c r="C26" s="238">
        <f ca="1">ROUND(IF('数据-取费表'!B22&lt;=1,F21*F22*'数据-取费表'!B23/2,F21*(POWER((1+F22),'数据-取费表'!B23/2)-1)),4)</f>
        <v>1E-3</v>
      </c>
      <c r="D26" s="238"/>
      <c r="E26" s="241"/>
      <c r="F26" s="239"/>
      <c r="G26" s="243"/>
    </row>
    <row r="27" spans="1:7" s="214" customFormat="1" ht="24.75">
      <c r="A27" s="255" t="s">
        <v>1494</v>
      </c>
      <c r="B27" s="244" t="s">
        <v>1495</v>
      </c>
      <c r="C27" s="245">
        <f ca="1">C28</f>
        <v>395</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ROUND((C5+C19+C20)*F27*'数据-取费表'!B21/'数据-取费表'!B20,0)</f>
        <v>395</v>
      </c>
      <c r="D28" s="235"/>
      <c r="E28" s="236"/>
      <c r="F28" s="246"/>
      <c r="G28" s="247"/>
    </row>
    <row r="29" spans="1:7" s="214" customFormat="1" ht="13.5" customHeight="1">
      <c r="A29" s="780" t="s">
        <v>347</v>
      </c>
      <c r="B29" s="248" t="s">
        <v>1499</v>
      </c>
      <c r="C29" s="238">
        <f ca="1">ROUND(C21*F27*'数据-取费表'!B21/'数据-取费表'!B20,4)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3524</v>
      </c>
      <c r="D31" s="230"/>
      <c r="E31" s="211"/>
      <c r="F31" s="250"/>
      <c r="G31" s="234" t="s">
        <v>1504</v>
      </c>
    </row>
    <row r="32" spans="1:7" s="208" customFormat="1" ht="15.75">
      <c r="A32" s="252" t="s">
        <v>1505</v>
      </c>
      <c r="B32" s="253"/>
      <c r="C32" s="253"/>
      <c r="D32" s="253"/>
      <c r="E32" s="253"/>
      <c r="F32" s="253"/>
      <c r="G32" s="254"/>
    </row>
    <row r="33" spans="1:7" s="214" customFormat="1" ht="13.5" customHeight="1">
      <c r="A33" s="255" t="s">
        <v>337</v>
      </c>
      <c r="B33" s="210" t="s">
        <v>1506</v>
      </c>
      <c r="C33" s="256">
        <f ca="1">SUM(C34:C38)</f>
        <v>11413</v>
      </c>
      <c r="D33" s="232"/>
      <c r="E33" s="212"/>
      <c r="F33" s="241"/>
      <c r="G33" s="234"/>
    </row>
    <row r="34" spans="1:7" s="258" customFormat="1" ht="13.5" customHeight="1">
      <c r="A34" s="780" t="s">
        <v>346</v>
      </c>
      <c r="B34" s="215" t="s">
        <v>1507</v>
      </c>
      <c r="C34" s="220">
        <f ca="1">IF(B1="",IF(F34=100%,'数据-取费表'!M16,'数据-取费表'!O16),IF(F34=100%,INDIRECT("'数据-取费表'!m"&amp;$G$1)+INDIRECT("'数据-取费表'!t"&amp;$G$1),INDIRECT("'数据-取费表'!o"&amp;$G$1)+INDIRECT("'数据-取费表'!aq"&amp;$G$1)))</f>
        <v>10535</v>
      </c>
      <c r="D34" s="217"/>
      <c r="E34" s="220"/>
      <c r="F34" s="257">
        <f ca="1">IF('数据-取费表'!B24=0,1,IF(B1="",'数据-取费表'!N16,INDIRECT("'数据-取费表'!n"&amp;$G$1)))</f>
        <v>1</v>
      </c>
      <c r="G34" s="219" t="s">
        <v>1508</v>
      </c>
    </row>
    <row r="35" spans="1:7" ht="13.5" customHeight="1">
      <c r="A35" s="780" t="s">
        <v>351</v>
      </c>
      <c r="B35" s="215" t="s">
        <v>1509</v>
      </c>
      <c r="C35" s="220">
        <f ca="1">ROUND(C34*F35,0)</f>
        <v>316</v>
      </c>
      <c r="D35" s="220"/>
      <c r="E35" s="220"/>
      <c r="F35" s="259">
        <f>'数据-取费表'!B33</f>
        <v>0.03</v>
      </c>
      <c r="G35" s="219" t="s">
        <v>1510</v>
      </c>
    </row>
    <row r="36" spans="1:7" ht="24">
      <c r="A36" s="780" t="s">
        <v>352</v>
      </c>
      <c r="B36" s="215" t="s">
        <v>1511</v>
      </c>
      <c r="C36" s="220">
        <f ca="1">ROUND(IF(B1="",SUMIF('数据-取费表'!C:C,"住宅",IF(F34=100%,'数据-取费表'!M:M,'数据-取费表'!O:O))*F36,IF(INDIRECT("'数据-取费表'!c"&amp;$G$1)="住宅",IF(F34=100%,INDIRECT("'数据-取费表'!m"&amp;$G$1)*F36,INDIRECT("'数据-取费表'!o"&amp;$G$1)*F36),0)),0)</f>
        <v>0</v>
      </c>
      <c r="D36" s="220"/>
      <c r="E36" s="220"/>
      <c r="F36" s="259">
        <f>'数据-取费表'!B34</f>
        <v>0</v>
      </c>
      <c r="G36" s="260" t="s">
        <v>1512</v>
      </c>
    </row>
    <row r="37" spans="1:7" s="258" customFormat="1" ht="13.5" customHeight="1">
      <c r="A37" s="780" t="s">
        <v>353</v>
      </c>
      <c r="B37" s="215" t="s">
        <v>1513</v>
      </c>
      <c r="C37" s="249">
        <f ca="1">ROUND(E37*D37*F34/10000,0)</f>
        <v>351</v>
      </c>
      <c r="D37" s="217">
        <f ca="1">D19</f>
        <v>17559.11</v>
      </c>
      <c r="E37" s="249">
        <f>'数据-取费表'!B35</f>
        <v>200</v>
      </c>
      <c r="F37" s="259"/>
      <c r="G37" s="261" t="s">
        <v>1514</v>
      </c>
    </row>
    <row r="38" spans="1:7" ht="13.5" customHeight="1">
      <c r="A38" s="780" t="s">
        <v>354</v>
      </c>
      <c r="B38" s="215" t="s">
        <v>1515</v>
      </c>
      <c r="C38" s="220">
        <f ca="1">ROUND(C34*F38,0)</f>
        <v>211</v>
      </c>
      <c r="D38" s="220"/>
      <c r="E38" s="220"/>
      <c r="F38" s="259">
        <f>'数据-取费表'!B36</f>
        <v>0.02</v>
      </c>
      <c r="G38" s="219" t="s">
        <v>1510</v>
      </c>
    </row>
    <row r="39" spans="1:7" s="214" customFormat="1" ht="13.5" customHeight="1">
      <c r="A39" s="255" t="s">
        <v>1516</v>
      </c>
      <c r="B39" s="210" t="s">
        <v>1517</v>
      </c>
      <c r="C39" s="232">
        <f ca="1">ROUND(C33*F20,0)</f>
        <v>342</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406</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ROUND(IF('数据-取费表'!B22&lt;=1,C33*F22*'数据-取费表'!B21/2,C33*(POWER((1+F22),'数据-取费表'!B21/2)-1)),0)</f>
        <v>394</v>
      </c>
      <c r="D42" s="238"/>
      <c r="E42" s="238"/>
      <c r="F42" s="239"/>
      <c r="G42" s="3674" t="s">
        <v>1526</v>
      </c>
    </row>
    <row r="43" spans="1:7" ht="13.5" customHeight="1">
      <c r="A43" s="780" t="s">
        <v>347</v>
      </c>
      <c r="B43" s="215" t="s">
        <v>1527</v>
      </c>
      <c r="C43" s="238">
        <f ca="1">ROUND(IF('数据-取费表'!B22&lt;=1,C39*F22*'数据-取费表'!B21/2,C39*(POWER((1+F22),'数据-取费表'!B21/2)-1)),0)</f>
        <v>12</v>
      </c>
      <c r="D43" s="238"/>
      <c r="E43" s="238"/>
      <c r="F43" s="239"/>
      <c r="G43" s="3675"/>
    </row>
    <row r="44" spans="1:7" ht="13.5" customHeight="1">
      <c r="A44" s="780" t="s">
        <v>348</v>
      </c>
      <c r="B44" s="215" t="s">
        <v>1528</v>
      </c>
      <c r="C44" s="238">
        <f ca="1">ROUND(IF('数据-取费表'!B22&lt;=1,C40*F22*'数据-取费表'!B21/2,C40*(POWER((1+F22),'数据-取费表'!B21/2)-1)),4)</f>
        <v>1E-3</v>
      </c>
      <c r="D44" s="238"/>
      <c r="E44" s="238"/>
      <c r="F44" s="239"/>
      <c r="G44" s="3676"/>
    </row>
    <row r="45" spans="1:7" s="214" customFormat="1" ht="13.5" customHeight="1">
      <c r="A45" s="255" t="s">
        <v>1529</v>
      </c>
      <c r="B45" s="244" t="s">
        <v>1495</v>
      </c>
      <c r="C45" s="245">
        <f ca="1">C46</f>
        <v>1763</v>
      </c>
      <c r="D45" s="235">
        <f ca="1">C47</f>
        <v>4.4999999999999997E-3</v>
      </c>
      <c r="E45" s="236" t="s">
        <v>1521</v>
      </c>
      <c r="F45" s="246">
        <f ca="1">F27</f>
        <v>0.15</v>
      </c>
      <c r="G45" s="247" t="s">
        <v>1530</v>
      </c>
    </row>
    <row r="46" spans="1:7" s="214" customFormat="1" ht="13.5" customHeight="1">
      <c r="A46" s="780" t="s">
        <v>346</v>
      </c>
      <c r="B46" s="248" t="s">
        <v>1531</v>
      </c>
      <c r="C46" s="249">
        <f ca="1">ROUND((C33+C39)*F27,0)</f>
        <v>1763</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1326">
        <f>ROUND(F30/(1+'数据-取费表'!C42),4)</f>
        <v>5.2400000000000002E-2</v>
      </c>
      <c r="D48" s="236" t="s">
        <v>1521</v>
      </c>
      <c r="E48" s="232"/>
      <c r="F48" s="237">
        <f>F30</f>
        <v>5.5000000000000007E-2</v>
      </c>
      <c r="G48" s="234" t="s">
        <v>1534</v>
      </c>
    </row>
    <row r="49" spans="1:7" ht="16.5" customHeight="1">
      <c r="A49" s="255" t="s">
        <v>1500</v>
      </c>
      <c r="B49" s="210" t="s">
        <v>1535</v>
      </c>
      <c r="C49" s="232">
        <f ca="1">ROUND((C33+C39+C41+C45)/(1-C40-D41-D45-C48),0)</f>
        <v>15266</v>
      </c>
      <c r="D49" s="232"/>
      <c r="E49" s="232"/>
      <c r="F49" s="264"/>
      <c r="G49" s="234" t="s">
        <v>1536</v>
      </c>
    </row>
    <row r="50" spans="1:7" s="258" customFormat="1" ht="24">
      <c r="A50" s="255" t="s">
        <v>1537</v>
      </c>
      <c r="B50" s="210" t="s">
        <v>1538</v>
      </c>
      <c r="C50" s="232"/>
      <c r="D50" s="232"/>
      <c r="E50" s="232"/>
      <c r="F50" s="264">
        <f>IF('数据-取费表'!B24=0,'数据-取费表'!N16,1)</f>
        <v>0.87</v>
      </c>
      <c r="G50" s="247" t="s">
        <v>1539</v>
      </c>
    </row>
    <row r="51" spans="1:7" ht="16.5" customHeight="1">
      <c r="A51" s="255" t="s">
        <v>1540</v>
      </c>
      <c r="B51" s="210" t="s">
        <v>1541</v>
      </c>
      <c r="C51" s="232">
        <f ca="1">ROUND(C49*F50,0)</f>
        <v>13281</v>
      </c>
      <c r="D51" s="232"/>
      <c r="E51" s="232"/>
      <c r="F51" s="264"/>
      <c r="G51" s="234" t="s">
        <v>1542</v>
      </c>
    </row>
    <row r="52" spans="1:7" s="208" customFormat="1" ht="16.5" thickBot="1">
      <c r="A52" s="265" t="s">
        <v>1543</v>
      </c>
      <c r="B52" s="266"/>
      <c r="C52" s="267">
        <f ca="1">C31+C51</f>
        <v>16805</v>
      </c>
      <c r="D52" s="266"/>
      <c r="E52" s="266"/>
      <c r="F52" s="266"/>
      <c r="G52" s="268"/>
    </row>
    <row r="55" spans="1:7" ht="15">
      <c r="B55" s="270" t="s">
        <v>1544</v>
      </c>
      <c r="C55" s="271"/>
    </row>
    <row r="56" spans="1:7">
      <c r="B56" s="273" t="s">
        <v>802</v>
      </c>
      <c r="C56" s="275">
        <f ca="1">1-C57</f>
        <v>0.20999999999999996</v>
      </c>
    </row>
    <row r="57" spans="1:7">
      <c r="B57" s="273" t="s">
        <v>803</v>
      </c>
      <c r="C57" s="274">
        <f ca="1">ROUND(C51/C52,3)</f>
        <v>0.79</v>
      </c>
    </row>
  </sheetData>
  <sheetProtection password="CEE9" sheet="1" objects="1" scenarios="1" formatCells="0"/>
  <mergeCells count="1">
    <mergeCell ref="G42:G44"/>
  </mergeCells>
  <phoneticPr fontId="133" type="noConversion"/>
  <dataValidations disablePrompts="1" count="6">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9">
      <formula1>"部分缴纳,全部缴纳"</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legacyDrawing r:id="rId2"/>
</worksheet>
</file>

<file path=xl/worksheets/sheet2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pageSetUpPr fitToPage="1"/>
  </sheetPr>
  <dimension ref="A1:H57"/>
  <sheetViews>
    <sheetView view="pageBreakPreview" zoomScale="70" zoomScaleNormal="70" zoomScaleSheetLayoutView="70" workbookViewId="0">
      <selection activeCell="P49" sqref="P49"/>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8" width="10.75" style="251" customWidth="1"/>
    <col min="9" max="254" width="9" style="251" customWidth="1"/>
    <col min="255" max="16384" width="8.375" style="251"/>
  </cols>
  <sheetData>
    <row r="1" spans="1:8" s="200" customFormat="1" ht="20.25">
      <c r="A1" s="196" t="s">
        <v>1443</v>
      </c>
      <c r="B1" s="1469"/>
      <c r="C1" s="1858" t="s">
        <v>1545</v>
      </c>
      <c r="D1" s="198"/>
      <c r="E1" s="198"/>
      <c r="F1" s="198"/>
      <c r="G1" s="1126">
        <f>MATCH(B1,'数据-取费表'!A6:A16,0)+5</f>
        <v>7</v>
      </c>
      <c r="H1" s="1061" t="str">
        <f>IF(ISERROR(FIND("住宅",B1)),"非住宅","住宅")</f>
        <v>非住宅</v>
      </c>
    </row>
    <row r="2" spans="1:8" s="200" customFormat="1" ht="18" customHeight="1">
      <c r="A2" s="201" t="s">
        <v>1444</v>
      </c>
      <c r="B2" s="3398">
        <f ca="1">ROUND(IF(D2="——",C52/10000,C52/10000-E2),4)</f>
        <v>14249.018400000001</v>
      </c>
      <c r="C2" s="199" t="s">
        <v>1445</v>
      </c>
      <c r="D2" s="1852" t="s">
        <v>43</v>
      </c>
      <c r="E2" s="1169" t="e">
        <f ca="1">SUMIF(INDIRECT("'"&amp;G2&amp;"'"&amp;"!A:A"),"承租人权益价值",INDIRECT("'"&amp;G2&amp;"'"&amp;"!c:c"))</f>
        <v>#REF!</v>
      </c>
      <c r="F2" s="1853" t="s">
        <v>1445</v>
      </c>
      <c r="G2" s="1854"/>
    </row>
    <row r="3" spans="1:8" s="200" customFormat="1" ht="18" customHeight="1" thickBot="1">
      <c r="A3" s="203" t="s">
        <v>1446</v>
      </c>
      <c r="B3" s="204">
        <f ca="1">ROUND(B2*10000/(IF(B1="",'数据-汇总表'!E3,INDIRECT("'数据-取费表'!k"&amp;$G$1))),0)</f>
        <v>8115</v>
      </c>
      <c r="C3" s="199" t="s">
        <v>1447</v>
      </c>
      <c r="D3" s="199"/>
      <c r="E3" s="199"/>
      <c r="F3" s="199"/>
      <c r="G3" s="199"/>
    </row>
    <row r="4" spans="1:8" s="208" customFormat="1" ht="15.75">
      <c r="A4" s="205" t="s">
        <v>1448</v>
      </c>
      <c r="B4" s="206"/>
      <c r="C4" s="206"/>
      <c r="D4" s="206"/>
      <c r="E4" s="206"/>
      <c r="F4" s="206"/>
      <c r="G4" s="207"/>
    </row>
    <row r="5" spans="1:8" s="214" customFormat="1" ht="13.5" customHeight="1">
      <c r="A5" s="255" t="s">
        <v>1449</v>
      </c>
      <c r="B5" s="210" t="s">
        <v>1450</v>
      </c>
      <c r="C5" s="211">
        <f ca="1">C6+C7+C8</f>
        <v>3511822</v>
      </c>
      <c r="D5" s="211" t="s">
        <v>1451</v>
      </c>
      <c r="E5" s="212" t="s">
        <v>1452</v>
      </c>
      <c r="F5" s="212" t="s">
        <v>1453</v>
      </c>
      <c r="G5" s="213"/>
    </row>
    <row r="6" spans="1:8" s="214" customFormat="1" ht="13.5" customHeight="1">
      <c r="A6" s="778" t="s">
        <v>1454</v>
      </c>
      <c r="B6" s="215" t="s">
        <v>1455</v>
      </c>
      <c r="C6" s="216"/>
      <c r="D6" s="217"/>
      <c r="E6" s="218"/>
      <c r="F6" s="218"/>
      <c r="G6" s="219"/>
    </row>
    <row r="7" spans="1:8" s="214" customFormat="1" ht="13.5" customHeight="1">
      <c r="A7" s="778" t="s">
        <v>1456</v>
      </c>
      <c r="B7" s="215" t="s">
        <v>1457</v>
      </c>
      <c r="C7" s="220">
        <f>ROUND(C6*F7,0)</f>
        <v>0</v>
      </c>
      <c r="D7" s="220"/>
      <c r="E7" s="218"/>
      <c r="F7" s="221">
        <f>IF(项目基本情况!B8="出让",0,'数据-取费表'!B48+'数据-取费表'!B49)</f>
        <v>3.0499999999999999E-2</v>
      </c>
      <c r="G7" s="219"/>
    </row>
    <row r="8" spans="1:8" s="223" customFormat="1">
      <c r="A8" s="778" t="s">
        <v>1458</v>
      </c>
      <c r="B8" s="215" t="s">
        <v>1459</v>
      </c>
      <c r="C8" s="220">
        <f ca="1">IF(G8="已包含在土地购买价格中",0,C9+C10)</f>
        <v>3511822</v>
      </c>
      <c r="D8" s="222"/>
      <c r="E8" s="220"/>
      <c r="F8" s="221"/>
      <c r="G8" s="1855"/>
    </row>
    <row r="9" spans="1:8" s="214" customFormat="1" ht="13.5" customHeight="1">
      <c r="A9" s="779" t="s">
        <v>355</v>
      </c>
      <c r="B9" s="224" t="s">
        <v>1460</v>
      </c>
      <c r="C9" s="225">
        <f ca="1">ROUND(D9*E9,0)</f>
        <v>0</v>
      </c>
      <c r="D9" s="845">
        <f ca="1">IF(B1="",'数据-汇总表'!E5,IF(INDIRECT("'数据-取费表'!c"&amp;$G$1)="住宅",INDIRECT("'数据-取费表'!k"&amp;$G$1),0))</f>
        <v>0</v>
      </c>
      <c r="E9" s="225">
        <f>'数据-取费表'!B27</f>
        <v>160</v>
      </c>
      <c r="F9" s="221"/>
      <c r="G9" s="226"/>
    </row>
    <row r="10" spans="1:8" s="214" customFormat="1" ht="13.5" customHeight="1">
      <c r="A10" s="779" t="s">
        <v>356</v>
      </c>
      <c r="B10" s="224" t="s">
        <v>1462</v>
      </c>
      <c r="C10" s="225">
        <f ca="1">ROUND(D10*E10,0)</f>
        <v>3511822</v>
      </c>
      <c r="D10" s="845">
        <f ca="1">IF(B1="",'数据-汇总表'!E6,IF(INDIRECT("'数据-取费表'!c"&amp;$G$1)="住宅",INDIRECT("'数据-取费表'!s"&amp;$G$1),INDIRECT("'数据-取费表'!k"&amp;$G$1)+INDIRECT("'数据-取费表'!s"&amp;$G$1)))</f>
        <v>17559.11</v>
      </c>
      <c r="E10" s="225">
        <f>'数据-取费表'!B28</f>
        <v>200</v>
      </c>
      <c r="F10" s="221"/>
      <c r="G10" s="226"/>
    </row>
    <row r="11" spans="1:8" s="214" customFormat="1" ht="13.5" hidden="1" customHeight="1">
      <c r="A11" s="227" t="s">
        <v>4</v>
      </c>
      <c r="B11" s="215" t="s">
        <v>1463</v>
      </c>
      <c r="C11" s="211"/>
      <c r="D11" s="847"/>
      <c r="E11" s="218"/>
      <c r="F11" s="218"/>
      <c r="G11" s="219"/>
    </row>
    <row r="12" spans="1:8" s="214" customFormat="1" ht="13.5" hidden="1" customHeight="1">
      <c r="A12" s="227" t="s">
        <v>5</v>
      </c>
      <c r="B12" s="215" t="s">
        <v>1546</v>
      </c>
      <c r="C12" s="211">
        <v>0</v>
      </c>
      <c r="D12" s="847"/>
      <c r="E12" s="228"/>
      <c r="F12" s="221">
        <v>3.0499999999999999E-2</v>
      </c>
      <c r="G12" s="219"/>
    </row>
    <row r="13" spans="1:8" s="214" customFormat="1" ht="13.5" hidden="1" customHeight="1">
      <c r="A13" s="227" t="s">
        <v>6</v>
      </c>
      <c r="B13" s="215" t="s">
        <v>1547</v>
      </c>
      <c r="C13" s="211"/>
      <c r="D13" s="847"/>
      <c r="E13" s="218"/>
      <c r="F13" s="218"/>
      <c r="G13" s="219"/>
    </row>
    <row r="14" spans="1:8" s="214" customFormat="1" ht="13.5" hidden="1" customHeight="1">
      <c r="A14" s="227" t="s">
        <v>7</v>
      </c>
      <c r="B14" s="215" t="s">
        <v>1459</v>
      </c>
      <c r="C14" s="211"/>
      <c r="D14" s="847"/>
      <c r="E14" s="218"/>
      <c r="F14" s="218"/>
      <c r="G14" s="219" t="s">
        <v>1548</v>
      </c>
    </row>
    <row r="15" spans="1:8" s="214" customFormat="1" ht="13.5" hidden="1" customHeight="1">
      <c r="A15" s="227" t="s">
        <v>8</v>
      </c>
      <c r="B15" s="215" t="s">
        <v>1549</v>
      </c>
      <c r="C15" s="220"/>
      <c r="D15" s="847"/>
      <c r="E15" s="218"/>
      <c r="F15" s="218"/>
      <c r="G15" s="219" t="s">
        <v>1550</v>
      </c>
    </row>
    <row r="16" spans="1:8" s="214" customFormat="1" ht="13.5" hidden="1" customHeight="1">
      <c r="A16" s="227" t="s">
        <v>9</v>
      </c>
      <c r="B16" s="215" t="s">
        <v>1459</v>
      </c>
      <c r="C16" s="220"/>
      <c r="D16" s="847"/>
      <c r="E16" s="218"/>
      <c r="F16" s="218"/>
      <c r="G16" s="219"/>
    </row>
    <row r="17" spans="1:7" s="214" customFormat="1" ht="13.5" hidden="1" customHeight="1">
      <c r="A17" s="227" t="s">
        <v>10</v>
      </c>
      <c r="B17" s="215" t="s">
        <v>1551</v>
      </c>
      <c r="C17" s="229"/>
      <c r="D17" s="848"/>
      <c r="E17" s="229"/>
      <c r="F17" s="229"/>
      <c r="G17" s="219" t="s">
        <v>1550</v>
      </c>
    </row>
    <row r="18" spans="1:7" s="214" customFormat="1" ht="13.5" hidden="1" customHeight="1">
      <c r="A18" s="227" t="s">
        <v>11</v>
      </c>
      <c r="B18" s="215" t="s">
        <v>1552</v>
      </c>
      <c r="C18" s="220">
        <v>0</v>
      </c>
      <c r="D18" s="847"/>
      <c r="E18" s="218"/>
      <c r="F18" s="221">
        <v>3.0499999999999999E-2</v>
      </c>
      <c r="G18" s="219" t="s">
        <v>1553</v>
      </c>
    </row>
    <row r="19" spans="1:7" s="223" customFormat="1" ht="13.5" customHeight="1">
      <c r="A19" s="255" t="s">
        <v>1554</v>
      </c>
      <c r="B19" s="210" t="s">
        <v>1555</v>
      </c>
      <c r="C19" s="211">
        <f ca="1">IF(G19="已包含在土地取得成本中","0",ROUND(D19*E19,0))</f>
        <v>3511822</v>
      </c>
      <c r="D19" s="849">
        <f ca="1">D9+D10</f>
        <v>17559.11</v>
      </c>
      <c r="E19" s="211">
        <f>'数据-取费表'!B31</f>
        <v>200</v>
      </c>
      <c r="F19" s="231"/>
      <c r="G19" s="1855"/>
    </row>
    <row r="20" spans="1:7" s="214" customFormat="1" ht="13.5" customHeight="1">
      <c r="A20" s="255" t="s">
        <v>1556</v>
      </c>
      <c r="B20" s="210" t="s">
        <v>1557</v>
      </c>
      <c r="C20" s="232">
        <f ca="1">ROUND((C5+C19)*F20,0)</f>
        <v>210709</v>
      </c>
      <c r="D20" s="232"/>
      <c r="E20" s="232"/>
      <c r="F20" s="233">
        <f>'数据-取费表'!B37</f>
        <v>0.03</v>
      </c>
      <c r="G20" s="234" t="s">
        <v>1558</v>
      </c>
    </row>
    <row r="21" spans="1:7" s="214" customFormat="1" ht="13.5" customHeight="1">
      <c r="A21" s="255" t="s">
        <v>1559</v>
      </c>
      <c r="B21" s="210" t="s">
        <v>1560</v>
      </c>
      <c r="C21" s="235">
        <f>F21</f>
        <v>0.03</v>
      </c>
      <c r="D21" s="236" t="s">
        <v>1561</v>
      </c>
      <c r="E21" s="232"/>
      <c r="F21" s="233">
        <f>'数据-取费表'!B38</f>
        <v>0.03</v>
      </c>
      <c r="G21" s="234" t="s">
        <v>1562</v>
      </c>
    </row>
    <row r="22" spans="1:7" s="214" customFormat="1" ht="13.5" customHeight="1">
      <c r="A22" s="255" t="s">
        <v>1563</v>
      </c>
      <c r="B22" s="210" t="s">
        <v>1564</v>
      </c>
      <c r="C22" s="1127">
        <f ca="1">ROUND(SUM(C23:C25),0)</f>
        <v>500261</v>
      </c>
      <c r="D22" s="235">
        <f ca="1">C26</f>
        <v>1E-3</v>
      </c>
      <c r="E22" s="236" t="s">
        <v>1561</v>
      </c>
      <c r="F22" s="237">
        <f ca="1">'数据-取费表'!B40</f>
        <v>3.4500000000000003E-2</v>
      </c>
      <c r="G22" s="234" t="str">
        <f>IF('数据-取费表'!B22&lt;=1,"单利计息","复利计息")</f>
        <v>复利计息</v>
      </c>
    </row>
    <row r="23" spans="1:7" s="214" customFormat="1" ht="13.5" customHeight="1">
      <c r="A23" s="780" t="s">
        <v>1454</v>
      </c>
      <c r="B23" s="215" t="s">
        <v>1565</v>
      </c>
      <c r="C23" s="1128">
        <f ca="1">ROUND(IF('数据-取费表'!B22&lt;=1,C5*F22*'数据-取费表'!B22,C5*(POWER((1+F22),'数据-取费表'!B22)-1)),0)</f>
        <v>246496</v>
      </c>
      <c r="D23" s="238"/>
      <c r="E23" s="238"/>
      <c r="F23" s="239"/>
      <c r="G23" s="240" t="s">
        <v>1566</v>
      </c>
    </row>
    <row r="24" spans="1:7" s="214" customFormat="1" ht="13.5" customHeight="1">
      <c r="A24" s="780" t="s">
        <v>1456</v>
      </c>
      <c r="B24" s="215" t="s">
        <v>1567</v>
      </c>
      <c r="C24" s="1128">
        <f ca="1">ROUND(IF('数据-取费表'!B22&lt;=1,C19*F22*('数据-取费表'!B19/2+'数据-取费表'!B20),C19*(POWER((1+F22),('数据-取费表'!B19/2+'数据-取费表'!B20))-1)),0)</f>
        <v>246496</v>
      </c>
      <c r="D24" s="238"/>
      <c r="E24" s="238"/>
      <c r="F24" s="239"/>
      <c r="G24" s="240" t="s">
        <v>1568</v>
      </c>
    </row>
    <row r="25" spans="1:7" s="214" customFormat="1" ht="24">
      <c r="A25" s="780" t="s">
        <v>1458</v>
      </c>
      <c r="B25" s="215" t="s">
        <v>1569</v>
      </c>
      <c r="C25" s="1128">
        <f ca="1">ROUND(IF('数据-取费表'!B22&lt;=1,C20*F22*'数据-取费表'!B22/2,C20*(POWER((1+F22),'数据-取费表'!B22/2)-1)),0)</f>
        <v>7269</v>
      </c>
      <c r="D25" s="238"/>
      <c r="E25" s="241"/>
      <c r="F25" s="239"/>
      <c r="G25" s="242" t="s">
        <v>1570</v>
      </c>
    </row>
    <row r="26" spans="1:7" s="214" customFormat="1">
      <c r="A26" s="780" t="s">
        <v>350</v>
      </c>
      <c r="B26" s="215" t="s">
        <v>1493</v>
      </c>
      <c r="C26" s="238">
        <f ca="1">ROUND(IF('数据-取费表'!B22&lt;=1,F21*F22*'数据-取费表'!B22/2,F21*(POWER((1+F22),'数据-取费表'!B22/2)-1)),4)</f>
        <v>1E-3</v>
      </c>
      <c r="D26" s="238"/>
      <c r="E26" s="241"/>
      <c r="F26" s="239"/>
      <c r="G26" s="243"/>
    </row>
    <row r="27" spans="1:7" s="214" customFormat="1" ht="24.75">
      <c r="A27" s="255" t="s">
        <v>1494</v>
      </c>
      <c r="B27" s="244" t="s">
        <v>1495</v>
      </c>
      <c r="C27" s="245">
        <f ca="1">C28</f>
        <v>1085153</v>
      </c>
      <c r="D27" s="235">
        <f ca="1">C29</f>
        <v>4.4999999999999997E-3</v>
      </c>
      <c r="E27" s="236" t="s">
        <v>1496</v>
      </c>
      <c r="F27" s="246">
        <f ca="1">IF(B1="",'数据-取费表'!Q16,INDIRECT("'数据-取费表'!q"&amp;$G$1))</f>
        <v>0.15</v>
      </c>
      <c r="G27" s="247" t="s">
        <v>1497</v>
      </c>
    </row>
    <row r="28" spans="1:7" s="214" customFormat="1" ht="13.5" customHeight="1">
      <c r="A28" s="780" t="s">
        <v>346</v>
      </c>
      <c r="B28" s="248" t="s">
        <v>1498</v>
      </c>
      <c r="C28" s="249">
        <f ca="1">ROUND((C5+C19+C20)*F27,0)</f>
        <v>1085153</v>
      </c>
      <c r="D28" s="235"/>
      <c r="E28" s="236"/>
      <c r="F28" s="246"/>
      <c r="G28" s="247"/>
    </row>
    <row r="29" spans="1:7" s="214" customFormat="1" ht="13.5" customHeight="1">
      <c r="A29" s="780" t="s">
        <v>347</v>
      </c>
      <c r="B29" s="248" t="s">
        <v>1499</v>
      </c>
      <c r="C29" s="238">
        <f ca="1">ROUND(C21*F27,4)</f>
        <v>4.4999999999999997E-3</v>
      </c>
      <c r="D29" s="235"/>
      <c r="E29" s="236"/>
      <c r="F29" s="246"/>
      <c r="G29" s="247"/>
    </row>
    <row r="30" spans="1:7" s="214" customFormat="1" ht="13.5" customHeight="1">
      <c r="A30" s="255" t="s">
        <v>1500</v>
      </c>
      <c r="B30" s="210" t="s">
        <v>1501</v>
      </c>
      <c r="C30" s="235">
        <f>ROUND(F30/(1+'数据-取费表'!C42),4)</f>
        <v>5.2400000000000002E-2</v>
      </c>
      <c r="D30" s="236" t="s">
        <v>1496</v>
      </c>
      <c r="E30" s="241"/>
      <c r="F30" s="237">
        <f>'数据-取费表'!B41</f>
        <v>5.5000000000000007E-2</v>
      </c>
      <c r="G30" s="234" t="s">
        <v>1502</v>
      </c>
    </row>
    <row r="31" spans="1:7" ht="16.5" customHeight="1">
      <c r="A31" s="209">
        <v>1</v>
      </c>
      <c r="B31" s="210" t="s">
        <v>1503</v>
      </c>
      <c r="C31" s="211">
        <f ca="1">ROUND((C5+C19+C20+C22+C27)/(1-C21-D22-D27-C30),0)</f>
        <v>9669737</v>
      </c>
      <c r="D31" s="230"/>
      <c r="E31" s="211"/>
      <c r="F31" s="250"/>
      <c r="G31" s="234" t="s">
        <v>1504</v>
      </c>
    </row>
    <row r="32" spans="1:7" s="208" customFormat="1" ht="15.75">
      <c r="A32" s="252" t="s">
        <v>1571</v>
      </c>
      <c r="B32" s="253"/>
      <c r="C32" s="253"/>
      <c r="D32" s="253"/>
      <c r="E32" s="253"/>
      <c r="F32" s="253"/>
      <c r="G32" s="254"/>
    </row>
    <row r="33" spans="1:7" s="214" customFormat="1" ht="13.5" customHeight="1">
      <c r="A33" s="255" t="s">
        <v>337</v>
      </c>
      <c r="B33" s="210" t="s">
        <v>1572</v>
      </c>
      <c r="C33" s="256">
        <f ca="1">SUM(C34:C38)</f>
        <v>114134215</v>
      </c>
      <c r="D33" s="232"/>
      <c r="E33" s="212"/>
      <c r="F33" s="241"/>
      <c r="G33" s="234"/>
    </row>
    <row r="34" spans="1:7" s="258" customFormat="1" ht="13.5" customHeight="1">
      <c r="A34" s="780" t="s">
        <v>346</v>
      </c>
      <c r="B34" s="215" t="s">
        <v>1507</v>
      </c>
      <c r="C34" s="220">
        <f ca="1">ROUND(IF(B1="",SUMPRODUCT('数据-取费表'!K6:K14,'数据-取费表'!L6:L14),INDIRECT("'数据-取费表'!l"&amp;$G$1)*INDIRECT("'数据-取费表'!k"&amp;$G$1)+'数据-取费表'!L14*INDIRECT("'数据-取费表'!S"&amp;$G$1)),0)</f>
        <v>105354660</v>
      </c>
      <c r="D34" s="217"/>
      <c r="E34" s="220"/>
      <c r="F34" s="257"/>
      <c r="G34" s="219"/>
    </row>
    <row r="35" spans="1:7" ht="13.5" customHeight="1">
      <c r="A35" s="780" t="s">
        <v>351</v>
      </c>
      <c r="B35" s="215" t="s">
        <v>1509</v>
      </c>
      <c r="C35" s="220">
        <f ca="1">ROUND(C34*F35,0)</f>
        <v>3160640</v>
      </c>
      <c r="D35" s="220"/>
      <c r="E35" s="220"/>
      <c r="F35" s="259">
        <f>'数据-取费表'!B33</f>
        <v>0.03</v>
      </c>
      <c r="G35" s="219" t="s">
        <v>1510</v>
      </c>
    </row>
    <row r="36" spans="1:7" ht="24">
      <c r="A36" s="780" t="s">
        <v>352</v>
      </c>
      <c r="B36" s="215" t="s">
        <v>1511</v>
      </c>
      <c r="C36" s="220">
        <f ca="1">ROUND(IF(B1="",SUM('数据-取费表'!AP6:AP13)*F36,IF(INDIRECT("'数据-取费表'!c"&amp;$G$1)="住宅",INDIRECT("'数据-取费表'!k"&amp;$G$1)*INDIRECT("'数据-取费表'!l"&amp;$G$1)*F36,0)),0)</f>
        <v>0</v>
      </c>
      <c r="D36" s="220"/>
      <c r="E36" s="220"/>
      <c r="F36" s="259">
        <f>'数据-取费表'!B34</f>
        <v>0</v>
      </c>
      <c r="G36" s="260" t="s">
        <v>1512</v>
      </c>
    </row>
    <row r="37" spans="1:7" s="258" customFormat="1" ht="13.5" customHeight="1">
      <c r="A37" s="780" t="s">
        <v>353</v>
      </c>
      <c r="B37" s="215" t="s">
        <v>1513</v>
      </c>
      <c r="C37" s="249">
        <f ca="1">ROUND(E37*D37,0)</f>
        <v>3511822</v>
      </c>
      <c r="D37" s="217">
        <f ca="1">D19</f>
        <v>17559.11</v>
      </c>
      <c r="E37" s="249">
        <f>'数据-取费表'!B35</f>
        <v>200</v>
      </c>
      <c r="F37" s="259"/>
      <c r="G37" s="261"/>
    </row>
    <row r="38" spans="1:7" ht="13.5" customHeight="1">
      <c r="A38" s="780" t="s">
        <v>354</v>
      </c>
      <c r="B38" s="215" t="s">
        <v>1515</v>
      </c>
      <c r="C38" s="220">
        <f ca="1">ROUND(C34*F38,0)</f>
        <v>2107093</v>
      </c>
      <c r="D38" s="220"/>
      <c r="E38" s="220"/>
      <c r="F38" s="259">
        <f>'数据-取费表'!B36</f>
        <v>0.02</v>
      </c>
      <c r="G38" s="219" t="s">
        <v>1510</v>
      </c>
    </row>
    <row r="39" spans="1:7" s="214" customFormat="1" ht="13.5" customHeight="1">
      <c r="A39" s="255" t="s">
        <v>1516</v>
      </c>
      <c r="B39" s="210" t="s">
        <v>1517</v>
      </c>
      <c r="C39" s="232">
        <f ca="1">ROUND(C33*F20,0)</f>
        <v>3424026</v>
      </c>
      <c r="D39" s="232"/>
      <c r="E39" s="232"/>
      <c r="F39" s="233">
        <f>F20</f>
        <v>0.03</v>
      </c>
      <c r="G39" s="234" t="s">
        <v>1518</v>
      </c>
    </row>
    <row r="40" spans="1:7" s="214" customFormat="1" ht="13.5" customHeight="1">
      <c r="A40" s="255" t="s">
        <v>1519</v>
      </c>
      <c r="B40" s="210" t="s">
        <v>1520</v>
      </c>
      <c r="C40" s="1326">
        <f>F21</f>
        <v>0.03</v>
      </c>
      <c r="D40" s="236" t="s">
        <v>1521</v>
      </c>
      <c r="E40" s="232"/>
      <c r="F40" s="233">
        <f>F21</f>
        <v>0.03</v>
      </c>
      <c r="G40" s="234" t="s">
        <v>1522</v>
      </c>
    </row>
    <row r="41" spans="1:7" s="214" customFormat="1" ht="13.5" customHeight="1">
      <c r="A41" s="255" t="s">
        <v>1523</v>
      </c>
      <c r="B41" s="210" t="s">
        <v>1524</v>
      </c>
      <c r="C41" s="232">
        <f ca="1">ROUND(SUM(C42:C43),0)</f>
        <v>4055759</v>
      </c>
      <c r="D41" s="235">
        <f ca="1">C44</f>
        <v>1E-3</v>
      </c>
      <c r="E41" s="236" t="s">
        <v>1521</v>
      </c>
      <c r="F41" s="237">
        <f ca="1">F22</f>
        <v>3.4500000000000003E-2</v>
      </c>
      <c r="G41" s="234" t="str">
        <f>IF('数据-取费表'!B22&lt;=1,"单利计息","复利计息")</f>
        <v>复利计息</v>
      </c>
    </row>
    <row r="42" spans="1:7" ht="13.5" customHeight="1">
      <c r="A42" s="780" t="s">
        <v>346</v>
      </c>
      <c r="B42" s="215" t="s">
        <v>1525</v>
      </c>
      <c r="C42" s="238">
        <f ca="1">ROUND(IF('数据-取费表'!B22&lt;=1,C33*F22*'数据-取费表'!B20/2,C33*(POWER((1+F22),'数据-取费表'!B20/2)-1)),0)</f>
        <v>3937630</v>
      </c>
      <c r="D42" s="238"/>
      <c r="E42" s="238"/>
      <c r="F42" s="239"/>
      <c r="G42" s="3674" t="s">
        <v>1573</v>
      </c>
    </row>
    <row r="43" spans="1:7" ht="13.5" customHeight="1">
      <c r="A43" s="780" t="s">
        <v>347</v>
      </c>
      <c r="B43" s="215" t="s">
        <v>1527</v>
      </c>
      <c r="C43" s="238">
        <f ca="1">ROUND(IF('数据-取费表'!B22&lt;=1,C39*F22*'数据-取费表'!B20/2,C39*(POWER((1+F22),'数据-取费表'!B20/2)-1)),0)</f>
        <v>118129</v>
      </c>
      <c r="D43" s="238"/>
      <c r="E43" s="238"/>
      <c r="F43" s="239"/>
      <c r="G43" s="3675"/>
    </row>
    <row r="44" spans="1:7" ht="13.5" customHeight="1">
      <c r="A44" s="780" t="s">
        <v>348</v>
      </c>
      <c r="B44" s="215" t="s">
        <v>1528</v>
      </c>
      <c r="C44" s="238">
        <f ca="1">ROUND(IF('数据-取费表'!B22&lt;=1,C40*F22*'数据-取费表'!B20/2,C40*(POWER((1+F22),'数据-取费表'!B20/2)-1)),4)</f>
        <v>1E-3</v>
      </c>
      <c r="D44" s="238"/>
      <c r="E44" s="238"/>
      <c r="F44" s="239"/>
      <c r="G44" s="3676"/>
    </row>
    <row r="45" spans="1:7" s="214" customFormat="1" ht="13.5" customHeight="1">
      <c r="A45" s="255" t="s">
        <v>1529</v>
      </c>
      <c r="B45" s="244" t="s">
        <v>1495</v>
      </c>
      <c r="C45" s="245">
        <f ca="1">C46</f>
        <v>17633736</v>
      </c>
      <c r="D45" s="235">
        <f ca="1">C47</f>
        <v>4.4999999999999997E-3</v>
      </c>
      <c r="E45" s="236" t="s">
        <v>1521</v>
      </c>
      <c r="F45" s="246">
        <f ca="1">F27</f>
        <v>0.15</v>
      </c>
      <c r="G45" s="247" t="s">
        <v>1530</v>
      </c>
    </row>
    <row r="46" spans="1:7" s="214" customFormat="1" ht="13.5" customHeight="1">
      <c r="A46" s="780" t="s">
        <v>346</v>
      </c>
      <c r="B46" s="248" t="s">
        <v>1531</v>
      </c>
      <c r="C46" s="249">
        <f ca="1">ROUND((C33+C39)*F27,0)</f>
        <v>17633736</v>
      </c>
      <c r="D46" s="263"/>
      <c r="E46" s="236"/>
      <c r="F46" s="246"/>
      <c r="G46" s="247"/>
    </row>
    <row r="47" spans="1:7" s="214" customFormat="1" ht="13.5" customHeight="1">
      <c r="A47" s="780" t="s">
        <v>347</v>
      </c>
      <c r="B47" s="248" t="s">
        <v>1532</v>
      </c>
      <c r="C47" s="238">
        <f ca="1">ROUND(C40*F27,4)</f>
        <v>4.4999999999999997E-3</v>
      </c>
      <c r="D47" s="263"/>
      <c r="E47" s="236"/>
      <c r="F47" s="246"/>
      <c r="G47" s="247"/>
    </row>
    <row r="48" spans="1:7" s="214" customFormat="1" ht="13.5" customHeight="1">
      <c r="A48" s="255" t="s">
        <v>1494</v>
      </c>
      <c r="B48" s="210" t="s">
        <v>1533</v>
      </c>
      <c r="C48" s="262">
        <f>ROUND(F30/(1+'数据-取费表'!C42),4)</f>
        <v>5.2400000000000002E-2</v>
      </c>
      <c r="D48" s="236" t="s">
        <v>1521</v>
      </c>
      <c r="E48" s="232"/>
      <c r="F48" s="237">
        <f>F30</f>
        <v>5.5000000000000007E-2</v>
      </c>
      <c r="G48" s="234" t="s">
        <v>1534</v>
      </c>
    </row>
    <row r="49" spans="1:7" ht="16.5" customHeight="1">
      <c r="A49" s="255" t="s">
        <v>1500</v>
      </c>
      <c r="B49" s="210" t="s">
        <v>1574</v>
      </c>
      <c r="C49" s="232">
        <f ca="1">ROUND((C33+C39+C41+C45)/(1-C40-D41-D45-C48),0)</f>
        <v>152667181</v>
      </c>
      <c r="D49" s="232"/>
      <c r="E49" s="232"/>
      <c r="F49" s="264"/>
      <c r="G49" s="234" t="s">
        <v>1536</v>
      </c>
    </row>
    <row r="50" spans="1:7" s="258" customFormat="1">
      <c r="A50" s="255" t="s">
        <v>1537</v>
      </c>
      <c r="B50" s="210" t="s">
        <v>1538</v>
      </c>
      <c r="C50" s="232"/>
      <c r="D50" s="232"/>
      <c r="E50" s="232"/>
      <c r="F50" s="264">
        <f>IF('数据-取费表'!B24=0,'数据-取费表'!N16,1)</f>
        <v>0.87</v>
      </c>
      <c r="G50" s="247"/>
    </row>
    <row r="51" spans="1:7" ht="16.5" customHeight="1">
      <c r="A51" s="255" t="s">
        <v>1540</v>
      </c>
      <c r="B51" s="210" t="s">
        <v>1575</v>
      </c>
      <c r="C51" s="232">
        <f ca="1">ROUND(C49*F50,0)</f>
        <v>132820447</v>
      </c>
      <c r="D51" s="232"/>
      <c r="E51" s="232"/>
      <c r="F51" s="264"/>
      <c r="G51" s="234" t="s">
        <v>1542</v>
      </c>
    </row>
    <row r="52" spans="1:7" s="208" customFormat="1" ht="16.5" thickBot="1">
      <c r="A52" s="265" t="s">
        <v>1543</v>
      </c>
      <c r="B52" s="266"/>
      <c r="C52" s="267">
        <f ca="1">C31+C51</f>
        <v>142490184</v>
      </c>
      <c r="D52" s="266"/>
      <c r="E52" s="266"/>
      <c r="F52" s="266"/>
      <c r="G52" s="268"/>
    </row>
    <row r="55" spans="1:7" ht="15">
      <c r="B55" s="270" t="s">
        <v>1544</v>
      </c>
      <c r="C55" s="271"/>
    </row>
    <row r="56" spans="1:7">
      <c r="B56" s="273" t="s">
        <v>802</v>
      </c>
      <c r="C56" s="275">
        <f ca="1">1-C57</f>
        <v>6.7999999999999949E-2</v>
      </c>
    </row>
    <row r="57" spans="1:7">
      <c r="B57" s="273" t="s">
        <v>803</v>
      </c>
      <c r="C57" s="274">
        <f ca="1">ROUND(C51/C52,3)</f>
        <v>0.93200000000000005</v>
      </c>
    </row>
  </sheetData>
  <sheetProtection password="CEE9" sheet="1" objects="1" scenarios="1" formatCells="0"/>
  <mergeCells count="1">
    <mergeCell ref="G42:G44"/>
  </mergeCells>
  <phoneticPr fontId="133" type="noConversion"/>
  <dataValidations count="5">
    <dataValidation type="list" allowBlank="1" showInputMessage="1" showErrorMessage="1" sqref="G8">
      <formula1>"已包含在土地购买价格中,未包含在土地购买价格中"</formula1>
    </dataValidation>
    <dataValidation type="list" allowBlank="1" showInputMessage="1" showErrorMessage="1" sqref="G19">
      <formula1>"已包含在土地取得成本中,未包含在土地取得成本中"</formula1>
    </dataValidation>
    <dataValidation type="list" allowBlank="1" showInputMessage="1" showErrorMessage="1" sqref="B1">
      <formula1>项目类型</formula1>
    </dataValidation>
    <dataValidation type="list" allowBlank="1" showInputMessage="1" showErrorMessage="1" sqref="G2">
      <formula1>估价方法</formula1>
    </dataValidation>
    <dataValidation type="list" allowBlank="1" showInputMessage="1" showErrorMessage="1" sqref="D2">
      <formula1>"需扣减承租人权益,——"</formula1>
    </dataValidation>
  </dataValidations>
  <pageMargins left="0.7" right="0.7" top="0.75" bottom="0.75" header="0.3" footer="0.3"/>
  <pageSetup paperSize="9" scale="77" orientation="portrait" r:id="rId1"/>
</worksheet>
</file>

<file path=xl/worksheets/sheet2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6">
    <tabColor rgb="FF92D050"/>
    <pageSetUpPr fitToPage="1"/>
  </sheetPr>
  <dimension ref="A1:AG34"/>
  <sheetViews>
    <sheetView view="pageBreakPreview" zoomScale="70" zoomScaleNormal="70" zoomScaleSheetLayoutView="70" workbookViewId="0">
      <selection activeCell="H44" sqref="H44"/>
    </sheetView>
  </sheetViews>
  <sheetFormatPr defaultColWidth="6.625" defaultRowHeight="12.75"/>
  <cols>
    <col min="1" max="1" width="9.75" style="728" customWidth="1"/>
    <col min="2" max="2" width="25.75" style="781" customWidth="1"/>
    <col min="3" max="3" width="10.375" style="823" customWidth="1"/>
    <col min="4" max="4" width="9.875" style="781" customWidth="1"/>
    <col min="5" max="5" width="9.5" style="728" customWidth="1"/>
    <col min="6" max="6" width="10.125" style="781" customWidth="1"/>
    <col min="7" max="7" width="10.75" style="781" customWidth="1"/>
    <col min="8" max="8" width="10" style="781" customWidth="1"/>
    <col min="9" max="11" width="9.5" style="781" customWidth="1"/>
    <col min="12" max="12" width="9" style="781" customWidth="1"/>
    <col min="13" max="13" width="10.5" style="781" bestFit="1" customWidth="1"/>
    <col min="14" max="254" width="9" style="781" customWidth="1"/>
    <col min="255" max="16384" width="6.625" style="781"/>
  </cols>
  <sheetData>
    <row r="1" spans="1:33" ht="20.25">
      <c r="A1" s="196" t="s">
        <v>1576</v>
      </c>
      <c r="B1" s="1190"/>
      <c r="C1" s="1191"/>
      <c r="D1" s="1189"/>
      <c r="E1" s="2780"/>
      <c r="F1" s="2780"/>
      <c r="G1" s="2645"/>
      <c r="H1" s="2780"/>
      <c r="I1" s="2780"/>
      <c r="J1" s="2780"/>
      <c r="K1" s="2781">
        <f>MATCH(C1,'数据-取费表'!A6:A16,0)+5</f>
        <v>7</v>
      </c>
    </row>
    <row r="2" spans="1:33" ht="18" customHeight="1">
      <c r="A2" s="201" t="s">
        <v>1444</v>
      </c>
      <c r="B2" s="204">
        <f ca="1">C32</f>
        <v>0</v>
      </c>
      <c r="C2" s="276" t="s">
        <v>1577</v>
      </c>
      <c r="D2" s="276"/>
      <c r="E2" s="2780"/>
      <c r="F2" s="2780"/>
      <c r="G2" s="2780"/>
      <c r="H2" s="2780"/>
      <c r="I2" s="2780"/>
      <c r="J2" s="2780"/>
      <c r="K2" s="2780"/>
    </row>
    <row r="3" spans="1:33" ht="18" customHeight="1" thickBot="1">
      <c r="A3" s="203" t="s">
        <v>1446</v>
      </c>
      <c r="B3" s="204">
        <f ca="1">ROUND(B2*10000/IF(C1="",'数据-汇总表'!E3,INDIRECT("'数据-取费表'!K"&amp;$K$1)),0)</f>
        <v>0</v>
      </c>
      <c r="C3" s="276" t="s">
        <v>1578</v>
      </c>
      <c r="D3" s="276"/>
      <c r="E3" s="2780"/>
      <c r="F3" s="2780"/>
      <c r="G3" s="2780"/>
      <c r="H3" s="2780"/>
      <c r="I3" s="2780"/>
      <c r="J3" s="2780"/>
      <c r="K3" s="2780"/>
    </row>
    <row r="4" spans="1:33" s="785" customFormat="1" ht="16.5" customHeight="1">
      <c r="A4" s="782" t="s">
        <v>1579</v>
      </c>
      <c r="B4" s="783"/>
      <c r="C4" s="824">
        <f>SUM(C8:K8)</f>
        <v>0</v>
      </c>
      <c r="D4" s="783"/>
      <c r="E4" s="783"/>
      <c r="F4" s="783"/>
      <c r="G4" s="783"/>
      <c r="H4" s="783"/>
      <c r="I4" s="783"/>
      <c r="J4" s="783"/>
      <c r="K4" s="784"/>
    </row>
    <row r="5" spans="1:33" s="789" customFormat="1" ht="15">
      <c r="A5" s="786" t="s">
        <v>1580</v>
      </c>
      <c r="B5" s="787" t="s">
        <v>1581</v>
      </c>
      <c r="C5" s="1859"/>
      <c r="D5" s="1859"/>
      <c r="E5" s="1859"/>
      <c r="F5" s="1859"/>
      <c r="G5" s="1859"/>
      <c r="H5" s="1859"/>
      <c r="I5" s="1859"/>
      <c r="J5" s="1859"/>
      <c r="K5" s="1859"/>
      <c r="L5" s="788"/>
      <c r="M5" s="788"/>
      <c r="N5" s="788"/>
      <c r="O5" s="788"/>
      <c r="P5" s="788"/>
      <c r="Q5" s="788"/>
      <c r="R5" s="788"/>
      <c r="S5" s="788"/>
      <c r="T5" s="788"/>
      <c r="U5" s="788"/>
      <c r="V5" s="788"/>
      <c r="W5" s="788"/>
      <c r="X5" s="788"/>
      <c r="Y5" s="788"/>
      <c r="Z5" s="788"/>
      <c r="AA5" s="788"/>
      <c r="AB5" s="788"/>
      <c r="AC5" s="788"/>
      <c r="AD5" s="788"/>
      <c r="AE5" s="788"/>
      <c r="AF5" s="788"/>
      <c r="AG5" s="788"/>
    </row>
    <row r="6" spans="1:33" s="794" customFormat="1" ht="13.5" customHeight="1">
      <c r="A6" s="790" t="s">
        <v>357</v>
      </c>
      <c r="B6" s="131" t="s">
        <v>1582</v>
      </c>
      <c r="C6" s="791"/>
      <c r="D6" s="791"/>
      <c r="E6" s="791"/>
      <c r="F6" s="791"/>
      <c r="G6" s="791"/>
      <c r="H6" s="791"/>
      <c r="I6" s="791"/>
      <c r="J6" s="791"/>
      <c r="K6" s="792"/>
      <c r="L6" s="793"/>
      <c r="M6" s="793"/>
      <c r="N6" s="793"/>
      <c r="O6" s="793"/>
      <c r="P6" s="793"/>
      <c r="Q6" s="793"/>
      <c r="R6" s="793"/>
      <c r="S6" s="793"/>
      <c r="T6" s="793"/>
      <c r="U6" s="793"/>
      <c r="V6" s="793"/>
      <c r="W6" s="793"/>
      <c r="X6" s="793"/>
      <c r="Y6" s="793"/>
      <c r="Z6" s="793"/>
      <c r="AA6" s="793"/>
      <c r="AB6" s="793"/>
      <c r="AC6" s="793"/>
      <c r="AD6" s="793"/>
      <c r="AE6" s="793"/>
      <c r="AF6" s="793"/>
      <c r="AG6" s="793"/>
    </row>
    <row r="7" spans="1:33" s="794" customFormat="1" ht="13.5" customHeight="1">
      <c r="A7" s="790" t="s">
        <v>1583</v>
      </c>
      <c r="B7" s="131" t="s">
        <v>1584</v>
      </c>
      <c r="C7" s="277">
        <f>SUMIF('数据-汇总表'!$C19:$C33,假设开发法!C5,'数据-汇总表'!$E19:$E33)</f>
        <v>0</v>
      </c>
      <c r="D7" s="277">
        <f>SUMIF('数据-汇总表'!$C19:$C33,假设开发法!D5,'数据-汇总表'!$E19:$E33)</f>
        <v>0</v>
      </c>
      <c r="E7" s="277">
        <f>SUMIF('数据-汇总表'!$C19:$C33,假设开发法!E5,'数据-汇总表'!$E19:$E33)</f>
        <v>0</v>
      </c>
      <c r="F7" s="277">
        <f>SUMIF('数据-汇总表'!$C19:$C33,假设开发法!F5,'数据-汇总表'!$E19:$E33)</f>
        <v>0</v>
      </c>
      <c r="G7" s="277">
        <f>SUMIF('数据-汇总表'!$C19:$C33,假设开发法!G5,'数据-汇总表'!$E19:$E33)</f>
        <v>0</v>
      </c>
      <c r="H7" s="277">
        <f>SUMIF('数据-汇总表'!$C19:$C33,假设开发法!H5,'数据-汇总表'!$E19:$E33)</f>
        <v>0</v>
      </c>
      <c r="I7" s="277">
        <f>SUMIF('数据-汇总表'!$C19:$C33,假设开发法!I5,'数据-汇总表'!$E19:$E33)</f>
        <v>0</v>
      </c>
      <c r="J7" s="277">
        <f>SUMIF('数据-汇总表'!$C19:$C33,假设开发法!J5,'数据-汇总表'!$E19:$E33)</f>
        <v>0</v>
      </c>
      <c r="K7" s="278">
        <f>SUMIF('数据-汇总表'!$C19:$C33,假设开发法!K5,'数据-汇总表'!$E19:$E33)</f>
        <v>0</v>
      </c>
      <c r="L7" s="793"/>
      <c r="M7" s="793"/>
      <c r="N7" s="793"/>
      <c r="O7" s="793"/>
      <c r="P7" s="793"/>
      <c r="Q7" s="793"/>
      <c r="R7" s="793"/>
      <c r="S7" s="793"/>
      <c r="T7" s="793"/>
      <c r="U7" s="793"/>
      <c r="V7" s="793"/>
      <c r="W7" s="793"/>
      <c r="X7" s="793"/>
      <c r="Y7" s="793"/>
      <c r="Z7" s="793"/>
      <c r="AA7" s="793"/>
      <c r="AB7" s="793"/>
      <c r="AC7" s="793"/>
      <c r="AD7" s="793"/>
      <c r="AE7" s="793"/>
      <c r="AF7" s="793"/>
      <c r="AG7" s="793"/>
    </row>
    <row r="8" spans="1:33" s="794" customFormat="1" ht="13.5" customHeight="1" thickBot="1">
      <c r="A8" s="1860" t="s">
        <v>1585</v>
      </c>
      <c r="B8" s="164" t="s">
        <v>1586</v>
      </c>
      <c r="C8" s="825"/>
      <c r="D8" s="825"/>
      <c r="E8" s="825"/>
      <c r="F8" s="826"/>
      <c r="G8" s="826"/>
      <c r="H8" s="826"/>
      <c r="I8" s="826"/>
      <c r="J8" s="826"/>
      <c r="K8" s="827"/>
      <c r="L8" s="793"/>
      <c r="M8" s="793"/>
      <c r="N8" s="793"/>
      <c r="O8" s="793"/>
      <c r="P8" s="793"/>
      <c r="Q8" s="793"/>
      <c r="R8" s="793"/>
      <c r="S8" s="793"/>
      <c r="T8" s="793"/>
      <c r="U8" s="793"/>
      <c r="V8" s="793"/>
      <c r="W8" s="793"/>
      <c r="X8" s="793"/>
      <c r="Y8" s="793"/>
      <c r="Z8" s="793"/>
      <c r="AA8" s="793"/>
      <c r="AB8" s="793"/>
      <c r="AC8" s="793"/>
      <c r="AD8" s="793"/>
      <c r="AE8" s="793"/>
      <c r="AF8" s="793"/>
      <c r="AG8" s="793"/>
    </row>
    <row r="9" spans="1:33" s="785" customFormat="1" ht="16.5" customHeight="1">
      <c r="A9" s="782" t="s">
        <v>1587</v>
      </c>
      <c r="B9" s="783"/>
      <c r="C9" s="783"/>
      <c r="D9" s="783"/>
      <c r="E9" s="783"/>
      <c r="F9" s="783"/>
      <c r="G9" s="783"/>
      <c r="H9" s="783"/>
      <c r="I9" s="783"/>
      <c r="J9" s="783"/>
      <c r="K9" s="784"/>
    </row>
    <row r="10" spans="1:33" s="799" customFormat="1" ht="13.5" customHeight="1">
      <c r="A10" s="786" t="s">
        <v>1588</v>
      </c>
      <c r="B10" s="5" t="s">
        <v>1589</v>
      </c>
      <c r="C10" s="795" t="s">
        <v>1590</v>
      </c>
      <c r="D10" s="796" t="s">
        <v>1591</v>
      </c>
      <c r="E10" s="796" t="s">
        <v>1592</v>
      </c>
      <c r="F10" s="796" t="s">
        <v>1593</v>
      </c>
      <c r="G10" s="5"/>
      <c r="H10" s="797"/>
      <c r="I10" s="797"/>
      <c r="J10" s="797"/>
      <c r="K10" s="798"/>
    </row>
    <row r="11" spans="1:33" s="803" customFormat="1" ht="13.5" customHeight="1">
      <c r="A11" s="800" t="s">
        <v>635</v>
      </c>
      <c r="B11" s="801" t="s">
        <v>1594</v>
      </c>
      <c r="C11" s="279">
        <f ca="1">IF(C1="",'数据-取费表'!P16,INDIRECT("'数据-取费表'!p"&amp;$K$1)+INDIRECT("'数据-取费表'!ar"&amp;$K$1))</f>
        <v>0</v>
      </c>
      <c r="D11" s="802"/>
      <c r="E11" s="329"/>
      <c r="F11" s="812">
        <f ca="1">1-IF('数据-取费表'!B24=0,1,IF(C1="",'数据-取费表'!N16,INDIRECT("'数据-取费表'!n"&amp;$K$1)))</f>
        <v>0</v>
      </c>
      <c r="G11" s="5"/>
      <c r="H11" s="797"/>
      <c r="I11" s="797"/>
      <c r="J11" s="797"/>
      <c r="K11" s="798"/>
    </row>
    <row r="12" spans="1:33" s="803" customFormat="1" ht="13.5" customHeight="1">
      <c r="A12" s="800" t="s">
        <v>636</v>
      </c>
      <c r="B12" s="801" t="s">
        <v>1595</v>
      </c>
      <c r="C12" s="21">
        <f ca="1">ROUND(C11*F12,0)</f>
        <v>0</v>
      </c>
      <c r="D12" s="802"/>
      <c r="E12" s="329"/>
      <c r="F12" s="812">
        <f>'数据-取费表'!B33</f>
        <v>0.03</v>
      </c>
      <c r="G12" s="5" t="s">
        <v>1596</v>
      </c>
      <c r="H12" s="797"/>
      <c r="I12" s="797"/>
      <c r="J12" s="797"/>
      <c r="K12" s="798"/>
    </row>
    <row r="13" spans="1:33" s="803" customFormat="1" ht="13.5" customHeight="1">
      <c r="A13" s="800" t="s">
        <v>637</v>
      </c>
      <c r="B13" s="801" t="s">
        <v>1597</v>
      </c>
      <c r="C13" s="21">
        <f ca="1">ROUND(IF(C1="",SUMIF('数据-取费表'!C:C,"住宅",'数据-取费表'!P:P)*F13,IF(INDIRECT("'数据-取费表'!c"&amp;$K$1)="住宅",INDIRECT("'数据-取费表'!P"&amp;$K$1)*F13,0)),0)</f>
        <v>0</v>
      </c>
      <c r="D13" s="846"/>
      <c r="E13" s="329"/>
      <c r="F13" s="812">
        <f>'数据-取费表'!B34</f>
        <v>0</v>
      </c>
      <c r="G13" s="5" t="s">
        <v>1598</v>
      </c>
      <c r="H13" s="797"/>
      <c r="I13" s="797"/>
      <c r="J13" s="797"/>
      <c r="K13" s="798"/>
    </row>
    <row r="14" spans="1:33" s="805" customFormat="1" ht="13.5" customHeight="1">
      <c r="A14" s="800" t="s">
        <v>638</v>
      </c>
      <c r="B14" s="801" t="s">
        <v>1599</v>
      </c>
      <c r="C14" s="21">
        <f ca="1">ROUND(D14*E14*F11/10000,0)</f>
        <v>0</v>
      </c>
      <c r="D14" s="846">
        <f ca="1">IF(C1="",'数据-汇总表'!E3,INDIRECT("'数据-取费表'!K"&amp;$K$1)+INDIRECT("'数据-取费表'!S"&amp;$K$1))</f>
        <v>17559.11</v>
      </c>
      <c r="E14" s="21">
        <f>'数据-取费表'!B35</f>
        <v>200</v>
      </c>
      <c r="F14" s="804"/>
      <c r="G14" s="5" t="s">
        <v>1600</v>
      </c>
      <c r="H14" s="797"/>
      <c r="I14" s="797"/>
      <c r="J14" s="797"/>
      <c r="K14" s="798"/>
      <c r="L14" s="803"/>
      <c r="M14" s="803"/>
      <c r="N14" s="803"/>
      <c r="O14" s="803"/>
      <c r="P14" s="803"/>
      <c r="Q14" s="803"/>
      <c r="R14" s="803"/>
      <c r="S14" s="803"/>
      <c r="T14" s="803"/>
      <c r="U14" s="803"/>
      <c r="V14" s="803"/>
      <c r="W14" s="803"/>
      <c r="X14" s="803"/>
      <c r="Y14" s="803"/>
      <c r="Z14" s="803"/>
      <c r="AA14" s="803"/>
      <c r="AB14" s="803"/>
      <c r="AC14" s="803"/>
      <c r="AD14" s="803"/>
      <c r="AE14" s="803"/>
      <c r="AF14" s="803"/>
      <c r="AG14" s="803"/>
    </row>
    <row r="15" spans="1:33" s="805" customFormat="1" ht="13.5" customHeight="1">
      <c r="A15" s="800" t="s">
        <v>639</v>
      </c>
      <c r="B15" s="801" t="s">
        <v>1601</v>
      </c>
      <c r="C15" s="811">
        <f ca="1">ROUND(C11*F15,0)</f>
        <v>0</v>
      </c>
      <c r="D15" s="806"/>
      <c r="E15" s="811"/>
      <c r="F15" s="812">
        <f>'数据-取费表'!B36</f>
        <v>0.02</v>
      </c>
      <c r="G15" s="131" t="s">
        <v>1602</v>
      </c>
      <c r="H15" s="807"/>
      <c r="I15" s="807"/>
      <c r="J15" s="807"/>
      <c r="K15" s="808"/>
      <c r="L15" s="803"/>
      <c r="M15" s="803"/>
      <c r="N15" s="803"/>
      <c r="O15" s="803"/>
      <c r="P15" s="803"/>
      <c r="Q15" s="803"/>
      <c r="R15" s="803"/>
      <c r="S15" s="803"/>
      <c r="T15" s="803"/>
      <c r="U15" s="803"/>
      <c r="V15" s="803"/>
      <c r="W15" s="803"/>
      <c r="X15" s="803"/>
      <c r="Y15" s="803"/>
      <c r="Z15" s="803"/>
      <c r="AA15" s="803"/>
      <c r="AB15" s="803"/>
      <c r="AC15" s="803"/>
      <c r="AD15" s="803"/>
      <c r="AE15" s="803"/>
      <c r="AF15" s="803"/>
      <c r="AG15" s="803"/>
    </row>
    <row r="16" spans="1:33" s="805" customFormat="1" ht="13.5" customHeight="1">
      <c r="A16" s="800" t="s">
        <v>358</v>
      </c>
      <c r="B16" s="801" t="s">
        <v>1603</v>
      </c>
      <c r="C16" s="811">
        <f ca="1">SUM(C11:C15)</f>
        <v>0</v>
      </c>
      <c r="D16" s="806"/>
      <c r="E16" s="811"/>
      <c r="F16" s="812"/>
      <c r="G16" s="131"/>
      <c r="H16" s="1187"/>
      <c r="I16" s="807"/>
      <c r="J16" s="807"/>
      <c r="K16" s="808"/>
      <c r="L16" s="803"/>
      <c r="M16" s="803"/>
      <c r="N16" s="803"/>
      <c r="O16" s="803"/>
      <c r="P16" s="803"/>
      <c r="Q16" s="803"/>
      <c r="R16" s="803"/>
      <c r="S16" s="803"/>
      <c r="T16" s="803"/>
      <c r="U16" s="803"/>
      <c r="V16" s="803"/>
      <c r="W16" s="803"/>
      <c r="X16" s="803"/>
      <c r="Y16" s="803"/>
      <c r="Z16" s="803"/>
      <c r="AA16" s="803"/>
      <c r="AB16" s="803"/>
      <c r="AC16" s="803"/>
      <c r="AD16" s="803"/>
      <c r="AE16" s="803"/>
      <c r="AF16" s="803"/>
      <c r="AG16" s="803"/>
    </row>
    <row r="17" spans="1:33" s="805" customFormat="1" ht="13.5" customHeight="1">
      <c r="A17" s="800" t="s">
        <v>359</v>
      </c>
      <c r="B17" s="801" t="s">
        <v>1604</v>
      </c>
      <c r="C17" s="21">
        <f ca="1">ROUND(D17*E17/10000,0)</f>
        <v>0</v>
      </c>
      <c r="D17" s="846">
        <f ca="1">D14</f>
        <v>17559.11</v>
      </c>
      <c r="E17" s="21">
        <f>'数据-取费表'!B32</f>
        <v>0</v>
      </c>
      <c r="F17" s="806"/>
      <c r="G17" s="131" t="s">
        <v>1605</v>
      </c>
      <c r="H17" s="1187"/>
      <c r="I17" s="807"/>
      <c r="J17" s="807"/>
      <c r="K17" s="808"/>
      <c r="L17" s="803"/>
      <c r="M17" s="803"/>
      <c r="N17" s="803"/>
      <c r="O17" s="803"/>
      <c r="P17" s="803"/>
      <c r="Q17" s="803"/>
      <c r="R17" s="803"/>
      <c r="S17" s="803"/>
      <c r="T17" s="803"/>
      <c r="U17" s="803"/>
      <c r="V17" s="803"/>
      <c r="W17" s="803"/>
      <c r="X17" s="803"/>
      <c r="Y17" s="803"/>
      <c r="Z17" s="803"/>
      <c r="AA17" s="803"/>
      <c r="AB17" s="803"/>
      <c r="AC17" s="803"/>
      <c r="AD17" s="803"/>
      <c r="AE17" s="803"/>
      <c r="AF17" s="803"/>
      <c r="AG17" s="803"/>
    </row>
    <row r="18" spans="1:33" s="803" customFormat="1" ht="13.5" customHeight="1">
      <c r="A18" s="800" t="s">
        <v>640</v>
      </c>
      <c r="B18" s="801" t="s">
        <v>1606</v>
      </c>
      <c r="C18" s="21">
        <f ca="1">C19+C20-IF(C1="",'数据-取费表'!B29,IF(G18="已全部缴纳",C19+C20,H18))</f>
        <v>0</v>
      </c>
      <c r="D18" s="846"/>
      <c r="E18" s="21"/>
      <c r="F18" s="804"/>
      <c r="G18" s="1861"/>
      <c r="H18" s="1186"/>
      <c r="I18" s="1862" t="s">
        <v>1607</v>
      </c>
      <c r="J18" s="807"/>
      <c r="K18" s="808"/>
    </row>
    <row r="19" spans="1:33" s="803" customFormat="1" ht="13.5" customHeight="1">
      <c r="A19" s="800" t="s">
        <v>360</v>
      </c>
      <c r="B19" s="801" t="s">
        <v>1608</v>
      </c>
      <c r="C19" s="21">
        <f ca="1">ROUND(D19*E19/10000,0)</f>
        <v>0</v>
      </c>
      <c r="D19" s="846">
        <f ca="1">IF(C1="",'数据-汇总表'!E5,IF(INDIRECT("'数据-取费表'!c"&amp;$K$1)="住宅",INDIRECT("'数据-取费表'!k"&amp;$K$1),0))</f>
        <v>0</v>
      </c>
      <c r="E19" s="21">
        <f>'数据-取费表'!B27</f>
        <v>160</v>
      </c>
      <c r="F19" s="804"/>
      <c r="G19" s="12"/>
      <c r="H19" s="1188"/>
      <c r="I19" s="809"/>
      <c r="J19" s="809"/>
      <c r="K19" s="810"/>
    </row>
    <row r="20" spans="1:33" s="803" customFormat="1" ht="13.5" customHeight="1">
      <c r="A20" s="800" t="s">
        <v>361</v>
      </c>
      <c r="B20" s="801" t="s">
        <v>1609</v>
      </c>
      <c r="C20" s="21">
        <f ca="1">ROUND(D20*E20/10000,0)</f>
        <v>351</v>
      </c>
      <c r="D20" s="846">
        <f ca="1">IF(C1="",'数据-汇总表'!E6,IF(INDIRECT("'数据-取费表'!c"&amp;$K$1)="住宅",INDIRECT("'数据-取费表'!s"&amp;$K$1),INDIRECT("'数据-取费表'!k"&amp;$K$1)+INDIRECT("'数据-取费表'!s"&amp;$K$1)))</f>
        <v>17559.11</v>
      </c>
      <c r="E20" s="21">
        <f>'数据-取费表'!B28</f>
        <v>200</v>
      </c>
      <c r="F20" s="804"/>
      <c r="G20" s="12"/>
      <c r="H20" s="809"/>
      <c r="I20" s="809"/>
      <c r="J20" s="809"/>
      <c r="K20" s="810"/>
    </row>
    <row r="21" spans="1:33" s="803" customFormat="1" ht="13.5" customHeight="1">
      <c r="A21" s="790" t="s">
        <v>357</v>
      </c>
      <c r="B21" s="813" t="s">
        <v>1610</v>
      </c>
      <c r="C21" s="814">
        <f ca="1">C16+C17+C18</f>
        <v>0</v>
      </c>
      <c r="D21" s="815"/>
      <c r="E21" s="281"/>
      <c r="F21" s="281"/>
      <c r="G21" s="131" t="s">
        <v>1611</v>
      </c>
      <c r="H21" s="807"/>
      <c r="I21" s="807"/>
      <c r="J21" s="807"/>
      <c r="K21" s="808"/>
    </row>
    <row r="22" spans="1:33" s="803" customFormat="1" ht="13.5" customHeight="1">
      <c r="A22" s="790" t="s">
        <v>1583</v>
      </c>
      <c r="B22" s="813" t="s">
        <v>1612</v>
      </c>
      <c r="C22" s="814">
        <f ca="1">ROUND(C21*F22,0)</f>
        <v>0</v>
      </c>
      <c r="D22" s="281"/>
      <c r="E22" s="281"/>
      <c r="F22" s="816">
        <f>'数据-取费表'!B37</f>
        <v>0.03</v>
      </c>
      <c r="G22" s="5" t="s">
        <v>1613</v>
      </c>
      <c r="H22" s="797"/>
      <c r="I22" s="797"/>
      <c r="J22" s="797"/>
      <c r="K22" s="798"/>
    </row>
    <row r="23" spans="1:33" s="803" customFormat="1" ht="13.5" customHeight="1">
      <c r="A23" s="790" t="s">
        <v>1585</v>
      </c>
      <c r="B23" s="813" t="s">
        <v>1614</v>
      </c>
      <c r="C23" s="814">
        <f ca="1">ROUND(C4*F23*F11,0)</f>
        <v>0</v>
      </c>
      <c r="D23" s="281"/>
      <c r="E23" s="281"/>
      <c r="F23" s="816">
        <f>'数据-取费表'!B38</f>
        <v>0.03</v>
      </c>
      <c r="G23" s="5" t="s">
        <v>1615</v>
      </c>
      <c r="H23" s="797"/>
      <c r="I23" s="797"/>
      <c r="J23" s="797"/>
      <c r="K23" s="798"/>
    </row>
    <row r="24" spans="1:33" s="803" customFormat="1" ht="13.5" customHeight="1">
      <c r="A24" s="790" t="s">
        <v>1616</v>
      </c>
      <c r="B24" s="813" t="s">
        <v>1617</v>
      </c>
      <c r="C24" s="280">
        <f>ROUND(F24/(1+'数据-取费表'!C42),4)</f>
        <v>2.9000000000000001E-2</v>
      </c>
      <c r="D24" s="281" t="s">
        <v>12</v>
      </c>
      <c r="E24" s="281"/>
      <c r="F24" s="816">
        <f>IF(项目基本情况!B8="出让",0,'数据-取费表'!B48+'数据-取费表'!B49)</f>
        <v>3.0499999999999999E-2</v>
      </c>
      <c r="G24" s="5" t="s">
        <v>1618</v>
      </c>
      <c r="H24" s="818"/>
      <c r="I24" s="818"/>
      <c r="J24" s="818"/>
      <c r="K24" s="819"/>
    </row>
    <row r="25" spans="1:33" s="803" customFormat="1" ht="13.5" customHeight="1">
      <c r="A25" s="790" t="s">
        <v>1619</v>
      </c>
      <c r="B25" s="815" t="s">
        <v>1620</v>
      </c>
      <c r="C25" s="1106">
        <f ca="1">C27</f>
        <v>0</v>
      </c>
      <c r="D25" s="280">
        <f ca="1">C26</f>
        <v>0</v>
      </c>
      <c r="E25" s="282" t="s">
        <v>12</v>
      </c>
      <c r="F25" s="283">
        <f ca="1">'数据-取费表'!B40</f>
        <v>3.4500000000000003E-2</v>
      </c>
      <c r="G25" s="131" t="str">
        <f>IF('数据-取费表'!B22&lt;=1,"单利计息。","复利计息。")&amp;"后续开发成本、管理费用及销售费用产生的利息。"</f>
        <v>复利计息。后续开发成本、管理费用及销售费用产生的利息。</v>
      </c>
      <c r="H25" s="818"/>
      <c r="I25" s="818"/>
      <c r="J25" s="818"/>
      <c r="K25" s="819"/>
    </row>
    <row r="26" spans="1:33" s="821" customFormat="1" ht="13.5" customHeight="1">
      <c r="A26" s="800" t="s">
        <v>358</v>
      </c>
      <c r="B26" s="820" t="s">
        <v>1621</v>
      </c>
      <c r="C26" s="1107">
        <f ca="1">ROUND(IF('数据-取费表'!B22&lt;=1,(1+C24)*F25*'数据-取费表'!B24,(1+C24)*(POWER((1+F25),'数据-取费表'!B24)-1)),4)</f>
        <v>0</v>
      </c>
      <c r="D26" s="284"/>
      <c r="E26" s="285"/>
      <c r="F26" s="286"/>
      <c r="G26" s="1863" t="str">
        <f>IF('数据-取费表'!B22&lt;=1,"（(1)+取得税费率/(1+5%)）×年利率×建设期","（(1)+取得税费率）/(1+5%)×((1+年利率)^建设期-1)")</f>
        <v>（(1)+取得税费率）/(1+5%)×((1+年利率)^建设期-1)</v>
      </c>
      <c r="H26" s="807"/>
      <c r="I26" s="807"/>
      <c r="J26" s="807"/>
      <c r="K26" s="808"/>
    </row>
    <row r="27" spans="1:33" s="821" customFormat="1" ht="13.5" customHeight="1">
      <c r="A27" s="800" t="s">
        <v>359</v>
      </c>
      <c r="B27" s="820" t="s">
        <v>1622</v>
      </c>
      <c r="C27" s="1108">
        <f ca="1">ROUND(IF('数据-取费表'!B22&lt;=1,(C21+C22+C23)*F25*'数据-取费表'!B24/2,(C21+C22+C23)*(POWER((1+F25),'数据-取费表'!B24/2)-1)),0)</f>
        <v>0</v>
      </c>
      <c r="D27" s="284"/>
      <c r="E27" s="285"/>
      <c r="F27" s="286"/>
      <c r="G27" s="1863" t="str">
        <f>IF('数据-取费表'!B22&lt;=1,"（1）-（3）项×年利率×建设期÷2","（1）-（3）项×((1+年利率)^(建设期÷2)-1)")</f>
        <v>（1）-（3）项×((1+年利率)^(建设期÷2)-1)</v>
      </c>
      <c r="H27" s="807"/>
      <c r="I27" s="807"/>
      <c r="J27" s="807"/>
      <c r="K27" s="808"/>
    </row>
    <row r="28" spans="1:33" s="289" customFormat="1" ht="13.5" customHeight="1">
      <c r="A28" s="790" t="s">
        <v>1623</v>
      </c>
      <c r="B28" s="1864" t="s">
        <v>1624</v>
      </c>
      <c r="C28" s="287">
        <f ca="1">C30</f>
        <v>0</v>
      </c>
      <c r="D28" s="280">
        <f ca="1">C29</f>
        <v>0</v>
      </c>
      <c r="E28" s="282" t="s">
        <v>12</v>
      </c>
      <c r="F28" s="288">
        <f ca="1">IF(C1="",'数据-取费表'!Q16,INDIRECT("'数据-取费表'!q"&amp;$K$1))</f>
        <v>0.15</v>
      </c>
      <c r="G28" s="817"/>
      <c r="H28" s="818"/>
      <c r="I28" s="818"/>
      <c r="J28" s="818"/>
      <c r="K28" s="819"/>
    </row>
    <row r="29" spans="1:33" s="291" customFormat="1" ht="13.5" customHeight="1">
      <c r="A29" s="800" t="s">
        <v>358</v>
      </c>
      <c r="B29" s="822" t="s">
        <v>1625</v>
      </c>
      <c r="C29" s="284">
        <f ca="1">ROUND((1+C24)*F28*'数据-取费表'!B24/'数据-取费表'!B20,4)</f>
        <v>0</v>
      </c>
      <c r="D29" s="284"/>
      <c r="E29" s="285"/>
      <c r="F29" s="290"/>
      <c r="G29" s="131" t="s">
        <v>1626</v>
      </c>
      <c r="H29" s="807"/>
      <c r="I29" s="807"/>
      <c r="J29" s="807"/>
      <c r="K29" s="808"/>
    </row>
    <row r="30" spans="1:33" s="291" customFormat="1" ht="13.5" customHeight="1">
      <c r="A30" s="800" t="s">
        <v>359</v>
      </c>
      <c r="B30" s="822" t="s">
        <v>1627</v>
      </c>
      <c r="C30" s="292">
        <f ca="1">ROUND((C21+C22+C23)*F28,0)</f>
        <v>0</v>
      </c>
      <c r="D30" s="284"/>
      <c r="E30" s="285"/>
      <c r="F30" s="290"/>
      <c r="G30" s="131"/>
      <c r="H30" s="807"/>
      <c r="I30" s="807"/>
      <c r="J30" s="807"/>
      <c r="K30" s="808"/>
    </row>
    <row r="31" spans="1:33" s="803" customFormat="1" ht="13.5" customHeight="1" thickBot="1">
      <c r="A31" s="1865" t="s">
        <v>1628</v>
      </c>
      <c r="B31" s="833" t="s">
        <v>1629</v>
      </c>
      <c r="C31" s="834">
        <f>ROUND(C4*F31/(1+'数据-取费表'!C42),0)</f>
        <v>0</v>
      </c>
      <c r="D31" s="835"/>
      <c r="E31" s="836"/>
      <c r="F31" s="837">
        <f>'数据-取费表'!B41</f>
        <v>5.5000000000000007E-2</v>
      </c>
      <c r="G31" s="838" t="s">
        <v>1630</v>
      </c>
      <c r="H31" s="839"/>
      <c r="I31" s="839"/>
      <c r="J31" s="839"/>
      <c r="K31" s="840"/>
    </row>
    <row r="32" spans="1:33" s="799" customFormat="1" ht="13.5" customHeight="1" thickBot="1">
      <c r="A32" s="828" t="s">
        <v>1631</v>
      </c>
      <c r="B32" s="829"/>
      <c r="C32" s="830">
        <f ca="1">ROUND((C4-C21-C22-C23-C25-C28-C31)/(1+C24+D25+D28),0)</f>
        <v>0</v>
      </c>
      <c r="D32" s="829"/>
      <c r="E32" s="829"/>
      <c r="F32" s="829"/>
      <c r="G32" s="831" t="s">
        <v>1632</v>
      </c>
      <c r="H32" s="829"/>
      <c r="I32" s="829"/>
      <c r="J32" s="829"/>
      <c r="K32" s="832"/>
    </row>
    <row r="34" ht="12.75" customHeight="1"/>
  </sheetData>
  <sheetProtection password="CEE9" sheet="1" objects="1" scenarios="1" formatCells="0" formatColumns="0" formatRows="0"/>
  <phoneticPr fontId="18" type="noConversion"/>
  <dataValidations count="2">
    <dataValidation type="list" allowBlank="1" showInputMessage="1" showErrorMessage="1" sqref="C5:K5 C1">
      <formula1>项目类型</formula1>
    </dataValidation>
    <dataValidation type="list" allowBlank="1" showInputMessage="1" showErrorMessage="1" sqref="G18">
      <formula1>"已部分缴纳,已全部缴纳"</formula1>
    </dataValidation>
  </dataValidations>
  <pageMargins left="0.7" right="0.7" top="0.75" bottom="0.75" header="0.3" footer="0.3"/>
  <pageSetup paperSize="9" scale="71" fitToHeight="0" orientation="portrait" r:id="rId1"/>
  <legacyDrawing r:id="rId2"/>
</worksheet>
</file>

<file path=xl/worksheets/sheet2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83"/>
  <sheetViews>
    <sheetView view="pageBreakPreview" zoomScale="70" zoomScaleNormal="70" zoomScaleSheetLayoutView="70" workbookViewId="0">
      <selection activeCell="J47" sqref="J47:J49"/>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0.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c r="D1" s="1361" t="s">
        <v>43</v>
      </c>
      <c r="E1" s="1362" t="s">
        <v>678</v>
      </c>
      <c r="F1" s="1062">
        <f ca="1">J53</f>
        <v>0</v>
      </c>
      <c r="G1" s="1377">
        <f>MATCH(C1,'数据-取费表'!A6:A16,0)+5</f>
        <v>7</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878</v>
      </c>
      <c r="B2" s="3399" t="e">
        <f ca="1">ROUND(D2/10000,4)</f>
        <v>#DIV/0!</v>
      </c>
      <c r="C2" s="1386" t="s">
        <v>879</v>
      </c>
      <c r="D2" s="1470" t="e">
        <f ca="1">C40+J29+L46</f>
        <v>#DIV/0!</v>
      </c>
      <c r="E2" s="1387" t="s">
        <v>880</v>
      </c>
      <c r="F2" s="1388"/>
      <c r="G2" s="2680"/>
      <c r="H2" s="2669"/>
      <c r="I2" s="2669"/>
      <c r="J2" s="2669"/>
      <c r="K2" s="2670"/>
      <c r="L2" s="2669"/>
      <c r="M2" s="2669"/>
    </row>
    <row r="3" spans="1:37" ht="18" customHeight="1" thickBot="1">
      <c r="A3" s="1389" t="s">
        <v>881</v>
      </c>
      <c r="B3" s="1390">
        <f ca="1">IF(ISERROR(D2/F43),0,ROUND(D2/F43,0))</f>
        <v>0</v>
      </c>
      <c r="C3" s="1386" t="s">
        <v>882</v>
      </c>
      <c r="D3" s="1386"/>
      <c r="E3" s="1387"/>
      <c r="F3" s="1388"/>
      <c r="G3" s="2680"/>
      <c r="H3" s="683" t="s">
        <v>876</v>
      </c>
      <c r="I3" s="1381"/>
      <c r="J3" s="1381"/>
      <c r="K3" s="1382"/>
      <c r="L3" s="1381"/>
      <c r="M3" s="1381"/>
    </row>
    <row r="4" spans="1:37" ht="18" customHeight="1">
      <c r="A4" s="295" t="s">
        <v>883</v>
      </c>
      <c r="B4" s="296" t="s">
        <v>884</v>
      </c>
      <c r="C4" s="296" t="s">
        <v>885</v>
      </c>
      <c r="D4" s="296" t="s">
        <v>886</v>
      </c>
      <c r="E4" s="297" t="s">
        <v>887</v>
      </c>
      <c r="F4" s="298"/>
      <c r="G4" s="1383"/>
      <c r="H4" s="295" t="s">
        <v>883</v>
      </c>
      <c r="I4" s="296" t="s">
        <v>884</v>
      </c>
      <c r="J4" s="296" t="s">
        <v>885</v>
      </c>
      <c r="K4" s="296" t="s">
        <v>886</v>
      </c>
      <c r="L4" s="297" t="s">
        <v>887</v>
      </c>
      <c r="M4" s="298"/>
    </row>
    <row r="5" spans="1:37" ht="18" customHeight="1">
      <c r="A5" s="299">
        <v>1</v>
      </c>
      <c r="B5" s="300" t="s">
        <v>888</v>
      </c>
      <c r="C5" s="1070">
        <f ca="1">C6+C10+C12</f>
        <v>0</v>
      </c>
      <c r="D5" s="1363" t="s">
        <v>889</v>
      </c>
      <c r="E5" s="1071"/>
      <c r="F5" s="1072"/>
      <c r="G5" s="1383"/>
      <c r="H5" s="299">
        <v>1</v>
      </c>
      <c r="I5" s="300" t="s">
        <v>888</v>
      </c>
      <c r="J5" s="1070">
        <f ca="1">J6+J10+J12</f>
        <v>0</v>
      </c>
      <c r="K5" s="1363" t="s">
        <v>889</v>
      </c>
      <c r="L5" s="1071"/>
      <c r="M5" s="1072"/>
    </row>
    <row r="6" spans="1:37" ht="18" customHeight="1">
      <c r="A6" s="1069" t="s">
        <v>398</v>
      </c>
      <c r="B6" s="3677" t="s">
        <v>694</v>
      </c>
      <c r="C6" s="1074">
        <f ca="1">ROUND(F6*F8*F7*(1-F9),0)</f>
        <v>0</v>
      </c>
      <c r="D6" s="155" t="s">
        <v>2087</v>
      </c>
      <c r="E6" s="302" t="s">
        <v>696</v>
      </c>
      <c r="F6" s="303">
        <f ca="1">INDIRECT("'数据-取费表'!u"&amp;$G$1)</f>
        <v>0</v>
      </c>
      <c r="G6" s="1383"/>
      <c r="H6" s="1069" t="s">
        <v>398</v>
      </c>
      <c r="I6" s="3677" t="s">
        <v>694</v>
      </c>
      <c r="J6" s="301">
        <f ca="1">ROUND(M6*M8*M7*(1-M9),0)</f>
        <v>0</v>
      </c>
      <c r="K6" s="1375" t="s">
        <v>2088</v>
      </c>
      <c r="L6" s="302" t="s">
        <v>696</v>
      </c>
      <c r="M6" s="303">
        <f ca="1">INDIRECT("'数据-取费表'!z"&amp;$G$1)</f>
        <v>0</v>
      </c>
    </row>
    <row r="7" spans="1:37" ht="18" customHeight="1">
      <c r="A7" s="1073"/>
      <c r="B7" s="3678"/>
      <c r="C7" s="1075"/>
      <c r="D7" s="307"/>
      <c r="E7" s="1076" t="s">
        <v>697</v>
      </c>
      <c r="F7" s="303">
        <f ca="1">IF(INDIRECT("'数据-取费表'!ah"&amp;$G$1)="",INDIRECT("'数据-取费表'!k"&amp;$G$1),INDIRECT("'数据-取费表'!ah"&amp;$G$1))</f>
        <v>0</v>
      </c>
      <c r="G7" s="1383"/>
      <c r="H7" s="304"/>
      <c r="I7" s="3678"/>
      <c r="J7" s="306"/>
      <c r="K7" s="307"/>
      <c r="L7" s="302" t="s">
        <v>697</v>
      </c>
      <c r="M7" s="303">
        <f ca="1">F7</f>
        <v>0</v>
      </c>
    </row>
    <row r="8" spans="1:37" ht="18" customHeight="1">
      <c r="A8" s="304"/>
      <c r="B8" s="3678"/>
      <c r="C8" s="306"/>
      <c r="D8" s="307"/>
      <c r="E8" s="302" t="s">
        <v>698</v>
      </c>
      <c r="F8" s="303">
        <f ca="1">INDIRECT("'数据-取费表'!ai"&amp;$G$1)</f>
        <v>0</v>
      </c>
      <c r="G8" s="1383"/>
      <c r="H8" s="304"/>
      <c r="I8" s="3678"/>
      <c r="J8" s="306"/>
      <c r="K8" s="307"/>
      <c r="L8" s="302" t="s">
        <v>698</v>
      </c>
      <c r="M8" s="303">
        <f ca="1">INDIRECT("'数据-取费表'!ai"&amp;$G$1)</f>
        <v>0</v>
      </c>
    </row>
    <row r="9" spans="1:37" ht="18" customHeight="1">
      <c r="A9" s="304"/>
      <c r="B9" s="3679"/>
      <c r="C9" s="306"/>
      <c r="D9" s="307"/>
      <c r="E9" s="302" t="s">
        <v>699</v>
      </c>
      <c r="F9" s="312">
        <f ca="1">INDIRECT("'数据-取费表'!w"&amp;$G$1)</f>
        <v>0</v>
      </c>
      <c r="G9" s="1383"/>
      <c r="H9" s="304"/>
      <c r="I9" s="3679"/>
      <c r="J9" s="306"/>
      <c r="K9" s="307"/>
      <c r="L9" s="313" t="s">
        <v>699</v>
      </c>
      <c r="M9" s="314">
        <f ca="1">INDIRECT("'数据-取费表'!ab"&amp;$G$1)</f>
        <v>0</v>
      </c>
    </row>
    <row r="10" spans="1:37" ht="18" customHeight="1">
      <c r="A10" s="1069" t="s">
        <v>402</v>
      </c>
      <c r="B10" s="1364" t="s">
        <v>700</v>
      </c>
      <c r="C10" s="316">
        <f ca="1">ROUND(IF(F10="押一",C6/12*F11,IF(F10="押二",C6/12*2*F11,IF(F10="押三",C6/12*3*F11,C11*F11))),0)</f>
        <v>0</v>
      </c>
      <c r="D10" s="1365" t="s">
        <v>2097</v>
      </c>
      <c r="E10" s="313" t="s">
        <v>701</v>
      </c>
      <c r="F10" s="1116"/>
      <c r="G10" s="1383"/>
      <c r="H10" s="1069" t="s">
        <v>402</v>
      </c>
      <c r="I10" s="1364" t="s">
        <v>700</v>
      </c>
      <c r="J10" s="301">
        <f ca="1">ROUND(IF(M10="押一",J6/12*M11,IF(M10="押二",J6/12*2*M11,IF(M10="押三",J6/12*3*M11,J11*M11))),0)</f>
        <v>0</v>
      </c>
      <c r="K10" s="1376" t="s">
        <v>2099</v>
      </c>
      <c r="L10" s="313" t="s">
        <v>701</v>
      </c>
      <c r="M10" s="1116"/>
    </row>
    <row r="11" spans="1:37" ht="18" customHeight="1">
      <c r="A11" s="308"/>
      <c r="B11" s="1366" t="s">
        <v>890</v>
      </c>
      <c r="C11" s="959"/>
      <c r="D11" s="307"/>
      <c r="E11" s="313" t="s">
        <v>702</v>
      </c>
      <c r="F11" s="314">
        <f ca="1">'数据-取费表'!B39</f>
        <v>1.4999999999999999E-2</v>
      </c>
      <c r="G11" s="1383"/>
      <c r="H11" s="1077"/>
      <c r="I11" s="1366" t="s">
        <v>891</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0</v>
      </c>
      <c r="D13" s="1081" t="s">
        <v>705</v>
      </c>
      <c r="E13" s="1081" t="s">
        <v>706</v>
      </c>
      <c r="F13" s="1082">
        <f ca="1">INDIRECT("'数据-取费表'!y"&amp;$G$1)</f>
        <v>0</v>
      </c>
      <c r="G13" s="1383"/>
      <c r="H13" s="1079">
        <v>2</v>
      </c>
      <c r="I13" s="1080" t="s">
        <v>704</v>
      </c>
      <c r="J13" s="1068">
        <f ca="1">ROUND(J14*J15,0)</f>
        <v>0</v>
      </c>
      <c r="K13" s="1087" t="s">
        <v>705</v>
      </c>
      <c r="L13" s="1391"/>
      <c r="M13" s="1392"/>
    </row>
    <row r="14" spans="1:37" ht="18" customHeight="1">
      <c r="A14" s="982" t="s">
        <v>397</v>
      </c>
      <c r="B14" s="302" t="s">
        <v>707</v>
      </c>
      <c r="C14" s="318">
        <f ca="1">ROUND(INDIRECT("'数据-取费表'!l"&amp;$G$1)*F43+'数据-取费表'!L14*INDIRECT("'数据-取费表'!S"&amp;$G$1),0)</f>
        <v>0</v>
      </c>
      <c r="D14" s="1344" t="s">
        <v>708</v>
      </c>
      <c r="E14" s="1341"/>
      <c r="F14" s="319"/>
      <c r="G14" s="1383"/>
      <c r="H14" s="982" t="s">
        <v>398</v>
      </c>
      <c r="I14" s="302" t="s">
        <v>709</v>
      </c>
      <c r="J14" s="21">
        <f ca="1">C29</f>
        <v>0</v>
      </c>
      <c r="K14" s="12"/>
      <c r="L14" s="807"/>
      <c r="M14" s="808"/>
    </row>
    <row r="15" spans="1:37" s="1396" customFormat="1" ht="18" customHeight="1" thickBot="1">
      <c r="A15" s="982" t="s">
        <v>399</v>
      </c>
      <c r="B15" s="302" t="s">
        <v>710</v>
      </c>
      <c r="C15" s="21">
        <f ca="1">ROUND(C14*F15,0)</f>
        <v>0</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ROUND(INDIRECT("'数据-取费表'!l"&amp;$G$1)*F43*F16,0)</f>
        <v>0</v>
      </c>
      <c r="D16" s="302" t="s">
        <v>711</v>
      </c>
      <c r="E16" s="302" t="s">
        <v>712</v>
      </c>
      <c r="F16" s="322">
        <f ca="1">IF(INDIRECT("'数据-取费表'!c"&amp;$G$1)="住宅",'数据-取费表'!B34,0)</f>
        <v>0</v>
      </c>
      <c r="G16" s="1383"/>
      <c r="H16" s="1079" t="s">
        <v>393</v>
      </c>
      <c r="I16" s="1080" t="s">
        <v>714</v>
      </c>
      <c r="J16" s="310">
        <f ca="1">ROUND(J17+J22+J23+J24,0)</f>
        <v>0</v>
      </c>
      <c r="K16" s="1087" t="s">
        <v>715</v>
      </c>
      <c r="L16" s="1088"/>
      <c r="M16" s="1072"/>
    </row>
    <row r="17" spans="1:37" s="1396" customFormat="1" ht="18" customHeight="1">
      <c r="A17" s="982" t="s">
        <v>681</v>
      </c>
      <c r="B17" s="302" t="s">
        <v>716</v>
      </c>
      <c r="C17" s="21">
        <f ca="1">ROUND(F17*(F43+INDIRECT("'数据-取费表'!S"&amp;$G$1)),0)</f>
        <v>0</v>
      </c>
      <c r="D17" s="302" t="s">
        <v>717</v>
      </c>
      <c r="E17" s="302" t="s">
        <v>718</v>
      </c>
      <c r="F17" s="23">
        <f>'数据-取费表'!B35</f>
        <v>200</v>
      </c>
      <c r="G17" s="1395"/>
      <c r="H17" s="982" t="s">
        <v>398</v>
      </c>
      <c r="I17" s="302" t="s">
        <v>719</v>
      </c>
      <c r="J17" s="2315">
        <f ca="1">ROUND(IF(AND(项目基本情况!B11="自然人",项目基本情况!B10="北京市"),J6*M17/(1+'数据-取费表'!C42),J18+J19+J20),0)</f>
        <v>0</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0</v>
      </c>
      <c r="D18" s="302" t="s">
        <v>711</v>
      </c>
      <c r="E18" s="302" t="s">
        <v>712</v>
      </c>
      <c r="F18" s="322">
        <f>'数据-取费表'!B36</f>
        <v>0.02</v>
      </c>
      <c r="G18" s="1395"/>
      <c r="H18" s="982" t="s">
        <v>397</v>
      </c>
      <c r="I18" s="302" t="s">
        <v>723</v>
      </c>
      <c r="J18" s="21">
        <f ca="1">ROUND(J6*M18/(1+'数据-取费表'!C42),0)</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0</v>
      </c>
      <c r="D19" s="131" t="s">
        <v>726</v>
      </c>
      <c r="E19" s="1359"/>
      <c r="F19" s="23"/>
      <c r="G19" s="1383"/>
      <c r="H19" s="982" t="s">
        <v>399</v>
      </c>
      <c r="I19" s="302" t="s">
        <v>727</v>
      </c>
      <c r="J19" s="21">
        <f ca="1">IF(K19="按租金收入计税",ROUND(J6*M19/(1+'数据-取费表'!C42),0),ROUND(C29*M19*0.7,0))</f>
        <v>0</v>
      </c>
      <c r="K19" s="1369" t="s">
        <v>3311</v>
      </c>
      <c r="L19" s="302" t="s">
        <v>712</v>
      </c>
      <c r="M19" s="322">
        <f>IF(K19="按租金收入计税",'数据-取费表'!B51,'数据-取费表'!B50)</f>
        <v>0.12</v>
      </c>
    </row>
    <row r="20" spans="1:37" s="1396" customFormat="1" ht="18" customHeight="1">
      <c r="A20" s="982" t="s">
        <v>402</v>
      </c>
      <c r="B20" s="302" t="s">
        <v>728</v>
      </c>
      <c r="C20" s="21">
        <f ca="1">ROUND(C19*F20,0)</f>
        <v>0</v>
      </c>
      <c r="D20" s="323" t="s">
        <v>729</v>
      </c>
      <c r="E20" s="302" t="s">
        <v>712</v>
      </c>
      <c r="F20" s="322">
        <f>'数据-取费表'!B37</f>
        <v>0.03</v>
      </c>
      <c r="G20" s="1395"/>
      <c r="H20" s="982" t="s">
        <v>680</v>
      </c>
      <c r="I20" s="155" t="s">
        <v>730</v>
      </c>
      <c r="J20" s="22">
        <f ca="1">ROUND(M20*M21,0)</f>
        <v>0</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0</v>
      </c>
      <c r="D21" s="323" t="s">
        <v>734</v>
      </c>
      <c r="E21" s="302" t="s">
        <v>735</v>
      </c>
      <c r="F21" s="322">
        <f>'数据-取费表'!B38</f>
        <v>0.03</v>
      </c>
      <c r="G21" s="1395"/>
      <c r="H21" s="326"/>
      <c r="I21" s="311"/>
      <c r="J21" s="26"/>
      <c r="K21" s="327"/>
      <c r="L21" s="302" t="s">
        <v>736</v>
      </c>
      <c r="M21" s="303">
        <f ca="1">INDIRECT("'数据-取费表'!r"&amp;$G$1)</f>
        <v>0</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ROUND(J14*M22,0)</f>
        <v>0</v>
      </c>
      <c r="K22" s="1343" t="s">
        <v>739</v>
      </c>
      <c r="L22" s="302" t="s">
        <v>712</v>
      </c>
      <c r="M22" s="328">
        <f ca="1">INDIRECT("'数据-取费表'!Ak"&amp;$G$1)</f>
        <v>0</v>
      </c>
    </row>
    <row r="23" spans="1:37" s="1396" customFormat="1" ht="18" customHeight="1">
      <c r="A23" s="982" t="s">
        <v>397</v>
      </c>
      <c r="B23" s="302" t="s">
        <v>740</v>
      </c>
      <c r="C23" s="21">
        <f ca="1">IF('数据-取费表'!B22&lt;=1,ROUND(C19*F24*F23/2,0)+ROUND(C20*F24*F23/2,0),ROUND(C19*(POWER((1+F24),F23/2)-1),0)+ROUND(C20*(POWER((1+F24),F23/2)-1),0))</f>
        <v>0</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ROUND(J13*M23,0)</f>
        <v>0</v>
      </c>
      <c r="K23" s="1343" t="s">
        <v>743</v>
      </c>
      <c r="L23" s="302" t="s">
        <v>744</v>
      </c>
      <c r="M23" s="330">
        <f ca="1">INDIRECT("'数据-取费表'!Al"&amp;$G$1)</f>
        <v>0</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ROUND(J5*M24,0)</f>
        <v>0</v>
      </c>
      <c r="K24" s="1092" t="s">
        <v>748</v>
      </c>
      <c r="L24" s="1090" t="s">
        <v>744</v>
      </c>
      <c r="M24" s="1086">
        <f ca="1">INDIRECT("'数据-取费表'!Am"&amp;$G$1)</f>
        <v>0</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18" customHeight="1" thickTop="1">
      <c r="A25" s="982" t="s">
        <v>749</v>
      </c>
      <c r="B25" s="302" t="s">
        <v>750</v>
      </c>
      <c r="C25" s="21"/>
      <c r="D25" s="131" t="s">
        <v>751</v>
      </c>
      <c r="E25" s="1359"/>
      <c r="F25" s="23"/>
      <c r="G25" s="1383"/>
      <c r="H25" s="1079" t="s">
        <v>394</v>
      </c>
      <c r="I25" s="1094" t="s">
        <v>752</v>
      </c>
      <c r="J25" s="310">
        <f ca="1">J5-J16</f>
        <v>0</v>
      </c>
      <c r="K25" s="1095" t="s">
        <v>753</v>
      </c>
      <c r="L25" s="1096"/>
      <c r="M25" s="1097"/>
    </row>
    <row r="26" spans="1:37" ht="18" customHeight="1">
      <c r="A26" s="982" t="s">
        <v>397</v>
      </c>
      <c r="B26" s="302" t="s">
        <v>754</v>
      </c>
      <c r="C26" s="21">
        <f ca="1">ROUND((C19+C20)*F26,0)</f>
        <v>0</v>
      </c>
      <c r="D26" s="323" t="s">
        <v>755</v>
      </c>
      <c r="E26" s="313" t="s">
        <v>756</v>
      </c>
      <c r="F26" s="312">
        <f ca="1">INDIRECT("'数据-取费表'!q"&amp;$G$1)</f>
        <v>0</v>
      </c>
      <c r="G26" s="1383"/>
      <c r="H26" s="299" t="s">
        <v>395</v>
      </c>
      <c r="I26" s="300" t="s">
        <v>757</v>
      </c>
      <c r="J26" s="301">
        <f ca="1">IF(J5&lt;&gt;0,ROUND(J25*(1-((1+M28)/(1+M26))^M27)/(M26-M28),0),0)</f>
        <v>0</v>
      </c>
      <c r="K26" s="324" t="s">
        <v>758</v>
      </c>
      <c r="L26" s="302" t="s">
        <v>759</v>
      </c>
      <c r="M26" s="312">
        <f ca="1">INDIRECT("'数据-取费表'!I"&amp;$G$1)</f>
        <v>0</v>
      </c>
    </row>
    <row r="27" spans="1:37" ht="18" customHeight="1">
      <c r="A27" s="982" t="s">
        <v>399</v>
      </c>
      <c r="B27" s="302" t="s">
        <v>760</v>
      </c>
      <c r="C27" s="21">
        <f ca="1">ROUND(F21*F26,4)</f>
        <v>0</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0</v>
      </c>
      <c r="D29" s="1092"/>
      <c r="E29" s="1090"/>
      <c r="F29" s="1093"/>
      <c r="G29" s="1395"/>
      <c r="H29" s="334" t="s">
        <v>396</v>
      </c>
      <c r="I29" s="335" t="s">
        <v>768</v>
      </c>
      <c r="J29" s="336">
        <f ca="1">ROUND(J26/(1+F40)^F41,0)</f>
        <v>0</v>
      </c>
      <c r="K29" s="337" t="s">
        <v>769</v>
      </c>
      <c r="L29" s="338"/>
      <c r="M29" s="339">
        <f ca="1">INDIRECT("'数据-取费表'!k"&amp;$G$1)</f>
        <v>0</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ROUND(IF(AND(项目基本情况!B11="自然人",项目基本情况!B10="北京市"),C6*F31/(1+'数据-取费表'!C42),C32+C33+C34),0)</f>
        <v>0</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IF(项目基本情况!B11="自然人","——",ROUND(C6*F32/(1+'数据-取费表'!C42),0))</f>
        <v>0</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IF(项目基本情况!B11="自然人","——",IF(D33="按租金收入计税",ROUND(C6*F33/(1+'数据-取费表'!C42),0),IF(D33="按房产原值计税",ROUND(C29*F33*0.7,0),INDIRECT("'数据-取费表'!Aj"&amp;$G$1))))</f>
        <v>0</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IF(项目基本情况!B11="自然人","——",ROUND(F34*F35,0))</f>
        <v>0</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0</v>
      </c>
      <c r="G35" s="1383"/>
      <c r="H35" s="2671"/>
      <c r="I35" s="1397"/>
      <c r="J35" s="1398"/>
      <c r="K35" s="2675"/>
      <c r="L35" s="2674"/>
      <c r="M35" s="2674"/>
    </row>
    <row r="36" spans="1:18" ht="18" customHeight="1">
      <c r="A36" s="1102" t="s">
        <v>402</v>
      </c>
      <c r="B36" s="302" t="s">
        <v>738</v>
      </c>
      <c r="C36" s="21">
        <f ca="1">ROUND(C29*F36,0)</f>
        <v>0</v>
      </c>
      <c r="D36" s="1343" t="s">
        <v>771</v>
      </c>
      <c r="E36" s="302" t="s">
        <v>712</v>
      </c>
      <c r="F36" s="328">
        <f ca="1">INDIRECT("'数据-取费表'!Ak"&amp;$G$1)</f>
        <v>0</v>
      </c>
      <c r="G36" s="1383"/>
      <c r="H36" s="2674"/>
      <c r="I36" s="1397"/>
      <c r="J36" s="1398"/>
      <c r="K36" s="2518"/>
      <c r="L36" s="2674"/>
      <c r="M36" s="2674"/>
    </row>
    <row r="37" spans="1:18" ht="18" customHeight="1">
      <c r="A37" s="982" t="s">
        <v>437</v>
      </c>
      <c r="B37" s="302" t="s">
        <v>742</v>
      </c>
      <c r="C37" s="21">
        <f ca="1">ROUND(C13*F37,0)</f>
        <v>0</v>
      </c>
      <c r="D37" s="1343" t="s">
        <v>743</v>
      </c>
      <c r="E37" s="302" t="s">
        <v>744</v>
      </c>
      <c r="F37" s="330">
        <f ca="1">INDIRECT("'数据-取费表'!Al"&amp;$G$1)</f>
        <v>0</v>
      </c>
      <c r="G37" s="1383"/>
      <c r="H37" s="2674"/>
      <c r="I37" s="1397"/>
      <c r="J37" s="1398"/>
      <c r="K37" s="2518"/>
      <c r="L37" s="2674"/>
      <c r="M37" s="2674"/>
    </row>
    <row r="38" spans="1:18" ht="18" customHeight="1" thickBot="1">
      <c r="A38" s="1089" t="s">
        <v>684</v>
      </c>
      <c r="B38" s="1090" t="s">
        <v>728</v>
      </c>
      <c r="C38" s="1091">
        <f ca="1">ROUND(C5*F38,0)</f>
        <v>0</v>
      </c>
      <c r="D38" s="1092" t="s">
        <v>748</v>
      </c>
      <c r="E38" s="1090" t="s">
        <v>744</v>
      </c>
      <c r="F38" s="1086">
        <f ca="1">INDIRECT("'数据-取费表'!Am"&amp;$G$1)</f>
        <v>0</v>
      </c>
      <c r="G38" s="1383"/>
      <c r="H38" s="2674"/>
      <c r="I38" s="1397"/>
      <c r="J38" s="1398"/>
      <c r="K38" s="2678"/>
      <c r="L38" s="2674"/>
      <c r="M38" s="2674"/>
    </row>
    <row r="39" spans="1:18" ht="24.6" customHeight="1" thickTop="1">
      <c r="A39" s="1079" t="s">
        <v>394</v>
      </c>
      <c r="B39" s="1094" t="s">
        <v>772</v>
      </c>
      <c r="C39" s="310">
        <f ca="1">C5-C30</f>
        <v>0</v>
      </c>
      <c r="D39" s="1095" t="s">
        <v>773</v>
      </c>
      <c r="E39" s="1096"/>
      <c r="F39" s="1097"/>
      <c r="G39" s="1383"/>
      <c r="H39" s="2674"/>
      <c r="I39" s="1397"/>
      <c r="J39" s="1398"/>
      <c r="K39" s="2678"/>
      <c r="L39" s="2674"/>
      <c r="M39" s="2674"/>
    </row>
    <row r="40" spans="1:18" ht="18" customHeight="1">
      <c r="A40" s="299" t="s">
        <v>395</v>
      </c>
      <c r="B40" s="300" t="s">
        <v>774</v>
      </c>
      <c r="C40" s="301" t="e">
        <f ca="1">ROUND(C39*(1-((1+F42)/(1+F40))^F41)/(F40-F42),0)</f>
        <v>#DIV/0!</v>
      </c>
      <c r="D40" s="324" t="s">
        <v>758</v>
      </c>
      <c r="E40" s="302" t="s">
        <v>759</v>
      </c>
      <c r="F40" s="312">
        <f ca="1">INDIRECT("'数据-取费表'!I"&amp;$G$1)</f>
        <v>0</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0</v>
      </c>
      <c r="G41" s="1383"/>
      <c r="H41" s="1190"/>
      <c r="I41" s="1397"/>
      <c r="J41" s="1398"/>
      <c r="K41" s="2518"/>
      <c r="L41" s="1190"/>
      <c r="M41" s="1190"/>
    </row>
    <row r="42" spans="1:18" ht="18" customHeight="1">
      <c r="A42" s="308"/>
      <c r="B42" s="309"/>
      <c r="C42" s="310"/>
      <c r="D42" s="327"/>
      <c r="E42" s="302" t="s">
        <v>766</v>
      </c>
      <c r="F42" s="312">
        <f ca="1">INDIRECT("'数据-取费表'!v"&amp;$G$1)</f>
        <v>0</v>
      </c>
      <c r="G42" s="1383"/>
      <c r="H42" s="1190"/>
      <c r="I42" s="1397"/>
      <c r="J42" s="1398"/>
      <c r="K42" s="2518"/>
      <c r="L42" s="1190"/>
      <c r="M42" s="1190"/>
    </row>
    <row r="43" spans="1:18" ht="18" customHeight="1" thickBot="1">
      <c r="A43" s="334" t="s">
        <v>396</v>
      </c>
      <c r="B43" s="335" t="s">
        <v>776</v>
      </c>
      <c r="C43" s="336" t="e">
        <f ca="1">ROUND(C40/F43,0)</f>
        <v>#DIV/0!</v>
      </c>
      <c r="D43" s="337" t="s">
        <v>777</v>
      </c>
      <c r="E43" s="338" t="s">
        <v>778</v>
      </c>
      <c r="F43" s="339">
        <f ca="1">INDIRECT("'数据-取费表'!k"&amp;$G$1)</f>
        <v>0</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3405" t="s">
        <v>3327</v>
      </c>
      <c r="B45" s="1399"/>
      <c r="C45" s="1471" t="e">
        <f ca="1">ROUND((C68-C40)/10000,4)</f>
        <v>#DIV/0!</v>
      </c>
      <c r="D45" s="3406" t="s">
        <v>3328</v>
      </c>
      <c r="E45" s="1399"/>
      <c r="F45" s="1399"/>
      <c r="O45" s="1402" t="s">
        <v>808</v>
      </c>
      <c r="P45" s="1460"/>
      <c r="Q45" s="1460"/>
      <c r="R45" s="1460"/>
    </row>
    <row r="46" spans="1:18" s="1383" customFormat="1" ht="13.5" thickBot="1">
      <c r="A46" s="1403" t="s">
        <v>809</v>
      </c>
      <c r="C46" s="1404" t="e">
        <f ca="1">ROUND(C45,0)</f>
        <v>#DIV/0!</v>
      </c>
      <c r="D46" s="1405" t="str">
        <f>C2</f>
        <v>万元</v>
      </c>
      <c r="I46" s="1406" t="s">
        <v>810</v>
      </c>
      <c r="J46" s="1407"/>
      <c r="K46" s="1408"/>
      <c r="L46" s="1409" t="e">
        <f ca="1">IF(M47="住宅",0,IF(L48&gt;J51,L60,J60))</f>
        <v>#DIV/0!</v>
      </c>
      <c r="O46" s="1410" t="s">
        <v>811</v>
      </c>
      <c r="P46" s="1411" t="s">
        <v>812</v>
      </c>
      <c r="Q46" s="1412" t="s">
        <v>813</v>
      </c>
      <c r="R46" s="1412" t="s">
        <v>814</v>
      </c>
    </row>
    <row r="47" spans="1:18" s="1383" customFormat="1" ht="13.5" thickBot="1">
      <c r="A47" s="946" t="s">
        <v>687</v>
      </c>
      <c r="B47" s="978" t="s">
        <v>688</v>
      </c>
      <c r="C47" s="978" t="s">
        <v>689</v>
      </c>
      <c r="D47" s="978" t="s">
        <v>690</v>
      </c>
      <c r="E47" s="1058" t="s">
        <v>691</v>
      </c>
      <c r="F47" s="1059"/>
      <c r="G47" s="722"/>
      <c r="I47" s="1413" t="s">
        <v>815</v>
      </c>
      <c r="J47" s="1414"/>
      <c r="K47" s="1415" t="s">
        <v>816</v>
      </c>
      <c r="L47" s="1416">
        <f ca="1">INDIRECT("'数据-取费表'!d"&amp;$G$1)</f>
        <v>0</v>
      </c>
      <c r="M47" s="1379" t="str">
        <f>IF(ISNUMBER(FIND("住宅",C1)),"住宅","非住宅")</f>
        <v>非住宅</v>
      </c>
      <c r="O47" s="1417" t="s">
        <v>403</v>
      </c>
      <c r="P47" s="1418" t="s">
        <v>817</v>
      </c>
      <c r="Q47" s="1419" t="e">
        <f ca="1">C40+J29</f>
        <v>#DIV/0!</v>
      </c>
      <c r="R47" s="1419" t="s">
        <v>818</v>
      </c>
    </row>
    <row r="48" spans="1:18" s="1383" customFormat="1" ht="28.5" thickBot="1">
      <c r="A48" s="1110" t="s">
        <v>438</v>
      </c>
      <c r="B48" s="300" t="s">
        <v>692</v>
      </c>
      <c r="C48" s="1358">
        <f ca="1">C49+C53+C55</f>
        <v>0</v>
      </c>
      <c r="D48" s="1112"/>
      <c r="E48" s="1113"/>
      <c r="F48" s="962"/>
      <c r="G48" s="722"/>
      <c r="H48" s="723"/>
      <c r="I48" s="1420" t="s">
        <v>819</v>
      </c>
      <c r="J48" s="1421"/>
      <c r="K48" s="1422" t="s">
        <v>820</v>
      </c>
      <c r="L48" s="1423">
        <f ca="1">INDIRECT("'数据-取费表'!f"&amp;$G$1)</f>
        <v>0</v>
      </c>
      <c r="O48" s="1417" t="s">
        <v>404</v>
      </c>
      <c r="P48" s="1418" t="s">
        <v>821</v>
      </c>
      <c r="Q48" s="1419" t="e">
        <f ca="1">J60</f>
        <v>#DIV/0!</v>
      </c>
      <c r="R48" s="1419" t="s">
        <v>822</v>
      </c>
    </row>
    <row r="49" spans="1:18" s="1383" customFormat="1" ht="13.5" thickBot="1">
      <c r="A49" s="975" t="s">
        <v>439</v>
      </c>
      <c r="B49" s="1370" t="s">
        <v>779</v>
      </c>
      <c r="C49" s="1114">
        <f ca="1">ROUND(F49*F51*F50*(1-F52),0)</f>
        <v>0</v>
      </c>
      <c r="D49" s="1055" t="s">
        <v>695</v>
      </c>
      <c r="E49" s="1371" t="s">
        <v>780</v>
      </c>
      <c r="F49" s="1060"/>
      <c r="G49" s="1424"/>
      <c r="H49" s="723"/>
      <c r="I49" s="1420" t="s">
        <v>823</v>
      </c>
      <c r="J49" s="1425"/>
      <c r="K49" s="1422" t="s">
        <v>824</v>
      </c>
      <c r="L49" s="1426"/>
      <c r="O49" s="1427" t="s">
        <v>405</v>
      </c>
      <c r="P49" s="1418" t="s">
        <v>825</v>
      </c>
      <c r="Q49" s="1419">
        <f ca="1">C29</f>
        <v>0</v>
      </c>
      <c r="R49" s="1419" t="s">
        <v>818</v>
      </c>
    </row>
    <row r="50" spans="1:18" s="1383" customFormat="1" ht="13.5" thickBot="1">
      <c r="A50" s="976"/>
      <c r="B50" s="979"/>
      <c r="C50" s="980"/>
      <c r="D50" s="953"/>
      <c r="E50" s="1056" t="s">
        <v>697</v>
      </c>
      <c r="F50" s="1057">
        <f ca="1">F7</f>
        <v>0</v>
      </c>
      <c r="H50" s="723"/>
      <c r="I50" s="1420" t="s">
        <v>826</v>
      </c>
      <c r="J50" s="1428">
        <f>SUMPRODUCT((I63:I65=J47)*(J62:L62=J48)*(J63:L65))</f>
        <v>0</v>
      </c>
      <c r="K50" s="1422" t="s">
        <v>827</v>
      </c>
      <c r="L50" s="1426"/>
      <c r="M50" s="1429"/>
      <c r="O50" s="1427" t="s">
        <v>406</v>
      </c>
      <c r="P50" s="1418" t="s">
        <v>828</v>
      </c>
      <c r="Q50" s="1430" t="e">
        <f ca="1">J58</f>
        <v>#DIV/0!</v>
      </c>
      <c r="R50" s="1419"/>
    </row>
    <row r="51" spans="1:18" s="1383" customFormat="1" ht="13.5" thickBot="1">
      <c r="A51" s="977"/>
      <c r="B51" s="979"/>
      <c r="C51" s="980"/>
      <c r="D51" s="953"/>
      <c r="E51" s="981" t="s">
        <v>698</v>
      </c>
      <c r="F51" s="303">
        <f ca="1">F8</f>
        <v>0</v>
      </c>
      <c r="I51" s="1431" t="s">
        <v>829</v>
      </c>
      <c r="J51" s="1432">
        <f>IF(J49="",J50,J49+J50-YEAR('数据-取费表'!B2))</f>
        <v>0</v>
      </c>
      <c r="K51" s="1433" t="s">
        <v>830</v>
      </c>
      <c r="L51" s="1434">
        <f ca="1">ROUND(-PV(INDIRECT("'数据-取费表'!h"&amp;$G$1),J51,(C39-C13*C76),0),0)</f>
        <v>0</v>
      </c>
      <c r="M51" s="1435"/>
      <c r="O51" s="1427" t="s">
        <v>407</v>
      </c>
      <c r="P51" s="1418" t="s">
        <v>831</v>
      </c>
      <c r="Q51" s="1430">
        <f>J52</f>
        <v>0</v>
      </c>
      <c r="R51" s="1419"/>
    </row>
    <row r="52" spans="1:18" s="1383" customFormat="1" ht="13.5" thickBot="1">
      <c r="A52" s="977"/>
      <c r="B52" s="979"/>
      <c r="C52" s="980"/>
      <c r="D52" s="953"/>
      <c r="E52" s="981" t="s">
        <v>699</v>
      </c>
      <c r="F52" s="1054"/>
      <c r="I52" s="1436" t="s">
        <v>832</v>
      </c>
      <c r="J52" s="1437"/>
      <c r="K52" s="1436" t="s">
        <v>833</v>
      </c>
      <c r="L52" s="1437"/>
      <c r="O52" s="1427" t="s">
        <v>408</v>
      </c>
      <c r="P52" s="1418" t="s">
        <v>834</v>
      </c>
      <c r="Q52" s="1419">
        <f ca="1">J53</f>
        <v>0</v>
      </c>
      <c r="R52" s="1419" t="s">
        <v>835</v>
      </c>
    </row>
    <row r="53" spans="1:18" s="1383" customFormat="1" ht="30.75" customHeight="1" thickBot="1">
      <c r="A53" s="1111" t="s">
        <v>440</v>
      </c>
      <c r="B53" s="323" t="s">
        <v>700</v>
      </c>
      <c r="C53" s="316">
        <f ca="1">ROUND(IF(F53="押一",C49/12*F11,IF(F53="押二",C49/12*2*F11,IF(F53="押三",C49/12*3*F11,C54*F11))),0)</f>
        <v>0</v>
      </c>
      <c r="D53" s="1365" t="s">
        <v>2100</v>
      </c>
      <c r="E53" s="313" t="s">
        <v>701</v>
      </c>
      <c r="F53" s="1116"/>
      <c r="I53" s="1438" t="s">
        <v>836</v>
      </c>
      <c r="J53" s="2167">
        <f ca="1">IF(M47="住宅",IF(D1="——",MAX(J51,L48),MAX(J51,L48-'数据-取费表'!B24)),IF(D1="——",MIN(J51,L48),MIN(J51,L48-'数据-取费表'!B24)))</f>
        <v>0</v>
      </c>
      <c r="K53" s="3680" t="s">
        <v>837</v>
      </c>
      <c r="L53" s="3681"/>
      <c r="O53" s="1417" t="s">
        <v>409</v>
      </c>
      <c r="P53" s="1418" t="s">
        <v>838</v>
      </c>
      <c r="Q53" s="1419" t="e">
        <f ca="1">Q47+Q48</f>
        <v>#DIV/0!</v>
      </c>
      <c r="R53" s="1419" t="s">
        <v>410</v>
      </c>
    </row>
    <row r="54" spans="1:18" s="1383" customFormat="1" ht="13.5" thickBot="1">
      <c r="A54" s="975"/>
      <c r="B54" s="1472" t="s">
        <v>891</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剩余土地使用期限超过建筑物剩余经济寿命，需计算收益期外土地使用权价值</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t="e">
        <f ca="1">ROUND(IF(J47="钢混",J57/J50,1-(1-2%)*(J50-J57)/J50),3)</f>
        <v>#DIV/0!</v>
      </c>
      <c r="K55" s="1444" t="s">
        <v>841</v>
      </c>
      <c r="L55" s="1445"/>
      <c r="O55" s="1410" t="s">
        <v>811</v>
      </c>
      <c r="P55" s="1411" t="s">
        <v>812</v>
      </c>
      <c r="Q55" s="1412" t="s">
        <v>813</v>
      </c>
      <c r="R55" s="1412" t="s">
        <v>814</v>
      </c>
    </row>
    <row r="56" spans="1:18" s="1383" customFormat="1" ht="36" customHeight="1" thickTop="1" thickBot="1">
      <c r="A56" s="957">
        <v>2</v>
      </c>
      <c r="B56" s="958" t="s">
        <v>704</v>
      </c>
      <c r="C56" s="232">
        <f ca="1">C13</f>
        <v>0</v>
      </c>
      <c r="D56" s="1446"/>
      <c r="E56" s="1447"/>
      <c r="F56" s="1439"/>
      <c r="I56" s="1448" t="s">
        <v>842</v>
      </c>
      <c r="J56" s="1449"/>
      <c r="K56" s="1420" t="s">
        <v>843</v>
      </c>
      <c r="L56" s="1423">
        <f ca="1">IF(L48&lt;J51,"——",L48-J51)</f>
        <v>0</v>
      </c>
      <c r="O56" s="1417" t="s">
        <v>403</v>
      </c>
      <c r="P56" s="1418" t="s">
        <v>817</v>
      </c>
      <c r="Q56" s="1419" t="e">
        <f ca="1">C40+J29</f>
        <v>#DIV/0!</v>
      </c>
      <c r="R56" s="1419" t="s">
        <v>818</v>
      </c>
    </row>
    <row r="57" spans="1:18" s="1383" customFormat="1" ht="24.75" thickBot="1">
      <c r="A57" s="1450"/>
      <c r="B57" s="950" t="s">
        <v>767</v>
      </c>
      <c r="C57" s="238">
        <f ca="1">C29</f>
        <v>0</v>
      </c>
      <c r="D57" s="1451"/>
      <c r="E57" s="1452"/>
      <c r="F57" s="1453"/>
      <c r="I57" s="1454" t="s">
        <v>844</v>
      </c>
      <c r="J57" s="1455">
        <f ca="1">IF(OR(M47="住宅",J51&lt;L48,J56="是"),"——",J51-L48)</f>
        <v>0</v>
      </c>
      <c r="K57" s="1420" t="s">
        <v>892</v>
      </c>
      <c r="L57" s="1423">
        <f ca="1">IF(L48&lt;J51,"——",IF(L55="比较法",L49,IF(L55="基准地价",L50,L51)))</f>
        <v>0</v>
      </c>
      <c r="O57" s="1417" t="s">
        <v>404</v>
      </c>
      <c r="P57" s="1418" t="s">
        <v>893</v>
      </c>
      <c r="Q57" s="1419" t="e">
        <f ca="1">L60</f>
        <v>#DIV/0!</v>
      </c>
      <c r="R57" s="1419" t="s">
        <v>894</v>
      </c>
    </row>
    <row r="58" spans="1:18" s="1383" customFormat="1" ht="24.75" thickBot="1">
      <c r="A58" s="315" t="s">
        <v>393</v>
      </c>
      <c r="B58" s="958" t="s">
        <v>714</v>
      </c>
      <c r="C58" s="316">
        <f ca="1">ROUND(C59+C64+C65+C66,0)</f>
        <v>0</v>
      </c>
      <c r="D58" s="960" t="s">
        <v>715</v>
      </c>
      <c r="E58" s="961"/>
      <c r="F58" s="962"/>
      <c r="I58" s="1454" t="s">
        <v>848</v>
      </c>
      <c r="J58" s="1456" t="e">
        <f ca="1">IF(J55&lt;0.4,0.4,J55)</f>
        <v>#DIV/0!</v>
      </c>
      <c r="K58" s="1433" t="s">
        <v>895</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0</v>
      </c>
      <c r="D59" s="963" t="s">
        <v>720</v>
      </c>
      <c r="E59" s="964" t="s">
        <v>721</v>
      </c>
      <c r="F59" s="2314" t="str">
        <f>IF(项目基本情况!B11="企业","——",IF('数据-取费表'!B10="住宅",IF(F49*F50*F51/12/(1+'数据-取费表'!F30)&gt;100000,4%,2.5%),IF(F49*F50*F51/12/(1+'数据-取费表'!F30)&gt;100000,12%,7%)))</f>
        <v>——</v>
      </c>
      <c r="I59" s="1454" t="s">
        <v>851</v>
      </c>
      <c r="J59" s="1455" t="e">
        <f ca="1">IF(OR(M47="住宅",J51&lt;L48,J56="是"),"——",ROUND(C29*J58,0))</f>
        <v>#DIV/0!</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80" t="e">
        <f ca="1">ROUND(POWER(1+L52,L47-(J51+'数据-取费表'!B24))*(POWER(1+L52,(J51+'数据-取费表'!B24))-1)/(POWER(1+L52,L47)-1),4)</f>
        <v>#DIV/0!</v>
      </c>
      <c r="N59" s="1380"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IF(项目基本情况!B11="自然人","——",ROUND(C48*F60/(1+'数据-取费表'!C42),0))</f>
        <v>0</v>
      </c>
      <c r="D60" s="964" t="s">
        <v>724</v>
      </c>
      <c r="E60" s="950" t="s">
        <v>712</v>
      </c>
      <c r="F60" s="331">
        <f t="shared" ref="F60:F66" si="0">F32</f>
        <v>5.5000000000000007E-2</v>
      </c>
      <c r="I60" s="1457" t="s">
        <v>853</v>
      </c>
      <c r="J60" s="1458" t="e">
        <f ca="1">IF(OR(M47="住宅",J51&lt;L48,J56="是"),"0",ROUND(J59/(1+J52)^J53,0))</f>
        <v>#DIV/0!</v>
      </c>
      <c r="K60" s="1459" t="s">
        <v>854</v>
      </c>
      <c r="L60" s="1458" t="e">
        <f ca="1">IF(OR(M47="住宅",L48&lt;J51),0,ROUND(L57*(L58/L59-1),0))</f>
        <v>#DIV/0!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IF(项目基本情况!B11="自然人","——",IF(D61="按租金收入计税",ROUND(C49*F61/(1+'数据-取费表'!C42),0),IF(D61="按房产原值计税",ROUND(C57*F61*0.7,0),INDIRECT("'数据-取费表'!Aj"&amp;$G$1))))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IF(项目基本情况!B11="自然人","——",ROUND(F62*F63,0))</f>
        <v>0</v>
      </c>
      <c r="D62" s="965" t="s">
        <v>786</v>
      </c>
      <c r="E62" s="950" t="s">
        <v>787</v>
      </c>
      <c r="F62" s="325">
        <f t="shared" si="0"/>
        <v>1.5</v>
      </c>
      <c r="I62" s="1461" t="s">
        <v>858</v>
      </c>
      <c r="J62" s="1462" t="s">
        <v>859</v>
      </c>
      <c r="K62" s="1462" t="s">
        <v>860</v>
      </c>
      <c r="L62" s="1462" t="s">
        <v>861</v>
      </c>
      <c r="M62" s="1463" t="s">
        <v>862</v>
      </c>
      <c r="O62" s="1417" t="s">
        <v>409</v>
      </c>
      <c r="P62" s="1418" t="s">
        <v>863</v>
      </c>
      <c r="Q62" s="1419" t="e">
        <f ca="1">Q56+Q57</f>
        <v>#DIV/0!</v>
      </c>
      <c r="R62" s="1419" t="s">
        <v>410</v>
      </c>
    </row>
    <row r="63" spans="1:18" s="1383" customFormat="1" ht="13.5" thickBot="1">
      <c r="A63" s="326"/>
      <c r="B63" s="956"/>
      <c r="C63" s="26"/>
      <c r="D63" s="966"/>
      <c r="E63" s="950" t="s">
        <v>788</v>
      </c>
      <c r="F63" s="303">
        <f t="shared" ca="1" si="0"/>
        <v>0</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ROUND(C57*F64,0)</f>
        <v>0</v>
      </c>
      <c r="D64" s="964" t="s">
        <v>791</v>
      </c>
      <c r="E64" s="950" t="s">
        <v>783</v>
      </c>
      <c r="F64" s="328">
        <f t="shared" ca="1" si="0"/>
        <v>0</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ROUND(C56*F65,0)</f>
        <v>0</v>
      </c>
      <c r="D65" s="964" t="s">
        <v>743</v>
      </c>
      <c r="E65" s="950" t="s">
        <v>744</v>
      </c>
      <c r="F65" s="330">
        <f t="shared" ca="1" si="0"/>
        <v>0</v>
      </c>
      <c r="I65" s="1461" t="s">
        <v>867</v>
      </c>
      <c r="J65" s="1462">
        <v>40</v>
      </c>
      <c r="K65" s="1462">
        <v>30</v>
      </c>
      <c r="L65" s="1462">
        <v>50</v>
      </c>
      <c r="M65" s="1464">
        <v>0.02</v>
      </c>
      <c r="O65" s="1417" t="s">
        <v>403</v>
      </c>
      <c r="P65" s="1418" t="s">
        <v>868</v>
      </c>
      <c r="Q65" s="1419" t="e">
        <f ca="1">C40+J29</f>
        <v>#DIV/0!</v>
      </c>
      <c r="R65" s="1419" t="s">
        <v>818</v>
      </c>
    </row>
    <row r="66" spans="1:18" s="1383" customFormat="1" ht="16.5" thickBot="1">
      <c r="A66" s="982" t="s">
        <v>793</v>
      </c>
      <c r="B66" s="950" t="s">
        <v>728</v>
      </c>
      <c r="C66" s="21">
        <f ca="1">ROUND(C48*F66,0)</f>
        <v>0</v>
      </c>
      <c r="D66" s="964" t="s">
        <v>794</v>
      </c>
      <c r="E66" s="950" t="s">
        <v>712</v>
      </c>
      <c r="F66" s="312">
        <f t="shared" ca="1" si="0"/>
        <v>0</v>
      </c>
      <c r="O66" s="1417" t="s">
        <v>404</v>
      </c>
      <c r="P66" s="1418" t="s">
        <v>846</v>
      </c>
      <c r="Q66" s="1419" t="e">
        <f ca="1">L60</f>
        <v>#DIV/0!</v>
      </c>
      <c r="R66" s="1419" t="s">
        <v>869</v>
      </c>
    </row>
    <row r="67" spans="1:18" s="1383" customFormat="1" ht="16.5" thickBot="1">
      <c r="A67" s="957" t="s">
        <v>394</v>
      </c>
      <c r="B67" s="967" t="s">
        <v>752</v>
      </c>
      <c r="C67" s="316">
        <f ca="1">C48-C58</f>
        <v>0</v>
      </c>
      <c r="D67" s="963" t="s">
        <v>753</v>
      </c>
      <c r="E67" s="968"/>
      <c r="F67" s="969"/>
      <c r="O67" s="1427" t="s">
        <v>405</v>
      </c>
      <c r="P67" s="1418" t="s">
        <v>850</v>
      </c>
      <c r="Q67" s="1465">
        <f ca="1">L51</f>
        <v>0</v>
      </c>
      <c r="R67" s="1419" t="s">
        <v>870</v>
      </c>
    </row>
    <row r="68" spans="1:18" s="1383" customFormat="1" ht="16.5" thickBot="1">
      <c r="A68" s="947" t="s">
        <v>395</v>
      </c>
      <c r="B68" s="948" t="s">
        <v>774</v>
      </c>
      <c r="C68" s="301" t="e">
        <f ca="1">ROUND(C67*(1-((1+F70)/(1+F68))^F69)/(F68-F70),0)</f>
        <v>#DIV/0!</v>
      </c>
      <c r="D68" s="965" t="s">
        <v>758</v>
      </c>
      <c r="E68" s="950" t="s">
        <v>759</v>
      </c>
      <c r="F68" s="312">
        <f ca="1">F40</f>
        <v>0</v>
      </c>
      <c r="O68" s="1427" t="s">
        <v>406</v>
      </c>
      <c r="P68" s="1466" t="s">
        <v>871</v>
      </c>
      <c r="Q68" s="1419">
        <f ca="1">ROUND(Q69-Q70*Q71,0)</f>
        <v>0</v>
      </c>
      <c r="R68" s="1419" t="s">
        <v>414</v>
      </c>
    </row>
    <row r="69" spans="1:18" s="1383" customFormat="1" ht="13.5" thickBot="1">
      <c r="A69" s="951"/>
      <c r="B69" s="952"/>
      <c r="C69" s="306"/>
      <c r="D69" s="970" t="s">
        <v>762</v>
      </c>
      <c r="E69" s="950" t="s">
        <v>763</v>
      </c>
      <c r="F69" s="333">
        <f ca="1">F41</f>
        <v>0</v>
      </c>
      <c r="O69" s="1427" t="s">
        <v>411</v>
      </c>
      <c r="P69" s="1466" t="s">
        <v>872</v>
      </c>
      <c r="Q69" s="1419">
        <f ca="1">C39</f>
        <v>0</v>
      </c>
      <c r="R69" s="1419" t="s">
        <v>818</v>
      </c>
    </row>
    <row r="70" spans="1:18" s="1383" customFormat="1" ht="13.5" thickBot="1">
      <c r="A70" s="954"/>
      <c r="B70" s="955"/>
      <c r="C70" s="310"/>
      <c r="D70" s="966"/>
      <c r="E70" s="950" t="s">
        <v>766</v>
      </c>
      <c r="F70" s="1054"/>
      <c r="O70" s="1427" t="s">
        <v>412</v>
      </c>
      <c r="P70" s="1466" t="s">
        <v>873</v>
      </c>
      <c r="Q70" s="1419">
        <f ca="1">C13</f>
        <v>0</v>
      </c>
      <c r="R70" s="1419" t="s">
        <v>818</v>
      </c>
    </row>
    <row r="71" spans="1:18" s="1383" customFormat="1" ht="13.5" thickBot="1">
      <c r="A71" s="971" t="s">
        <v>396</v>
      </c>
      <c r="B71" s="972" t="s">
        <v>776</v>
      </c>
      <c r="C71" s="336" t="e">
        <f ca="1">ROUND(C68/F71,0)</f>
        <v>#DIV/0!</v>
      </c>
      <c r="D71" s="973" t="s">
        <v>777</v>
      </c>
      <c r="E71" s="974" t="s">
        <v>778</v>
      </c>
      <c r="F71" s="339">
        <f ca="1">F43</f>
        <v>0</v>
      </c>
      <c r="O71" s="1427" t="s">
        <v>413</v>
      </c>
      <c r="P71" s="1466" t="s">
        <v>874</v>
      </c>
      <c r="Q71" s="1430">
        <f ca="1">C76</f>
        <v>0</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0</v>
      </c>
      <c r="D75" s="1383"/>
      <c r="E75" s="1383"/>
      <c r="F75" s="1383"/>
      <c r="K75" s="1401"/>
      <c r="L75" s="1383"/>
      <c r="O75" s="1417" t="s">
        <v>409</v>
      </c>
      <c r="P75" s="1418" t="s">
        <v>838</v>
      </c>
      <c r="Q75" s="1419" t="e">
        <f ca="1">Q65+Q66</f>
        <v>#DIV/0!</v>
      </c>
      <c r="R75" s="1419" t="s">
        <v>410</v>
      </c>
    </row>
    <row r="76" spans="1:18">
      <c r="B76" s="342" t="s">
        <v>796</v>
      </c>
      <c r="C76" s="343">
        <f ca="1">INDIRECT("'数据-取费表'!j"&amp;$G$1)</f>
        <v>0</v>
      </c>
      <c r="I76" s="1383"/>
      <c r="J76" s="1383"/>
      <c r="K76" s="1401"/>
      <c r="L76" s="1383"/>
    </row>
    <row r="77" spans="1:18">
      <c r="B77" s="344" t="s">
        <v>797</v>
      </c>
      <c r="C77" s="345"/>
      <c r="I77" s="1383"/>
      <c r="J77" s="1383"/>
      <c r="K77" s="1401"/>
      <c r="L77" s="1383"/>
    </row>
    <row r="78" spans="1:18">
      <c r="B78" s="270" t="s">
        <v>798</v>
      </c>
      <c r="C78" s="346"/>
    </row>
    <row r="79" spans="1:18">
      <c r="B79" s="340" t="s">
        <v>799</v>
      </c>
      <c r="C79" s="274" t="e">
        <f ca="1">1-C80</f>
        <v>#DIV/0!</v>
      </c>
    </row>
    <row r="80" spans="1:18">
      <c r="B80" s="340" t="s">
        <v>800</v>
      </c>
      <c r="C80" s="274" t="e">
        <f ca="1">ROUND(C75/C39,3)</f>
        <v>#DIV/0!</v>
      </c>
    </row>
    <row r="81" spans="2:3">
      <c r="B81" s="270" t="s">
        <v>801</v>
      </c>
      <c r="C81" s="238"/>
    </row>
    <row r="82" spans="2:3">
      <c r="B82" s="273" t="s">
        <v>802</v>
      </c>
      <c r="C82" s="275" t="e">
        <f ca="1">1-C83</f>
        <v>#DIV/0!</v>
      </c>
    </row>
    <row r="83" spans="2:3">
      <c r="B83" s="273" t="s">
        <v>803</v>
      </c>
      <c r="C83" s="274" t="e">
        <f ca="1">ROUND(C13/C40,3)</f>
        <v>#DIV/0!</v>
      </c>
    </row>
  </sheetData>
  <sheetProtection password="CEE9" sheet="1" objects="1" scenarios="1" formatCells="0" formatColumns="0" formatRows="0"/>
  <mergeCells count="3">
    <mergeCell ref="B6:B9"/>
    <mergeCell ref="I6:I9"/>
    <mergeCell ref="K53:L53"/>
  </mergeCells>
  <phoneticPr fontId="136" type="noConversion"/>
  <conditionalFormatting sqref="K55 K60">
    <cfRule type="expression" dxfId="166" priority="4">
      <formula>$L$48&gt;$J$51</formula>
    </cfRule>
  </conditionalFormatting>
  <conditionalFormatting sqref="I55 I60">
    <cfRule type="expression" dxfId="165" priority="5">
      <formula>$J$51&gt;$L$48</formula>
    </cfRule>
  </conditionalFormatting>
  <conditionalFormatting sqref="C11">
    <cfRule type="expression" dxfId="164" priority="3">
      <formula>$F$10="自定义"</formula>
    </cfRule>
  </conditionalFormatting>
  <conditionalFormatting sqref="J11">
    <cfRule type="expression" dxfId="163" priority="2">
      <formula>$M$10="自定义"</formula>
    </cfRule>
  </conditionalFormatting>
  <conditionalFormatting sqref="C54">
    <cfRule type="expression" dxfId="162" priority="1">
      <formula>$F$53="自定义"</formula>
    </cfRule>
  </conditionalFormatting>
  <dataValidations count="9">
    <dataValidation type="list" allowBlank="1" showInputMessage="1" showErrorMessage="1" sqref="L55">
      <formula1>"比较法,基准地价,收益还原"</formula1>
    </dataValidation>
    <dataValidation type="list" allowBlank="1" showInputMessage="1" showErrorMessage="1" sqref="J56">
      <formula1>估价范围判定</formula1>
    </dataValidation>
    <dataValidation type="list" allowBlank="1" showInputMessage="1" showErrorMessage="1" sqref="J48">
      <formula1>"非生产用房,生产用房,受腐蚀的生产用房"</formula1>
    </dataValidation>
    <dataValidation type="list" allowBlank="1" showInputMessage="1" showErrorMessage="1" sqref="J47">
      <formula1>"钢,钢混,砖混"</formula1>
    </dataValidation>
    <dataValidation type="list" allowBlank="1" showInputMessage="1" showErrorMessage="1" sqref="C1">
      <formula1>项目类型</formula1>
    </dataValidation>
    <dataValidation type="list" allowBlank="1" showInputMessage="1" showErrorMessage="1" sqref="D33 D61">
      <formula1>"按租金收入计税,按房产原值计税,按票据"</formula1>
    </dataValidation>
    <dataValidation type="list" allowBlank="1" showInputMessage="1" showErrorMessage="1" sqref="K19">
      <formula1>"按租金收入计税,按房产原值计税"</formula1>
    </dataValidation>
    <dataValidation type="list" allowBlank="1" showInputMessage="1" showErrorMessage="1" sqref="F10 F53 M10">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2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W44"/>
  <sheetViews>
    <sheetView zoomScale="80" zoomScaleNormal="80" workbookViewId="0">
      <selection activeCell="E2" sqref="E2"/>
    </sheetView>
  </sheetViews>
  <sheetFormatPr defaultRowHeight="13.15" customHeight="1"/>
  <cols>
    <col min="1" max="1" width="9.5" style="2816" customWidth="1"/>
    <col min="2" max="2" width="8.875" style="2816"/>
    <col min="3" max="5" width="12.875" style="2816" customWidth="1"/>
    <col min="6" max="6" width="47.5" style="2816" customWidth="1"/>
    <col min="7" max="7" width="13" style="2975" customWidth="1"/>
    <col min="8" max="8" width="8.875" style="2810"/>
    <col min="9" max="9" width="8.875" style="2811"/>
    <col min="10" max="10" width="5.75" style="2976" customWidth="1"/>
    <col min="11" max="11" width="11.75" style="2976" customWidth="1"/>
    <col min="12" max="13" width="10.75" style="2976" customWidth="1"/>
    <col min="14" max="14" width="10" style="2976" customWidth="1"/>
    <col min="15" max="16" width="10.5" style="2976" bestFit="1" customWidth="1"/>
    <col min="17" max="17" width="10" style="2976" customWidth="1"/>
    <col min="18" max="18" width="10.125" style="2976" customWidth="1"/>
    <col min="19" max="19" width="10" style="2976" customWidth="1"/>
    <col min="20" max="20" width="26.125" style="2976" customWidth="1"/>
    <col min="21" max="21" width="8.875" style="2976"/>
    <col min="22" max="22" width="8.875" style="2811"/>
    <col min="23" max="256" width="8.875" style="2816"/>
    <col min="257" max="257" width="9.5" style="2816" customWidth="1"/>
    <col min="258" max="258" width="8.875" style="2816"/>
    <col min="259" max="261" width="12.875" style="2816" customWidth="1"/>
    <col min="262" max="262" width="47.5" style="2816" customWidth="1"/>
    <col min="263" max="263" width="13" style="2816" customWidth="1"/>
    <col min="264" max="265" width="8.875" style="2816"/>
    <col min="266" max="266" width="5.75" style="2816" customWidth="1"/>
    <col min="267" max="267" width="11.75" style="2816" customWidth="1"/>
    <col min="268" max="269" width="10.75" style="2816" customWidth="1"/>
    <col min="270" max="270" width="10" style="2816" customWidth="1"/>
    <col min="271" max="272" width="10.5" style="2816" bestFit="1" customWidth="1"/>
    <col min="273" max="273" width="10" style="2816" customWidth="1"/>
    <col min="274" max="274" width="10.125" style="2816" customWidth="1"/>
    <col min="275" max="275" width="10" style="2816" customWidth="1"/>
    <col min="276" max="276" width="26.125" style="2816" customWidth="1"/>
    <col min="277" max="512" width="8.875" style="2816"/>
    <col min="513" max="513" width="9.5" style="2816" customWidth="1"/>
    <col min="514" max="514" width="8.875" style="2816"/>
    <col min="515" max="517" width="12.875" style="2816" customWidth="1"/>
    <col min="518" max="518" width="47.5" style="2816" customWidth="1"/>
    <col min="519" max="519" width="13" style="2816" customWidth="1"/>
    <col min="520" max="521" width="8.875" style="2816"/>
    <col min="522" max="522" width="5.75" style="2816" customWidth="1"/>
    <col min="523" max="523" width="11.75" style="2816" customWidth="1"/>
    <col min="524" max="525" width="10.75" style="2816" customWidth="1"/>
    <col min="526" max="526" width="10" style="2816" customWidth="1"/>
    <col min="527" max="528" width="10.5" style="2816" bestFit="1" customWidth="1"/>
    <col min="529" max="529" width="10" style="2816" customWidth="1"/>
    <col min="530" max="530" width="10.125" style="2816" customWidth="1"/>
    <col min="531" max="531" width="10" style="2816" customWidth="1"/>
    <col min="532" max="532" width="26.125" style="2816" customWidth="1"/>
    <col min="533" max="768" width="8.875" style="2816"/>
    <col min="769" max="769" width="9.5" style="2816" customWidth="1"/>
    <col min="770" max="770" width="8.875" style="2816"/>
    <col min="771" max="773" width="12.875" style="2816" customWidth="1"/>
    <col min="774" max="774" width="47.5" style="2816" customWidth="1"/>
    <col min="775" max="775" width="13" style="2816" customWidth="1"/>
    <col min="776" max="777" width="8.875" style="2816"/>
    <col min="778" max="778" width="5.75" style="2816" customWidth="1"/>
    <col min="779" max="779" width="11.75" style="2816" customWidth="1"/>
    <col min="780" max="781" width="10.75" style="2816" customWidth="1"/>
    <col min="782" max="782" width="10" style="2816" customWidth="1"/>
    <col min="783" max="784" width="10.5" style="2816" bestFit="1" customWidth="1"/>
    <col min="785" max="785" width="10" style="2816" customWidth="1"/>
    <col min="786" max="786" width="10.125" style="2816" customWidth="1"/>
    <col min="787" max="787" width="10" style="2816" customWidth="1"/>
    <col min="788" max="788" width="26.125" style="2816" customWidth="1"/>
    <col min="789" max="1024" width="8.875" style="2816"/>
    <col min="1025" max="1025" width="9.5" style="2816" customWidth="1"/>
    <col min="1026" max="1026" width="8.875" style="2816"/>
    <col min="1027" max="1029" width="12.875" style="2816" customWidth="1"/>
    <col min="1030" max="1030" width="47.5" style="2816" customWidth="1"/>
    <col min="1031" max="1031" width="13" style="2816" customWidth="1"/>
    <col min="1032" max="1033" width="8.875" style="2816"/>
    <col min="1034" max="1034" width="5.75" style="2816" customWidth="1"/>
    <col min="1035" max="1035" width="11.75" style="2816" customWidth="1"/>
    <col min="1036" max="1037" width="10.75" style="2816" customWidth="1"/>
    <col min="1038" max="1038" width="10" style="2816" customWidth="1"/>
    <col min="1039" max="1040" width="10.5" style="2816" bestFit="1" customWidth="1"/>
    <col min="1041" max="1041" width="10" style="2816" customWidth="1"/>
    <col min="1042" max="1042" width="10.125" style="2816" customWidth="1"/>
    <col min="1043" max="1043" width="10" style="2816" customWidth="1"/>
    <col min="1044" max="1044" width="26.125" style="2816" customWidth="1"/>
    <col min="1045" max="1280" width="8.875" style="2816"/>
    <col min="1281" max="1281" width="9.5" style="2816" customWidth="1"/>
    <col min="1282" max="1282" width="8.875" style="2816"/>
    <col min="1283" max="1285" width="12.875" style="2816" customWidth="1"/>
    <col min="1286" max="1286" width="47.5" style="2816" customWidth="1"/>
    <col min="1287" max="1287" width="13" style="2816" customWidth="1"/>
    <col min="1288" max="1289" width="8.875" style="2816"/>
    <col min="1290" max="1290" width="5.75" style="2816" customWidth="1"/>
    <col min="1291" max="1291" width="11.75" style="2816" customWidth="1"/>
    <col min="1292" max="1293" width="10.75" style="2816" customWidth="1"/>
    <col min="1294" max="1294" width="10" style="2816" customWidth="1"/>
    <col min="1295" max="1296" width="10.5" style="2816" bestFit="1" customWidth="1"/>
    <col min="1297" max="1297" width="10" style="2816" customWidth="1"/>
    <col min="1298" max="1298" width="10.125" style="2816" customWidth="1"/>
    <col min="1299" max="1299" width="10" style="2816" customWidth="1"/>
    <col min="1300" max="1300" width="26.125" style="2816" customWidth="1"/>
    <col min="1301" max="1536" width="8.875" style="2816"/>
    <col min="1537" max="1537" width="9.5" style="2816" customWidth="1"/>
    <col min="1538" max="1538" width="8.875" style="2816"/>
    <col min="1539" max="1541" width="12.875" style="2816" customWidth="1"/>
    <col min="1542" max="1542" width="47.5" style="2816" customWidth="1"/>
    <col min="1543" max="1543" width="13" style="2816" customWidth="1"/>
    <col min="1544" max="1545" width="8.875" style="2816"/>
    <col min="1546" max="1546" width="5.75" style="2816" customWidth="1"/>
    <col min="1547" max="1547" width="11.75" style="2816" customWidth="1"/>
    <col min="1548" max="1549" width="10.75" style="2816" customWidth="1"/>
    <col min="1550" max="1550" width="10" style="2816" customWidth="1"/>
    <col min="1551" max="1552" width="10.5" style="2816" bestFit="1" customWidth="1"/>
    <col min="1553" max="1553" width="10" style="2816" customWidth="1"/>
    <col min="1554" max="1554" width="10.125" style="2816" customWidth="1"/>
    <col min="1555" max="1555" width="10" style="2816" customWidth="1"/>
    <col min="1556" max="1556" width="26.125" style="2816" customWidth="1"/>
    <col min="1557" max="1792" width="8.875" style="2816"/>
    <col min="1793" max="1793" width="9.5" style="2816" customWidth="1"/>
    <col min="1794" max="1794" width="8.875" style="2816"/>
    <col min="1795" max="1797" width="12.875" style="2816" customWidth="1"/>
    <col min="1798" max="1798" width="47.5" style="2816" customWidth="1"/>
    <col min="1799" max="1799" width="13" style="2816" customWidth="1"/>
    <col min="1800" max="1801" width="8.875" style="2816"/>
    <col min="1802" max="1802" width="5.75" style="2816" customWidth="1"/>
    <col min="1803" max="1803" width="11.75" style="2816" customWidth="1"/>
    <col min="1804" max="1805" width="10.75" style="2816" customWidth="1"/>
    <col min="1806" max="1806" width="10" style="2816" customWidth="1"/>
    <col min="1807" max="1808" width="10.5" style="2816" bestFit="1" customWidth="1"/>
    <col min="1809" max="1809" width="10" style="2816" customWidth="1"/>
    <col min="1810" max="1810" width="10.125" style="2816" customWidth="1"/>
    <col min="1811" max="1811" width="10" style="2816" customWidth="1"/>
    <col min="1812" max="1812" width="26.125" style="2816" customWidth="1"/>
    <col min="1813" max="2048" width="8.875" style="2816"/>
    <col min="2049" max="2049" width="9.5" style="2816" customWidth="1"/>
    <col min="2050" max="2050" width="8.875" style="2816"/>
    <col min="2051" max="2053" width="12.875" style="2816" customWidth="1"/>
    <col min="2054" max="2054" width="47.5" style="2816" customWidth="1"/>
    <col min="2055" max="2055" width="13" style="2816" customWidth="1"/>
    <col min="2056" max="2057" width="8.875" style="2816"/>
    <col min="2058" max="2058" width="5.75" style="2816" customWidth="1"/>
    <col min="2059" max="2059" width="11.75" style="2816" customWidth="1"/>
    <col min="2060" max="2061" width="10.75" style="2816" customWidth="1"/>
    <col min="2062" max="2062" width="10" style="2816" customWidth="1"/>
    <col min="2063" max="2064" width="10.5" style="2816" bestFit="1" customWidth="1"/>
    <col min="2065" max="2065" width="10" style="2816" customWidth="1"/>
    <col min="2066" max="2066" width="10.125" style="2816" customWidth="1"/>
    <col min="2067" max="2067" width="10" style="2816" customWidth="1"/>
    <col min="2068" max="2068" width="26.125" style="2816" customWidth="1"/>
    <col min="2069" max="2304" width="8.875" style="2816"/>
    <col min="2305" max="2305" width="9.5" style="2816" customWidth="1"/>
    <col min="2306" max="2306" width="8.875" style="2816"/>
    <col min="2307" max="2309" width="12.875" style="2816" customWidth="1"/>
    <col min="2310" max="2310" width="47.5" style="2816" customWidth="1"/>
    <col min="2311" max="2311" width="13" style="2816" customWidth="1"/>
    <col min="2312" max="2313" width="8.875" style="2816"/>
    <col min="2314" max="2314" width="5.75" style="2816" customWidth="1"/>
    <col min="2315" max="2315" width="11.75" style="2816" customWidth="1"/>
    <col min="2316" max="2317" width="10.75" style="2816" customWidth="1"/>
    <col min="2318" max="2318" width="10" style="2816" customWidth="1"/>
    <col min="2319" max="2320" width="10.5" style="2816" bestFit="1" customWidth="1"/>
    <col min="2321" max="2321" width="10" style="2816" customWidth="1"/>
    <col min="2322" max="2322" width="10.125" style="2816" customWidth="1"/>
    <col min="2323" max="2323" width="10" style="2816" customWidth="1"/>
    <col min="2324" max="2324" width="26.125" style="2816" customWidth="1"/>
    <col min="2325" max="2560" width="8.875" style="2816"/>
    <col min="2561" max="2561" width="9.5" style="2816" customWidth="1"/>
    <col min="2562" max="2562" width="8.875" style="2816"/>
    <col min="2563" max="2565" width="12.875" style="2816" customWidth="1"/>
    <col min="2566" max="2566" width="47.5" style="2816" customWidth="1"/>
    <col min="2567" max="2567" width="13" style="2816" customWidth="1"/>
    <col min="2568" max="2569" width="8.875" style="2816"/>
    <col min="2570" max="2570" width="5.75" style="2816" customWidth="1"/>
    <col min="2571" max="2571" width="11.75" style="2816" customWidth="1"/>
    <col min="2572" max="2573" width="10.75" style="2816" customWidth="1"/>
    <col min="2574" max="2574" width="10" style="2816" customWidth="1"/>
    <col min="2575" max="2576" width="10.5" style="2816" bestFit="1" customWidth="1"/>
    <col min="2577" max="2577" width="10" style="2816" customWidth="1"/>
    <col min="2578" max="2578" width="10.125" style="2816" customWidth="1"/>
    <col min="2579" max="2579" width="10" style="2816" customWidth="1"/>
    <col min="2580" max="2580" width="26.125" style="2816" customWidth="1"/>
    <col min="2581" max="2816" width="8.875" style="2816"/>
    <col min="2817" max="2817" width="9.5" style="2816" customWidth="1"/>
    <col min="2818" max="2818" width="8.875" style="2816"/>
    <col min="2819" max="2821" width="12.875" style="2816" customWidth="1"/>
    <col min="2822" max="2822" width="47.5" style="2816" customWidth="1"/>
    <col min="2823" max="2823" width="13" style="2816" customWidth="1"/>
    <col min="2824" max="2825" width="8.875" style="2816"/>
    <col min="2826" max="2826" width="5.75" style="2816" customWidth="1"/>
    <col min="2827" max="2827" width="11.75" style="2816" customWidth="1"/>
    <col min="2828" max="2829" width="10.75" style="2816" customWidth="1"/>
    <col min="2830" max="2830" width="10" style="2816" customWidth="1"/>
    <col min="2831" max="2832" width="10.5" style="2816" bestFit="1" customWidth="1"/>
    <col min="2833" max="2833" width="10" style="2816" customWidth="1"/>
    <col min="2834" max="2834" width="10.125" style="2816" customWidth="1"/>
    <col min="2835" max="2835" width="10" style="2816" customWidth="1"/>
    <col min="2836" max="2836" width="26.125" style="2816" customWidth="1"/>
    <col min="2837" max="3072" width="8.875" style="2816"/>
    <col min="3073" max="3073" width="9.5" style="2816" customWidth="1"/>
    <col min="3074" max="3074" width="8.875" style="2816"/>
    <col min="3075" max="3077" width="12.875" style="2816" customWidth="1"/>
    <col min="3078" max="3078" width="47.5" style="2816" customWidth="1"/>
    <col min="3079" max="3079" width="13" style="2816" customWidth="1"/>
    <col min="3080" max="3081" width="8.875" style="2816"/>
    <col min="3082" max="3082" width="5.75" style="2816" customWidth="1"/>
    <col min="3083" max="3083" width="11.75" style="2816" customWidth="1"/>
    <col min="3084" max="3085" width="10.75" style="2816" customWidth="1"/>
    <col min="3086" max="3086" width="10" style="2816" customWidth="1"/>
    <col min="3087" max="3088" width="10.5" style="2816" bestFit="1" customWidth="1"/>
    <col min="3089" max="3089" width="10" style="2816" customWidth="1"/>
    <col min="3090" max="3090" width="10.125" style="2816" customWidth="1"/>
    <col min="3091" max="3091" width="10" style="2816" customWidth="1"/>
    <col min="3092" max="3092" width="26.125" style="2816" customWidth="1"/>
    <col min="3093" max="3328" width="8.875" style="2816"/>
    <col min="3329" max="3329" width="9.5" style="2816" customWidth="1"/>
    <col min="3330" max="3330" width="8.875" style="2816"/>
    <col min="3331" max="3333" width="12.875" style="2816" customWidth="1"/>
    <col min="3334" max="3334" width="47.5" style="2816" customWidth="1"/>
    <col min="3335" max="3335" width="13" style="2816" customWidth="1"/>
    <col min="3336" max="3337" width="8.875" style="2816"/>
    <col min="3338" max="3338" width="5.75" style="2816" customWidth="1"/>
    <col min="3339" max="3339" width="11.75" style="2816" customWidth="1"/>
    <col min="3340" max="3341" width="10.75" style="2816" customWidth="1"/>
    <col min="3342" max="3342" width="10" style="2816" customWidth="1"/>
    <col min="3343" max="3344" width="10.5" style="2816" bestFit="1" customWidth="1"/>
    <col min="3345" max="3345" width="10" style="2816" customWidth="1"/>
    <col min="3346" max="3346" width="10.125" style="2816" customWidth="1"/>
    <col min="3347" max="3347" width="10" style="2816" customWidth="1"/>
    <col min="3348" max="3348" width="26.125" style="2816" customWidth="1"/>
    <col min="3349" max="3584" width="8.875" style="2816"/>
    <col min="3585" max="3585" width="9.5" style="2816" customWidth="1"/>
    <col min="3586" max="3586" width="8.875" style="2816"/>
    <col min="3587" max="3589" width="12.875" style="2816" customWidth="1"/>
    <col min="3590" max="3590" width="47.5" style="2816" customWidth="1"/>
    <col min="3591" max="3591" width="13" style="2816" customWidth="1"/>
    <col min="3592" max="3593" width="8.875" style="2816"/>
    <col min="3594" max="3594" width="5.75" style="2816" customWidth="1"/>
    <col min="3595" max="3595" width="11.75" style="2816" customWidth="1"/>
    <col min="3596" max="3597" width="10.75" style="2816" customWidth="1"/>
    <col min="3598" max="3598" width="10" style="2816" customWidth="1"/>
    <col min="3599" max="3600" width="10.5" style="2816" bestFit="1" customWidth="1"/>
    <col min="3601" max="3601" width="10" style="2816" customWidth="1"/>
    <col min="3602" max="3602" width="10.125" style="2816" customWidth="1"/>
    <col min="3603" max="3603" width="10" style="2816" customWidth="1"/>
    <col min="3604" max="3604" width="26.125" style="2816" customWidth="1"/>
    <col min="3605" max="3840" width="8.875" style="2816"/>
    <col min="3841" max="3841" width="9.5" style="2816" customWidth="1"/>
    <col min="3842" max="3842" width="8.875" style="2816"/>
    <col min="3843" max="3845" width="12.875" style="2816" customWidth="1"/>
    <col min="3846" max="3846" width="47.5" style="2816" customWidth="1"/>
    <col min="3847" max="3847" width="13" style="2816" customWidth="1"/>
    <col min="3848" max="3849" width="8.875" style="2816"/>
    <col min="3850" max="3850" width="5.75" style="2816" customWidth="1"/>
    <col min="3851" max="3851" width="11.75" style="2816" customWidth="1"/>
    <col min="3852" max="3853" width="10.75" style="2816" customWidth="1"/>
    <col min="3854" max="3854" width="10" style="2816" customWidth="1"/>
    <col min="3855" max="3856" width="10.5" style="2816" bestFit="1" customWidth="1"/>
    <col min="3857" max="3857" width="10" style="2816" customWidth="1"/>
    <col min="3858" max="3858" width="10.125" style="2816" customWidth="1"/>
    <col min="3859" max="3859" width="10" style="2816" customWidth="1"/>
    <col min="3860" max="3860" width="26.125" style="2816" customWidth="1"/>
    <col min="3861" max="4096" width="8.875" style="2816"/>
    <col min="4097" max="4097" width="9.5" style="2816" customWidth="1"/>
    <col min="4098" max="4098" width="8.875" style="2816"/>
    <col min="4099" max="4101" width="12.875" style="2816" customWidth="1"/>
    <col min="4102" max="4102" width="47.5" style="2816" customWidth="1"/>
    <col min="4103" max="4103" width="13" style="2816" customWidth="1"/>
    <col min="4104" max="4105" width="8.875" style="2816"/>
    <col min="4106" max="4106" width="5.75" style="2816" customWidth="1"/>
    <col min="4107" max="4107" width="11.75" style="2816" customWidth="1"/>
    <col min="4108" max="4109" width="10.75" style="2816" customWidth="1"/>
    <col min="4110" max="4110" width="10" style="2816" customWidth="1"/>
    <col min="4111" max="4112" width="10.5" style="2816" bestFit="1" customWidth="1"/>
    <col min="4113" max="4113" width="10" style="2816" customWidth="1"/>
    <col min="4114" max="4114" width="10.125" style="2816" customWidth="1"/>
    <col min="4115" max="4115" width="10" style="2816" customWidth="1"/>
    <col min="4116" max="4116" width="26.125" style="2816" customWidth="1"/>
    <col min="4117" max="4352" width="8.875" style="2816"/>
    <col min="4353" max="4353" width="9.5" style="2816" customWidth="1"/>
    <col min="4354" max="4354" width="8.875" style="2816"/>
    <col min="4355" max="4357" width="12.875" style="2816" customWidth="1"/>
    <col min="4358" max="4358" width="47.5" style="2816" customWidth="1"/>
    <col min="4359" max="4359" width="13" style="2816" customWidth="1"/>
    <col min="4360" max="4361" width="8.875" style="2816"/>
    <col min="4362" max="4362" width="5.75" style="2816" customWidth="1"/>
    <col min="4363" max="4363" width="11.75" style="2816" customWidth="1"/>
    <col min="4364" max="4365" width="10.75" style="2816" customWidth="1"/>
    <col min="4366" max="4366" width="10" style="2816" customWidth="1"/>
    <col min="4367" max="4368" width="10.5" style="2816" bestFit="1" customWidth="1"/>
    <col min="4369" max="4369" width="10" style="2816" customWidth="1"/>
    <col min="4370" max="4370" width="10.125" style="2816" customWidth="1"/>
    <col min="4371" max="4371" width="10" style="2816" customWidth="1"/>
    <col min="4372" max="4372" width="26.125" style="2816" customWidth="1"/>
    <col min="4373" max="4608" width="8.875" style="2816"/>
    <col min="4609" max="4609" width="9.5" style="2816" customWidth="1"/>
    <col min="4610" max="4610" width="8.875" style="2816"/>
    <col min="4611" max="4613" width="12.875" style="2816" customWidth="1"/>
    <col min="4614" max="4614" width="47.5" style="2816" customWidth="1"/>
    <col min="4615" max="4615" width="13" style="2816" customWidth="1"/>
    <col min="4616" max="4617" width="8.875" style="2816"/>
    <col min="4618" max="4618" width="5.75" style="2816" customWidth="1"/>
    <col min="4619" max="4619" width="11.75" style="2816" customWidth="1"/>
    <col min="4620" max="4621" width="10.75" style="2816" customWidth="1"/>
    <col min="4622" max="4622" width="10" style="2816" customWidth="1"/>
    <col min="4623" max="4624" width="10.5" style="2816" bestFit="1" customWidth="1"/>
    <col min="4625" max="4625" width="10" style="2816" customWidth="1"/>
    <col min="4626" max="4626" width="10.125" style="2816" customWidth="1"/>
    <col min="4627" max="4627" width="10" style="2816" customWidth="1"/>
    <col min="4628" max="4628" width="26.125" style="2816" customWidth="1"/>
    <col min="4629" max="4864" width="8.875" style="2816"/>
    <col min="4865" max="4865" width="9.5" style="2816" customWidth="1"/>
    <col min="4866" max="4866" width="8.875" style="2816"/>
    <col min="4867" max="4869" width="12.875" style="2816" customWidth="1"/>
    <col min="4870" max="4870" width="47.5" style="2816" customWidth="1"/>
    <col min="4871" max="4871" width="13" style="2816" customWidth="1"/>
    <col min="4872" max="4873" width="8.875" style="2816"/>
    <col min="4874" max="4874" width="5.75" style="2816" customWidth="1"/>
    <col min="4875" max="4875" width="11.75" style="2816" customWidth="1"/>
    <col min="4876" max="4877" width="10.75" style="2816" customWidth="1"/>
    <col min="4878" max="4878" width="10" style="2816" customWidth="1"/>
    <col min="4879" max="4880" width="10.5" style="2816" bestFit="1" customWidth="1"/>
    <col min="4881" max="4881" width="10" style="2816" customWidth="1"/>
    <col min="4882" max="4882" width="10.125" style="2816" customWidth="1"/>
    <col min="4883" max="4883" width="10" style="2816" customWidth="1"/>
    <col min="4884" max="4884" width="26.125" style="2816" customWidth="1"/>
    <col min="4885" max="5120" width="8.875" style="2816"/>
    <col min="5121" max="5121" width="9.5" style="2816" customWidth="1"/>
    <col min="5122" max="5122" width="8.875" style="2816"/>
    <col min="5123" max="5125" width="12.875" style="2816" customWidth="1"/>
    <col min="5126" max="5126" width="47.5" style="2816" customWidth="1"/>
    <col min="5127" max="5127" width="13" style="2816" customWidth="1"/>
    <col min="5128" max="5129" width="8.875" style="2816"/>
    <col min="5130" max="5130" width="5.75" style="2816" customWidth="1"/>
    <col min="5131" max="5131" width="11.75" style="2816" customWidth="1"/>
    <col min="5132" max="5133" width="10.75" style="2816" customWidth="1"/>
    <col min="5134" max="5134" width="10" style="2816" customWidth="1"/>
    <col min="5135" max="5136" width="10.5" style="2816" bestFit="1" customWidth="1"/>
    <col min="5137" max="5137" width="10" style="2816" customWidth="1"/>
    <col min="5138" max="5138" width="10.125" style="2816" customWidth="1"/>
    <col min="5139" max="5139" width="10" style="2816" customWidth="1"/>
    <col min="5140" max="5140" width="26.125" style="2816" customWidth="1"/>
    <col min="5141" max="5376" width="8.875" style="2816"/>
    <col min="5377" max="5377" width="9.5" style="2816" customWidth="1"/>
    <col min="5378" max="5378" width="8.875" style="2816"/>
    <col min="5379" max="5381" width="12.875" style="2816" customWidth="1"/>
    <col min="5382" max="5382" width="47.5" style="2816" customWidth="1"/>
    <col min="5383" max="5383" width="13" style="2816" customWidth="1"/>
    <col min="5384" max="5385" width="8.875" style="2816"/>
    <col min="5386" max="5386" width="5.75" style="2816" customWidth="1"/>
    <col min="5387" max="5387" width="11.75" style="2816" customWidth="1"/>
    <col min="5388" max="5389" width="10.75" style="2816" customWidth="1"/>
    <col min="5390" max="5390" width="10" style="2816" customWidth="1"/>
    <col min="5391" max="5392" width="10.5" style="2816" bestFit="1" customWidth="1"/>
    <col min="5393" max="5393" width="10" style="2816" customWidth="1"/>
    <col min="5394" max="5394" width="10.125" style="2816" customWidth="1"/>
    <col min="5395" max="5395" width="10" style="2816" customWidth="1"/>
    <col min="5396" max="5396" width="26.125" style="2816" customWidth="1"/>
    <col min="5397" max="5632" width="8.875" style="2816"/>
    <col min="5633" max="5633" width="9.5" style="2816" customWidth="1"/>
    <col min="5634" max="5634" width="8.875" style="2816"/>
    <col min="5635" max="5637" width="12.875" style="2816" customWidth="1"/>
    <col min="5638" max="5638" width="47.5" style="2816" customWidth="1"/>
    <col min="5639" max="5639" width="13" style="2816" customWidth="1"/>
    <col min="5640" max="5641" width="8.875" style="2816"/>
    <col min="5642" max="5642" width="5.75" style="2816" customWidth="1"/>
    <col min="5643" max="5643" width="11.75" style="2816" customWidth="1"/>
    <col min="5644" max="5645" width="10.75" style="2816" customWidth="1"/>
    <col min="5646" max="5646" width="10" style="2816" customWidth="1"/>
    <col min="5647" max="5648" width="10.5" style="2816" bestFit="1" customWidth="1"/>
    <col min="5649" max="5649" width="10" style="2816" customWidth="1"/>
    <col min="5650" max="5650" width="10.125" style="2816" customWidth="1"/>
    <col min="5651" max="5651" width="10" style="2816" customWidth="1"/>
    <col min="5652" max="5652" width="26.125" style="2816" customWidth="1"/>
    <col min="5653" max="5888" width="8.875" style="2816"/>
    <col min="5889" max="5889" width="9.5" style="2816" customWidth="1"/>
    <col min="5890" max="5890" width="8.875" style="2816"/>
    <col min="5891" max="5893" width="12.875" style="2816" customWidth="1"/>
    <col min="5894" max="5894" width="47.5" style="2816" customWidth="1"/>
    <col min="5895" max="5895" width="13" style="2816" customWidth="1"/>
    <col min="5896" max="5897" width="8.875" style="2816"/>
    <col min="5898" max="5898" width="5.75" style="2816" customWidth="1"/>
    <col min="5899" max="5899" width="11.75" style="2816" customWidth="1"/>
    <col min="5900" max="5901" width="10.75" style="2816" customWidth="1"/>
    <col min="5902" max="5902" width="10" style="2816" customWidth="1"/>
    <col min="5903" max="5904" width="10.5" style="2816" bestFit="1" customWidth="1"/>
    <col min="5905" max="5905" width="10" style="2816" customWidth="1"/>
    <col min="5906" max="5906" width="10.125" style="2816" customWidth="1"/>
    <col min="5907" max="5907" width="10" style="2816" customWidth="1"/>
    <col min="5908" max="5908" width="26.125" style="2816" customWidth="1"/>
    <col min="5909" max="6144" width="8.875" style="2816"/>
    <col min="6145" max="6145" width="9.5" style="2816" customWidth="1"/>
    <col min="6146" max="6146" width="8.875" style="2816"/>
    <col min="6147" max="6149" width="12.875" style="2816" customWidth="1"/>
    <col min="6150" max="6150" width="47.5" style="2816" customWidth="1"/>
    <col min="6151" max="6151" width="13" style="2816" customWidth="1"/>
    <col min="6152" max="6153" width="8.875" style="2816"/>
    <col min="6154" max="6154" width="5.75" style="2816" customWidth="1"/>
    <col min="6155" max="6155" width="11.75" style="2816" customWidth="1"/>
    <col min="6156" max="6157" width="10.75" style="2816" customWidth="1"/>
    <col min="6158" max="6158" width="10" style="2816" customWidth="1"/>
    <col min="6159" max="6160" width="10.5" style="2816" bestFit="1" customWidth="1"/>
    <col min="6161" max="6161" width="10" style="2816" customWidth="1"/>
    <col min="6162" max="6162" width="10.125" style="2816" customWidth="1"/>
    <col min="6163" max="6163" width="10" style="2816" customWidth="1"/>
    <col min="6164" max="6164" width="26.125" style="2816" customWidth="1"/>
    <col min="6165" max="6400" width="8.875" style="2816"/>
    <col min="6401" max="6401" width="9.5" style="2816" customWidth="1"/>
    <col min="6402" max="6402" width="8.875" style="2816"/>
    <col min="6403" max="6405" width="12.875" style="2816" customWidth="1"/>
    <col min="6406" max="6406" width="47.5" style="2816" customWidth="1"/>
    <col min="6407" max="6407" width="13" style="2816" customWidth="1"/>
    <col min="6408" max="6409" width="8.875" style="2816"/>
    <col min="6410" max="6410" width="5.75" style="2816" customWidth="1"/>
    <col min="6411" max="6411" width="11.75" style="2816" customWidth="1"/>
    <col min="6412" max="6413" width="10.75" style="2816" customWidth="1"/>
    <col min="6414" max="6414" width="10" style="2816" customWidth="1"/>
    <col min="6415" max="6416" width="10.5" style="2816" bestFit="1" customWidth="1"/>
    <col min="6417" max="6417" width="10" style="2816" customWidth="1"/>
    <col min="6418" max="6418" width="10.125" style="2816" customWidth="1"/>
    <col min="6419" max="6419" width="10" style="2816" customWidth="1"/>
    <col min="6420" max="6420" width="26.125" style="2816" customWidth="1"/>
    <col min="6421" max="6656" width="8.875" style="2816"/>
    <col min="6657" max="6657" width="9.5" style="2816" customWidth="1"/>
    <col min="6658" max="6658" width="8.875" style="2816"/>
    <col min="6659" max="6661" width="12.875" style="2816" customWidth="1"/>
    <col min="6662" max="6662" width="47.5" style="2816" customWidth="1"/>
    <col min="6663" max="6663" width="13" style="2816" customWidth="1"/>
    <col min="6664" max="6665" width="8.875" style="2816"/>
    <col min="6666" max="6666" width="5.75" style="2816" customWidth="1"/>
    <col min="6667" max="6667" width="11.75" style="2816" customWidth="1"/>
    <col min="6668" max="6669" width="10.75" style="2816" customWidth="1"/>
    <col min="6670" max="6670" width="10" style="2816" customWidth="1"/>
    <col min="6671" max="6672" width="10.5" style="2816" bestFit="1" customWidth="1"/>
    <col min="6673" max="6673" width="10" style="2816" customWidth="1"/>
    <col min="6674" max="6674" width="10.125" style="2816" customWidth="1"/>
    <col min="6675" max="6675" width="10" style="2816" customWidth="1"/>
    <col min="6676" max="6676" width="26.125" style="2816" customWidth="1"/>
    <col min="6677" max="6912" width="8.875" style="2816"/>
    <col min="6913" max="6913" width="9.5" style="2816" customWidth="1"/>
    <col min="6914" max="6914" width="8.875" style="2816"/>
    <col min="6915" max="6917" width="12.875" style="2816" customWidth="1"/>
    <col min="6918" max="6918" width="47.5" style="2816" customWidth="1"/>
    <col min="6919" max="6919" width="13" style="2816" customWidth="1"/>
    <col min="6920" max="6921" width="8.875" style="2816"/>
    <col min="6922" max="6922" width="5.75" style="2816" customWidth="1"/>
    <col min="6923" max="6923" width="11.75" style="2816" customWidth="1"/>
    <col min="6924" max="6925" width="10.75" style="2816" customWidth="1"/>
    <col min="6926" max="6926" width="10" style="2816" customWidth="1"/>
    <col min="6927" max="6928" width="10.5" style="2816" bestFit="1" customWidth="1"/>
    <col min="6929" max="6929" width="10" style="2816" customWidth="1"/>
    <col min="6930" max="6930" width="10.125" style="2816" customWidth="1"/>
    <col min="6931" max="6931" width="10" style="2816" customWidth="1"/>
    <col min="6932" max="6932" width="26.125" style="2816" customWidth="1"/>
    <col min="6933" max="7168" width="8.875" style="2816"/>
    <col min="7169" max="7169" width="9.5" style="2816" customWidth="1"/>
    <col min="7170" max="7170" width="8.875" style="2816"/>
    <col min="7171" max="7173" width="12.875" style="2816" customWidth="1"/>
    <col min="7174" max="7174" width="47.5" style="2816" customWidth="1"/>
    <col min="7175" max="7175" width="13" style="2816" customWidth="1"/>
    <col min="7176" max="7177" width="8.875" style="2816"/>
    <col min="7178" max="7178" width="5.75" style="2816" customWidth="1"/>
    <col min="7179" max="7179" width="11.75" style="2816" customWidth="1"/>
    <col min="7180" max="7181" width="10.75" style="2816" customWidth="1"/>
    <col min="7182" max="7182" width="10" style="2816" customWidth="1"/>
    <col min="7183" max="7184" width="10.5" style="2816" bestFit="1" customWidth="1"/>
    <col min="7185" max="7185" width="10" style="2816" customWidth="1"/>
    <col min="7186" max="7186" width="10.125" style="2816" customWidth="1"/>
    <col min="7187" max="7187" width="10" style="2816" customWidth="1"/>
    <col min="7188" max="7188" width="26.125" style="2816" customWidth="1"/>
    <col min="7189" max="7424" width="8.875" style="2816"/>
    <col min="7425" max="7425" width="9.5" style="2816" customWidth="1"/>
    <col min="7426" max="7426" width="8.875" style="2816"/>
    <col min="7427" max="7429" width="12.875" style="2816" customWidth="1"/>
    <col min="7430" max="7430" width="47.5" style="2816" customWidth="1"/>
    <col min="7431" max="7431" width="13" style="2816" customWidth="1"/>
    <col min="7432" max="7433" width="8.875" style="2816"/>
    <col min="7434" max="7434" width="5.75" style="2816" customWidth="1"/>
    <col min="7435" max="7435" width="11.75" style="2816" customWidth="1"/>
    <col min="7436" max="7437" width="10.75" style="2816" customWidth="1"/>
    <col min="7438" max="7438" width="10" style="2816" customWidth="1"/>
    <col min="7439" max="7440" width="10.5" style="2816" bestFit="1" customWidth="1"/>
    <col min="7441" max="7441" width="10" style="2816" customWidth="1"/>
    <col min="7442" max="7442" width="10.125" style="2816" customWidth="1"/>
    <col min="7443" max="7443" width="10" style="2816" customWidth="1"/>
    <col min="7444" max="7444" width="26.125" style="2816" customWidth="1"/>
    <col min="7445" max="7680" width="8.875" style="2816"/>
    <col min="7681" max="7681" width="9.5" style="2816" customWidth="1"/>
    <col min="7682" max="7682" width="8.875" style="2816"/>
    <col min="7683" max="7685" width="12.875" style="2816" customWidth="1"/>
    <col min="7686" max="7686" width="47.5" style="2816" customWidth="1"/>
    <col min="7687" max="7687" width="13" style="2816" customWidth="1"/>
    <col min="7688" max="7689" width="8.875" style="2816"/>
    <col min="7690" max="7690" width="5.75" style="2816" customWidth="1"/>
    <col min="7691" max="7691" width="11.75" style="2816" customWidth="1"/>
    <col min="7692" max="7693" width="10.75" style="2816" customWidth="1"/>
    <col min="7694" max="7694" width="10" style="2816" customWidth="1"/>
    <col min="7695" max="7696" width="10.5" style="2816" bestFit="1" customWidth="1"/>
    <col min="7697" max="7697" width="10" style="2816" customWidth="1"/>
    <col min="7698" max="7698" width="10.125" style="2816" customWidth="1"/>
    <col min="7699" max="7699" width="10" style="2816" customWidth="1"/>
    <col min="7700" max="7700" width="26.125" style="2816" customWidth="1"/>
    <col min="7701" max="7936" width="8.875" style="2816"/>
    <col min="7937" max="7937" width="9.5" style="2816" customWidth="1"/>
    <col min="7938" max="7938" width="8.875" style="2816"/>
    <col min="7939" max="7941" width="12.875" style="2816" customWidth="1"/>
    <col min="7942" max="7942" width="47.5" style="2816" customWidth="1"/>
    <col min="7943" max="7943" width="13" style="2816" customWidth="1"/>
    <col min="7944" max="7945" width="8.875" style="2816"/>
    <col min="7946" max="7946" width="5.75" style="2816" customWidth="1"/>
    <col min="7947" max="7947" width="11.75" style="2816" customWidth="1"/>
    <col min="7948" max="7949" width="10.75" style="2816" customWidth="1"/>
    <col min="7950" max="7950" width="10" style="2816" customWidth="1"/>
    <col min="7951" max="7952" width="10.5" style="2816" bestFit="1" customWidth="1"/>
    <col min="7953" max="7953" width="10" style="2816" customWidth="1"/>
    <col min="7954" max="7954" width="10.125" style="2816" customWidth="1"/>
    <col min="7955" max="7955" width="10" style="2816" customWidth="1"/>
    <col min="7956" max="7956" width="26.125" style="2816" customWidth="1"/>
    <col min="7957" max="8192" width="8.875" style="2816"/>
    <col min="8193" max="8193" width="9.5" style="2816" customWidth="1"/>
    <col min="8194" max="8194" width="8.875" style="2816"/>
    <col min="8195" max="8197" width="12.875" style="2816" customWidth="1"/>
    <col min="8198" max="8198" width="47.5" style="2816" customWidth="1"/>
    <col min="8199" max="8199" width="13" style="2816" customWidth="1"/>
    <col min="8200" max="8201" width="8.875" style="2816"/>
    <col min="8202" max="8202" width="5.75" style="2816" customWidth="1"/>
    <col min="8203" max="8203" width="11.75" style="2816" customWidth="1"/>
    <col min="8204" max="8205" width="10.75" style="2816" customWidth="1"/>
    <col min="8206" max="8206" width="10" style="2816" customWidth="1"/>
    <col min="8207" max="8208" width="10.5" style="2816" bestFit="1" customWidth="1"/>
    <col min="8209" max="8209" width="10" style="2816" customWidth="1"/>
    <col min="8210" max="8210" width="10.125" style="2816" customWidth="1"/>
    <col min="8211" max="8211" width="10" style="2816" customWidth="1"/>
    <col min="8212" max="8212" width="26.125" style="2816" customWidth="1"/>
    <col min="8213" max="8448" width="8.875" style="2816"/>
    <col min="8449" max="8449" width="9.5" style="2816" customWidth="1"/>
    <col min="8450" max="8450" width="8.875" style="2816"/>
    <col min="8451" max="8453" width="12.875" style="2816" customWidth="1"/>
    <col min="8454" max="8454" width="47.5" style="2816" customWidth="1"/>
    <col min="8455" max="8455" width="13" style="2816" customWidth="1"/>
    <col min="8456" max="8457" width="8.875" style="2816"/>
    <col min="8458" max="8458" width="5.75" style="2816" customWidth="1"/>
    <col min="8459" max="8459" width="11.75" style="2816" customWidth="1"/>
    <col min="8460" max="8461" width="10.75" style="2816" customWidth="1"/>
    <col min="8462" max="8462" width="10" style="2816" customWidth="1"/>
    <col min="8463" max="8464" width="10.5" style="2816" bestFit="1" customWidth="1"/>
    <col min="8465" max="8465" width="10" style="2816" customWidth="1"/>
    <col min="8466" max="8466" width="10.125" style="2816" customWidth="1"/>
    <col min="8467" max="8467" width="10" style="2816" customWidth="1"/>
    <col min="8468" max="8468" width="26.125" style="2816" customWidth="1"/>
    <col min="8469" max="8704" width="8.875" style="2816"/>
    <col min="8705" max="8705" width="9.5" style="2816" customWidth="1"/>
    <col min="8706" max="8706" width="8.875" style="2816"/>
    <col min="8707" max="8709" width="12.875" style="2816" customWidth="1"/>
    <col min="8710" max="8710" width="47.5" style="2816" customWidth="1"/>
    <col min="8711" max="8711" width="13" style="2816" customWidth="1"/>
    <col min="8712" max="8713" width="8.875" style="2816"/>
    <col min="8714" max="8714" width="5.75" style="2816" customWidth="1"/>
    <col min="8715" max="8715" width="11.75" style="2816" customWidth="1"/>
    <col min="8716" max="8717" width="10.75" style="2816" customWidth="1"/>
    <col min="8718" max="8718" width="10" style="2816" customWidth="1"/>
    <col min="8719" max="8720" width="10.5" style="2816" bestFit="1" customWidth="1"/>
    <col min="8721" max="8721" width="10" style="2816" customWidth="1"/>
    <col min="8722" max="8722" width="10.125" style="2816" customWidth="1"/>
    <col min="8723" max="8723" width="10" style="2816" customWidth="1"/>
    <col min="8724" max="8724" width="26.125" style="2816" customWidth="1"/>
    <col min="8725" max="8960" width="8.875" style="2816"/>
    <col min="8961" max="8961" width="9.5" style="2816" customWidth="1"/>
    <col min="8962" max="8962" width="8.875" style="2816"/>
    <col min="8963" max="8965" width="12.875" style="2816" customWidth="1"/>
    <col min="8966" max="8966" width="47.5" style="2816" customWidth="1"/>
    <col min="8967" max="8967" width="13" style="2816" customWidth="1"/>
    <col min="8968" max="8969" width="8.875" style="2816"/>
    <col min="8970" max="8970" width="5.75" style="2816" customWidth="1"/>
    <col min="8971" max="8971" width="11.75" style="2816" customWidth="1"/>
    <col min="8972" max="8973" width="10.75" style="2816" customWidth="1"/>
    <col min="8974" max="8974" width="10" style="2816" customWidth="1"/>
    <col min="8975" max="8976" width="10.5" style="2816" bestFit="1" customWidth="1"/>
    <col min="8977" max="8977" width="10" style="2816" customWidth="1"/>
    <col min="8978" max="8978" width="10.125" style="2816" customWidth="1"/>
    <col min="8979" max="8979" width="10" style="2816" customWidth="1"/>
    <col min="8980" max="8980" width="26.125" style="2816" customWidth="1"/>
    <col min="8981" max="9216" width="8.875" style="2816"/>
    <col min="9217" max="9217" width="9.5" style="2816" customWidth="1"/>
    <col min="9218" max="9218" width="8.875" style="2816"/>
    <col min="9219" max="9221" width="12.875" style="2816" customWidth="1"/>
    <col min="9222" max="9222" width="47.5" style="2816" customWidth="1"/>
    <col min="9223" max="9223" width="13" style="2816" customWidth="1"/>
    <col min="9224" max="9225" width="8.875" style="2816"/>
    <col min="9226" max="9226" width="5.75" style="2816" customWidth="1"/>
    <col min="9227" max="9227" width="11.75" style="2816" customWidth="1"/>
    <col min="9228" max="9229" width="10.75" style="2816" customWidth="1"/>
    <col min="9230" max="9230" width="10" style="2816" customWidth="1"/>
    <col min="9231" max="9232" width="10.5" style="2816" bestFit="1" customWidth="1"/>
    <col min="9233" max="9233" width="10" style="2816" customWidth="1"/>
    <col min="9234" max="9234" width="10.125" style="2816" customWidth="1"/>
    <col min="9235" max="9235" width="10" style="2816" customWidth="1"/>
    <col min="9236" max="9236" width="26.125" style="2816" customWidth="1"/>
    <col min="9237" max="9472" width="8.875" style="2816"/>
    <col min="9473" max="9473" width="9.5" style="2816" customWidth="1"/>
    <col min="9474" max="9474" width="8.875" style="2816"/>
    <col min="9475" max="9477" width="12.875" style="2816" customWidth="1"/>
    <col min="9478" max="9478" width="47.5" style="2816" customWidth="1"/>
    <col min="9479" max="9479" width="13" style="2816" customWidth="1"/>
    <col min="9480" max="9481" width="8.875" style="2816"/>
    <col min="9482" max="9482" width="5.75" style="2816" customWidth="1"/>
    <col min="9483" max="9483" width="11.75" style="2816" customWidth="1"/>
    <col min="9484" max="9485" width="10.75" style="2816" customWidth="1"/>
    <col min="9486" max="9486" width="10" style="2816" customWidth="1"/>
    <col min="9487" max="9488" width="10.5" style="2816" bestFit="1" customWidth="1"/>
    <col min="9489" max="9489" width="10" style="2816" customWidth="1"/>
    <col min="9490" max="9490" width="10.125" style="2816" customWidth="1"/>
    <col min="9491" max="9491" width="10" style="2816" customWidth="1"/>
    <col min="9492" max="9492" width="26.125" style="2816" customWidth="1"/>
    <col min="9493" max="9728" width="8.875" style="2816"/>
    <col min="9729" max="9729" width="9.5" style="2816" customWidth="1"/>
    <col min="9730" max="9730" width="8.875" style="2816"/>
    <col min="9731" max="9733" width="12.875" style="2816" customWidth="1"/>
    <col min="9734" max="9734" width="47.5" style="2816" customWidth="1"/>
    <col min="9735" max="9735" width="13" style="2816" customWidth="1"/>
    <col min="9736" max="9737" width="8.875" style="2816"/>
    <col min="9738" max="9738" width="5.75" style="2816" customWidth="1"/>
    <col min="9739" max="9739" width="11.75" style="2816" customWidth="1"/>
    <col min="9740" max="9741" width="10.75" style="2816" customWidth="1"/>
    <col min="9742" max="9742" width="10" style="2816" customWidth="1"/>
    <col min="9743" max="9744" width="10.5" style="2816" bestFit="1" customWidth="1"/>
    <col min="9745" max="9745" width="10" style="2816" customWidth="1"/>
    <col min="9746" max="9746" width="10.125" style="2816" customWidth="1"/>
    <col min="9747" max="9747" width="10" style="2816" customWidth="1"/>
    <col min="9748" max="9748" width="26.125" style="2816" customWidth="1"/>
    <col min="9749" max="9984" width="8.875" style="2816"/>
    <col min="9985" max="9985" width="9.5" style="2816" customWidth="1"/>
    <col min="9986" max="9986" width="8.875" style="2816"/>
    <col min="9987" max="9989" width="12.875" style="2816" customWidth="1"/>
    <col min="9990" max="9990" width="47.5" style="2816" customWidth="1"/>
    <col min="9991" max="9991" width="13" style="2816" customWidth="1"/>
    <col min="9992" max="9993" width="8.875" style="2816"/>
    <col min="9994" max="9994" width="5.75" style="2816" customWidth="1"/>
    <col min="9995" max="9995" width="11.75" style="2816" customWidth="1"/>
    <col min="9996" max="9997" width="10.75" style="2816" customWidth="1"/>
    <col min="9998" max="9998" width="10" style="2816" customWidth="1"/>
    <col min="9999" max="10000" width="10.5" style="2816" bestFit="1" customWidth="1"/>
    <col min="10001" max="10001" width="10" style="2816" customWidth="1"/>
    <col min="10002" max="10002" width="10.125" style="2816" customWidth="1"/>
    <col min="10003" max="10003" width="10" style="2816" customWidth="1"/>
    <col min="10004" max="10004" width="26.125" style="2816" customWidth="1"/>
    <col min="10005" max="10240" width="8.875" style="2816"/>
    <col min="10241" max="10241" width="9.5" style="2816" customWidth="1"/>
    <col min="10242" max="10242" width="8.875" style="2816"/>
    <col min="10243" max="10245" width="12.875" style="2816" customWidth="1"/>
    <col min="10246" max="10246" width="47.5" style="2816" customWidth="1"/>
    <col min="10247" max="10247" width="13" style="2816" customWidth="1"/>
    <col min="10248" max="10249" width="8.875" style="2816"/>
    <col min="10250" max="10250" width="5.75" style="2816" customWidth="1"/>
    <col min="10251" max="10251" width="11.75" style="2816" customWidth="1"/>
    <col min="10252" max="10253" width="10.75" style="2816" customWidth="1"/>
    <col min="10254" max="10254" width="10" style="2816" customWidth="1"/>
    <col min="10255" max="10256" width="10.5" style="2816" bestFit="1" customWidth="1"/>
    <col min="10257" max="10257" width="10" style="2816" customWidth="1"/>
    <col min="10258" max="10258" width="10.125" style="2816" customWidth="1"/>
    <col min="10259" max="10259" width="10" style="2816" customWidth="1"/>
    <col min="10260" max="10260" width="26.125" style="2816" customWidth="1"/>
    <col min="10261" max="10496" width="8.875" style="2816"/>
    <col min="10497" max="10497" width="9.5" style="2816" customWidth="1"/>
    <col min="10498" max="10498" width="8.875" style="2816"/>
    <col min="10499" max="10501" width="12.875" style="2816" customWidth="1"/>
    <col min="10502" max="10502" width="47.5" style="2816" customWidth="1"/>
    <col min="10503" max="10503" width="13" style="2816" customWidth="1"/>
    <col min="10504" max="10505" width="8.875" style="2816"/>
    <col min="10506" max="10506" width="5.75" style="2816" customWidth="1"/>
    <col min="10507" max="10507" width="11.75" style="2816" customWidth="1"/>
    <col min="10508" max="10509" width="10.75" style="2816" customWidth="1"/>
    <col min="10510" max="10510" width="10" style="2816" customWidth="1"/>
    <col min="10511" max="10512" width="10.5" style="2816" bestFit="1" customWidth="1"/>
    <col min="10513" max="10513" width="10" style="2816" customWidth="1"/>
    <col min="10514" max="10514" width="10.125" style="2816" customWidth="1"/>
    <col min="10515" max="10515" width="10" style="2816" customWidth="1"/>
    <col min="10516" max="10516" width="26.125" style="2816" customWidth="1"/>
    <col min="10517" max="10752" width="8.875" style="2816"/>
    <col min="10753" max="10753" width="9.5" style="2816" customWidth="1"/>
    <col min="10754" max="10754" width="8.875" style="2816"/>
    <col min="10755" max="10757" width="12.875" style="2816" customWidth="1"/>
    <col min="10758" max="10758" width="47.5" style="2816" customWidth="1"/>
    <col min="10759" max="10759" width="13" style="2816" customWidth="1"/>
    <col min="10760" max="10761" width="8.875" style="2816"/>
    <col min="10762" max="10762" width="5.75" style="2816" customWidth="1"/>
    <col min="10763" max="10763" width="11.75" style="2816" customWidth="1"/>
    <col min="10764" max="10765" width="10.75" style="2816" customWidth="1"/>
    <col min="10766" max="10766" width="10" style="2816" customWidth="1"/>
    <col min="10767" max="10768" width="10.5" style="2816" bestFit="1" customWidth="1"/>
    <col min="10769" max="10769" width="10" style="2816" customWidth="1"/>
    <col min="10770" max="10770" width="10.125" style="2816" customWidth="1"/>
    <col min="10771" max="10771" width="10" style="2816" customWidth="1"/>
    <col min="10772" max="10772" width="26.125" style="2816" customWidth="1"/>
    <col min="10773" max="11008" width="8.875" style="2816"/>
    <col min="11009" max="11009" width="9.5" style="2816" customWidth="1"/>
    <col min="11010" max="11010" width="8.875" style="2816"/>
    <col min="11011" max="11013" width="12.875" style="2816" customWidth="1"/>
    <col min="11014" max="11014" width="47.5" style="2816" customWidth="1"/>
    <col min="11015" max="11015" width="13" style="2816" customWidth="1"/>
    <col min="11016" max="11017" width="8.875" style="2816"/>
    <col min="11018" max="11018" width="5.75" style="2816" customWidth="1"/>
    <col min="11019" max="11019" width="11.75" style="2816" customWidth="1"/>
    <col min="11020" max="11021" width="10.75" style="2816" customWidth="1"/>
    <col min="11022" max="11022" width="10" style="2816" customWidth="1"/>
    <col min="11023" max="11024" width="10.5" style="2816" bestFit="1" customWidth="1"/>
    <col min="11025" max="11025" width="10" style="2816" customWidth="1"/>
    <col min="11026" max="11026" width="10.125" style="2816" customWidth="1"/>
    <col min="11027" max="11027" width="10" style="2816" customWidth="1"/>
    <col min="11028" max="11028" width="26.125" style="2816" customWidth="1"/>
    <col min="11029" max="11264" width="8.875" style="2816"/>
    <col min="11265" max="11265" width="9.5" style="2816" customWidth="1"/>
    <col min="11266" max="11266" width="8.875" style="2816"/>
    <col min="11267" max="11269" width="12.875" style="2816" customWidth="1"/>
    <col min="11270" max="11270" width="47.5" style="2816" customWidth="1"/>
    <col min="11271" max="11271" width="13" style="2816" customWidth="1"/>
    <col min="11272" max="11273" width="8.875" style="2816"/>
    <col min="11274" max="11274" width="5.75" style="2816" customWidth="1"/>
    <col min="11275" max="11275" width="11.75" style="2816" customWidth="1"/>
    <col min="11276" max="11277" width="10.75" style="2816" customWidth="1"/>
    <col min="11278" max="11278" width="10" style="2816" customWidth="1"/>
    <col min="11279" max="11280" width="10.5" style="2816" bestFit="1" customWidth="1"/>
    <col min="11281" max="11281" width="10" style="2816" customWidth="1"/>
    <col min="11282" max="11282" width="10.125" style="2816" customWidth="1"/>
    <col min="11283" max="11283" width="10" style="2816" customWidth="1"/>
    <col min="11284" max="11284" width="26.125" style="2816" customWidth="1"/>
    <col min="11285" max="11520" width="8.875" style="2816"/>
    <col min="11521" max="11521" width="9.5" style="2816" customWidth="1"/>
    <col min="11522" max="11522" width="8.875" style="2816"/>
    <col min="11523" max="11525" width="12.875" style="2816" customWidth="1"/>
    <col min="11526" max="11526" width="47.5" style="2816" customWidth="1"/>
    <col min="11527" max="11527" width="13" style="2816" customWidth="1"/>
    <col min="11528" max="11529" width="8.875" style="2816"/>
    <col min="11530" max="11530" width="5.75" style="2816" customWidth="1"/>
    <col min="11531" max="11531" width="11.75" style="2816" customWidth="1"/>
    <col min="11532" max="11533" width="10.75" style="2816" customWidth="1"/>
    <col min="11534" max="11534" width="10" style="2816" customWidth="1"/>
    <col min="11535" max="11536" width="10.5" style="2816" bestFit="1" customWidth="1"/>
    <col min="11537" max="11537" width="10" style="2816" customWidth="1"/>
    <col min="11538" max="11538" width="10.125" style="2816" customWidth="1"/>
    <col min="11539" max="11539" width="10" style="2816" customWidth="1"/>
    <col min="11540" max="11540" width="26.125" style="2816" customWidth="1"/>
    <col min="11541" max="11776" width="8.875" style="2816"/>
    <col min="11777" max="11777" width="9.5" style="2816" customWidth="1"/>
    <col min="11778" max="11778" width="8.875" style="2816"/>
    <col min="11779" max="11781" width="12.875" style="2816" customWidth="1"/>
    <col min="11782" max="11782" width="47.5" style="2816" customWidth="1"/>
    <col min="11783" max="11783" width="13" style="2816" customWidth="1"/>
    <col min="11784" max="11785" width="8.875" style="2816"/>
    <col min="11786" max="11786" width="5.75" style="2816" customWidth="1"/>
    <col min="11787" max="11787" width="11.75" style="2816" customWidth="1"/>
    <col min="11788" max="11789" width="10.75" style="2816" customWidth="1"/>
    <col min="11790" max="11790" width="10" style="2816" customWidth="1"/>
    <col min="11791" max="11792" width="10.5" style="2816" bestFit="1" customWidth="1"/>
    <col min="11793" max="11793" width="10" style="2816" customWidth="1"/>
    <col min="11794" max="11794" width="10.125" style="2816" customWidth="1"/>
    <col min="11795" max="11795" width="10" style="2816" customWidth="1"/>
    <col min="11796" max="11796" width="26.125" style="2816" customWidth="1"/>
    <col min="11797" max="12032" width="8.875" style="2816"/>
    <col min="12033" max="12033" width="9.5" style="2816" customWidth="1"/>
    <col min="12034" max="12034" width="8.875" style="2816"/>
    <col min="12035" max="12037" width="12.875" style="2816" customWidth="1"/>
    <col min="12038" max="12038" width="47.5" style="2816" customWidth="1"/>
    <col min="12039" max="12039" width="13" style="2816" customWidth="1"/>
    <col min="12040" max="12041" width="8.875" style="2816"/>
    <col min="12042" max="12042" width="5.75" style="2816" customWidth="1"/>
    <col min="12043" max="12043" width="11.75" style="2816" customWidth="1"/>
    <col min="12044" max="12045" width="10.75" style="2816" customWidth="1"/>
    <col min="12046" max="12046" width="10" style="2816" customWidth="1"/>
    <col min="12047" max="12048" width="10.5" style="2816" bestFit="1" customWidth="1"/>
    <col min="12049" max="12049" width="10" style="2816" customWidth="1"/>
    <col min="12050" max="12050" width="10.125" style="2816" customWidth="1"/>
    <col min="12051" max="12051" width="10" style="2816" customWidth="1"/>
    <col min="12052" max="12052" width="26.125" style="2816" customWidth="1"/>
    <col min="12053" max="12288" width="8.875" style="2816"/>
    <col min="12289" max="12289" width="9.5" style="2816" customWidth="1"/>
    <col min="12290" max="12290" width="8.875" style="2816"/>
    <col min="12291" max="12293" width="12.875" style="2816" customWidth="1"/>
    <col min="12294" max="12294" width="47.5" style="2816" customWidth="1"/>
    <col min="12295" max="12295" width="13" style="2816" customWidth="1"/>
    <col min="12296" max="12297" width="8.875" style="2816"/>
    <col min="12298" max="12298" width="5.75" style="2816" customWidth="1"/>
    <col min="12299" max="12299" width="11.75" style="2816" customWidth="1"/>
    <col min="12300" max="12301" width="10.75" style="2816" customWidth="1"/>
    <col min="12302" max="12302" width="10" style="2816" customWidth="1"/>
    <col min="12303" max="12304" width="10.5" style="2816" bestFit="1" customWidth="1"/>
    <col min="12305" max="12305" width="10" style="2816" customWidth="1"/>
    <col min="12306" max="12306" width="10.125" style="2816" customWidth="1"/>
    <col min="12307" max="12307" width="10" style="2816" customWidth="1"/>
    <col min="12308" max="12308" width="26.125" style="2816" customWidth="1"/>
    <col min="12309" max="12544" width="8.875" style="2816"/>
    <col min="12545" max="12545" width="9.5" style="2816" customWidth="1"/>
    <col min="12546" max="12546" width="8.875" style="2816"/>
    <col min="12547" max="12549" width="12.875" style="2816" customWidth="1"/>
    <col min="12550" max="12550" width="47.5" style="2816" customWidth="1"/>
    <col min="12551" max="12551" width="13" style="2816" customWidth="1"/>
    <col min="12552" max="12553" width="8.875" style="2816"/>
    <col min="12554" max="12554" width="5.75" style="2816" customWidth="1"/>
    <col min="12555" max="12555" width="11.75" style="2816" customWidth="1"/>
    <col min="12556" max="12557" width="10.75" style="2816" customWidth="1"/>
    <col min="12558" max="12558" width="10" style="2816" customWidth="1"/>
    <col min="12559" max="12560" width="10.5" style="2816" bestFit="1" customWidth="1"/>
    <col min="12561" max="12561" width="10" style="2816" customWidth="1"/>
    <col min="12562" max="12562" width="10.125" style="2816" customWidth="1"/>
    <col min="12563" max="12563" width="10" style="2816" customWidth="1"/>
    <col min="12564" max="12564" width="26.125" style="2816" customWidth="1"/>
    <col min="12565" max="12800" width="8.875" style="2816"/>
    <col min="12801" max="12801" width="9.5" style="2816" customWidth="1"/>
    <col min="12802" max="12802" width="8.875" style="2816"/>
    <col min="12803" max="12805" width="12.875" style="2816" customWidth="1"/>
    <col min="12806" max="12806" width="47.5" style="2816" customWidth="1"/>
    <col min="12807" max="12807" width="13" style="2816" customWidth="1"/>
    <col min="12808" max="12809" width="8.875" style="2816"/>
    <col min="12810" max="12810" width="5.75" style="2816" customWidth="1"/>
    <col min="12811" max="12811" width="11.75" style="2816" customWidth="1"/>
    <col min="12812" max="12813" width="10.75" style="2816" customWidth="1"/>
    <col min="12814" max="12814" width="10" style="2816" customWidth="1"/>
    <col min="12815" max="12816" width="10.5" style="2816" bestFit="1" customWidth="1"/>
    <col min="12817" max="12817" width="10" style="2816" customWidth="1"/>
    <col min="12818" max="12818" width="10.125" style="2816" customWidth="1"/>
    <col min="12819" max="12819" width="10" style="2816" customWidth="1"/>
    <col min="12820" max="12820" width="26.125" style="2816" customWidth="1"/>
    <col min="12821" max="13056" width="8.875" style="2816"/>
    <col min="13057" max="13057" width="9.5" style="2816" customWidth="1"/>
    <col min="13058" max="13058" width="8.875" style="2816"/>
    <col min="13059" max="13061" width="12.875" style="2816" customWidth="1"/>
    <col min="13062" max="13062" width="47.5" style="2816" customWidth="1"/>
    <col min="13063" max="13063" width="13" style="2816" customWidth="1"/>
    <col min="13064" max="13065" width="8.875" style="2816"/>
    <col min="13066" max="13066" width="5.75" style="2816" customWidth="1"/>
    <col min="13067" max="13067" width="11.75" style="2816" customWidth="1"/>
    <col min="13068" max="13069" width="10.75" style="2816" customWidth="1"/>
    <col min="13070" max="13070" width="10" style="2816" customWidth="1"/>
    <col min="13071" max="13072" width="10.5" style="2816" bestFit="1" customWidth="1"/>
    <col min="13073" max="13073" width="10" style="2816" customWidth="1"/>
    <col min="13074" max="13074" width="10.125" style="2816" customWidth="1"/>
    <col min="13075" max="13075" width="10" style="2816" customWidth="1"/>
    <col min="13076" max="13076" width="26.125" style="2816" customWidth="1"/>
    <col min="13077" max="13312" width="8.875" style="2816"/>
    <col min="13313" max="13313" width="9.5" style="2816" customWidth="1"/>
    <col min="13314" max="13314" width="8.875" style="2816"/>
    <col min="13315" max="13317" width="12.875" style="2816" customWidth="1"/>
    <col min="13318" max="13318" width="47.5" style="2816" customWidth="1"/>
    <col min="13319" max="13319" width="13" style="2816" customWidth="1"/>
    <col min="13320" max="13321" width="8.875" style="2816"/>
    <col min="13322" max="13322" width="5.75" style="2816" customWidth="1"/>
    <col min="13323" max="13323" width="11.75" style="2816" customWidth="1"/>
    <col min="13324" max="13325" width="10.75" style="2816" customWidth="1"/>
    <col min="13326" max="13326" width="10" style="2816" customWidth="1"/>
    <col min="13327" max="13328" width="10.5" style="2816" bestFit="1" customWidth="1"/>
    <col min="13329" max="13329" width="10" style="2816" customWidth="1"/>
    <col min="13330" max="13330" width="10.125" style="2816" customWidth="1"/>
    <col min="13331" max="13331" width="10" style="2816" customWidth="1"/>
    <col min="13332" max="13332" width="26.125" style="2816" customWidth="1"/>
    <col min="13333" max="13568" width="8.875" style="2816"/>
    <col min="13569" max="13569" width="9.5" style="2816" customWidth="1"/>
    <col min="13570" max="13570" width="8.875" style="2816"/>
    <col min="13571" max="13573" width="12.875" style="2816" customWidth="1"/>
    <col min="13574" max="13574" width="47.5" style="2816" customWidth="1"/>
    <col min="13575" max="13575" width="13" style="2816" customWidth="1"/>
    <col min="13576" max="13577" width="8.875" style="2816"/>
    <col min="13578" max="13578" width="5.75" style="2816" customWidth="1"/>
    <col min="13579" max="13579" width="11.75" style="2816" customWidth="1"/>
    <col min="13580" max="13581" width="10.75" style="2816" customWidth="1"/>
    <col min="13582" max="13582" width="10" style="2816" customWidth="1"/>
    <col min="13583" max="13584" width="10.5" style="2816" bestFit="1" customWidth="1"/>
    <col min="13585" max="13585" width="10" style="2816" customWidth="1"/>
    <col min="13586" max="13586" width="10.125" style="2816" customWidth="1"/>
    <col min="13587" max="13587" width="10" style="2816" customWidth="1"/>
    <col min="13588" max="13588" width="26.125" style="2816" customWidth="1"/>
    <col min="13589" max="13824" width="8.875" style="2816"/>
    <col min="13825" max="13825" width="9.5" style="2816" customWidth="1"/>
    <col min="13826" max="13826" width="8.875" style="2816"/>
    <col min="13827" max="13829" width="12.875" style="2816" customWidth="1"/>
    <col min="13830" max="13830" width="47.5" style="2816" customWidth="1"/>
    <col min="13831" max="13831" width="13" style="2816" customWidth="1"/>
    <col min="13832" max="13833" width="8.875" style="2816"/>
    <col min="13834" max="13834" width="5.75" style="2816" customWidth="1"/>
    <col min="13835" max="13835" width="11.75" style="2816" customWidth="1"/>
    <col min="13836" max="13837" width="10.75" style="2816" customWidth="1"/>
    <col min="13838" max="13838" width="10" style="2816" customWidth="1"/>
    <col min="13839" max="13840" width="10.5" style="2816" bestFit="1" customWidth="1"/>
    <col min="13841" max="13841" width="10" style="2816" customWidth="1"/>
    <col min="13842" max="13842" width="10.125" style="2816" customWidth="1"/>
    <col min="13843" max="13843" width="10" style="2816" customWidth="1"/>
    <col min="13844" max="13844" width="26.125" style="2816" customWidth="1"/>
    <col min="13845" max="14080" width="8.875" style="2816"/>
    <col min="14081" max="14081" width="9.5" style="2816" customWidth="1"/>
    <col min="14082" max="14082" width="8.875" style="2816"/>
    <col min="14083" max="14085" width="12.875" style="2816" customWidth="1"/>
    <col min="14086" max="14086" width="47.5" style="2816" customWidth="1"/>
    <col min="14087" max="14087" width="13" style="2816" customWidth="1"/>
    <col min="14088" max="14089" width="8.875" style="2816"/>
    <col min="14090" max="14090" width="5.75" style="2816" customWidth="1"/>
    <col min="14091" max="14091" width="11.75" style="2816" customWidth="1"/>
    <col min="14092" max="14093" width="10.75" style="2816" customWidth="1"/>
    <col min="14094" max="14094" width="10" style="2816" customWidth="1"/>
    <col min="14095" max="14096" width="10.5" style="2816" bestFit="1" customWidth="1"/>
    <col min="14097" max="14097" width="10" style="2816" customWidth="1"/>
    <col min="14098" max="14098" width="10.125" style="2816" customWidth="1"/>
    <col min="14099" max="14099" width="10" style="2816" customWidth="1"/>
    <col min="14100" max="14100" width="26.125" style="2816" customWidth="1"/>
    <col min="14101" max="14336" width="8.875" style="2816"/>
    <col min="14337" max="14337" width="9.5" style="2816" customWidth="1"/>
    <col min="14338" max="14338" width="8.875" style="2816"/>
    <col min="14339" max="14341" width="12.875" style="2816" customWidth="1"/>
    <col min="14342" max="14342" width="47.5" style="2816" customWidth="1"/>
    <col min="14343" max="14343" width="13" style="2816" customWidth="1"/>
    <col min="14344" max="14345" width="8.875" style="2816"/>
    <col min="14346" max="14346" width="5.75" style="2816" customWidth="1"/>
    <col min="14347" max="14347" width="11.75" style="2816" customWidth="1"/>
    <col min="14348" max="14349" width="10.75" style="2816" customWidth="1"/>
    <col min="14350" max="14350" width="10" style="2816" customWidth="1"/>
    <col min="14351" max="14352" width="10.5" style="2816" bestFit="1" customWidth="1"/>
    <col min="14353" max="14353" width="10" style="2816" customWidth="1"/>
    <col min="14354" max="14354" width="10.125" style="2816" customWidth="1"/>
    <col min="14355" max="14355" width="10" style="2816" customWidth="1"/>
    <col min="14356" max="14356" width="26.125" style="2816" customWidth="1"/>
    <col min="14357" max="14592" width="8.875" style="2816"/>
    <col min="14593" max="14593" width="9.5" style="2816" customWidth="1"/>
    <col min="14594" max="14594" width="8.875" style="2816"/>
    <col min="14595" max="14597" width="12.875" style="2816" customWidth="1"/>
    <col min="14598" max="14598" width="47.5" style="2816" customWidth="1"/>
    <col min="14599" max="14599" width="13" style="2816" customWidth="1"/>
    <col min="14600" max="14601" width="8.875" style="2816"/>
    <col min="14602" max="14602" width="5.75" style="2816" customWidth="1"/>
    <col min="14603" max="14603" width="11.75" style="2816" customWidth="1"/>
    <col min="14604" max="14605" width="10.75" style="2816" customWidth="1"/>
    <col min="14606" max="14606" width="10" style="2816" customWidth="1"/>
    <col min="14607" max="14608" width="10.5" style="2816" bestFit="1" customWidth="1"/>
    <col min="14609" max="14609" width="10" style="2816" customWidth="1"/>
    <col min="14610" max="14610" width="10.125" style="2816" customWidth="1"/>
    <col min="14611" max="14611" width="10" style="2816" customWidth="1"/>
    <col min="14612" max="14612" width="26.125" style="2816" customWidth="1"/>
    <col min="14613" max="14848" width="8.875" style="2816"/>
    <col min="14849" max="14849" width="9.5" style="2816" customWidth="1"/>
    <col min="14850" max="14850" width="8.875" style="2816"/>
    <col min="14851" max="14853" width="12.875" style="2816" customWidth="1"/>
    <col min="14854" max="14854" width="47.5" style="2816" customWidth="1"/>
    <col min="14855" max="14855" width="13" style="2816" customWidth="1"/>
    <col min="14856" max="14857" width="8.875" style="2816"/>
    <col min="14858" max="14858" width="5.75" style="2816" customWidth="1"/>
    <col min="14859" max="14859" width="11.75" style="2816" customWidth="1"/>
    <col min="14860" max="14861" width="10.75" style="2816" customWidth="1"/>
    <col min="14862" max="14862" width="10" style="2816" customWidth="1"/>
    <col min="14863" max="14864" width="10.5" style="2816" bestFit="1" customWidth="1"/>
    <col min="14865" max="14865" width="10" style="2816" customWidth="1"/>
    <col min="14866" max="14866" width="10.125" style="2816" customWidth="1"/>
    <col min="14867" max="14867" width="10" style="2816" customWidth="1"/>
    <col min="14868" max="14868" width="26.125" style="2816" customWidth="1"/>
    <col min="14869" max="15104" width="8.875" style="2816"/>
    <col min="15105" max="15105" width="9.5" style="2816" customWidth="1"/>
    <col min="15106" max="15106" width="8.875" style="2816"/>
    <col min="15107" max="15109" width="12.875" style="2816" customWidth="1"/>
    <col min="15110" max="15110" width="47.5" style="2816" customWidth="1"/>
    <col min="15111" max="15111" width="13" style="2816" customWidth="1"/>
    <col min="15112" max="15113" width="8.875" style="2816"/>
    <col min="15114" max="15114" width="5.75" style="2816" customWidth="1"/>
    <col min="15115" max="15115" width="11.75" style="2816" customWidth="1"/>
    <col min="15116" max="15117" width="10.75" style="2816" customWidth="1"/>
    <col min="15118" max="15118" width="10" style="2816" customWidth="1"/>
    <col min="15119" max="15120" width="10.5" style="2816" bestFit="1" customWidth="1"/>
    <col min="15121" max="15121" width="10" style="2816" customWidth="1"/>
    <col min="15122" max="15122" width="10.125" style="2816" customWidth="1"/>
    <col min="15123" max="15123" width="10" style="2816" customWidth="1"/>
    <col min="15124" max="15124" width="26.125" style="2816" customWidth="1"/>
    <col min="15125" max="15360" width="8.875" style="2816"/>
    <col min="15361" max="15361" width="9.5" style="2816" customWidth="1"/>
    <col min="15362" max="15362" width="8.875" style="2816"/>
    <col min="15363" max="15365" width="12.875" style="2816" customWidth="1"/>
    <col min="15366" max="15366" width="47.5" style="2816" customWidth="1"/>
    <col min="15367" max="15367" width="13" style="2816" customWidth="1"/>
    <col min="15368" max="15369" width="8.875" style="2816"/>
    <col min="15370" max="15370" width="5.75" style="2816" customWidth="1"/>
    <col min="15371" max="15371" width="11.75" style="2816" customWidth="1"/>
    <col min="15372" max="15373" width="10.75" style="2816" customWidth="1"/>
    <col min="15374" max="15374" width="10" style="2816" customWidth="1"/>
    <col min="15375" max="15376" width="10.5" style="2816" bestFit="1" customWidth="1"/>
    <col min="15377" max="15377" width="10" style="2816" customWidth="1"/>
    <col min="15378" max="15378" width="10.125" style="2816" customWidth="1"/>
    <col min="15379" max="15379" width="10" style="2816" customWidth="1"/>
    <col min="15380" max="15380" width="26.125" style="2816" customWidth="1"/>
    <col min="15381" max="15616" width="8.875" style="2816"/>
    <col min="15617" max="15617" width="9.5" style="2816" customWidth="1"/>
    <col min="15618" max="15618" width="8.875" style="2816"/>
    <col min="15619" max="15621" width="12.875" style="2816" customWidth="1"/>
    <col min="15622" max="15622" width="47.5" style="2816" customWidth="1"/>
    <col min="15623" max="15623" width="13" style="2816" customWidth="1"/>
    <col min="15624" max="15625" width="8.875" style="2816"/>
    <col min="15626" max="15626" width="5.75" style="2816" customWidth="1"/>
    <col min="15627" max="15627" width="11.75" style="2816" customWidth="1"/>
    <col min="15628" max="15629" width="10.75" style="2816" customWidth="1"/>
    <col min="15630" max="15630" width="10" style="2816" customWidth="1"/>
    <col min="15631" max="15632" width="10.5" style="2816" bestFit="1" customWidth="1"/>
    <col min="15633" max="15633" width="10" style="2816" customWidth="1"/>
    <col min="15634" max="15634" width="10.125" style="2816" customWidth="1"/>
    <col min="15635" max="15635" width="10" style="2816" customWidth="1"/>
    <col min="15636" max="15636" width="26.125" style="2816" customWidth="1"/>
    <col min="15637" max="15872" width="8.875" style="2816"/>
    <col min="15873" max="15873" width="9.5" style="2816" customWidth="1"/>
    <col min="15874" max="15874" width="8.875" style="2816"/>
    <col min="15875" max="15877" width="12.875" style="2816" customWidth="1"/>
    <col min="15878" max="15878" width="47.5" style="2816" customWidth="1"/>
    <col min="15879" max="15879" width="13" style="2816" customWidth="1"/>
    <col min="15880" max="15881" width="8.875" style="2816"/>
    <col min="15882" max="15882" width="5.75" style="2816" customWidth="1"/>
    <col min="15883" max="15883" width="11.75" style="2816" customWidth="1"/>
    <col min="15884" max="15885" width="10.75" style="2816" customWidth="1"/>
    <col min="15886" max="15886" width="10" style="2816" customWidth="1"/>
    <col min="15887" max="15888" width="10.5" style="2816" bestFit="1" customWidth="1"/>
    <col min="15889" max="15889" width="10" style="2816" customWidth="1"/>
    <col min="15890" max="15890" width="10.125" style="2816" customWidth="1"/>
    <col min="15891" max="15891" width="10" style="2816" customWidth="1"/>
    <col min="15892" max="15892" width="26.125" style="2816" customWidth="1"/>
    <col min="15893" max="16128" width="8.875" style="2816"/>
    <col min="16129" max="16129" width="9.5" style="2816" customWidth="1"/>
    <col min="16130" max="16130" width="8.875" style="2816"/>
    <col min="16131" max="16133" width="12.875" style="2816" customWidth="1"/>
    <col min="16134" max="16134" width="47.5" style="2816" customWidth="1"/>
    <col min="16135" max="16135" width="13" style="2816" customWidth="1"/>
    <col min="16136" max="16137" width="8.875" style="2816"/>
    <col min="16138" max="16138" width="5.75" style="2816" customWidth="1"/>
    <col min="16139" max="16139" width="11.75" style="2816" customWidth="1"/>
    <col min="16140" max="16141" width="10.75" style="2816" customWidth="1"/>
    <col min="16142" max="16142" width="10" style="2816" customWidth="1"/>
    <col min="16143" max="16144" width="10.5" style="2816" bestFit="1" customWidth="1"/>
    <col min="16145" max="16145" width="10" style="2816" customWidth="1"/>
    <col min="16146" max="16146" width="10.125" style="2816" customWidth="1"/>
    <col min="16147" max="16147" width="10" style="2816" customWidth="1"/>
    <col min="16148" max="16148" width="26.125" style="2816" customWidth="1"/>
    <col min="16149" max="16384" width="8.875" style="2816"/>
  </cols>
  <sheetData>
    <row r="1" spans="1:22" ht="21" customHeight="1">
      <c r="A1" s="2805" t="s">
        <v>2411</v>
      </c>
      <c r="B1" s="2806"/>
      <c r="C1" s="2818"/>
      <c r="D1" s="2818"/>
      <c r="E1" s="2807"/>
      <c r="F1" s="2808"/>
      <c r="G1" s="2809"/>
      <c r="J1" s="2812" t="s">
        <v>2290</v>
      </c>
      <c r="K1" s="2813"/>
      <c r="L1" s="2813"/>
      <c r="M1" s="2813"/>
      <c r="N1" s="2813"/>
      <c r="O1" s="2813"/>
      <c r="P1" s="2813"/>
      <c r="Q1" s="2813"/>
      <c r="R1" s="2814"/>
      <c r="S1" s="2815"/>
      <c r="T1" s="2815"/>
      <c r="U1" s="2815"/>
    </row>
    <row r="2" spans="1:22" s="2827" customFormat="1" ht="13.15" customHeight="1">
      <c r="A2" s="1384" t="s">
        <v>2291</v>
      </c>
      <c r="B2" s="2817" t="e">
        <f>IF(D2="——",C40,C40+E2)</f>
        <v>#DIV/0!</v>
      </c>
      <c r="C2" s="2818" t="s">
        <v>2292</v>
      </c>
      <c r="D2" s="3417" t="s">
        <v>3334</v>
      </c>
      <c r="E2" s="3418"/>
      <c r="F2" s="2820"/>
      <c r="G2" s="2821"/>
      <c r="H2" s="2822"/>
      <c r="I2" s="2823"/>
      <c r="J2" s="3688" t="s">
        <v>2293</v>
      </c>
      <c r="K2" s="3689"/>
      <c r="L2" s="2824" t="s">
        <v>2294</v>
      </c>
      <c r="M2" s="2824" t="s">
        <v>2295</v>
      </c>
      <c r="N2" s="2824" t="s">
        <v>2296</v>
      </c>
      <c r="O2" s="2824" t="s">
        <v>2297</v>
      </c>
      <c r="P2" s="2824" t="s">
        <v>2298</v>
      </c>
      <c r="Q2" s="2825" t="s">
        <v>2299</v>
      </c>
      <c r="R2" s="2826" t="s">
        <v>2300</v>
      </c>
      <c r="S2" s="2815"/>
      <c r="T2" s="2815"/>
      <c r="U2" s="2815"/>
      <c r="V2" s="2823"/>
    </row>
    <row r="3" spans="1:22" s="2827" customFormat="1" ht="13.15" customHeight="1">
      <c r="A3" s="2828" t="s">
        <v>2301</v>
      </c>
      <c r="B3" s="2829" t="e">
        <f>ROUND(B2*10000/B4,0)</f>
        <v>#DIV/0!</v>
      </c>
      <c r="C3" s="2818" t="s">
        <v>2302</v>
      </c>
      <c r="D3" s="2818"/>
      <c r="E3" s="2819"/>
      <c r="F3" s="2820"/>
      <c r="G3" s="2821"/>
      <c r="H3" s="2822"/>
      <c r="I3" s="2823"/>
      <c r="J3" s="3690" t="s">
        <v>2303</v>
      </c>
      <c r="K3" s="3691"/>
      <c r="L3" s="2830"/>
      <c r="M3" s="2830"/>
      <c r="N3" s="2830"/>
      <c r="O3" s="2830"/>
      <c r="P3" s="2830"/>
      <c r="Q3" s="2831"/>
      <c r="R3" s="2832">
        <f>SUM(L3:Q3)</f>
        <v>0</v>
      </c>
      <c r="S3" s="2815"/>
      <c r="T3" s="2815"/>
      <c r="U3" s="2815"/>
      <c r="V3" s="2823"/>
    </row>
    <row r="4" spans="1:22" s="2827" customFormat="1" ht="13.15" customHeight="1">
      <c r="A4" s="2833" t="s">
        <v>2304</v>
      </c>
      <c r="B4" s="2834"/>
      <c r="C4" s="2818"/>
      <c r="D4" s="2818"/>
      <c r="E4" s="2819"/>
      <c r="F4" s="2820"/>
      <c r="G4" s="2821"/>
      <c r="H4" s="2822"/>
      <c r="I4" s="2823"/>
      <c r="J4" s="3690" t="s">
        <v>2305</v>
      </c>
      <c r="K4" s="3691"/>
      <c r="L4" s="2835"/>
      <c r="M4" s="2835"/>
      <c r="N4" s="2835"/>
      <c r="O4" s="2835"/>
      <c r="P4" s="2835"/>
      <c r="Q4" s="2836"/>
      <c r="R4" s="2837">
        <f>SUM(L4:Q4)</f>
        <v>0</v>
      </c>
      <c r="S4" s="2815"/>
      <c r="T4" s="2815"/>
      <c r="U4" s="2815"/>
      <c r="V4" s="2823"/>
    </row>
    <row r="5" spans="1:22" s="2827" customFormat="1" ht="13.15" customHeight="1" thickBot="1">
      <c r="A5" s="2838" t="s">
        <v>2306</v>
      </c>
      <c r="B5" s="2839"/>
      <c r="C5" s="2818"/>
      <c r="D5" s="2840"/>
      <c r="E5" s="2820"/>
      <c r="F5" s="2820"/>
      <c r="G5" s="2821"/>
      <c r="H5" s="2822"/>
      <c r="I5" s="2823"/>
      <c r="J5" s="2841" t="s">
        <v>2307</v>
      </c>
      <c r="K5" s="2842"/>
      <c r="L5" s="2842"/>
      <c r="M5" s="2843"/>
      <c r="N5" s="2843"/>
      <c r="O5" s="2843"/>
      <c r="P5" s="2843"/>
      <c r="Q5" s="2843"/>
      <c r="R5" s="2826">
        <f>SUM(R14,R19,R24,R25,R27,R28)</f>
        <v>0</v>
      </c>
      <c r="S5" s="2815"/>
      <c r="T5" s="2815" t="s">
        <v>2308</v>
      </c>
      <c r="U5" s="2815" t="e">
        <f>ROUND(R5*10000/365/R3,1)</f>
        <v>#DIV/0!</v>
      </c>
      <c r="V5" s="2823"/>
    </row>
    <row r="6" spans="1:22" s="2827" customFormat="1" ht="13.15" customHeight="1" thickBot="1">
      <c r="A6" s="3696" t="s">
        <v>2309</v>
      </c>
      <c r="B6" s="3697"/>
      <c r="C6" s="3698"/>
      <c r="D6" s="2844"/>
      <c r="E6" s="2845"/>
      <c r="F6" s="2846"/>
      <c r="G6" s="2847"/>
      <c r="H6" s="2822"/>
      <c r="I6" s="2823"/>
      <c r="J6" s="3682">
        <v>1</v>
      </c>
      <c r="K6" s="3683" t="s">
        <v>2310</v>
      </c>
      <c r="L6" s="2848" t="s">
        <v>2311</v>
      </c>
      <c r="M6" s="2849" t="s">
        <v>2312</v>
      </c>
      <c r="N6" s="2849" t="s">
        <v>2313</v>
      </c>
      <c r="O6" s="2849" t="s">
        <v>2314</v>
      </c>
      <c r="P6" s="2849" t="s">
        <v>2315</v>
      </c>
      <c r="Q6" s="2849" t="s">
        <v>2316</v>
      </c>
      <c r="R6" s="2832" t="s">
        <v>2317</v>
      </c>
      <c r="S6" s="2815"/>
      <c r="T6" s="2815" t="s">
        <v>2318</v>
      </c>
      <c r="U6" s="2815"/>
      <c r="V6" s="2823"/>
    </row>
    <row r="7" spans="1:22" s="2827" customFormat="1" ht="13.15" customHeight="1">
      <c r="A7" s="2850" t="s">
        <v>2319</v>
      </c>
      <c r="B7" s="2851"/>
      <c r="C7" s="2852"/>
      <c r="D7" s="2853">
        <f>SUM(D9,D10,D11,D17,0)</f>
        <v>0</v>
      </c>
      <c r="E7" s="2854" t="e">
        <f>E9+E10+E11+E17</f>
        <v>#DIV/0!</v>
      </c>
      <c r="F7" s="2855"/>
      <c r="G7" s="2856"/>
      <c r="H7" s="2822"/>
      <c r="I7" s="2823"/>
      <c r="J7" s="3682"/>
      <c r="K7" s="3684"/>
      <c r="L7" s="2857" t="s">
        <v>2320</v>
      </c>
      <c r="M7" s="2858"/>
      <c r="N7" s="2834"/>
      <c r="O7" s="2859"/>
      <c r="P7" s="2859"/>
      <c r="Q7" s="2860">
        <v>365</v>
      </c>
      <c r="R7" s="2861">
        <f>ROUND(M7*N7*O7*P7*Q7/10000,0)</f>
        <v>0</v>
      </c>
      <c r="S7" s="2815"/>
      <c r="T7" s="2815" t="s">
        <v>2321</v>
      </c>
      <c r="U7" s="2815"/>
      <c r="V7" s="2823"/>
    </row>
    <row r="8" spans="1:22" s="2827" customFormat="1" ht="13.15" customHeight="1">
      <c r="A8" s="2862" t="s">
        <v>2322</v>
      </c>
      <c r="B8" s="3699" t="s">
        <v>2323</v>
      </c>
      <c r="C8" s="3700"/>
      <c r="D8" s="2863" t="s">
        <v>2324</v>
      </c>
      <c r="E8" s="2864" t="s">
        <v>2325</v>
      </c>
      <c r="F8" s="2865" t="s">
        <v>2326</v>
      </c>
      <c r="G8" s="2866"/>
      <c r="H8" s="2822"/>
      <c r="I8" s="2823"/>
      <c r="J8" s="3682"/>
      <c r="K8" s="3684"/>
      <c r="L8" s="2857" t="s">
        <v>2327</v>
      </c>
      <c r="M8" s="2858"/>
      <c r="N8" s="2834"/>
      <c r="O8" s="2859"/>
      <c r="P8" s="2859"/>
      <c r="Q8" s="2860">
        <v>365</v>
      </c>
      <c r="R8" s="2861">
        <f t="shared" ref="R8:R13" si="0">ROUND(M8*N8*O8*P8*Q8/10000,0)</f>
        <v>0</v>
      </c>
      <c r="S8" s="2815"/>
      <c r="T8" s="2815" t="s">
        <v>2328</v>
      </c>
      <c r="U8" s="2815"/>
      <c r="V8" s="2823"/>
    </row>
    <row r="9" spans="1:22" s="2827" customFormat="1" ht="13.15" customHeight="1">
      <c r="A9" s="2862">
        <v>1</v>
      </c>
      <c r="B9" s="3699" t="s">
        <v>2329</v>
      </c>
      <c r="C9" s="3700"/>
      <c r="D9" s="2863">
        <f>ROUND(D6*E9,0)</f>
        <v>0</v>
      </c>
      <c r="E9" s="2867"/>
      <c r="F9" s="2868" t="s">
        <v>2330</v>
      </c>
      <c r="G9" s="2847"/>
      <c r="H9" s="2822"/>
      <c r="I9" s="2823"/>
      <c r="J9" s="3682"/>
      <c r="K9" s="3684"/>
      <c r="L9" s="2857" t="s">
        <v>2331</v>
      </c>
      <c r="M9" s="2858"/>
      <c r="N9" s="2834"/>
      <c r="O9" s="2859"/>
      <c r="P9" s="2859"/>
      <c r="Q9" s="2860">
        <v>365</v>
      </c>
      <c r="R9" s="2861">
        <f t="shared" si="0"/>
        <v>0</v>
      </c>
      <c r="S9" s="2815"/>
      <c r="T9" s="2815"/>
      <c r="U9" s="2815"/>
      <c r="V9" s="2823"/>
    </row>
    <row r="10" spans="1:22" s="2827" customFormat="1" ht="13.15" customHeight="1">
      <c r="A10" s="2862">
        <v>2</v>
      </c>
      <c r="B10" s="3699" t="s">
        <v>2332</v>
      </c>
      <c r="C10" s="3700"/>
      <c r="D10" s="2863">
        <f>ROUND(D6*E10,0)</f>
        <v>0</v>
      </c>
      <c r="E10" s="2867"/>
      <c r="F10" s="2868" t="s">
        <v>2333</v>
      </c>
      <c r="G10" s="2847"/>
      <c r="H10" s="2822"/>
      <c r="I10" s="2823"/>
      <c r="J10" s="3682"/>
      <c r="K10" s="3684"/>
      <c r="L10" s="2857" t="s">
        <v>2334</v>
      </c>
      <c r="M10" s="2858"/>
      <c r="N10" s="2834"/>
      <c r="O10" s="2859"/>
      <c r="P10" s="2859"/>
      <c r="Q10" s="2860">
        <v>365</v>
      </c>
      <c r="R10" s="2861">
        <f t="shared" si="0"/>
        <v>0</v>
      </c>
      <c r="S10" s="2815"/>
      <c r="T10" s="2815"/>
      <c r="U10" s="2815"/>
      <c r="V10" s="2823"/>
    </row>
    <row r="11" spans="1:22" s="2827" customFormat="1" ht="13.15" customHeight="1">
      <c r="A11" s="2862">
        <v>3</v>
      </c>
      <c r="B11" s="3699" t="s">
        <v>2335</v>
      </c>
      <c r="C11" s="3700"/>
      <c r="D11" s="2863">
        <f>D12+D14+D15+D16</f>
        <v>0</v>
      </c>
      <c r="E11" s="2869" t="e">
        <f>D11/D6</f>
        <v>#DIV/0!</v>
      </c>
      <c r="F11" s="2865"/>
      <c r="G11" s="2866"/>
      <c r="H11" s="2822"/>
      <c r="I11" s="2823"/>
      <c r="J11" s="3682"/>
      <c r="K11" s="3684"/>
      <c r="L11" s="2857" t="s">
        <v>2336</v>
      </c>
      <c r="M11" s="2858"/>
      <c r="N11" s="2834"/>
      <c r="O11" s="2859"/>
      <c r="P11" s="2859"/>
      <c r="Q11" s="2860">
        <v>365</v>
      </c>
      <c r="R11" s="2861">
        <f t="shared" si="0"/>
        <v>0</v>
      </c>
      <c r="S11" s="2815"/>
      <c r="T11" s="2815"/>
      <c r="U11" s="2815"/>
      <c r="V11" s="2823"/>
    </row>
    <row r="12" spans="1:22" s="2827" customFormat="1" ht="13.15" customHeight="1">
      <c r="A12" s="2870" t="s">
        <v>2337</v>
      </c>
      <c r="B12" s="3692" t="s">
        <v>2338</v>
      </c>
      <c r="C12" s="3693"/>
      <c r="D12" s="2871">
        <f>ROUND(D13*1.2%*(1-30%),0)</f>
        <v>0</v>
      </c>
      <c r="E12" s="2872">
        <v>1.2E-2</v>
      </c>
      <c r="F12" s="2865" t="s">
        <v>2339</v>
      </c>
      <c r="G12" s="2866"/>
      <c r="H12" s="2822"/>
      <c r="I12" s="2823"/>
      <c r="J12" s="3682"/>
      <c r="K12" s="3684"/>
      <c r="L12" s="2857" t="s">
        <v>2340</v>
      </c>
      <c r="M12" s="2858"/>
      <c r="N12" s="2834"/>
      <c r="O12" s="2859"/>
      <c r="P12" s="2859"/>
      <c r="Q12" s="2860">
        <v>365</v>
      </c>
      <c r="R12" s="2861">
        <f t="shared" si="0"/>
        <v>0</v>
      </c>
      <c r="S12" s="2815"/>
      <c r="T12" s="2815"/>
      <c r="U12" s="2815"/>
      <c r="V12" s="2823"/>
    </row>
    <row r="13" spans="1:22" s="2827" customFormat="1" ht="13.15" customHeight="1">
      <c r="A13" s="2870"/>
      <c r="B13" s="2873"/>
      <c r="C13" s="2874" t="s">
        <v>2341</v>
      </c>
      <c r="D13" s="2875"/>
      <c r="E13" s="2876"/>
      <c r="F13" s="2865"/>
      <c r="G13" s="2866"/>
      <c r="H13" s="2822"/>
      <c r="I13" s="2823"/>
      <c r="J13" s="3682"/>
      <c r="K13" s="3684"/>
      <c r="L13" s="2857" t="s">
        <v>2342</v>
      </c>
      <c r="M13" s="2858"/>
      <c r="N13" s="2834"/>
      <c r="O13" s="2859"/>
      <c r="P13" s="2859"/>
      <c r="Q13" s="2860">
        <v>365</v>
      </c>
      <c r="R13" s="2861">
        <f t="shared" si="0"/>
        <v>0</v>
      </c>
      <c r="S13" s="2815"/>
      <c r="T13" s="2815"/>
      <c r="U13" s="2815"/>
      <c r="V13" s="2823"/>
    </row>
    <row r="14" spans="1:22" s="2827" customFormat="1" ht="13.15" customHeight="1">
      <c r="A14" s="2870" t="s">
        <v>2343</v>
      </c>
      <c r="B14" s="3692" t="s">
        <v>2344</v>
      </c>
      <c r="C14" s="3693"/>
      <c r="D14" s="2871">
        <f>ROUND(E14*B5/10000,0)</f>
        <v>0</v>
      </c>
      <c r="E14" s="2860"/>
      <c r="F14" s="2865" t="s">
        <v>2345</v>
      </c>
      <c r="G14" s="2866"/>
      <c r="H14" s="2822"/>
      <c r="I14" s="2823"/>
      <c r="J14" s="3682"/>
      <c r="K14" s="3685"/>
      <c r="L14" s="2877" t="s">
        <v>2346</v>
      </c>
      <c r="M14" s="2878">
        <f>SUM(M7:M13)</f>
        <v>0</v>
      </c>
      <c r="N14" s="2878" t="e">
        <f>ROUND((N7*M7+N8*M8+N9*M9+N10*M10+N11*M11+N12*M12+N13*M13)/M14,0)</f>
        <v>#DIV/0!</v>
      </c>
      <c r="O14" s="2879"/>
      <c r="P14" s="2879"/>
      <c r="Q14" s="2880"/>
      <c r="R14" s="2826">
        <f>SUM(R7:R13)</f>
        <v>0</v>
      </c>
      <c r="S14" s="2815"/>
      <c r="T14" s="2815"/>
      <c r="U14" s="2815"/>
      <c r="V14" s="2823"/>
    </row>
    <row r="15" spans="1:22" s="2827" customFormat="1" ht="13.15" customHeight="1">
      <c r="A15" s="2870" t="s">
        <v>2347</v>
      </c>
      <c r="B15" s="3692" t="s">
        <v>2348</v>
      </c>
      <c r="C15" s="3693"/>
      <c r="D15" s="2871">
        <f>ROUND(D6*E15,0)</f>
        <v>0</v>
      </c>
      <c r="E15" s="2872">
        <v>5.5E-2</v>
      </c>
      <c r="F15" s="2865" t="s">
        <v>2349</v>
      </c>
      <c r="G15" s="2847"/>
      <c r="H15" s="2822"/>
      <c r="I15" s="2823"/>
      <c r="J15" s="3682">
        <v>2</v>
      </c>
      <c r="K15" s="3683" t="s">
        <v>2350</v>
      </c>
      <c r="L15" s="2857" t="s">
        <v>2351</v>
      </c>
      <c r="M15" s="2858" t="s">
        <v>2352</v>
      </c>
      <c r="N15" s="2858" t="s">
        <v>2353</v>
      </c>
      <c r="O15" s="2859" t="s">
        <v>2354</v>
      </c>
      <c r="P15" s="2859" t="s">
        <v>2316</v>
      </c>
      <c r="Q15" s="2834" t="s">
        <v>2355</v>
      </c>
      <c r="R15" s="2881" t="s">
        <v>2317</v>
      </c>
      <c r="S15" s="2815"/>
      <c r="T15" s="2815"/>
      <c r="U15" s="2815"/>
      <c r="V15" s="2823"/>
    </row>
    <row r="16" spans="1:22" s="2827" customFormat="1" ht="13.15" customHeight="1">
      <c r="A16" s="2870" t="s">
        <v>2356</v>
      </c>
      <c r="B16" s="3692" t="s">
        <v>2357</v>
      </c>
      <c r="C16" s="3693"/>
      <c r="D16" s="2882">
        <f>D6*E16</f>
        <v>0</v>
      </c>
      <c r="E16" s="2883"/>
      <c r="F16" s="2868" t="s">
        <v>2358</v>
      </c>
      <c r="G16" s="2847"/>
      <c r="H16" s="2822"/>
      <c r="I16" s="2823"/>
      <c r="J16" s="3682"/>
      <c r="K16" s="3684"/>
      <c r="L16" s="2857" t="s">
        <v>2359</v>
      </c>
      <c r="M16" s="2858"/>
      <c r="N16" s="2858"/>
      <c r="O16" s="2859"/>
      <c r="P16" s="2860">
        <v>365</v>
      </c>
      <c r="Q16" s="2834"/>
      <c r="R16" s="2881">
        <f>ROUND(M16*N16*O16*P16/10000,0)</f>
        <v>0</v>
      </c>
      <c r="S16" s="2815"/>
      <c r="T16" s="2815"/>
      <c r="U16" s="2815"/>
      <c r="V16" s="2823"/>
    </row>
    <row r="17" spans="1:22" s="2827" customFormat="1" ht="13.15" customHeight="1" thickBot="1">
      <c r="A17" s="2884">
        <v>4</v>
      </c>
      <c r="B17" s="3694" t="s">
        <v>2360</v>
      </c>
      <c r="C17" s="3695"/>
      <c r="D17" s="2885">
        <f>ROUND(D6*E17,0)</f>
        <v>0</v>
      </c>
      <c r="E17" s="2886"/>
      <c r="F17" s="2887" t="s">
        <v>2361</v>
      </c>
      <c r="G17" s="2847"/>
      <c r="H17" s="2822"/>
      <c r="I17" s="2823"/>
      <c r="J17" s="3682"/>
      <c r="K17" s="3684"/>
      <c r="L17" s="2857" t="s">
        <v>2362</v>
      </c>
      <c r="M17" s="2858"/>
      <c r="N17" s="2858"/>
      <c r="O17" s="2859"/>
      <c r="P17" s="2860">
        <v>365</v>
      </c>
      <c r="Q17" s="2834"/>
      <c r="R17" s="2881">
        <f>ROUND(M17*N17*O17*P17/10000,0)</f>
        <v>0</v>
      </c>
      <c r="S17" s="2815"/>
      <c r="T17" s="2815"/>
      <c r="U17" s="2815"/>
      <c r="V17" s="2823"/>
    </row>
    <row r="18" spans="1:22" s="2827" customFormat="1" ht="13.15" customHeight="1" thickBot="1">
      <c r="A18" s="2850" t="s">
        <v>2363</v>
      </c>
      <c r="B18" s="2851"/>
      <c r="C18" s="2851"/>
      <c r="D18" s="2888">
        <f>ROUND(D6*E18,0)</f>
        <v>0</v>
      </c>
      <c r="E18" s="2889"/>
      <c r="F18" s="2890" t="s">
        <v>2364</v>
      </c>
      <c r="G18" s="2847"/>
      <c r="H18" s="2822"/>
      <c r="I18" s="2823"/>
      <c r="J18" s="3682"/>
      <c r="K18" s="3684"/>
      <c r="L18" s="2857" t="s">
        <v>2365</v>
      </c>
      <c r="M18" s="2858"/>
      <c r="N18" s="2858"/>
      <c r="O18" s="2859"/>
      <c r="P18" s="2860">
        <v>365</v>
      </c>
      <c r="Q18" s="2834"/>
      <c r="R18" s="2881">
        <f>ROUND(M18*N18*O18*P18/10000,0)</f>
        <v>0</v>
      </c>
      <c r="S18" s="2815"/>
      <c r="T18" s="2815"/>
      <c r="U18" s="2815"/>
      <c r="V18" s="2823"/>
    </row>
    <row r="19" spans="1:22" s="2827" customFormat="1" ht="13.15" customHeight="1" thickBot="1">
      <c r="A19" s="2891" t="s">
        <v>2366</v>
      </c>
      <c r="B19" s="2845"/>
      <c r="C19" s="2845"/>
      <c r="D19" s="2845"/>
      <c r="E19" s="2845"/>
      <c r="F19" s="2846"/>
      <c r="G19" s="2866"/>
      <c r="H19" s="2822"/>
      <c r="I19" s="2823"/>
      <c r="J19" s="3682"/>
      <c r="K19" s="3685"/>
      <c r="L19" s="2877" t="s">
        <v>2346</v>
      </c>
      <c r="M19" s="2878"/>
      <c r="N19" s="2878">
        <f>SUM(N16:N18)</f>
        <v>0</v>
      </c>
      <c r="O19" s="2879"/>
      <c r="P19" s="2892" t="s">
        <v>2410</v>
      </c>
      <c r="Q19" s="2859">
        <v>0</v>
      </c>
      <c r="R19" s="2893">
        <f>ROUND(IF(P19="按比例",R14*Q19,SUM(R16:R18)),0)</f>
        <v>0</v>
      </c>
      <c r="S19" s="2815"/>
      <c r="T19" s="2815"/>
      <c r="U19" s="2815"/>
      <c r="V19" s="2823"/>
    </row>
    <row r="20" spans="1:22" s="2827" customFormat="1" ht="13.15" customHeight="1">
      <c r="A20" s="2850"/>
      <c r="B20" s="2851"/>
      <c r="C20" s="2851"/>
      <c r="D20" s="2851"/>
      <c r="E20" s="2851"/>
      <c r="F20" s="2894"/>
      <c r="G20" s="2866"/>
      <c r="H20" s="2822"/>
      <c r="I20" s="2823"/>
      <c r="J20" s="3682">
        <v>3</v>
      </c>
      <c r="K20" s="3683" t="s">
        <v>2367</v>
      </c>
      <c r="L20" s="2857" t="s">
        <v>2368</v>
      </c>
      <c r="M20" s="2858" t="s">
        <v>2369</v>
      </c>
      <c r="N20" s="2895" t="s">
        <v>2370</v>
      </c>
      <c r="O20" s="2859" t="s">
        <v>2371</v>
      </c>
      <c r="P20" s="2860" t="s">
        <v>2372</v>
      </c>
      <c r="Q20" s="2834" t="s">
        <v>2373</v>
      </c>
      <c r="R20" s="2881" t="s">
        <v>2374</v>
      </c>
      <c r="S20" s="2896"/>
      <c r="T20" s="2896"/>
      <c r="U20" s="2896"/>
      <c r="V20" s="2823"/>
    </row>
    <row r="21" spans="1:22" s="2827" customFormat="1" ht="13.15" customHeight="1">
      <c r="A21" s="2850"/>
      <c r="B21" s="2851"/>
      <c r="C21" s="2897" t="s">
        <v>2375</v>
      </c>
      <c r="D21" s="2898" t="s">
        <v>2376</v>
      </c>
      <c r="E21" s="2899" t="s">
        <v>2377</v>
      </c>
      <c r="F21" s="2894"/>
      <c r="G21" s="2866"/>
      <c r="H21" s="2822"/>
      <c r="I21" s="2823"/>
      <c r="J21" s="3682"/>
      <c r="K21" s="3684"/>
      <c r="L21" s="2857" t="s">
        <v>2378</v>
      </c>
      <c r="M21" s="2858"/>
      <c r="N21" s="2858"/>
      <c r="O21" s="2859"/>
      <c r="P21" s="2860">
        <v>365</v>
      </c>
      <c r="Q21" s="2834"/>
      <c r="R21" s="2900">
        <f>ROUND(M21*N21*O21*P21/10000,0)</f>
        <v>0</v>
      </c>
      <c r="S21" s="2896"/>
      <c r="T21" s="2896"/>
      <c r="U21" s="2896"/>
      <c r="V21" s="2823"/>
    </row>
    <row r="22" spans="1:22" s="2827" customFormat="1" ht="13.15" customHeight="1">
      <c r="A22" s="2850"/>
      <c r="B22" s="2851"/>
      <c r="C22" s="2901" t="s">
        <v>2379</v>
      </c>
      <c r="D22" s="2902" t="s">
        <v>2380</v>
      </c>
      <c r="E22" s="2903" t="s">
        <v>2381</v>
      </c>
      <c r="F22" s="2894"/>
      <c r="G22" s="2904"/>
      <c r="H22" s="2822"/>
      <c r="I22" s="2823"/>
      <c r="J22" s="3682"/>
      <c r="K22" s="3684"/>
      <c r="L22" s="2857" t="s">
        <v>2382</v>
      </c>
      <c r="M22" s="2858"/>
      <c r="N22" s="2858"/>
      <c r="O22" s="2859"/>
      <c r="P22" s="2860">
        <v>365</v>
      </c>
      <c r="Q22" s="2834"/>
      <c r="R22" s="2900">
        <f>ROUND(M22*N22*O22*P22/10000,0)</f>
        <v>0</v>
      </c>
      <c r="S22" s="2896"/>
      <c r="T22" s="2896"/>
      <c r="U22" s="2896"/>
      <c r="V22" s="2823"/>
    </row>
    <row r="23" spans="1:22" s="2827" customFormat="1" ht="13.15" customHeight="1">
      <c r="A23" s="2905">
        <v>1</v>
      </c>
      <c r="B23" s="2906" t="s">
        <v>2383</v>
      </c>
      <c r="C23" s="2907">
        <f>D6</f>
        <v>0</v>
      </c>
      <c r="D23" s="2908">
        <f>C23*(1+D24)</f>
        <v>0</v>
      </c>
      <c r="E23" s="2909">
        <f>D23*(1+E24)</f>
        <v>0</v>
      </c>
      <c r="F23" s="2910"/>
      <c r="G23" s="2911"/>
      <c r="H23" s="2822"/>
      <c r="I23" s="2823"/>
      <c r="J23" s="3682"/>
      <c r="K23" s="3684"/>
      <c r="L23" s="2857" t="s">
        <v>2384</v>
      </c>
      <c r="M23" s="2858"/>
      <c r="N23" s="2858"/>
      <c r="O23" s="2859"/>
      <c r="P23" s="2860">
        <v>365</v>
      </c>
      <c r="Q23" s="2834"/>
      <c r="R23" s="2900">
        <f>ROUND(M23*N23*O23*P23/10000,0)</f>
        <v>0</v>
      </c>
      <c r="S23" s="2815"/>
      <c r="T23" s="2815"/>
      <c r="U23" s="2815"/>
      <c r="V23" s="2823"/>
    </row>
    <row r="24" spans="1:22" s="2827" customFormat="1" ht="13.15" customHeight="1">
      <c r="A24" s="2912"/>
      <c r="B24" s="2913" t="s">
        <v>2385</v>
      </c>
      <c r="C24" s="2914"/>
      <c r="D24" s="2915"/>
      <c r="E24" s="2916"/>
      <c r="F24" s="2917"/>
      <c r="G24" s="2911"/>
      <c r="H24" s="2822"/>
      <c r="I24" s="2823"/>
      <c r="J24" s="3682"/>
      <c r="K24" s="3685"/>
      <c r="L24" s="2877" t="s">
        <v>2346</v>
      </c>
      <c r="M24" s="2878">
        <f>SUM(M21:M23)</f>
        <v>0</v>
      </c>
      <c r="N24" s="2878"/>
      <c r="O24" s="2879"/>
      <c r="P24" s="2892" t="s">
        <v>2410</v>
      </c>
      <c r="Q24" s="2859">
        <v>0</v>
      </c>
      <c r="R24" s="2893">
        <f>ROUND(IF(P24="按比例",R14*Q24,SUM(R21:R23)),0)</f>
        <v>0</v>
      </c>
      <c r="S24" s="2815"/>
      <c r="T24" s="2815"/>
      <c r="U24" s="2815"/>
      <c r="V24" s="2823"/>
    </row>
    <row r="25" spans="1:22" s="2924" customFormat="1" ht="13.15" customHeight="1">
      <c r="A25" s="2912"/>
      <c r="B25" s="2913"/>
      <c r="C25" s="2914"/>
      <c r="D25" s="2915"/>
      <c r="E25" s="2916"/>
      <c r="F25" s="2917"/>
      <c r="G25" s="2904"/>
      <c r="H25" s="2822"/>
      <c r="I25" s="2823"/>
      <c r="J25" s="2918">
        <v>4</v>
      </c>
      <c r="K25" s="2919" t="s">
        <v>2386</v>
      </c>
      <c r="L25" s="2920"/>
      <c r="M25" s="2920"/>
      <c r="N25" s="2920"/>
      <c r="O25" s="2920"/>
      <c r="P25" s="2921"/>
      <c r="Q25" s="2922">
        <v>0</v>
      </c>
      <c r="R25" s="2893">
        <f>ROUND(R14*Q25,0)</f>
        <v>0</v>
      </c>
      <c r="S25" s="2815"/>
      <c r="T25" s="2815"/>
      <c r="U25" s="2815"/>
      <c r="V25" s="2923"/>
    </row>
    <row r="26" spans="1:22" s="2924" customFormat="1" ht="13.15" customHeight="1">
      <c r="A26" s="2905">
        <v>2</v>
      </c>
      <c r="B26" s="2906" t="s">
        <v>2387</v>
      </c>
      <c r="C26" s="2907">
        <f>D7</f>
        <v>0</v>
      </c>
      <c r="D26" s="2908">
        <f>D23*D27</f>
        <v>0</v>
      </c>
      <c r="E26" s="2909">
        <f>E23*E27</f>
        <v>0</v>
      </c>
      <c r="F26" s="2910"/>
      <c r="G26" s="2911"/>
      <c r="H26" s="2822"/>
      <c r="I26" s="2823"/>
      <c r="J26" s="3686">
        <v>5</v>
      </c>
      <c r="K26" s="2925" t="s">
        <v>2388</v>
      </c>
      <c r="L26" s="2926"/>
      <c r="M26" s="2927"/>
      <c r="N26" s="2928" t="s">
        <v>2389</v>
      </c>
      <c r="O26" s="2928" t="s">
        <v>2390</v>
      </c>
      <c r="P26" s="2929" t="s">
        <v>2391</v>
      </c>
      <c r="Q26" s="2929" t="s">
        <v>2392</v>
      </c>
      <c r="R26" s="2832" t="s">
        <v>2317</v>
      </c>
      <c r="S26" s="2930"/>
      <c r="T26" s="2930"/>
      <c r="U26" s="2930"/>
      <c r="V26" s="2923"/>
    </row>
    <row r="27" spans="1:22" s="2827" customFormat="1" ht="13.15" customHeight="1">
      <c r="A27" s="2912"/>
      <c r="B27" s="2913" t="s">
        <v>2393</v>
      </c>
      <c r="C27" s="2931" t="e">
        <f>E7</f>
        <v>#DIV/0!</v>
      </c>
      <c r="D27" s="2915"/>
      <c r="E27" s="2916"/>
      <c r="F27" s="2917"/>
      <c r="G27" s="2911"/>
      <c r="H27" s="2932"/>
      <c r="I27" s="2923"/>
      <c r="J27" s="3687"/>
      <c r="K27" s="2933"/>
      <c r="L27" s="2934"/>
      <c r="M27" s="2935"/>
      <c r="N27" s="2936"/>
      <c r="O27" s="2936"/>
      <c r="P27" s="2936"/>
      <c r="Q27" s="2937"/>
      <c r="R27" s="2893">
        <f>ROUND(O27*N27*P27*(1-Q27)/10000,0)</f>
        <v>0</v>
      </c>
      <c r="S27" s="2815"/>
      <c r="T27" s="2815"/>
      <c r="U27" s="2815"/>
      <c r="V27" s="2823"/>
    </row>
    <row r="28" spans="1:22" s="2924" customFormat="1" ht="13.15" customHeight="1" thickBot="1">
      <c r="A28" s="2912"/>
      <c r="B28" s="2913"/>
      <c r="C28" s="2931"/>
      <c r="D28" s="2915"/>
      <c r="E28" s="2916" t="s">
        <v>2394</v>
      </c>
      <c r="F28" s="2917"/>
      <c r="G28" s="2904"/>
      <c r="H28" s="2932"/>
      <c r="I28" s="2923"/>
      <c r="J28" s="2938">
        <v>6</v>
      </c>
      <c r="K28" s="2939" t="s">
        <v>2395</v>
      </c>
      <c r="L28" s="2940" t="s">
        <v>2396</v>
      </c>
      <c r="M28" s="2941"/>
      <c r="N28" s="2940" t="s">
        <v>2397</v>
      </c>
      <c r="O28" s="2942"/>
      <c r="P28" s="2940" t="s">
        <v>2398</v>
      </c>
      <c r="Q28" s="2943">
        <v>1.4999999999999999E-2</v>
      </c>
      <c r="R28" s="2944"/>
      <c r="S28" s="2896"/>
      <c r="T28" s="2896"/>
      <c r="U28" s="2896"/>
      <c r="V28" s="2923"/>
    </row>
    <row r="29" spans="1:22" s="2924" customFormat="1" ht="13.15" customHeight="1">
      <c r="A29" s="2905">
        <v>3</v>
      </c>
      <c r="B29" s="2906" t="s">
        <v>2399</v>
      </c>
      <c r="C29" s="2907">
        <f>C23*C30</f>
        <v>0</v>
      </c>
      <c r="D29" s="2908">
        <f>D23*C30</f>
        <v>0</v>
      </c>
      <c r="E29" s="2909">
        <f>E23*C30</f>
        <v>0</v>
      </c>
      <c r="F29" s="2910"/>
      <c r="G29" s="2911"/>
      <c r="H29" s="2822"/>
      <c r="I29" s="2823"/>
      <c r="J29" s="2896"/>
      <c r="K29" s="2896"/>
      <c r="L29" s="2896"/>
      <c r="M29" s="2896"/>
      <c r="N29" s="2896"/>
      <c r="O29" s="2896"/>
      <c r="P29" s="2896"/>
      <c r="Q29" s="2896"/>
      <c r="R29" s="2896"/>
      <c r="S29" s="2896"/>
      <c r="T29" s="2896"/>
      <c r="U29" s="2896"/>
      <c r="V29" s="2923"/>
    </row>
    <row r="30" spans="1:22" s="2827" customFormat="1" ht="13.15" customHeight="1" thickBot="1">
      <c r="A30" s="2912"/>
      <c r="B30" s="2913" t="s">
        <v>2393</v>
      </c>
      <c r="C30" s="2931">
        <f>E18</f>
        <v>0</v>
      </c>
      <c r="D30" s="2945"/>
      <c r="E30" s="2876"/>
      <c r="F30" s="2917"/>
      <c r="G30" s="2911"/>
      <c r="H30" s="2932"/>
      <c r="I30" s="2923"/>
      <c r="J30" s="2896"/>
      <c r="K30" s="2896"/>
      <c r="L30" s="2896"/>
      <c r="M30" s="2896"/>
      <c r="N30" s="2896"/>
      <c r="O30" s="2896"/>
      <c r="P30" s="2896"/>
      <c r="Q30" s="2896"/>
      <c r="R30" s="2896"/>
      <c r="S30" s="2896"/>
      <c r="T30" s="2896"/>
      <c r="U30" s="2815"/>
      <c r="V30" s="2823"/>
    </row>
    <row r="31" spans="1:22" s="2924" customFormat="1" ht="13.15" customHeight="1">
      <c r="A31" s="2912"/>
      <c r="B31" s="2913"/>
      <c r="C31" s="2946"/>
      <c r="D31" s="2945"/>
      <c r="E31" s="2876"/>
      <c r="F31" s="2917"/>
      <c r="G31" s="2904"/>
      <c r="H31" s="2932"/>
      <c r="I31" s="2923"/>
      <c r="J31" s="2812" t="s">
        <v>2400</v>
      </c>
      <c r="K31" s="2813"/>
      <c r="L31" s="2813"/>
      <c r="M31" s="2813"/>
      <c r="N31" s="2813"/>
      <c r="O31" s="2813"/>
      <c r="P31" s="2813"/>
      <c r="Q31" s="2813"/>
      <c r="R31" s="2814"/>
      <c r="S31" s="2896"/>
      <c r="T31" s="2815"/>
      <c r="U31" s="2815"/>
      <c r="V31" s="2923"/>
    </row>
    <row r="32" spans="1:22" s="2924" customFormat="1" ht="13.15" customHeight="1">
      <c r="A32" s="2905">
        <v>4</v>
      </c>
      <c r="B32" s="2906" t="s">
        <v>2401</v>
      </c>
      <c r="C32" s="2907">
        <f>C23-C26-C29</f>
        <v>0</v>
      </c>
      <c r="D32" s="2908">
        <f>D23-D26-D29</f>
        <v>0</v>
      </c>
      <c r="E32" s="2909">
        <f>E23-E26-E29</f>
        <v>0</v>
      </c>
      <c r="F32" s="2910"/>
      <c r="G32" s="2904"/>
      <c r="H32" s="2822"/>
      <c r="I32" s="2823"/>
      <c r="J32" s="3688" t="s">
        <v>2293</v>
      </c>
      <c r="K32" s="3689"/>
      <c r="L32" s="2824" t="s">
        <v>2294</v>
      </c>
      <c r="M32" s="2824" t="s">
        <v>2295</v>
      </c>
      <c r="N32" s="2824" t="s">
        <v>2296</v>
      </c>
      <c r="O32" s="2824" t="s">
        <v>2297</v>
      </c>
      <c r="P32" s="2824" t="s">
        <v>2298</v>
      </c>
      <c r="Q32" s="2825" t="s">
        <v>2299</v>
      </c>
      <c r="R32" s="2947" t="s">
        <v>2300</v>
      </c>
      <c r="S32" s="2896"/>
      <c r="T32" s="2815"/>
      <c r="U32" s="2815"/>
      <c r="V32" s="2923"/>
    </row>
    <row r="33" spans="1:23" s="2827" customFormat="1" ht="13.15" customHeight="1">
      <c r="A33" s="2905"/>
      <c r="B33" s="2906"/>
      <c r="C33" s="2907"/>
      <c r="D33" s="2948"/>
      <c r="E33" s="2949"/>
      <c r="F33" s="2910"/>
      <c r="G33" s="2904"/>
      <c r="H33" s="2932"/>
      <c r="I33" s="2923"/>
      <c r="J33" s="3690" t="s">
        <v>2303</v>
      </c>
      <c r="K33" s="3691"/>
      <c r="L33" s="2830"/>
      <c r="M33" s="2830"/>
      <c r="N33" s="2830"/>
      <c r="O33" s="2830"/>
      <c r="P33" s="2830"/>
      <c r="Q33" s="2831"/>
      <c r="R33" s="2950">
        <f>SUM(L33:Q33)</f>
        <v>0</v>
      </c>
      <c r="S33" s="2896"/>
      <c r="T33" s="2815"/>
      <c r="U33" s="2815"/>
      <c r="V33" s="2823"/>
    </row>
    <row r="34" spans="1:23" s="2827" customFormat="1" ht="13.15" customHeight="1">
      <c r="A34" s="2905">
        <v>5</v>
      </c>
      <c r="B34" s="2906" t="s">
        <v>2402</v>
      </c>
      <c r="C34" s="2951"/>
      <c r="D34" s="2952"/>
      <c r="E34" s="2953"/>
      <c r="F34" s="2910"/>
      <c r="G34" s="2904"/>
      <c r="H34" s="2932"/>
      <c r="I34" s="2923"/>
      <c r="J34" s="3690" t="s">
        <v>2305</v>
      </c>
      <c r="K34" s="3691"/>
      <c r="L34" s="2835"/>
      <c r="M34" s="2835"/>
      <c r="N34" s="2835"/>
      <c r="O34" s="2835"/>
      <c r="P34" s="2835"/>
      <c r="Q34" s="2836"/>
      <c r="R34" s="2954">
        <f>SUM(L34:Q34)</f>
        <v>0</v>
      </c>
      <c r="S34" s="2896"/>
      <c r="T34" s="2815"/>
      <c r="U34" s="2815" t="e">
        <f>ROUND(R35*10000/365/R33,1)</f>
        <v>#DIV/0!</v>
      </c>
      <c r="V34" s="2823"/>
    </row>
    <row r="35" spans="1:23" s="2827" customFormat="1" ht="13.15" customHeight="1">
      <c r="A35" s="2905">
        <v>6</v>
      </c>
      <c r="B35" s="2906" t="s">
        <v>2403</v>
      </c>
      <c r="C35" s="2955"/>
      <c r="D35" s="2956"/>
      <c r="E35" s="2957"/>
      <c r="F35" s="2910"/>
      <c r="G35" s="2958"/>
      <c r="H35" s="2822"/>
      <c r="I35" s="2923"/>
      <c r="J35" s="2841" t="s">
        <v>2307</v>
      </c>
      <c r="K35" s="2842"/>
      <c r="L35" s="2842"/>
      <c r="M35" s="2843"/>
      <c r="N35" s="2843"/>
      <c r="O35" s="2843"/>
      <c r="P35" s="2843"/>
      <c r="Q35" s="2843"/>
      <c r="R35" s="2959">
        <f>R40+R41+R43</f>
        <v>0</v>
      </c>
      <c r="S35" s="2896"/>
      <c r="T35" s="2815" t="s">
        <v>2308</v>
      </c>
      <c r="U35" s="2815"/>
      <c r="V35" s="2823"/>
    </row>
    <row r="36" spans="1:23" s="2827" customFormat="1" ht="13.15" customHeight="1" thickBot="1">
      <c r="A36" s="2905">
        <v>7</v>
      </c>
      <c r="B36" s="2960" t="s">
        <v>2404</v>
      </c>
      <c r="C36" s="2961"/>
      <c r="D36" s="2962"/>
      <c r="E36" s="2963"/>
      <c r="F36" s="2964">
        <f>C36+D36+E36</f>
        <v>0</v>
      </c>
      <c r="G36" s="2904"/>
      <c r="H36" s="2822"/>
      <c r="I36" s="2823"/>
      <c r="J36" s="3682">
        <v>1</v>
      </c>
      <c r="K36" s="3683" t="s">
        <v>2405</v>
      </c>
      <c r="L36" s="2848"/>
      <c r="M36" s="2849"/>
      <c r="N36" s="2849"/>
      <c r="O36" s="2849"/>
      <c r="P36" s="2849"/>
      <c r="Q36" s="2849"/>
      <c r="R36" s="2832" t="s">
        <v>2317</v>
      </c>
      <c r="S36" s="2896"/>
      <c r="T36" s="2815" t="s">
        <v>2318</v>
      </c>
      <c r="U36" s="2815"/>
      <c r="V36" s="2823"/>
    </row>
    <row r="37" spans="1:23" s="2827" customFormat="1" ht="13.15" customHeight="1">
      <c r="A37" s="2905"/>
      <c r="B37" s="2906"/>
      <c r="C37" s="2906"/>
      <c r="D37" s="2906"/>
      <c r="E37" s="2906"/>
      <c r="F37" s="2910"/>
      <c r="G37" s="2904"/>
      <c r="H37" s="2822"/>
      <c r="I37" s="2823"/>
      <c r="J37" s="3682"/>
      <c r="K37" s="3684"/>
      <c r="L37" s="2857"/>
      <c r="M37" s="2858"/>
      <c r="N37" s="2834"/>
      <c r="O37" s="2859"/>
      <c r="P37" s="2859"/>
      <c r="Q37" s="2860"/>
      <c r="R37" s="2861"/>
      <c r="S37" s="2896"/>
      <c r="T37" s="2815" t="s">
        <v>2321</v>
      </c>
      <c r="U37" s="2815"/>
      <c r="V37" s="2823"/>
    </row>
    <row r="38" spans="1:23" s="2827" customFormat="1" ht="13.15" customHeight="1">
      <c r="A38" s="2905">
        <v>8</v>
      </c>
      <c r="B38" s="2906"/>
      <c r="C38" s="2863" t="e">
        <f>ROUND(C32*(1-((1+C35)/(1+C34))^C36)/(C34-C35),0)</f>
        <v>#DIV/0!</v>
      </c>
      <c r="D38" s="2863">
        <f>IF(D23=0,0,ROUND(D32*(1-((1+D35)/(1+D34))^D36)/(D34-D35),0))</f>
        <v>0</v>
      </c>
      <c r="E38" s="2863">
        <f>IF(E23=0,0,ROUND(E32*(1-((1+E35)/(1+E34))^E36)/(E34-E35),0))</f>
        <v>0</v>
      </c>
      <c r="F38" s="2910"/>
      <c r="G38" s="2904"/>
      <c r="H38" s="2822"/>
      <c r="I38" s="2823"/>
      <c r="J38" s="3682"/>
      <c r="K38" s="3684"/>
      <c r="L38" s="2857"/>
      <c r="M38" s="2858"/>
      <c r="N38" s="2834"/>
      <c r="O38" s="2859"/>
      <c r="P38" s="2859"/>
      <c r="Q38" s="2860"/>
      <c r="R38" s="2861"/>
      <c r="S38" s="2896"/>
      <c r="T38" s="2815" t="s">
        <v>2328</v>
      </c>
      <c r="U38" s="2815"/>
      <c r="V38" s="2823"/>
    </row>
    <row r="39" spans="1:23" s="2827" customFormat="1" ht="13.15" customHeight="1">
      <c r="A39" s="2905">
        <v>9</v>
      </c>
      <c r="B39" s="2906" t="s">
        <v>2406</v>
      </c>
      <c r="C39" s="2871" t="e">
        <f>C38</f>
        <v>#DIV/0!</v>
      </c>
      <c r="D39" s="2906">
        <f>D38/(1+D34)^C36</f>
        <v>0</v>
      </c>
      <c r="E39" s="2906">
        <f>E38/(1+E34)^(C36+D36)</f>
        <v>0</v>
      </c>
      <c r="F39" s="2910"/>
      <c r="G39" s="2965"/>
      <c r="H39" s="2822"/>
      <c r="I39" s="2823"/>
      <c r="J39" s="3682"/>
      <c r="K39" s="3684"/>
      <c r="L39" s="2857"/>
      <c r="M39" s="2858"/>
      <c r="N39" s="2834"/>
      <c r="O39" s="2859"/>
      <c r="P39" s="2859"/>
      <c r="Q39" s="2860"/>
      <c r="R39" s="2861"/>
      <c r="S39" s="2896"/>
      <c r="T39" s="2815"/>
      <c r="U39" s="2815"/>
      <c r="V39" s="2823"/>
    </row>
    <row r="40" spans="1:23" s="2827" customFormat="1" ht="13.15" customHeight="1">
      <c r="A40" s="2966">
        <v>10</v>
      </c>
      <c r="B40" s="2906" t="s">
        <v>2407</v>
      </c>
      <c r="C40" s="2967" t="e">
        <f>C39+D39+E39</f>
        <v>#DIV/0!</v>
      </c>
      <c r="D40" s="2968"/>
      <c r="E40" s="2968"/>
      <c r="F40" s="2969"/>
      <c r="G40" s="2904"/>
      <c r="H40" s="2822"/>
      <c r="I40" s="2823"/>
      <c r="J40" s="3682"/>
      <c r="K40" s="3685"/>
      <c r="L40" s="2877" t="s">
        <v>2346</v>
      </c>
      <c r="M40" s="2878"/>
      <c r="N40" s="2878"/>
      <c r="O40" s="2879"/>
      <c r="P40" s="2879"/>
      <c r="Q40" s="2880"/>
      <c r="R40" s="2826">
        <f>SUM(R37:R39)</f>
        <v>0</v>
      </c>
      <c r="S40" s="2896"/>
      <c r="T40" s="2815"/>
      <c r="U40" s="2815"/>
      <c r="V40" s="2823"/>
    </row>
    <row r="41" spans="1:23" s="2827" customFormat="1" ht="13.15" customHeight="1" thickBot="1">
      <c r="A41" s="2970">
        <v>11</v>
      </c>
      <c r="B41" s="2971" t="s">
        <v>2408</v>
      </c>
      <c r="C41" s="2971" t="e">
        <f>ROUND(C40*10000/B4,0)</f>
        <v>#DIV/0!</v>
      </c>
      <c r="D41" s="2972"/>
      <c r="E41" s="2972"/>
      <c r="F41" s="2973"/>
      <c r="G41" s="2974"/>
      <c r="H41" s="2822"/>
      <c r="I41" s="2823"/>
      <c r="J41" s="2918">
        <v>2</v>
      </c>
      <c r="K41" s="2919" t="s">
        <v>2386</v>
      </c>
      <c r="L41" s="2920"/>
      <c r="M41" s="2920"/>
      <c r="N41" s="2920"/>
      <c r="O41" s="2920"/>
      <c r="P41" s="2921"/>
      <c r="Q41" s="2922"/>
      <c r="R41" s="2893">
        <f>ROUND(R40*Q41,0)</f>
        <v>0</v>
      </c>
      <c r="S41" s="2896"/>
      <c r="T41" s="2815"/>
      <c r="U41" s="2930"/>
      <c r="V41" s="2823"/>
    </row>
    <row r="42" spans="1:23" s="2827" customFormat="1" ht="13.15" customHeight="1">
      <c r="G42" s="2974"/>
      <c r="H42" s="2822"/>
      <c r="I42" s="2823"/>
      <c r="J42" s="3686">
        <v>3</v>
      </c>
      <c r="K42" s="2925" t="s">
        <v>2388</v>
      </c>
      <c r="L42" s="2926"/>
      <c r="M42" s="2927"/>
      <c r="N42" s="2928" t="s">
        <v>2389</v>
      </c>
      <c r="O42" s="2928" t="s">
        <v>2390</v>
      </c>
      <c r="P42" s="2929" t="s">
        <v>2391</v>
      </c>
      <c r="Q42" s="2929" t="s">
        <v>2392</v>
      </c>
      <c r="R42" s="2832" t="s">
        <v>2317</v>
      </c>
      <c r="S42" s="2930"/>
      <c r="T42" s="2930"/>
      <c r="U42" s="2815"/>
      <c r="V42" s="2823"/>
    </row>
    <row r="43" spans="1:23" ht="13.15" customHeight="1">
      <c r="A43" s="2827"/>
      <c r="B43" s="2827"/>
      <c r="C43" s="2827"/>
      <c r="D43" s="2827"/>
      <c r="E43" s="2827"/>
      <c r="F43" s="2827"/>
      <c r="I43" s="2810"/>
      <c r="J43" s="3687"/>
      <c r="K43" s="2933"/>
      <c r="L43" s="2934"/>
      <c r="M43" s="2935"/>
      <c r="N43" s="2858"/>
      <c r="O43" s="2858"/>
      <c r="P43" s="2858"/>
      <c r="Q43" s="2922"/>
      <c r="R43" s="2893">
        <f>ROUND(O43*N43*P43*(1-Q43)/10000,0)</f>
        <v>0</v>
      </c>
      <c r="S43" s="2896"/>
      <c r="T43" s="2815"/>
      <c r="V43" s="2976"/>
      <c r="W43" s="2977"/>
    </row>
    <row r="44" spans="1:23" ht="13.15" customHeight="1" thickBot="1">
      <c r="J44" s="2938">
        <v>6</v>
      </c>
      <c r="K44" s="2939" t="s">
        <v>2395</v>
      </c>
      <c r="L44" s="2978" t="s">
        <v>2396</v>
      </c>
      <c r="M44" s="2941"/>
      <c r="N44" s="2978" t="s">
        <v>2397</v>
      </c>
      <c r="O44" s="2941"/>
      <c r="P44" s="2978" t="s">
        <v>2398</v>
      </c>
      <c r="Q44" s="2943">
        <v>1.4999999999999999E-2</v>
      </c>
      <c r="R44" s="2944"/>
    </row>
  </sheetData>
  <sheetProtection password="CEE9" sheet="1" objects="1" scenarios="1" formatCells="0" formatColumns="0" formatRows="0"/>
  <mergeCells count="26">
    <mergeCell ref="J2:K2"/>
    <mergeCell ref="J3:K3"/>
    <mergeCell ref="J4:K4"/>
    <mergeCell ref="A6:C6"/>
    <mergeCell ref="J6:J14"/>
    <mergeCell ref="K6:K14"/>
    <mergeCell ref="B8:C8"/>
    <mergeCell ref="B9:C9"/>
    <mergeCell ref="B10:C10"/>
    <mergeCell ref="B11:C11"/>
    <mergeCell ref="B12:C12"/>
    <mergeCell ref="B14:C14"/>
    <mergeCell ref="B15:C15"/>
    <mergeCell ref="J15:J19"/>
    <mergeCell ref="K15:K19"/>
    <mergeCell ref="B16:C16"/>
    <mergeCell ref="B17:C17"/>
    <mergeCell ref="J36:J40"/>
    <mergeCell ref="K36:K40"/>
    <mergeCell ref="J42:J43"/>
    <mergeCell ref="J20:J24"/>
    <mergeCell ref="K20:K24"/>
    <mergeCell ref="J26:J27"/>
    <mergeCell ref="J32:K32"/>
    <mergeCell ref="J33:K33"/>
    <mergeCell ref="J34:K34"/>
  </mergeCells>
  <phoneticPr fontId="133" type="noConversion"/>
  <dataValidations count="3">
    <dataValidation type="list" allowBlank="1" showInputMessage="1" showErrorMessage="1" sqref="WVL983041 IZ1 SV1 ACR1 AMN1 AWJ1 BGF1 BQB1 BZX1 CJT1 CTP1 DDL1 DNH1 DXD1 EGZ1 EQV1 FAR1 FKN1 FUJ1 GEF1 GOB1 GXX1 HHT1 HRP1 IBL1 ILH1 IVD1 JEZ1 JOV1 JYR1 KIN1 KSJ1 LCF1 LMB1 LVX1 MFT1 MPP1 MZL1 NJH1 NTD1 OCZ1 OMV1 OWR1 PGN1 PQJ1 QAF1 QKB1 QTX1 RDT1 RNP1 RXL1 SHH1 SRD1 TAZ1 TKV1 TUR1 UEN1 UOJ1 UYF1 VIB1 VRX1 WBT1 WLP1 WVL1 D65537 IZ65537 SV65537 ACR65537 AMN65537 AWJ65537 BGF65537 BQB65537 BZX65537 CJT65537 CTP65537 DDL65537 DNH65537 DXD65537 EGZ65537 EQV65537 FAR65537 FKN65537 FUJ65537 GEF65537 GOB65537 GXX65537 HHT65537 HRP65537 IBL65537 ILH65537 IVD65537 JEZ65537 JOV65537 JYR65537 KIN65537 KSJ65537 LCF65537 LMB65537 LVX65537 MFT65537 MPP65537 MZL65537 NJH65537 NTD65537 OCZ65537 OMV65537 OWR65537 PGN65537 PQJ65537 QAF65537 QKB65537 QTX65537 RDT65537 RNP65537 RXL65537 SHH65537 SRD65537 TAZ65537 TKV65537 TUR65537 UEN65537 UOJ65537 UYF65537 VIB65537 VRX65537 WBT65537 WLP65537 WVL65537 D131073 IZ131073 SV131073 ACR131073 AMN131073 AWJ131073 BGF131073 BQB131073 BZX131073 CJT131073 CTP131073 DDL131073 DNH131073 DXD131073 EGZ131073 EQV131073 FAR131073 FKN131073 FUJ131073 GEF131073 GOB131073 GXX131073 HHT131073 HRP131073 IBL131073 ILH131073 IVD131073 JEZ131073 JOV131073 JYR131073 KIN131073 KSJ131073 LCF131073 LMB131073 LVX131073 MFT131073 MPP131073 MZL131073 NJH131073 NTD131073 OCZ131073 OMV131073 OWR131073 PGN131073 PQJ131073 QAF131073 QKB131073 QTX131073 RDT131073 RNP131073 RXL131073 SHH131073 SRD131073 TAZ131073 TKV131073 TUR131073 UEN131073 UOJ131073 UYF131073 VIB131073 VRX131073 WBT131073 WLP131073 WVL131073 D196609 IZ196609 SV196609 ACR196609 AMN196609 AWJ196609 BGF196609 BQB196609 BZX196609 CJT196609 CTP196609 DDL196609 DNH196609 DXD196609 EGZ196609 EQV196609 FAR196609 FKN196609 FUJ196609 GEF196609 GOB196609 GXX196609 HHT196609 HRP196609 IBL196609 ILH196609 IVD196609 JEZ196609 JOV196609 JYR196609 KIN196609 KSJ196609 LCF196609 LMB196609 LVX196609 MFT196609 MPP196609 MZL196609 NJH196609 NTD196609 OCZ196609 OMV196609 OWR196609 PGN196609 PQJ196609 QAF196609 QKB196609 QTX196609 RDT196609 RNP196609 RXL196609 SHH196609 SRD196609 TAZ196609 TKV196609 TUR196609 UEN196609 UOJ196609 UYF196609 VIB196609 VRX196609 WBT196609 WLP196609 WVL196609 D262145 IZ262145 SV262145 ACR262145 AMN262145 AWJ262145 BGF262145 BQB262145 BZX262145 CJT262145 CTP262145 DDL262145 DNH262145 DXD262145 EGZ262145 EQV262145 FAR262145 FKN262145 FUJ262145 GEF262145 GOB262145 GXX262145 HHT262145 HRP262145 IBL262145 ILH262145 IVD262145 JEZ262145 JOV262145 JYR262145 KIN262145 KSJ262145 LCF262145 LMB262145 LVX262145 MFT262145 MPP262145 MZL262145 NJH262145 NTD262145 OCZ262145 OMV262145 OWR262145 PGN262145 PQJ262145 QAF262145 QKB262145 QTX262145 RDT262145 RNP262145 RXL262145 SHH262145 SRD262145 TAZ262145 TKV262145 TUR262145 UEN262145 UOJ262145 UYF262145 VIB262145 VRX262145 WBT262145 WLP262145 WVL262145 D327681 IZ327681 SV327681 ACR327681 AMN327681 AWJ327681 BGF327681 BQB327681 BZX327681 CJT327681 CTP327681 DDL327681 DNH327681 DXD327681 EGZ327681 EQV327681 FAR327681 FKN327681 FUJ327681 GEF327681 GOB327681 GXX327681 HHT327681 HRP327681 IBL327681 ILH327681 IVD327681 JEZ327681 JOV327681 JYR327681 KIN327681 KSJ327681 LCF327681 LMB327681 LVX327681 MFT327681 MPP327681 MZL327681 NJH327681 NTD327681 OCZ327681 OMV327681 OWR327681 PGN327681 PQJ327681 QAF327681 QKB327681 QTX327681 RDT327681 RNP327681 RXL327681 SHH327681 SRD327681 TAZ327681 TKV327681 TUR327681 UEN327681 UOJ327681 UYF327681 VIB327681 VRX327681 WBT327681 WLP327681 WVL327681 D393217 IZ393217 SV393217 ACR393217 AMN393217 AWJ393217 BGF393217 BQB393217 BZX393217 CJT393217 CTP393217 DDL393217 DNH393217 DXD393217 EGZ393217 EQV393217 FAR393217 FKN393217 FUJ393217 GEF393217 GOB393217 GXX393217 HHT393217 HRP393217 IBL393217 ILH393217 IVD393217 JEZ393217 JOV393217 JYR393217 KIN393217 KSJ393217 LCF393217 LMB393217 LVX393217 MFT393217 MPP393217 MZL393217 NJH393217 NTD393217 OCZ393217 OMV393217 OWR393217 PGN393217 PQJ393217 QAF393217 QKB393217 QTX393217 RDT393217 RNP393217 RXL393217 SHH393217 SRD393217 TAZ393217 TKV393217 TUR393217 UEN393217 UOJ393217 UYF393217 VIB393217 VRX393217 WBT393217 WLP393217 WVL393217 D458753 IZ458753 SV458753 ACR458753 AMN458753 AWJ458753 BGF458753 BQB458753 BZX458753 CJT458753 CTP458753 DDL458753 DNH458753 DXD458753 EGZ458753 EQV458753 FAR458753 FKN458753 FUJ458753 GEF458753 GOB458753 GXX458753 HHT458753 HRP458753 IBL458753 ILH458753 IVD458753 JEZ458753 JOV458753 JYR458753 KIN458753 KSJ458753 LCF458753 LMB458753 LVX458753 MFT458753 MPP458753 MZL458753 NJH458753 NTD458753 OCZ458753 OMV458753 OWR458753 PGN458753 PQJ458753 QAF458753 QKB458753 QTX458753 RDT458753 RNP458753 RXL458753 SHH458753 SRD458753 TAZ458753 TKV458753 TUR458753 UEN458753 UOJ458753 UYF458753 VIB458753 VRX458753 WBT458753 WLP458753 WVL458753 D524289 IZ524289 SV524289 ACR524289 AMN524289 AWJ524289 BGF524289 BQB524289 BZX524289 CJT524289 CTP524289 DDL524289 DNH524289 DXD524289 EGZ524289 EQV524289 FAR524289 FKN524289 FUJ524289 GEF524289 GOB524289 GXX524289 HHT524289 HRP524289 IBL524289 ILH524289 IVD524289 JEZ524289 JOV524289 JYR524289 KIN524289 KSJ524289 LCF524289 LMB524289 LVX524289 MFT524289 MPP524289 MZL524289 NJH524289 NTD524289 OCZ524289 OMV524289 OWR524289 PGN524289 PQJ524289 QAF524289 QKB524289 QTX524289 RDT524289 RNP524289 RXL524289 SHH524289 SRD524289 TAZ524289 TKV524289 TUR524289 UEN524289 UOJ524289 UYF524289 VIB524289 VRX524289 WBT524289 WLP524289 WVL524289 D589825 IZ589825 SV589825 ACR589825 AMN589825 AWJ589825 BGF589825 BQB589825 BZX589825 CJT589825 CTP589825 DDL589825 DNH589825 DXD589825 EGZ589825 EQV589825 FAR589825 FKN589825 FUJ589825 GEF589825 GOB589825 GXX589825 HHT589825 HRP589825 IBL589825 ILH589825 IVD589825 JEZ589825 JOV589825 JYR589825 KIN589825 KSJ589825 LCF589825 LMB589825 LVX589825 MFT589825 MPP589825 MZL589825 NJH589825 NTD589825 OCZ589825 OMV589825 OWR589825 PGN589825 PQJ589825 QAF589825 QKB589825 QTX589825 RDT589825 RNP589825 RXL589825 SHH589825 SRD589825 TAZ589825 TKV589825 TUR589825 UEN589825 UOJ589825 UYF589825 VIB589825 VRX589825 WBT589825 WLP589825 WVL589825 D655361 IZ655361 SV655361 ACR655361 AMN655361 AWJ655361 BGF655361 BQB655361 BZX655361 CJT655361 CTP655361 DDL655361 DNH655361 DXD655361 EGZ655361 EQV655361 FAR655361 FKN655361 FUJ655361 GEF655361 GOB655361 GXX655361 HHT655361 HRP655361 IBL655361 ILH655361 IVD655361 JEZ655361 JOV655361 JYR655361 KIN655361 KSJ655361 LCF655361 LMB655361 LVX655361 MFT655361 MPP655361 MZL655361 NJH655361 NTD655361 OCZ655361 OMV655361 OWR655361 PGN655361 PQJ655361 QAF655361 QKB655361 QTX655361 RDT655361 RNP655361 RXL655361 SHH655361 SRD655361 TAZ655361 TKV655361 TUR655361 UEN655361 UOJ655361 UYF655361 VIB655361 VRX655361 WBT655361 WLP655361 WVL655361 D720897 IZ720897 SV720897 ACR720897 AMN720897 AWJ720897 BGF720897 BQB720897 BZX720897 CJT720897 CTP720897 DDL720897 DNH720897 DXD720897 EGZ720897 EQV720897 FAR720897 FKN720897 FUJ720897 GEF720897 GOB720897 GXX720897 HHT720897 HRP720897 IBL720897 ILH720897 IVD720897 JEZ720897 JOV720897 JYR720897 KIN720897 KSJ720897 LCF720897 LMB720897 LVX720897 MFT720897 MPP720897 MZL720897 NJH720897 NTD720897 OCZ720897 OMV720897 OWR720897 PGN720897 PQJ720897 QAF720897 QKB720897 QTX720897 RDT720897 RNP720897 RXL720897 SHH720897 SRD720897 TAZ720897 TKV720897 TUR720897 UEN720897 UOJ720897 UYF720897 VIB720897 VRX720897 WBT720897 WLP720897 WVL720897 D786433 IZ786433 SV786433 ACR786433 AMN786433 AWJ786433 BGF786433 BQB786433 BZX786433 CJT786433 CTP786433 DDL786433 DNH786433 DXD786433 EGZ786433 EQV786433 FAR786433 FKN786433 FUJ786433 GEF786433 GOB786433 GXX786433 HHT786433 HRP786433 IBL786433 ILH786433 IVD786433 JEZ786433 JOV786433 JYR786433 KIN786433 KSJ786433 LCF786433 LMB786433 LVX786433 MFT786433 MPP786433 MZL786433 NJH786433 NTD786433 OCZ786433 OMV786433 OWR786433 PGN786433 PQJ786433 QAF786433 QKB786433 QTX786433 RDT786433 RNP786433 RXL786433 SHH786433 SRD786433 TAZ786433 TKV786433 TUR786433 UEN786433 UOJ786433 UYF786433 VIB786433 VRX786433 WBT786433 WLP786433 WVL786433 D851969 IZ851969 SV851969 ACR851969 AMN851969 AWJ851969 BGF851969 BQB851969 BZX851969 CJT851969 CTP851969 DDL851969 DNH851969 DXD851969 EGZ851969 EQV851969 FAR851969 FKN851969 FUJ851969 GEF851969 GOB851969 GXX851969 HHT851969 HRP851969 IBL851969 ILH851969 IVD851969 JEZ851969 JOV851969 JYR851969 KIN851969 KSJ851969 LCF851969 LMB851969 LVX851969 MFT851969 MPP851969 MZL851969 NJH851969 NTD851969 OCZ851969 OMV851969 OWR851969 PGN851969 PQJ851969 QAF851969 QKB851969 QTX851969 RDT851969 RNP851969 RXL851969 SHH851969 SRD851969 TAZ851969 TKV851969 TUR851969 UEN851969 UOJ851969 UYF851969 VIB851969 VRX851969 WBT851969 WLP851969 WVL851969 D917505 IZ917505 SV917505 ACR917505 AMN917505 AWJ917505 BGF917505 BQB917505 BZX917505 CJT917505 CTP917505 DDL917505 DNH917505 DXD917505 EGZ917505 EQV917505 FAR917505 FKN917505 FUJ917505 GEF917505 GOB917505 GXX917505 HHT917505 HRP917505 IBL917505 ILH917505 IVD917505 JEZ917505 JOV917505 JYR917505 KIN917505 KSJ917505 LCF917505 LMB917505 LVX917505 MFT917505 MPP917505 MZL917505 NJH917505 NTD917505 OCZ917505 OMV917505 OWR917505 PGN917505 PQJ917505 QAF917505 QKB917505 QTX917505 RDT917505 RNP917505 RXL917505 SHH917505 SRD917505 TAZ917505 TKV917505 TUR917505 UEN917505 UOJ917505 UYF917505 VIB917505 VRX917505 WBT917505 WLP917505 WVL917505 D983041 IZ983041 SV983041 ACR983041 AMN983041 AWJ983041 BGF983041 BQB983041 BZX983041 CJT983041 CTP983041 DDL983041 DNH983041 DXD983041 EGZ983041 EQV983041 FAR983041 FKN983041 FUJ983041 GEF983041 GOB983041 GXX983041 HHT983041 HRP983041 IBL983041 ILH983041 IVD983041 JEZ983041 JOV983041 JYR983041 KIN983041 KSJ983041 LCF983041 LMB983041 LVX983041 MFT983041 MPP983041 MZL983041 NJH983041 NTD983041 OCZ983041 OMV983041 OWR983041 PGN983041 PQJ983041 QAF983041 QKB983041 QTX983041 RDT983041 RNP983041 RXL983041 SHH983041 SRD983041 TAZ983041 TKV983041 TUR983041 UEN983041 UOJ983041 UYF983041 VIB983041 VRX983041 WBT983041 WLP983041">
      <formula1>"在建（套用方法）,土地（套用方法）,——"</formula1>
    </dataValidation>
    <dataValidation type="list" allowBlank="1" showInputMessage="1" showErrorMessage="1" sqref="P19 JL19 TH19 ADD19 AMZ19 AWV19 BGR19 BQN19 CAJ19 CKF19 CUB19 DDX19 DNT19 DXP19 EHL19 ERH19 FBD19 FKZ19 FUV19 GER19 GON19 GYJ19 HIF19 HSB19 IBX19 ILT19 IVP19 JFL19 JPH19 JZD19 KIZ19 KSV19 LCR19 LMN19 LWJ19 MGF19 MQB19 MZX19 NJT19 NTP19 ODL19 ONH19 OXD19 PGZ19 PQV19 QAR19 QKN19 QUJ19 REF19 ROB19 RXX19 SHT19 SRP19 TBL19 TLH19 TVD19 UEZ19 UOV19 UYR19 VIN19 VSJ19 WCF19 WMB19 WVX19 P65555 JL65555 TH65555 ADD65555 AMZ65555 AWV65555 BGR65555 BQN65555 CAJ65555 CKF65555 CUB65555 DDX65555 DNT65555 DXP65555 EHL65555 ERH65555 FBD65555 FKZ65555 FUV65555 GER65555 GON65555 GYJ65555 HIF65555 HSB65555 IBX65555 ILT65555 IVP65555 JFL65555 JPH65555 JZD65555 KIZ65555 KSV65555 LCR65555 LMN65555 LWJ65555 MGF65555 MQB65555 MZX65555 NJT65555 NTP65555 ODL65555 ONH65555 OXD65555 PGZ65555 PQV65555 QAR65555 QKN65555 QUJ65555 REF65555 ROB65555 RXX65555 SHT65555 SRP65555 TBL65555 TLH65555 TVD65555 UEZ65555 UOV65555 UYR65555 VIN65555 VSJ65555 WCF65555 WMB65555 WVX65555 P131091 JL131091 TH131091 ADD131091 AMZ131091 AWV131091 BGR131091 BQN131091 CAJ131091 CKF131091 CUB131091 DDX131091 DNT131091 DXP131091 EHL131091 ERH131091 FBD131091 FKZ131091 FUV131091 GER131091 GON131091 GYJ131091 HIF131091 HSB131091 IBX131091 ILT131091 IVP131091 JFL131091 JPH131091 JZD131091 KIZ131091 KSV131091 LCR131091 LMN131091 LWJ131091 MGF131091 MQB131091 MZX131091 NJT131091 NTP131091 ODL131091 ONH131091 OXD131091 PGZ131091 PQV131091 QAR131091 QKN131091 QUJ131091 REF131091 ROB131091 RXX131091 SHT131091 SRP131091 TBL131091 TLH131091 TVD131091 UEZ131091 UOV131091 UYR131091 VIN131091 VSJ131091 WCF131091 WMB131091 WVX131091 P196627 JL196627 TH196627 ADD196627 AMZ196627 AWV196627 BGR196627 BQN196627 CAJ196627 CKF196627 CUB196627 DDX196627 DNT196627 DXP196627 EHL196627 ERH196627 FBD196627 FKZ196627 FUV196627 GER196627 GON196627 GYJ196627 HIF196627 HSB196627 IBX196627 ILT196627 IVP196627 JFL196627 JPH196627 JZD196627 KIZ196627 KSV196627 LCR196627 LMN196627 LWJ196627 MGF196627 MQB196627 MZX196627 NJT196627 NTP196627 ODL196627 ONH196627 OXD196627 PGZ196627 PQV196627 QAR196627 QKN196627 QUJ196627 REF196627 ROB196627 RXX196627 SHT196627 SRP196627 TBL196627 TLH196627 TVD196627 UEZ196627 UOV196627 UYR196627 VIN196627 VSJ196627 WCF196627 WMB196627 WVX196627 P262163 JL262163 TH262163 ADD262163 AMZ262163 AWV262163 BGR262163 BQN262163 CAJ262163 CKF262163 CUB262163 DDX262163 DNT262163 DXP262163 EHL262163 ERH262163 FBD262163 FKZ262163 FUV262163 GER262163 GON262163 GYJ262163 HIF262163 HSB262163 IBX262163 ILT262163 IVP262163 JFL262163 JPH262163 JZD262163 KIZ262163 KSV262163 LCR262163 LMN262163 LWJ262163 MGF262163 MQB262163 MZX262163 NJT262163 NTP262163 ODL262163 ONH262163 OXD262163 PGZ262163 PQV262163 QAR262163 QKN262163 QUJ262163 REF262163 ROB262163 RXX262163 SHT262163 SRP262163 TBL262163 TLH262163 TVD262163 UEZ262163 UOV262163 UYR262163 VIN262163 VSJ262163 WCF262163 WMB262163 WVX262163 P327699 JL327699 TH327699 ADD327699 AMZ327699 AWV327699 BGR327699 BQN327699 CAJ327699 CKF327699 CUB327699 DDX327699 DNT327699 DXP327699 EHL327699 ERH327699 FBD327699 FKZ327699 FUV327699 GER327699 GON327699 GYJ327699 HIF327699 HSB327699 IBX327699 ILT327699 IVP327699 JFL327699 JPH327699 JZD327699 KIZ327699 KSV327699 LCR327699 LMN327699 LWJ327699 MGF327699 MQB327699 MZX327699 NJT327699 NTP327699 ODL327699 ONH327699 OXD327699 PGZ327699 PQV327699 QAR327699 QKN327699 QUJ327699 REF327699 ROB327699 RXX327699 SHT327699 SRP327699 TBL327699 TLH327699 TVD327699 UEZ327699 UOV327699 UYR327699 VIN327699 VSJ327699 WCF327699 WMB327699 WVX327699 P393235 JL393235 TH393235 ADD393235 AMZ393235 AWV393235 BGR393235 BQN393235 CAJ393235 CKF393235 CUB393235 DDX393235 DNT393235 DXP393235 EHL393235 ERH393235 FBD393235 FKZ393235 FUV393235 GER393235 GON393235 GYJ393235 HIF393235 HSB393235 IBX393235 ILT393235 IVP393235 JFL393235 JPH393235 JZD393235 KIZ393235 KSV393235 LCR393235 LMN393235 LWJ393235 MGF393235 MQB393235 MZX393235 NJT393235 NTP393235 ODL393235 ONH393235 OXD393235 PGZ393235 PQV393235 QAR393235 QKN393235 QUJ393235 REF393235 ROB393235 RXX393235 SHT393235 SRP393235 TBL393235 TLH393235 TVD393235 UEZ393235 UOV393235 UYR393235 VIN393235 VSJ393235 WCF393235 WMB393235 WVX393235 P458771 JL458771 TH458771 ADD458771 AMZ458771 AWV458771 BGR458771 BQN458771 CAJ458771 CKF458771 CUB458771 DDX458771 DNT458771 DXP458771 EHL458771 ERH458771 FBD458771 FKZ458771 FUV458771 GER458771 GON458771 GYJ458771 HIF458771 HSB458771 IBX458771 ILT458771 IVP458771 JFL458771 JPH458771 JZD458771 KIZ458771 KSV458771 LCR458771 LMN458771 LWJ458771 MGF458771 MQB458771 MZX458771 NJT458771 NTP458771 ODL458771 ONH458771 OXD458771 PGZ458771 PQV458771 QAR458771 QKN458771 QUJ458771 REF458771 ROB458771 RXX458771 SHT458771 SRP458771 TBL458771 TLH458771 TVD458771 UEZ458771 UOV458771 UYR458771 VIN458771 VSJ458771 WCF458771 WMB458771 WVX458771 P524307 JL524307 TH524307 ADD524307 AMZ524307 AWV524307 BGR524307 BQN524307 CAJ524307 CKF524307 CUB524307 DDX524307 DNT524307 DXP524307 EHL524307 ERH524307 FBD524307 FKZ524307 FUV524307 GER524307 GON524307 GYJ524307 HIF524307 HSB524307 IBX524307 ILT524307 IVP524307 JFL524307 JPH524307 JZD524307 KIZ524307 KSV524307 LCR524307 LMN524307 LWJ524307 MGF524307 MQB524307 MZX524307 NJT524307 NTP524307 ODL524307 ONH524307 OXD524307 PGZ524307 PQV524307 QAR524307 QKN524307 QUJ524307 REF524307 ROB524307 RXX524307 SHT524307 SRP524307 TBL524307 TLH524307 TVD524307 UEZ524307 UOV524307 UYR524307 VIN524307 VSJ524307 WCF524307 WMB524307 WVX524307 P589843 JL589843 TH589843 ADD589843 AMZ589843 AWV589843 BGR589843 BQN589843 CAJ589843 CKF589843 CUB589843 DDX589843 DNT589843 DXP589843 EHL589843 ERH589843 FBD589843 FKZ589843 FUV589843 GER589843 GON589843 GYJ589843 HIF589843 HSB589843 IBX589843 ILT589843 IVP589843 JFL589843 JPH589843 JZD589843 KIZ589843 KSV589843 LCR589843 LMN589843 LWJ589843 MGF589843 MQB589843 MZX589843 NJT589843 NTP589843 ODL589843 ONH589843 OXD589843 PGZ589843 PQV589843 QAR589843 QKN589843 QUJ589843 REF589843 ROB589843 RXX589843 SHT589843 SRP589843 TBL589843 TLH589843 TVD589843 UEZ589843 UOV589843 UYR589843 VIN589843 VSJ589843 WCF589843 WMB589843 WVX589843 P655379 JL655379 TH655379 ADD655379 AMZ655379 AWV655379 BGR655379 BQN655379 CAJ655379 CKF655379 CUB655379 DDX655379 DNT655379 DXP655379 EHL655379 ERH655379 FBD655379 FKZ655379 FUV655379 GER655379 GON655379 GYJ655379 HIF655379 HSB655379 IBX655379 ILT655379 IVP655379 JFL655379 JPH655379 JZD655379 KIZ655379 KSV655379 LCR655379 LMN655379 LWJ655379 MGF655379 MQB655379 MZX655379 NJT655379 NTP655379 ODL655379 ONH655379 OXD655379 PGZ655379 PQV655379 QAR655379 QKN655379 QUJ655379 REF655379 ROB655379 RXX655379 SHT655379 SRP655379 TBL655379 TLH655379 TVD655379 UEZ655379 UOV655379 UYR655379 VIN655379 VSJ655379 WCF655379 WMB655379 WVX655379 P720915 JL720915 TH720915 ADD720915 AMZ720915 AWV720915 BGR720915 BQN720915 CAJ720915 CKF720915 CUB720915 DDX720915 DNT720915 DXP720915 EHL720915 ERH720915 FBD720915 FKZ720915 FUV720915 GER720915 GON720915 GYJ720915 HIF720915 HSB720915 IBX720915 ILT720915 IVP720915 JFL720915 JPH720915 JZD720915 KIZ720915 KSV720915 LCR720915 LMN720915 LWJ720915 MGF720915 MQB720915 MZX720915 NJT720915 NTP720915 ODL720915 ONH720915 OXD720915 PGZ720915 PQV720915 QAR720915 QKN720915 QUJ720915 REF720915 ROB720915 RXX720915 SHT720915 SRP720915 TBL720915 TLH720915 TVD720915 UEZ720915 UOV720915 UYR720915 VIN720915 VSJ720915 WCF720915 WMB720915 WVX720915 P786451 JL786451 TH786451 ADD786451 AMZ786451 AWV786451 BGR786451 BQN786451 CAJ786451 CKF786451 CUB786451 DDX786451 DNT786451 DXP786451 EHL786451 ERH786451 FBD786451 FKZ786451 FUV786451 GER786451 GON786451 GYJ786451 HIF786451 HSB786451 IBX786451 ILT786451 IVP786451 JFL786451 JPH786451 JZD786451 KIZ786451 KSV786451 LCR786451 LMN786451 LWJ786451 MGF786451 MQB786451 MZX786451 NJT786451 NTP786451 ODL786451 ONH786451 OXD786451 PGZ786451 PQV786451 QAR786451 QKN786451 QUJ786451 REF786451 ROB786451 RXX786451 SHT786451 SRP786451 TBL786451 TLH786451 TVD786451 UEZ786451 UOV786451 UYR786451 VIN786451 VSJ786451 WCF786451 WMB786451 WVX786451 P851987 JL851987 TH851987 ADD851987 AMZ851987 AWV851987 BGR851987 BQN851987 CAJ851987 CKF851987 CUB851987 DDX851987 DNT851987 DXP851987 EHL851987 ERH851987 FBD851987 FKZ851987 FUV851987 GER851987 GON851987 GYJ851987 HIF851987 HSB851987 IBX851987 ILT851987 IVP851987 JFL851987 JPH851987 JZD851987 KIZ851987 KSV851987 LCR851987 LMN851987 LWJ851987 MGF851987 MQB851987 MZX851987 NJT851987 NTP851987 ODL851987 ONH851987 OXD851987 PGZ851987 PQV851987 QAR851987 QKN851987 QUJ851987 REF851987 ROB851987 RXX851987 SHT851987 SRP851987 TBL851987 TLH851987 TVD851987 UEZ851987 UOV851987 UYR851987 VIN851987 VSJ851987 WCF851987 WMB851987 WVX851987 P917523 JL917523 TH917523 ADD917523 AMZ917523 AWV917523 BGR917523 BQN917523 CAJ917523 CKF917523 CUB917523 DDX917523 DNT917523 DXP917523 EHL917523 ERH917523 FBD917523 FKZ917523 FUV917523 GER917523 GON917523 GYJ917523 HIF917523 HSB917523 IBX917523 ILT917523 IVP917523 JFL917523 JPH917523 JZD917523 KIZ917523 KSV917523 LCR917523 LMN917523 LWJ917523 MGF917523 MQB917523 MZX917523 NJT917523 NTP917523 ODL917523 ONH917523 OXD917523 PGZ917523 PQV917523 QAR917523 QKN917523 QUJ917523 REF917523 ROB917523 RXX917523 SHT917523 SRP917523 TBL917523 TLH917523 TVD917523 UEZ917523 UOV917523 UYR917523 VIN917523 VSJ917523 WCF917523 WMB917523 WVX917523 P983059 JL983059 TH983059 ADD983059 AMZ983059 AWV983059 BGR983059 BQN983059 CAJ983059 CKF983059 CUB983059 DDX983059 DNT983059 DXP983059 EHL983059 ERH983059 FBD983059 FKZ983059 FUV983059 GER983059 GON983059 GYJ983059 HIF983059 HSB983059 IBX983059 ILT983059 IVP983059 JFL983059 JPH983059 JZD983059 KIZ983059 KSV983059 LCR983059 LMN983059 LWJ983059 MGF983059 MQB983059 MZX983059 NJT983059 NTP983059 ODL983059 ONH983059 OXD983059 PGZ983059 PQV983059 QAR983059 QKN983059 QUJ983059 REF983059 ROB983059 RXX983059 SHT983059 SRP983059 TBL983059 TLH983059 TVD983059 UEZ983059 UOV983059 UYR983059 VIN983059 VSJ983059 WCF983059 WMB983059 WVX983059 P24 JL24 TH24 ADD24 AMZ24 AWV24 BGR24 BQN24 CAJ24 CKF24 CUB24 DDX24 DNT24 DXP24 EHL24 ERH24 FBD24 FKZ24 FUV24 GER24 GON24 GYJ24 HIF24 HSB24 IBX24 ILT24 IVP24 JFL24 JPH24 JZD24 KIZ24 KSV24 LCR24 LMN24 LWJ24 MGF24 MQB24 MZX24 NJT24 NTP24 ODL24 ONH24 OXD24 PGZ24 PQV24 QAR24 QKN24 QUJ24 REF24 ROB24 RXX24 SHT24 SRP24 TBL24 TLH24 TVD24 UEZ24 UOV24 UYR24 VIN24 VSJ24 WCF24 WMB24 WVX24 P65560 JL65560 TH65560 ADD65560 AMZ65560 AWV65560 BGR65560 BQN65560 CAJ65560 CKF65560 CUB65560 DDX65560 DNT65560 DXP65560 EHL65560 ERH65560 FBD65560 FKZ65560 FUV65560 GER65560 GON65560 GYJ65560 HIF65560 HSB65560 IBX65560 ILT65560 IVP65560 JFL65560 JPH65560 JZD65560 KIZ65560 KSV65560 LCR65560 LMN65560 LWJ65560 MGF65560 MQB65560 MZX65560 NJT65560 NTP65560 ODL65560 ONH65560 OXD65560 PGZ65560 PQV65560 QAR65560 QKN65560 QUJ65560 REF65560 ROB65560 RXX65560 SHT65560 SRP65560 TBL65560 TLH65560 TVD65560 UEZ65560 UOV65560 UYR65560 VIN65560 VSJ65560 WCF65560 WMB65560 WVX65560 P131096 JL131096 TH131096 ADD131096 AMZ131096 AWV131096 BGR131096 BQN131096 CAJ131096 CKF131096 CUB131096 DDX131096 DNT131096 DXP131096 EHL131096 ERH131096 FBD131096 FKZ131096 FUV131096 GER131096 GON131096 GYJ131096 HIF131096 HSB131096 IBX131096 ILT131096 IVP131096 JFL131096 JPH131096 JZD131096 KIZ131096 KSV131096 LCR131096 LMN131096 LWJ131096 MGF131096 MQB131096 MZX131096 NJT131096 NTP131096 ODL131096 ONH131096 OXD131096 PGZ131096 PQV131096 QAR131096 QKN131096 QUJ131096 REF131096 ROB131096 RXX131096 SHT131096 SRP131096 TBL131096 TLH131096 TVD131096 UEZ131096 UOV131096 UYR131096 VIN131096 VSJ131096 WCF131096 WMB131096 WVX131096 P196632 JL196632 TH196632 ADD196632 AMZ196632 AWV196632 BGR196632 BQN196632 CAJ196632 CKF196632 CUB196632 DDX196632 DNT196632 DXP196632 EHL196632 ERH196632 FBD196632 FKZ196632 FUV196632 GER196632 GON196632 GYJ196632 HIF196632 HSB196632 IBX196632 ILT196632 IVP196632 JFL196632 JPH196632 JZD196632 KIZ196632 KSV196632 LCR196632 LMN196632 LWJ196632 MGF196632 MQB196632 MZX196632 NJT196632 NTP196632 ODL196632 ONH196632 OXD196632 PGZ196632 PQV196632 QAR196632 QKN196632 QUJ196632 REF196632 ROB196632 RXX196632 SHT196632 SRP196632 TBL196632 TLH196632 TVD196632 UEZ196632 UOV196632 UYR196632 VIN196632 VSJ196632 WCF196632 WMB196632 WVX196632 P262168 JL262168 TH262168 ADD262168 AMZ262168 AWV262168 BGR262168 BQN262168 CAJ262168 CKF262168 CUB262168 DDX262168 DNT262168 DXP262168 EHL262168 ERH262168 FBD262168 FKZ262168 FUV262168 GER262168 GON262168 GYJ262168 HIF262168 HSB262168 IBX262168 ILT262168 IVP262168 JFL262168 JPH262168 JZD262168 KIZ262168 KSV262168 LCR262168 LMN262168 LWJ262168 MGF262168 MQB262168 MZX262168 NJT262168 NTP262168 ODL262168 ONH262168 OXD262168 PGZ262168 PQV262168 QAR262168 QKN262168 QUJ262168 REF262168 ROB262168 RXX262168 SHT262168 SRP262168 TBL262168 TLH262168 TVD262168 UEZ262168 UOV262168 UYR262168 VIN262168 VSJ262168 WCF262168 WMB262168 WVX262168 P327704 JL327704 TH327704 ADD327704 AMZ327704 AWV327704 BGR327704 BQN327704 CAJ327704 CKF327704 CUB327704 DDX327704 DNT327704 DXP327704 EHL327704 ERH327704 FBD327704 FKZ327704 FUV327704 GER327704 GON327704 GYJ327704 HIF327704 HSB327704 IBX327704 ILT327704 IVP327704 JFL327704 JPH327704 JZD327704 KIZ327704 KSV327704 LCR327704 LMN327704 LWJ327704 MGF327704 MQB327704 MZX327704 NJT327704 NTP327704 ODL327704 ONH327704 OXD327704 PGZ327704 PQV327704 QAR327704 QKN327704 QUJ327704 REF327704 ROB327704 RXX327704 SHT327704 SRP327704 TBL327704 TLH327704 TVD327704 UEZ327704 UOV327704 UYR327704 VIN327704 VSJ327704 WCF327704 WMB327704 WVX327704 P393240 JL393240 TH393240 ADD393240 AMZ393240 AWV393240 BGR393240 BQN393240 CAJ393240 CKF393240 CUB393240 DDX393240 DNT393240 DXP393240 EHL393240 ERH393240 FBD393240 FKZ393240 FUV393240 GER393240 GON393240 GYJ393240 HIF393240 HSB393240 IBX393240 ILT393240 IVP393240 JFL393240 JPH393240 JZD393240 KIZ393240 KSV393240 LCR393240 LMN393240 LWJ393240 MGF393240 MQB393240 MZX393240 NJT393240 NTP393240 ODL393240 ONH393240 OXD393240 PGZ393240 PQV393240 QAR393240 QKN393240 QUJ393240 REF393240 ROB393240 RXX393240 SHT393240 SRP393240 TBL393240 TLH393240 TVD393240 UEZ393240 UOV393240 UYR393240 VIN393240 VSJ393240 WCF393240 WMB393240 WVX393240 P458776 JL458776 TH458776 ADD458776 AMZ458776 AWV458776 BGR458776 BQN458776 CAJ458776 CKF458776 CUB458776 DDX458776 DNT458776 DXP458776 EHL458776 ERH458776 FBD458776 FKZ458776 FUV458776 GER458776 GON458776 GYJ458776 HIF458776 HSB458776 IBX458776 ILT458776 IVP458776 JFL458776 JPH458776 JZD458776 KIZ458776 KSV458776 LCR458776 LMN458776 LWJ458776 MGF458776 MQB458776 MZX458776 NJT458776 NTP458776 ODL458776 ONH458776 OXD458776 PGZ458776 PQV458776 QAR458776 QKN458776 QUJ458776 REF458776 ROB458776 RXX458776 SHT458776 SRP458776 TBL458776 TLH458776 TVD458776 UEZ458776 UOV458776 UYR458776 VIN458776 VSJ458776 WCF458776 WMB458776 WVX458776 P524312 JL524312 TH524312 ADD524312 AMZ524312 AWV524312 BGR524312 BQN524312 CAJ524312 CKF524312 CUB524312 DDX524312 DNT524312 DXP524312 EHL524312 ERH524312 FBD524312 FKZ524312 FUV524312 GER524312 GON524312 GYJ524312 HIF524312 HSB524312 IBX524312 ILT524312 IVP524312 JFL524312 JPH524312 JZD524312 KIZ524312 KSV524312 LCR524312 LMN524312 LWJ524312 MGF524312 MQB524312 MZX524312 NJT524312 NTP524312 ODL524312 ONH524312 OXD524312 PGZ524312 PQV524312 QAR524312 QKN524312 QUJ524312 REF524312 ROB524312 RXX524312 SHT524312 SRP524312 TBL524312 TLH524312 TVD524312 UEZ524312 UOV524312 UYR524312 VIN524312 VSJ524312 WCF524312 WMB524312 WVX524312 P589848 JL589848 TH589848 ADD589848 AMZ589848 AWV589848 BGR589848 BQN589848 CAJ589848 CKF589848 CUB589848 DDX589848 DNT589848 DXP589848 EHL589848 ERH589848 FBD589848 FKZ589848 FUV589848 GER589848 GON589848 GYJ589848 HIF589848 HSB589848 IBX589848 ILT589848 IVP589848 JFL589848 JPH589848 JZD589848 KIZ589848 KSV589848 LCR589848 LMN589848 LWJ589848 MGF589848 MQB589848 MZX589848 NJT589848 NTP589848 ODL589848 ONH589848 OXD589848 PGZ589848 PQV589848 QAR589848 QKN589848 QUJ589848 REF589848 ROB589848 RXX589848 SHT589848 SRP589848 TBL589848 TLH589848 TVD589848 UEZ589848 UOV589848 UYR589848 VIN589848 VSJ589848 WCF589848 WMB589848 WVX589848 P655384 JL655384 TH655384 ADD655384 AMZ655384 AWV655384 BGR655384 BQN655384 CAJ655384 CKF655384 CUB655384 DDX655384 DNT655384 DXP655384 EHL655384 ERH655384 FBD655384 FKZ655384 FUV655384 GER655384 GON655384 GYJ655384 HIF655384 HSB655384 IBX655384 ILT655384 IVP655384 JFL655384 JPH655384 JZD655384 KIZ655384 KSV655384 LCR655384 LMN655384 LWJ655384 MGF655384 MQB655384 MZX655384 NJT655384 NTP655384 ODL655384 ONH655384 OXD655384 PGZ655384 PQV655384 QAR655384 QKN655384 QUJ655384 REF655384 ROB655384 RXX655384 SHT655384 SRP655384 TBL655384 TLH655384 TVD655384 UEZ655384 UOV655384 UYR655384 VIN655384 VSJ655384 WCF655384 WMB655384 WVX655384 P720920 JL720920 TH720920 ADD720920 AMZ720920 AWV720920 BGR720920 BQN720920 CAJ720920 CKF720920 CUB720920 DDX720920 DNT720920 DXP720920 EHL720920 ERH720920 FBD720920 FKZ720920 FUV720920 GER720920 GON720920 GYJ720920 HIF720920 HSB720920 IBX720920 ILT720920 IVP720920 JFL720920 JPH720920 JZD720920 KIZ720920 KSV720920 LCR720920 LMN720920 LWJ720920 MGF720920 MQB720920 MZX720920 NJT720920 NTP720920 ODL720920 ONH720920 OXD720920 PGZ720920 PQV720920 QAR720920 QKN720920 QUJ720920 REF720920 ROB720920 RXX720920 SHT720920 SRP720920 TBL720920 TLH720920 TVD720920 UEZ720920 UOV720920 UYR720920 VIN720920 VSJ720920 WCF720920 WMB720920 WVX720920 P786456 JL786456 TH786456 ADD786456 AMZ786456 AWV786456 BGR786456 BQN786456 CAJ786456 CKF786456 CUB786456 DDX786456 DNT786456 DXP786456 EHL786456 ERH786456 FBD786456 FKZ786456 FUV786456 GER786456 GON786456 GYJ786456 HIF786456 HSB786456 IBX786456 ILT786456 IVP786456 JFL786456 JPH786456 JZD786456 KIZ786456 KSV786456 LCR786456 LMN786456 LWJ786456 MGF786456 MQB786456 MZX786456 NJT786456 NTP786456 ODL786456 ONH786456 OXD786456 PGZ786456 PQV786456 QAR786456 QKN786456 QUJ786456 REF786456 ROB786456 RXX786456 SHT786456 SRP786456 TBL786456 TLH786456 TVD786456 UEZ786456 UOV786456 UYR786456 VIN786456 VSJ786456 WCF786456 WMB786456 WVX786456 P851992 JL851992 TH851992 ADD851992 AMZ851992 AWV851992 BGR851992 BQN851992 CAJ851992 CKF851992 CUB851992 DDX851992 DNT851992 DXP851992 EHL851992 ERH851992 FBD851992 FKZ851992 FUV851992 GER851992 GON851992 GYJ851992 HIF851992 HSB851992 IBX851992 ILT851992 IVP851992 JFL851992 JPH851992 JZD851992 KIZ851992 KSV851992 LCR851992 LMN851992 LWJ851992 MGF851992 MQB851992 MZX851992 NJT851992 NTP851992 ODL851992 ONH851992 OXD851992 PGZ851992 PQV851992 QAR851992 QKN851992 QUJ851992 REF851992 ROB851992 RXX851992 SHT851992 SRP851992 TBL851992 TLH851992 TVD851992 UEZ851992 UOV851992 UYR851992 VIN851992 VSJ851992 WCF851992 WMB851992 WVX851992 P917528 JL917528 TH917528 ADD917528 AMZ917528 AWV917528 BGR917528 BQN917528 CAJ917528 CKF917528 CUB917528 DDX917528 DNT917528 DXP917528 EHL917528 ERH917528 FBD917528 FKZ917528 FUV917528 GER917528 GON917528 GYJ917528 HIF917528 HSB917528 IBX917528 ILT917528 IVP917528 JFL917528 JPH917528 JZD917528 KIZ917528 KSV917528 LCR917528 LMN917528 LWJ917528 MGF917528 MQB917528 MZX917528 NJT917528 NTP917528 ODL917528 ONH917528 OXD917528 PGZ917528 PQV917528 QAR917528 QKN917528 QUJ917528 REF917528 ROB917528 RXX917528 SHT917528 SRP917528 TBL917528 TLH917528 TVD917528 UEZ917528 UOV917528 UYR917528 VIN917528 VSJ917528 WCF917528 WMB917528 WVX917528 P983064 JL983064 TH983064 ADD983064 AMZ983064 AWV983064 BGR983064 BQN983064 CAJ983064 CKF983064 CUB983064 DDX983064 DNT983064 DXP983064 EHL983064 ERH983064 FBD983064 FKZ983064 FUV983064 GER983064 GON983064 GYJ983064 HIF983064 HSB983064 IBX983064 ILT983064 IVP983064 JFL983064 JPH983064 JZD983064 KIZ983064 KSV983064 LCR983064 LMN983064 LWJ983064 MGF983064 MQB983064 MZX983064 NJT983064 NTP983064 ODL983064 ONH983064 OXD983064 PGZ983064 PQV983064 QAR983064 QKN983064 QUJ983064 REF983064 ROB983064 RXX983064 SHT983064 SRP983064 TBL983064 TLH983064 TVD983064 UEZ983064 UOV983064 UYR983064 VIN983064 VSJ983064 WCF983064 WMB983064 WVX983064">
      <formula1>"按明细,按比例"</formula1>
    </dataValidation>
    <dataValidation type="list" allowBlank="1" showInputMessage="1" showErrorMessage="1" sqref="D2">
      <formula1>"——,需考虑建筑物残值"</formula1>
    </dataValidation>
  </dataValidations>
  <pageMargins left="0.7" right="0.7" top="0.75" bottom="0.75" header="0.3" footer="0.3"/>
  <pageSetup paperSize="9" orientation="portrait" r:id="rId1"/>
</worksheet>
</file>

<file path=xl/worksheets/sheet2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V31"/>
  <sheetViews>
    <sheetView view="pageBreakPreview" zoomScaleNormal="100" zoomScaleSheetLayoutView="100" workbookViewId="0">
      <selection activeCell="F20" sqref="F20"/>
    </sheetView>
  </sheetViews>
  <sheetFormatPr defaultColWidth="9" defaultRowHeight="14.25"/>
  <cols>
    <col min="1" max="1" width="23.625" style="1476" customWidth="1"/>
    <col min="2" max="2" width="12" style="1476" customWidth="1"/>
    <col min="3" max="3" width="9" style="1476"/>
    <col min="4" max="4" width="14.125" style="1476" customWidth="1"/>
    <col min="5" max="5" width="9" style="1476"/>
    <col min="6" max="6" width="12.875" style="1476" customWidth="1"/>
    <col min="7" max="16384" width="9" style="1476"/>
  </cols>
  <sheetData>
    <row r="1" spans="1:22" ht="21">
      <c r="A1" s="1866" t="s">
        <v>1640</v>
      </c>
      <c r="B1" s="1867"/>
      <c r="C1" s="1867"/>
      <c r="D1" s="1867"/>
      <c r="E1" s="1868"/>
      <c r="F1" s="2681"/>
      <c r="G1" s="1488"/>
      <c r="H1" s="1488"/>
      <c r="I1" s="1488"/>
      <c r="J1" s="1488"/>
      <c r="K1" s="1488"/>
      <c r="L1" s="1488"/>
      <c r="M1" s="1488"/>
      <c r="N1" s="1488"/>
      <c r="O1" s="1488"/>
      <c r="P1" s="1488"/>
      <c r="Q1" s="1488"/>
      <c r="R1" s="1488"/>
      <c r="S1" s="1488"/>
    </row>
    <row r="2" spans="1:22" ht="15.75">
      <c r="A2" s="1869" t="s">
        <v>1444</v>
      </c>
      <c r="B2" s="1870">
        <f ca="1">SUMIF(B6:B13,"&lt;&gt;#ref!",B6:B13)</f>
        <v>19725</v>
      </c>
      <c r="C2" s="1871" t="s">
        <v>1633</v>
      </c>
      <c r="D2" s="1872" t="s">
        <v>1634</v>
      </c>
      <c r="E2" s="2581">
        <f>SUM(E6:E13)</f>
        <v>17559.11</v>
      </c>
      <c r="F2" s="2681"/>
      <c r="G2" s="1488"/>
      <c r="H2" s="1488"/>
      <c r="I2" s="1488"/>
      <c r="J2" s="1488"/>
      <c r="K2" s="1488"/>
      <c r="L2" s="1488"/>
      <c r="M2" s="1488"/>
      <c r="N2" s="1488"/>
      <c r="O2" s="1488"/>
      <c r="P2" s="1488"/>
      <c r="Q2" s="1488"/>
      <c r="R2" s="1488"/>
      <c r="S2" s="1488"/>
    </row>
    <row r="3" spans="1:22" ht="15.75">
      <c r="A3" s="1869" t="s">
        <v>686</v>
      </c>
      <c r="B3" s="2575">
        <f ca="1">ROUND(B2*10000/E2,0)</f>
        <v>11233</v>
      </c>
      <c r="C3" s="1871" t="s">
        <v>1641</v>
      </c>
      <c r="D3" s="2683"/>
      <c r="E3" s="2685"/>
      <c r="F3" s="2681"/>
      <c r="G3" s="1488"/>
      <c r="H3" s="1488"/>
      <c r="I3" s="1488"/>
      <c r="J3" s="1488"/>
      <c r="K3" s="1488"/>
      <c r="L3" s="1488"/>
      <c r="M3" s="1488"/>
      <c r="N3" s="1488"/>
      <c r="O3" s="1488"/>
      <c r="P3" s="1488"/>
      <c r="Q3" s="1488"/>
      <c r="R3" s="1488"/>
      <c r="S3" s="1488"/>
    </row>
    <row r="4" spans="1:22" ht="15.75">
      <c r="A4" s="2686"/>
      <c r="B4" s="2683"/>
      <c r="C4" s="2683"/>
      <c r="D4" s="2683"/>
      <c r="E4" s="2685"/>
      <c r="F4" s="2681"/>
      <c r="G4" s="1488"/>
      <c r="H4" s="1488"/>
      <c r="I4" s="1488"/>
      <c r="J4" s="1488"/>
      <c r="K4" s="1488"/>
      <c r="L4" s="1488"/>
      <c r="M4" s="1488"/>
      <c r="N4" s="1488"/>
      <c r="O4" s="1488"/>
      <c r="P4" s="1488"/>
      <c r="Q4" s="1488"/>
      <c r="R4" s="1488"/>
      <c r="S4" s="1488"/>
    </row>
    <row r="5" spans="1:22" ht="15">
      <c r="A5" s="2577" t="s">
        <v>1635</v>
      </c>
      <c r="B5" s="3701" t="s">
        <v>1636</v>
      </c>
      <c r="C5" s="3702"/>
      <c r="D5" s="2682"/>
      <c r="E5" s="1873" t="s">
        <v>1637</v>
      </c>
      <c r="F5" s="1874" t="s">
        <v>1638</v>
      </c>
      <c r="G5" s="1488"/>
      <c r="H5" s="1488"/>
      <c r="I5" s="1488"/>
      <c r="J5" s="1488"/>
      <c r="K5" s="1488"/>
      <c r="L5" s="1488"/>
      <c r="M5" s="1488"/>
      <c r="N5" s="1488"/>
      <c r="O5" s="1488"/>
      <c r="P5" s="1488"/>
      <c r="Q5" s="1488"/>
      <c r="R5" s="1488"/>
      <c r="S5" s="1488"/>
    </row>
    <row r="6" spans="1:22">
      <c r="A6" s="2578" t="str">
        <f>'数据-取费表'!AN6</f>
        <v>收益法</v>
      </c>
      <c r="B6" s="2576">
        <f ca="1">IF(F6="是",'数据-取费表'!AO6,0)</f>
        <v>19725</v>
      </c>
      <c r="C6" s="1871" t="s">
        <v>1633</v>
      </c>
      <c r="D6" s="2683"/>
      <c r="E6" s="2580">
        <f>IF(OR(A6=0,F6="否"),0,'数据-取费表'!K6+'数据-取费表'!S6)</f>
        <v>17559.11</v>
      </c>
      <c r="F6" s="1875" t="s">
        <v>1639</v>
      </c>
      <c r="G6" s="1488"/>
      <c r="H6" s="1488"/>
      <c r="I6" s="1488"/>
      <c r="J6" s="1488"/>
      <c r="K6" s="1488"/>
      <c r="L6" s="1488"/>
      <c r="M6" s="1488"/>
      <c r="N6" s="1488"/>
      <c r="O6" s="1488"/>
      <c r="P6" s="1488"/>
      <c r="Q6" s="1488"/>
      <c r="R6" s="1488"/>
      <c r="S6" s="1488"/>
    </row>
    <row r="7" spans="1:22">
      <c r="A7" s="2578">
        <f>'数据-取费表'!AN7</f>
        <v>0</v>
      </c>
      <c r="B7" s="2576" t="e">
        <f ca="1">IF(F7="是",'数据-取费表'!AO7,0)</f>
        <v>#REF!</v>
      </c>
      <c r="C7" s="1871" t="s">
        <v>1633</v>
      </c>
      <c r="D7" s="2683"/>
      <c r="E7" s="2580">
        <f>IF(OR(A7=0,F7="否"),0,'数据-取费表'!K7+'数据-取费表'!S7)</f>
        <v>0</v>
      </c>
      <c r="F7" s="1875" t="s">
        <v>1639</v>
      </c>
      <c r="G7" s="1488"/>
      <c r="H7" s="1488"/>
      <c r="I7" s="1488"/>
      <c r="J7" s="1488"/>
      <c r="K7" s="1488"/>
      <c r="L7" s="1488"/>
      <c r="M7" s="1488"/>
      <c r="N7" s="1488"/>
      <c r="O7" s="1488"/>
      <c r="P7" s="1488"/>
      <c r="Q7" s="1488"/>
      <c r="R7" s="1488"/>
      <c r="S7" s="1488"/>
    </row>
    <row r="8" spans="1:22">
      <c r="A8" s="2578">
        <f>'数据-取费表'!AN8</f>
        <v>0</v>
      </c>
      <c r="B8" s="2576" t="e">
        <f ca="1">IF(F8="是",'数据-取费表'!AO8,0)</f>
        <v>#REF!</v>
      </c>
      <c r="C8" s="1871" t="s">
        <v>1633</v>
      </c>
      <c r="D8" s="2683"/>
      <c r="E8" s="2580">
        <f>IF(OR(A8=0,F8="否"),0,'数据-取费表'!K8+'数据-取费表'!S8)</f>
        <v>0</v>
      </c>
      <c r="F8" s="1875" t="s">
        <v>1639</v>
      </c>
      <c r="G8" s="1488"/>
      <c r="H8" s="1488"/>
      <c r="I8" s="1488"/>
      <c r="J8" s="1488"/>
      <c r="K8" s="1488"/>
      <c r="L8" s="1488"/>
      <c r="M8" s="1488"/>
      <c r="N8" s="1488"/>
      <c r="O8" s="1488"/>
      <c r="P8" s="1488"/>
      <c r="Q8" s="1488"/>
      <c r="R8" s="1488"/>
      <c r="S8" s="1488"/>
    </row>
    <row r="9" spans="1:22">
      <c r="A9" s="2578">
        <f>'数据-取费表'!AN9</f>
        <v>0</v>
      </c>
      <c r="B9" s="2576" t="e">
        <f ca="1">IF(F9="是",'数据-取费表'!AO9,0)</f>
        <v>#REF!</v>
      </c>
      <c r="C9" s="1871" t="s">
        <v>1633</v>
      </c>
      <c r="D9" s="2683"/>
      <c r="E9" s="2580">
        <f>IF(OR(A9=0,F9="否"),0,'数据-取费表'!K9+'数据-取费表'!S9)</f>
        <v>0</v>
      </c>
      <c r="F9" s="1875" t="s">
        <v>1639</v>
      </c>
      <c r="G9" s="1488"/>
      <c r="H9" s="1488"/>
      <c r="I9" s="1488"/>
      <c r="J9" s="1488"/>
      <c r="K9" s="1488"/>
      <c r="L9" s="1488"/>
      <c r="M9" s="1488"/>
      <c r="N9" s="1488"/>
      <c r="O9" s="1488"/>
      <c r="P9" s="1488"/>
      <c r="Q9" s="1488"/>
      <c r="R9" s="1488"/>
      <c r="S9" s="1488"/>
    </row>
    <row r="10" spans="1:22">
      <c r="A10" s="2578">
        <f>'数据-取费表'!AN10</f>
        <v>0</v>
      </c>
      <c r="B10" s="2576" t="e">
        <f ca="1">IF(F10="是",'数据-取费表'!AO10,0)</f>
        <v>#REF!</v>
      </c>
      <c r="C10" s="1871" t="s">
        <v>1633</v>
      </c>
      <c r="D10" s="2683"/>
      <c r="E10" s="2580">
        <f>IF(OR(A10=0,F10="否"),0,'数据-取费表'!K10+'数据-取费表'!S10)</f>
        <v>0</v>
      </c>
      <c r="F10" s="1875" t="s">
        <v>1639</v>
      </c>
      <c r="G10" s="1488"/>
      <c r="H10" s="1488"/>
      <c r="I10" s="1488"/>
      <c r="J10" s="1488"/>
      <c r="K10" s="1488"/>
      <c r="L10" s="1488"/>
      <c r="M10" s="1488"/>
      <c r="N10" s="1488"/>
      <c r="O10" s="1488"/>
      <c r="P10" s="1488"/>
      <c r="Q10" s="1488"/>
      <c r="R10" s="1488"/>
      <c r="S10" s="1488"/>
    </row>
    <row r="11" spans="1:22">
      <c r="A11" s="2578">
        <f>'数据-取费表'!AN11</f>
        <v>0</v>
      </c>
      <c r="B11" s="2576" t="e">
        <f ca="1">IF(F11="是",'数据-取费表'!AO11,0)</f>
        <v>#REF!</v>
      </c>
      <c r="C11" s="1871" t="s">
        <v>1633</v>
      </c>
      <c r="D11" s="2683"/>
      <c r="E11" s="2580">
        <f>IF(OR(A11=0,F11="否"),0,'数据-取费表'!K11+'数据-取费表'!S11)</f>
        <v>0</v>
      </c>
      <c r="F11" s="1875" t="s">
        <v>1639</v>
      </c>
      <c r="G11" s="1488"/>
      <c r="H11" s="1488"/>
      <c r="I11" s="1488"/>
      <c r="J11" s="1488"/>
      <c r="K11" s="1488"/>
      <c r="L11" s="1488"/>
      <c r="M11" s="1488"/>
      <c r="N11" s="1488"/>
      <c r="O11" s="1488"/>
      <c r="P11" s="1488"/>
      <c r="Q11" s="1488"/>
      <c r="R11" s="1488"/>
      <c r="S11" s="1488"/>
    </row>
    <row r="12" spans="1:22">
      <c r="A12" s="2578">
        <f>'数据-取费表'!AN12</f>
        <v>0</v>
      </c>
      <c r="B12" s="2576" t="e">
        <f ca="1">IF(F12="是",'数据-取费表'!AO12,0)</f>
        <v>#REF!</v>
      </c>
      <c r="C12" s="1871" t="s">
        <v>1633</v>
      </c>
      <c r="D12" s="2683"/>
      <c r="E12" s="2580">
        <f>IF(OR(A12=0,F12="否"),0,'数据-取费表'!K12+'数据-取费表'!S12)</f>
        <v>0</v>
      </c>
      <c r="F12" s="1875" t="s">
        <v>1639</v>
      </c>
      <c r="G12" s="1488"/>
      <c r="H12" s="1488"/>
      <c r="I12" s="1488"/>
      <c r="J12" s="1488"/>
      <c r="K12" s="1488"/>
      <c r="L12" s="1488"/>
      <c r="M12" s="1488"/>
      <c r="N12" s="1488"/>
      <c r="O12" s="1488"/>
      <c r="P12" s="1488"/>
      <c r="Q12" s="1488"/>
      <c r="R12" s="1488"/>
      <c r="S12" s="1488"/>
    </row>
    <row r="13" spans="1:22" ht="15" thickBot="1">
      <c r="A13" s="2579">
        <f>'数据-取费表'!AN13</f>
        <v>0</v>
      </c>
      <c r="B13" s="2576" t="e">
        <f ca="1">IF(F13="是",'数据-取费表'!AO13,0)</f>
        <v>#REF!</v>
      </c>
      <c r="C13" s="1876" t="s">
        <v>1633</v>
      </c>
      <c r="D13" s="2684"/>
      <c r="E13" s="2580">
        <f>IF(OR(A13=0,F13="否"),0,'数据-取费表'!K13+'数据-取费表'!S13)</f>
        <v>0</v>
      </c>
      <c r="F13" s="1875" t="s">
        <v>1639</v>
      </c>
      <c r="G13" s="1488"/>
      <c r="H13" s="1488"/>
      <c r="I13" s="1488"/>
      <c r="J13" s="1488"/>
      <c r="K13" s="1488"/>
      <c r="L13" s="1488"/>
      <c r="M13" s="1488"/>
      <c r="N13" s="1488"/>
      <c r="O13" s="1488"/>
      <c r="P13" s="1488"/>
      <c r="Q13" s="1488"/>
      <c r="R13" s="1488"/>
      <c r="S13" s="1488"/>
    </row>
    <row r="14" spans="1:22">
      <c r="A14" s="1488"/>
      <c r="B14" s="1488"/>
      <c r="C14" s="1488"/>
      <c r="D14" s="1488"/>
      <c r="E14" s="1488"/>
      <c r="F14" s="1488"/>
      <c r="G14" s="1488"/>
      <c r="H14" s="1488"/>
      <c r="I14" s="1488"/>
      <c r="J14" s="1488"/>
      <c r="K14" s="1488"/>
      <c r="L14" s="1488"/>
      <c r="M14" s="1488"/>
      <c r="N14" s="1488"/>
      <c r="O14" s="1488"/>
      <c r="P14" s="1488"/>
      <c r="Q14" s="1488"/>
      <c r="R14" s="1488"/>
      <c r="S14" s="1488"/>
      <c r="T14" s="1488"/>
      <c r="U14" s="1488"/>
      <c r="V14" s="1488"/>
    </row>
    <row r="15" spans="1:22">
      <c r="A15" s="1488"/>
      <c r="B15" s="1488"/>
      <c r="C15" s="1488"/>
      <c r="D15" s="1488"/>
      <c r="E15" s="1488"/>
      <c r="F15" s="1488"/>
      <c r="G15" s="1488"/>
      <c r="H15" s="1488"/>
      <c r="I15" s="1488"/>
      <c r="J15" s="1488"/>
      <c r="K15" s="1488"/>
      <c r="L15" s="1488"/>
      <c r="M15" s="1488"/>
      <c r="N15" s="1488"/>
      <c r="O15" s="1488"/>
      <c r="P15" s="1488"/>
      <c r="Q15" s="1488"/>
      <c r="R15" s="1488"/>
      <c r="S15" s="1488"/>
      <c r="T15" s="1488"/>
      <c r="U15" s="1488"/>
      <c r="V15" s="1488"/>
    </row>
    <row r="16" spans="1:22">
      <c r="A16" s="1488"/>
      <c r="B16" s="1488"/>
      <c r="C16" s="1488"/>
      <c r="D16" s="1488"/>
      <c r="E16" s="1488"/>
      <c r="F16" s="1488"/>
      <c r="G16" s="1488"/>
      <c r="H16" s="1488"/>
      <c r="I16" s="1488"/>
      <c r="J16" s="1488"/>
      <c r="K16" s="1488"/>
      <c r="L16" s="1488"/>
      <c r="M16" s="1488"/>
      <c r="N16" s="1488"/>
      <c r="O16" s="1488"/>
      <c r="P16" s="1488"/>
      <c r="Q16" s="1488"/>
      <c r="R16" s="1488"/>
      <c r="S16" s="1488"/>
      <c r="T16" s="1488"/>
      <c r="U16" s="1488"/>
      <c r="V16" s="1488"/>
    </row>
    <row r="17" spans="1:22">
      <c r="A17" s="1488"/>
      <c r="B17" s="1488"/>
      <c r="C17" s="1488"/>
      <c r="D17" s="1488"/>
      <c r="E17" s="1488"/>
      <c r="F17" s="1488"/>
      <c r="G17" s="1488"/>
      <c r="H17" s="1488"/>
      <c r="I17" s="1488"/>
      <c r="J17" s="1488"/>
      <c r="K17" s="1488"/>
      <c r="L17" s="1488"/>
      <c r="M17" s="1488"/>
      <c r="N17" s="1488"/>
      <c r="O17" s="1488"/>
      <c r="P17" s="1488"/>
      <c r="Q17" s="1488"/>
      <c r="R17" s="1488"/>
      <c r="S17" s="1488"/>
      <c r="T17" s="1488"/>
      <c r="U17" s="1488"/>
      <c r="V17" s="1488"/>
    </row>
    <row r="18" spans="1:22">
      <c r="A18" s="1488"/>
      <c r="B18" s="1488"/>
      <c r="C18" s="1488"/>
      <c r="D18" s="1488"/>
      <c r="E18" s="1488"/>
      <c r="F18" s="1488"/>
      <c r="G18" s="1488"/>
      <c r="H18" s="1488"/>
      <c r="I18" s="1488"/>
      <c r="J18" s="1488"/>
      <c r="K18" s="1488"/>
      <c r="L18" s="1488"/>
      <c r="M18" s="1488"/>
      <c r="N18" s="1488"/>
      <c r="O18" s="1488"/>
      <c r="P18" s="1488"/>
      <c r="Q18" s="1488"/>
      <c r="R18" s="1488"/>
      <c r="S18" s="1488"/>
      <c r="T18" s="1488"/>
      <c r="U18" s="1488"/>
      <c r="V18" s="1488"/>
    </row>
    <row r="19" spans="1:22">
      <c r="A19" s="1488"/>
      <c r="B19" s="1488"/>
      <c r="C19" s="1488"/>
      <c r="D19" s="1488"/>
      <c r="E19" s="1488"/>
      <c r="F19" s="1488"/>
      <c r="G19" s="1488"/>
      <c r="H19" s="1488"/>
      <c r="I19" s="1488"/>
      <c r="J19" s="1488"/>
      <c r="K19" s="1488"/>
      <c r="L19" s="1488"/>
      <c r="M19" s="1488"/>
      <c r="N19" s="1488"/>
      <c r="O19" s="1488"/>
      <c r="P19" s="1488"/>
      <c r="Q19" s="1488"/>
      <c r="R19" s="1488"/>
      <c r="S19" s="1488"/>
      <c r="T19" s="1488"/>
      <c r="U19" s="1488"/>
      <c r="V19" s="1488"/>
    </row>
    <row r="20" spans="1:22">
      <c r="A20" s="1488"/>
      <c r="B20" s="1488"/>
      <c r="C20" s="1488"/>
      <c r="D20" s="1488"/>
      <c r="E20" s="1488"/>
      <c r="F20" s="1488"/>
      <c r="G20" s="1488"/>
      <c r="H20" s="1488"/>
      <c r="I20" s="1488"/>
      <c r="J20" s="1488"/>
      <c r="K20" s="1488"/>
      <c r="L20" s="1488"/>
      <c r="M20" s="1488"/>
      <c r="N20" s="1488"/>
      <c r="O20" s="1488"/>
      <c r="P20" s="1488"/>
      <c r="Q20" s="1488"/>
      <c r="R20" s="1488"/>
      <c r="S20" s="1488"/>
      <c r="T20" s="1488"/>
      <c r="U20" s="1488"/>
      <c r="V20" s="1488"/>
    </row>
    <row r="21" spans="1:22">
      <c r="A21" s="1488"/>
      <c r="B21" s="1488"/>
      <c r="C21" s="1488"/>
      <c r="D21" s="1488"/>
      <c r="E21" s="1488"/>
      <c r="F21" s="1488"/>
      <c r="G21" s="1488"/>
      <c r="H21" s="1488"/>
      <c r="I21" s="1488"/>
      <c r="J21" s="1488"/>
      <c r="K21" s="1488"/>
      <c r="L21" s="1488"/>
      <c r="M21" s="1488"/>
      <c r="N21" s="1488"/>
      <c r="O21" s="1488"/>
      <c r="P21" s="1488"/>
      <c r="Q21" s="1488"/>
      <c r="R21" s="1488"/>
      <c r="S21" s="1488"/>
      <c r="T21" s="1488"/>
      <c r="U21" s="1488"/>
      <c r="V21" s="1488"/>
    </row>
    <row r="22" spans="1:22">
      <c r="A22" s="1488"/>
      <c r="B22" s="1488"/>
      <c r="C22" s="1488"/>
      <c r="D22" s="1488"/>
      <c r="E22" s="1488"/>
      <c r="F22" s="1488"/>
      <c r="G22" s="1488"/>
      <c r="H22" s="1488"/>
      <c r="I22" s="1488"/>
      <c r="J22" s="1488"/>
      <c r="K22" s="1488"/>
      <c r="L22" s="1488"/>
      <c r="M22" s="1488"/>
      <c r="N22" s="1488"/>
      <c r="O22" s="1488"/>
      <c r="P22" s="1488"/>
      <c r="Q22" s="1488"/>
      <c r="R22" s="1488"/>
      <c r="S22" s="1488"/>
      <c r="T22" s="1488"/>
      <c r="U22" s="1488"/>
      <c r="V22" s="1488"/>
    </row>
    <row r="23" spans="1:22">
      <c r="A23" s="1488"/>
      <c r="B23" s="1488"/>
      <c r="C23" s="1488"/>
      <c r="D23" s="1488"/>
      <c r="E23" s="1488"/>
      <c r="F23" s="1488"/>
      <c r="G23" s="1488"/>
      <c r="H23" s="1488"/>
      <c r="I23" s="1488"/>
      <c r="J23" s="1488"/>
      <c r="K23" s="1488"/>
      <c r="L23" s="1488"/>
      <c r="M23" s="1488"/>
      <c r="N23" s="1488"/>
      <c r="O23" s="1488"/>
      <c r="P23" s="1488"/>
      <c r="Q23" s="1488"/>
      <c r="R23" s="1488"/>
      <c r="S23" s="1488"/>
      <c r="T23" s="1488"/>
      <c r="U23" s="1488"/>
      <c r="V23" s="1488"/>
    </row>
    <row r="24" spans="1:22">
      <c r="A24" s="1488"/>
      <c r="B24" s="1488"/>
      <c r="C24" s="1488"/>
      <c r="D24" s="1488"/>
      <c r="E24" s="1488"/>
      <c r="F24" s="1488"/>
      <c r="G24" s="1488"/>
      <c r="H24" s="1488"/>
      <c r="I24" s="1488"/>
      <c r="J24" s="1488"/>
      <c r="K24" s="1488"/>
      <c r="L24" s="1488"/>
      <c r="M24" s="1488"/>
      <c r="N24" s="1488"/>
      <c r="O24" s="1488"/>
      <c r="P24" s="1488"/>
      <c r="Q24" s="1488"/>
      <c r="R24" s="1488"/>
      <c r="S24" s="1488"/>
      <c r="T24" s="1488"/>
      <c r="U24" s="1488"/>
      <c r="V24" s="1488"/>
    </row>
    <row r="25" spans="1:22">
      <c r="A25" s="1488"/>
      <c r="B25" s="1488"/>
      <c r="C25" s="1488"/>
      <c r="D25" s="1488"/>
      <c r="E25" s="1488"/>
      <c r="F25" s="1488"/>
      <c r="G25" s="1488"/>
      <c r="H25" s="1488"/>
      <c r="I25" s="1488"/>
      <c r="J25" s="1488"/>
      <c r="K25" s="1488"/>
      <c r="L25" s="1488"/>
      <c r="M25" s="1488"/>
      <c r="N25" s="1488"/>
      <c r="O25" s="1488"/>
      <c r="P25" s="1488"/>
      <c r="Q25" s="1488"/>
      <c r="R25" s="1488"/>
      <c r="S25" s="1488"/>
      <c r="T25" s="1488"/>
      <c r="U25" s="1488"/>
      <c r="V25" s="1488"/>
    </row>
    <row r="26" spans="1:22">
      <c r="A26" s="1488"/>
      <c r="B26" s="1488"/>
      <c r="C26" s="1488"/>
      <c r="D26" s="1488"/>
      <c r="E26" s="1488"/>
      <c r="F26" s="1488"/>
      <c r="G26" s="1488"/>
      <c r="H26" s="1488"/>
      <c r="I26" s="1488"/>
      <c r="J26" s="1488"/>
      <c r="K26" s="1488"/>
      <c r="L26" s="1488"/>
      <c r="M26" s="1488"/>
      <c r="N26" s="1488"/>
      <c r="O26" s="1488"/>
      <c r="P26" s="1488"/>
      <c r="Q26" s="1488"/>
      <c r="R26" s="1488"/>
      <c r="S26" s="1488"/>
      <c r="T26" s="1488"/>
      <c r="U26" s="1488"/>
      <c r="V26" s="1488"/>
    </row>
    <row r="27" spans="1:22">
      <c r="A27" s="1488"/>
      <c r="B27" s="1488"/>
      <c r="C27" s="1488"/>
      <c r="D27" s="1488"/>
      <c r="E27" s="1488"/>
      <c r="F27" s="1488"/>
      <c r="G27" s="1488"/>
      <c r="H27" s="1488"/>
      <c r="I27" s="1488"/>
      <c r="J27" s="1488"/>
      <c r="K27" s="1488"/>
      <c r="L27" s="1488"/>
      <c r="M27" s="1488"/>
      <c r="N27" s="1488"/>
      <c r="O27" s="1488"/>
      <c r="P27" s="1488"/>
      <c r="Q27" s="1488"/>
      <c r="R27" s="1488"/>
      <c r="S27" s="1488"/>
      <c r="T27" s="1488"/>
      <c r="U27" s="1488"/>
      <c r="V27" s="1488"/>
    </row>
    <row r="28" spans="1:22">
      <c r="A28" s="1488"/>
      <c r="B28" s="1488"/>
      <c r="C28" s="1488"/>
      <c r="D28" s="1488"/>
      <c r="E28" s="1488"/>
      <c r="F28" s="1488"/>
      <c r="G28" s="1488"/>
      <c r="H28" s="1488"/>
      <c r="I28" s="1488"/>
      <c r="J28" s="1488"/>
      <c r="K28" s="1488"/>
      <c r="L28" s="1488"/>
      <c r="M28" s="1488"/>
      <c r="N28" s="1488"/>
      <c r="O28" s="1488"/>
      <c r="P28" s="1488"/>
      <c r="Q28" s="1488"/>
      <c r="R28" s="1488"/>
      <c r="S28" s="1488"/>
      <c r="T28" s="1488"/>
      <c r="U28" s="1488"/>
      <c r="V28" s="1488"/>
    </row>
    <row r="29" spans="1:22">
      <c r="A29" s="1488"/>
      <c r="B29" s="1488"/>
      <c r="C29" s="1488"/>
      <c r="D29" s="1488"/>
      <c r="E29" s="1488"/>
      <c r="F29" s="1488"/>
      <c r="G29" s="1488"/>
      <c r="H29" s="1488"/>
      <c r="I29" s="1488"/>
      <c r="J29" s="1488"/>
      <c r="K29" s="1488"/>
      <c r="L29" s="1488"/>
      <c r="M29" s="1488"/>
      <c r="N29" s="1488"/>
      <c r="O29" s="1488"/>
      <c r="P29" s="1488"/>
      <c r="Q29" s="1488"/>
      <c r="R29" s="1488"/>
      <c r="S29" s="1488"/>
      <c r="T29" s="1488"/>
      <c r="U29" s="1488"/>
      <c r="V29" s="1488"/>
    </row>
    <row r="30" spans="1:22">
      <c r="A30" s="1488"/>
      <c r="B30" s="1488"/>
      <c r="C30" s="1488"/>
      <c r="D30" s="1488"/>
      <c r="E30" s="1488"/>
      <c r="F30" s="1488"/>
      <c r="G30" s="1488"/>
      <c r="H30" s="1488"/>
      <c r="I30" s="1488"/>
      <c r="J30" s="1488"/>
      <c r="K30" s="1488"/>
      <c r="L30" s="1488"/>
      <c r="M30" s="1488"/>
      <c r="N30" s="1488"/>
      <c r="O30" s="1488"/>
      <c r="P30" s="1488"/>
      <c r="Q30" s="1488"/>
      <c r="R30" s="1488"/>
      <c r="S30" s="1488"/>
      <c r="T30" s="1488"/>
      <c r="U30" s="1488"/>
      <c r="V30" s="1488"/>
    </row>
    <row r="31" spans="1:22">
      <c r="A31" s="1488"/>
      <c r="B31" s="1488"/>
      <c r="C31" s="1488"/>
      <c r="D31" s="1488"/>
      <c r="E31" s="1488"/>
      <c r="F31" s="1488"/>
      <c r="G31" s="1488"/>
      <c r="H31" s="1488"/>
      <c r="I31" s="1488"/>
      <c r="J31" s="1488"/>
      <c r="K31" s="1488"/>
      <c r="L31" s="1488"/>
      <c r="M31" s="1488"/>
      <c r="N31" s="1488"/>
      <c r="O31" s="1488"/>
      <c r="P31" s="1488"/>
      <c r="Q31" s="1488"/>
      <c r="R31" s="1488"/>
      <c r="S31" s="1488"/>
      <c r="T31" s="1488"/>
      <c r="U31" s="1488"/>
      <c r="V31" s="1488"/>
    </row>
  </sheetData>
  <sheetProtection password="CEE9" sheet="1" objects="1" scenarios="1" formatCells="0" formatColumns="0" formatRows="0"/>
  <mergeCells count="1">
    <mergeCell ref="B5:C5"/>
  </mergeCells>
  <phoneticPr fontId="133" type="noConversion"/>
  <dataValidations count="1">
    <dataValidation type="list" allowBlank="1" showInputMessage="1" showErrorMessage="1" sqref="F6:F13">
      <formula1>估价范围判定</formula1>
    </dataValidation>
  </dataValidations>
  <pageMargins left="0.7" right="0.7" top="0.75" bottom="0.75" header="0.3" footer="0.3"/>
  <pageSetup paperSize="9" orientation="portrait" r:id="rId1"/>
</worksheet>
</file>

<file path=xl/worksheets/sheet2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3">
    <tabColor rgb="FF92D050"/>
    <pageSetUpPr fitToPage="1"/>
  </sheetPr>
  <dimension ref="A1:AC148"/>
  <sheetViews>
    <sheetView view="pageBreakPreview" topLeftCell="A58" zoomScale="70" zoomScaleNormal="60" zoomScaleSheetLayoutView="70" workbookViewId="0">
      <selection activeCell="B65" sqref="B65:H66"/>
    </sheetView>
  </sheetViews>
  <sheetFormatPr defaultColWidth="9" defaultRowHeight="14.25"/>
  <cols>
    <col min="1" max="1" width="10.5" style="357" customWidth="1"/>
    <col min="2" max="3" width="15.75" style="357" customWidth="1"/>
    <col min="4" max="4" width="12.25" style="357" customWidth="1"/>
    <col min="5" max="5" width="17.125" style="357" customWidth="1"/>
    <col min="6" max="6" width="12.25" style="357" customWidth="1"/>
    <col min="7" max="7" width="16.5" style="357" customWidth="1"/>
    <col min="8" max="8" width="12.25" style="357" customWidth="1"/>
    <col min="9" max="9" width="15.62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1643</v>
      </c>
      <c r="C1" s="1237" t="s">
        <v>1644</v>
      </c>
      <c r="D1" s="1224"/>
      <c r="E1" s="3400"/>
      <c r="F1" s="1878"/>
      <c r="G1" s="1234" t="s">
        <v>1645</v>
      </c>
      <c r="H1" s="1233"/>
      <c r="I1" s="1233"/>
      <c r="J1" s="1233"/>
      <c r="K1" s="1235"/>
      <c r="L1" s="1236"/>
      <c r="M1" s="1237"/>
      <c r="N1" s="1237"/>
      <c r="O1" s="1237"/>
      <c r="P1" s="1879"/>
      <c r="Q1" s="1223"/>
      <c r="R1" s="1223"/>
      <c r="S1" s="1223"/>
      <c r="T1" s="1223"/>
      <c r="U1" s="1223"/>
      <c r="V1" s="1223"/>
      <c r="W1" s="1223"/>
      <c r="X1" s="1223"/>
      <c r="Y1" s="1223"/>
      <c r="Z1" s="1223"/>
      <c r="AA1" s="1223"/>
      <c r="AB1" s="1223"/>
      <c r="AC1" s="1231"/>
    </row>
    <row r="2" spans="1:29" s="347" customFormat="1" ht="28.5" customHeight="1" thickTop="1">
      <c r="A2" s="1220" t="s">
        <v>685</v>
      </c>
      <c r="B2" s="3401"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1646</v>
      </c>
      <c r="F2" s="1882"/>
      <c r="G2" s="907"/>
      <c r="H2" s="907"/>
      <c r="I2" s="907"/>
      <c r="J2" s="907"/>
      <c r="K2" s="1883"/>
      <c r="L2" s="2687"/>
      <c r="M2" s="2688"/>
      <c r="N2" s="2688"/>
      <c r="O2" s="2688"/>
      <c r="P2" s="1884"/>
      <c r="Q2" s="1885"/>
      <c r="R2" s="1885"/>
      <c r="S2" s="1885"/>
      <c r="T2" s="1885"/>
      <c r="U2" s="1885"/>
      <c r="V2" s="1885"/>
      <c r="W2" s="1885"/>
      <c r="X2" s="1885"/>
      <c r="Y2" s="1885"/>
      <c r="Z2" s="1885"/>
      <c r="AA2" s="1885"/>
      <c r="AB2" s="1885"/>
      <c r="AC2" s="1886"/>
    </row>
    <row r="3" spans="1:29" s="347" customFormat="1" ht="28.5" customHeight="1" thickBot="1">
      <c r="A3" s="203" t="s">
        <v>686</v>
      </c>
      <c r="B3" s="353">
        <f>IF(C2="——",C49,ROUND(B2*10000/D3,0))</f>
        <v>0</v>
      </c>
      <c r="C3" s="354" t="s">
        <v>1647</v>
      </c>
      <c r="D3" s="353">
        <f>IF(D1="",'数据-汇总表'!E3,SUMIF('数据-汇总表'!$C19:$C33,D1,'数据-汇总表'!$E19:$E33))</f>
        <v>17559.11</v>
      </c>
      <c r="E3" s="907"/>
      <c r="F3" s="1887"/>
      <c r="G3" s="907"/>
      <c r="H3" s="907"/>
      <c r="I3" s="907"/>
      <c r="J3" s="907"/>
      <c r="K3" s="1883"/>
      <c r="L3" s="2687"/>
      <c r="M3" s="2688"/>
      <c r="N3" s="2688"/>
      <c r="O3" s="2688"/>
      <c r="P3" s="1884"/>
      <c r="Q3" s="1885"/>
      <c r="R3" s="1885"/>
      <c r="S3" s="1885"/>
      <c r="T3" s="1885"/>
      <c r="U3" s="1885"/>
      <c r="V3" s="1885"/>
      <c r="W3" s="1885"/>
      <c r="X3" s="1885"/>
      <c r="Y3" s="1885"/>
      <c r="Z3" s="1885"/>
      <c r="AA3" s="1885"/>
      <c r="AB3" s="1885"/>
      <c r="AC3" s="1061"/>
    </row>
    <row r="4" spans="1:29" ht="15">
      <c r="A4" s="355" t="s">
        <v>1648</v>
      </c>
      <c r="B4" s="356"/>
      <c r="C4" s="3721" t="s">
        <v>1649</v>
      </c>
      <c r="D4" s="3722"/>
      <c r="E4" s="3723" t="s">
        <v>1650</v>
      </c>
      <c r="F4" s="3724"/>
      <c r="G4" s="3721" t="s">
        <v>1651</v>
      </c>
      <c r="H4" s="3722"/>
      <c r="I4" s="3721" t="s">
        <v>1652</v>
      </c>
      <c r="J4" s="3722"/>
      <c r="K4" s="1888" t="s">
        <v>1653</v>
      </c>
      <c r="L4" s="2689"/>
      <c r="M4" s="2690"/>
      <c r="N4" s="2690"/>
      <c r="O4" s="2690"/>
      <c r="P4" s="3725" t="s">
        <v>1654</v>
      </c>
      <c r="Q4" s="3726"/>
      <c r="R4" s="3731" t="s">
        <v>1650</v>
      </c>
      <c r="S4" s="3732"/>
      <c r="T4" s="3731" t="s">
        <v>1651</v>
      </c>
      <c r="U4" s="3732"/>
      <c r="V4" s="3737" t="s">
        <v>1652</v>
      </c>
      <c r="W4" s="3737"/>
      <c r="X4" s="1354"/>
      <c r="Y4" s="3731" t="s">
        <v>1654</v>
      </c>
      <c r="Z4" s="3732"/>
      <c r="AA4" s="3718" t="s">
        <v>1650</v>
      </c>
      <c r="AB4" s="3718" t="s">
        <v>1651</v>
      </c>
      <c r="AC4" s="3718" t="s">
        <v>1652</v>
      </c>
    </row>
    <row r="5" spans="1:29" ht="15">
      <c r="A5" s="358"/>
      <c r="B5" s="359"/>
      <c r="C5" s="3740" t="s">
        <v>1655</v>
      </c>
      <c r="D5" s="3741"/>
      <c r="E5" s="3747" t="s">
        <v>1656</v>
      </c>
      <c r="F5" s="3748"/>
      <c r="G5" s="3740" t="s">
        <v>1657</v>
      </c>
      <c r="H5" s="3741"/>
      <c r="I5" s="3740" t="s">
        <v>1658</v>
      </c>
      <c r="J5" s="3741"/>
      <c r="K5" s="1889"/>
      <c r="L5" s="2689"/>
      <c r="M5" s="2690"/>
      <c r="N5" s="2690"/>
      <c r="O5" s="2690"/>
      <c r="P5" s="3727"/>
      <c r="Q5" s="3728"/>
      <c r="R5" s="3733"/>
      <c r="S5" s="3734"/>
      <c r="T5" s="3733"/>
      <c r="U5" s="3734"/>
      <c r="V5" s="3737"/>
      <c r="W5" s="3737"/>
      <c r="X5" s="1354"/>
      <c r="Y5" s="3733"/>
      <c r="Z5" s="3734"/>
      <c r="AA5" s="3719"/>
      <c r="AB5" s="3719"/>
      <c r="AC5" s="3719"/>
    </row>
    <row r="6" spans="1:29" ht="15.75" thickBot="1">
      <c r="A6" s="360"/>
      <c r="B6" s="361"/>
      <c r="C6" s="3738" t="s">
        <v>1659</v>
      </c>
      <c r="D6" s="3739"/>
      <c r="E6" s="3745" t="s">
        <v>1659</v>
      </c>
      <c r="F6" s="3746"/>
      <c r="G6" s="3738" t="s">
        <v>1659</v>
      </c>
      <c r="H6" s="3739"/>
      <c r="I6" s="3738" t="s">
        <v>1659</v>
      </c>
      <c r="J6" s="3739"/>
      <c r="K6" s="1889" t="s">
        <v>1660</v>
      </c>
      <c r="L6" s="2689"/>
      <c r="M6" s="2690"/>
      <c r="N6" s="2690"/>
      <c r="O6" s="2690"/>
      <c r="P6" s="3729"/>
      <c r="Q6" s="3730"/>
      <c r="R6" s="3733"/>
      <c r="S6" s="3734"/>
      <c r="T6" s="3735"/>
      <c r="U6" s="3736"/>
      <c r="V6" s="3737"/>
      <c r="W6" s="3737"/>
      <c r="X6" s="1354"/>
      <c r="Y6" s="3735"/>
      <c r="Z6" s="3736"/>
      <c r="AA6" s="3720"/>
      <c r="AB6" s="3720"/>
      <c r="AC6" s="3720"/>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1890"/>
      <c r="L7" s="2691"/>
      <c r="M7" s="2692"/>
      <c r="N7" s="2692"/>
      <c r="O7" s="2692"/>
      <c r="P7" s="3742" t="s">
        <v>1662</v>
      </c>
      <c r="Q7" s="3744"/>
      <c r="R7" s="701" t="s">
        <v>20</v>
      </c>
      <c r="S7" s="702">
        <f t="shared" ref="S7:S15" si="0">F7</f>
        <v>0</v>
      </c>
      <c r="T7" s="701" t="s">
        <v>20</v>
      </c>
      <c r="U7" s="702">
        <f t="shared" ref="U7:U15" si="1">H7</f>
        <v>0</v>
      </c>
      <c r="V7" s="701" t="s">
        <v>20</v>
      </c>
      <c r="W7" s="702">
        <f t="shared" ref="W7:W15" si="2">J7</f>
        <v>0</v>
      </c>
      <c r="X7" s="703"/>
      <c r="Y7" s="3742" t="s">
        <v>1662</v>
      </c>
      <c r="Z7" s="3743"/>
      <c r="AA7" s="704" t="e">
        <f>D7/F7</f>
        <v>#DIV/0!</v>
      </c>
      <c r="AB7" s="704" t="e">
        <f>D7/H7</f>
        <v>#DIV/0!</v>
      </c>
      <c r="AC7" s="704" t="e">
        <f>D7/J7</f>
        <v>#DIV/0!</v>
      </c>
    </row>
    <row r="8" spans="1:29" s="108" customFormat="1" ht="15.75" thickBot="1">
      <c r="A8" s="362" t="s">
        <v>1663</v>
      </c>
      <c r="B8" s="363"/>
      <c r="C8" s="368"/>
      <c r="D8" s="365">
        <v>100</v>
      </c>
      <c r="E8" s="1891"/>
      <c r="F8" s="367">
        <f>SUMIF(61:61,E8,62:62)-SUMIF(61:61,C8,62:62)+100</f>
        <v>100</v>
      </c>
      <c r="G8" s="368"/>
      <c r="H8" s="365">
        <f>SUMIF(61:61,G8,62:62)-SUMIF(61:61,C8,62:62)+100</f>
        <v>100</v>
      </c>
      <c r="I8" s="1891"/>
      <c r="J8" s="365">
        <f>SUMIF(61:61,I8,62:62)-SUMIF(61:61,C8,62:62)+100</f>
        <v>100</v>
      </c>
      <c r="K8" s="1890"/>
      <c r="L8" s="2691"/>
      <c r="M8" s="2692"/>
      <c r="N8" s="2692"/>
      <c r="O8" s="2692"/>
      <c r="P8" s="3742" t="s">
        <v>1665</v>
      </c>
      <c r="Q8" s="3743"/>
      <c r="R8" s="701" t="s">
        <v>20</v>
      </c>
      <c r="S8" s="702">
        <f t="shared" si="0"/>
        <v>100</v>
      </c>
      <c r="T8" s="701" t="s">
        <v>20</v>
      </c>
      <c r="U8" s="702">
        <f t="shared" si="1"/>
        <v>100</v>
      </c>
      <c r="V8" s="701" t="s">
        <v>20</v>
      </c>
      <c r="W8" s="702">
        <f t="shared" si="2"/>
        <v>100</v>
      </c>
      <c r="X8" s="703"/>
      <c r="Y8" s="3742" t="s">
        <v>1665</v>
      </c>
      <c r="Z8" s="3743"/>
      <c r="AA8" s="704">
        <f t="shared" ref="AA8:AA19" si="3">D8/F8</f>
        <v>1</v>
      </c>
      <c r="AB8" s="704">
        <f t="shared" ref="AB8:AB19" si="4">D8/H8</f>
        <v>1</v>
      </c>
      <c r="AC8" s="704">
        <f t="shared" ref="AC8:AC19" si="5">D8/J8</f>
        <v>1</v>
      </c>
    </row>
    <row r="9" spans="1:29" s="108" customFormat="1">
      <c r="A9" s="369" t="s">
        <v>1666</v>
      </c>
      <c r="B9" s="63" t="s">
        <v>1667</v>
      </c>
      <c r="C9" s="370"/>
      <c r="D9" s="126">
        <v>100</v>
      </c>
      <c r="E9" s="371"/>
      <c r="F9" s="372">
        <f>SUMIF(63:63,E9,64:64)-SUMIF(63:63,C9,64:64)+100</f>
        <v>100</v>
      </c>
      <c r="G9" s="373"/>
      <c r="H9" s="126">
        <f>SUMIF(63:63,G9,64:64)-SUMIF(63:63,C9,64:64)+100</f>
        <v>100</v>
      </c>
      <c r="I9" s="373"/>
      <c r="J9" s="126">
        <f>SUMIF(63:63,I9,64:64)-SUMIF(63:63,C9,64:64)+100</f>
        <v>100</v>
      </c>
      <c r="K9" s="1890"/>
      <c r="L9" s="2691"/>
      <c r="M9" s="2692"/>
      <c r="N9" s="2692"/>
      <c r="O9" s="2692"/>
      <c r="P9" s="3717" t="s">
        <v>1668</v>
      </c>
      <c r="Q9" s="1342" t="str">
        <f t="shared" ref="Q9:Q15" si="6">B9</f>
        <v>用途</v>
      </c>
      <c r="R9" s="701" t="s">
        <v>14</v>
      </c>
      <c r="S9" s="702">
        <f t="shared" si="0"/>
        <v>100</v>
      </c>
      <c r="T9" s="701" t="s">
        <v>14</v>
      </c>
      <c r="U9" s="702">
        <f t="shared" si="1"/>
        <v>100</v>
      </c>
      <c r="V9" s="701" t="s">
        <v>14</v>
      </c>
      <c r="W9" s="702">
        <f t="shared" si="2"/>
        <v>100</v>
      </c>
      <c r="X9" s="703"/>
      <c r="Y9" s="3580"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1890"/>
      <c r="L10" s="2693"/>
      <c r="M10" s="2694"/>
      <c r="N10" s="2694"/>
      <c r="O10" s="2694"/>
      <c r="P10" s="3717"/>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377"/>
      <c r="L11" s="2695"/>
      <c r="M11" s="2690"/>
      <c r="N11" s="2690"/>
      <c r="O11" s="2690"/>
      <c r="P11" s="3717"/>
      <c r="Q11" s="1342" t="str">
        <f t="shared" si="6"/>
        <v>容积率</v>
      </c>
      <c r="R11" s="701" t="s">
        <v>18</v>
      </c>
      <c r="S11" s="702" t="e">
        <f t="shared" si="0"/>
        <v>#N/A</v>
      </c>
      <c r="T11" s="701" t="s">
        <v>18</v>
      </c>
      <c r="U11" s="702" t="e">
        <f t="shared" si="1"/>
        <v>#N/A</v>
      </c>
      <c r="V11" s="701" t="s">
        <v>18</v>
      </c>
      <c r="W11" s="702" t="e">
        <f t="shared" si="2"/>
        <v>#N/A</v>
      </c>
      <c r="X11" s="703"/>
      <c r="Y11" s="3580"/>
      <c r="Z11" s="52" t="str">
        <f t="shared" si="7"/>
        <v>容积率</v>
      </c>
      <c r="AA11" s="704" t="e">
        <f t="shared" si="3"/>
        <v>#N/A</v>
      </c>
      <c r="AB11" s="704" t="e">
        <f t="shared" si="4"/>
        <v>#N/A</v>
      </c>
      <c r="AC11" s="704" t="e">
        <f t="shared" si="5"/>
        <v>#N/A</v>
      </c>
    </row>
    <row r="12" spans="1:29" s="108" customFormat="1" ht="15">
      <c r="A12" s="382"/>
      <c r="B12" s="1892">
        <v>111</v>
      </c>
      <c r="C12" s="383"/>
      <c r="D12" s="384">
        <v>100</v>
      </c>
      <c r="E12" s="383"/>
      <c r="F12" s="376">
        <f>SUMIF(70:70,E12,71:71)-SUMIF(70:70,C12,71:71)+100</f>
        <v>100</v>
      </c>
      <c r="G12" s="383"/>
      <c r="H12" s="127">
        <f>SUMIF(70:70,G12,71:71)-SUMIF(70:70,C12,71:71)+100</f>
        <v>100</v>
      </c>
      <c r="I12" s="383"/>
      <c r="J12" s="127">
        <f>SUMIF(70:70,I12,71:71)-SUMIF(70:70,C12,71:71)+100</f>
        <v>100</v>
      </c>
      <c r="K12" s="1893"/>
      <c r="L12" s="2691"/>
      <c r="M12" s="2692"/>
      <c r="N12" s="2692"/>
      <c r="O12" s="2692"/>
      <c r="P12" s="3717"/>
      <c r="Q12" s="1342">
        <f t="shared" si="6"/>
        <v>111</v>
      </c>
      <c r="R12" s="701" t="s">
        <v>18</v>
      </c>
      <c r="S12" s="702">
        <f t="shared" si="0"/>
        <v>100</v>
      </c>
      <c r="T12" s="701" t="s">
        <v>18</v>
      </c>
      <c r="U12" s="702">
        <f t="shared" si="1"/>
        <v>100</v>
      </c>
      <c r="V12" s="701" t="s">
        <v>18</v>
      </c>
      <c r="W12" s="702">
        <f t="shared" si="2"/>
        <v>100</v>
      </c>
      <c r="X12" s="703"/>
      <c r="Y12" s="3580"/>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1893"/>
      <c r="L13" s="2696"/>
      <c r="M13" s="2690"/>
      <c r="N13" s="2690"/>
      <c r="O13" s="2690"/>
      <c r="P13" s="3717"/>
      <c r="Q13" s="1342">
        <f t="shared" si="6"/>
        <v>111</v>
      </c>
      <c r="R13" s="701" t="s">
        <v>18</v>
      </c>
      <c r="S13" s="702">
        <f t="shared" si="0"/>
        <v>100</v>
      </c>
      <c r="T13" s="701" t="s">
        <v>18</v>
      </c>
      <c r="U13" s="702">
        <f t="shared" si="1"/>
        <v>100</v>
      </c>
      <c r="V13" s="701" t="s">
        <v>18</v>
      </c>
      <c r="W13" s="702">
        <f t="shared" si="2"/>
        <v>100</v>
      </c>
      <c r="X13" s="703"/>
      <c r="Y13" s="3580"/>
      <c r="Z13" s="52">
        <f t="shared" si="7"/>
        <v>111</v>
      </c>
      <c r="AA13" s="704">
        <f t="shared" si="3"/>
        <v>1</v>
      </c>
      <c r="AB13" s="704">
        <f t="shared" si="4"/>
        <v>1</v>
      </c>
      <c r="AC13" s="704">
        <f t="shared" si="5"/>
        <v>1</v>
      </c>
    </row>
    <row r="14" spans="1:29" ht="15.75" thickBot="1">
      <c r="A14" s="387"/>
      <c r="B14" s="1894">
        <v>111</v>
      </c>
      <c r="C14" s="388"/>
      <c r="D14" s="389">
        <v>100</v>
      </c>
      <c r="E14" s="388"/>
      <c r="F14" s="390">
        <f>SUMIF(74:74,E14,75:75)-SUMIF(74:74,C14,75:75)+100</f>
        <v>100</v>
      </c>
      <c r="G14" s="388"/>
      <c r="H14" s="389">
        <f>SUMIF(74:74,G14,75:75)-SUMIF(74:74,C14,75:75)+100</f>
        <v>100</v>
      </c>
      <c r="I14" s="388"/>
      <c r="J14" s="389">
        <f>SUMIF(74:74,I14,75:75)-SUMIF(74:74,C14,75:75)+100</f>
        <v>100</v>
      </c>
      <c r="K14" s="1893"/>
      <c r="L14" s="2696"/>
      <c r="M14" s="2690"/>
      <c r="N14" s="2690"/>
      <c r="O14" s="2690"/>
      <c r="P14" s="3717"/>
      <c r="Q14" s="1342">
        <f t="shared" si="6"/>
        <v>111</v>
      </c>
      <c r="R14" s="701" t="s">
        <v>18</v>
      </c>
      <c r="S14" s="702">
        <f t="shared" si="0"/>
        <v>100</v>
      </c>
      <c r="T14" s="701" t="s">
        <v>18</v>
      </c>
      <c r="U14" s="702">
        <f t="shared" si="1"/>
        <v>100</v>
      </c>
      <c r="V14" s="701" t="s">
        <v>18</v>
      </c>
      <c r="W14" s="702">
        <f t="shared" si="2"/>
        <v>100</v>
      </c>
      <c r="X14" s="703"/>
      <c r="Y14" s="3580"/>
      <c r="Z14" s="52">
        <f t="shared" si="7"/>
        <v>111</v>
      </c>
      <c r="AA14" s="704">
        <f t="shared" si="3"/>
        <v>1</v>
      </c>
      <c r="AB14" s="704">
        <f t="shared" si="4"/>
        <v>1</v>
      </c>
      <c r="AC14" s="704">
        <f t="shared" si="5"/>
        <v>1</v>
      </c>
    </row>
    <row r="15" spans="1:29" ht="15">
      <c r="A15" s="391" t="s">
        <v>1672</v>
      </c>
      <c r="B15" s="61" t="s">
        <v>1255</v>
      </c>
      <c r="C15" s="1895" t="str">
        <f>估价对象房地状况!C3</f>
        <v>一般</v>
      </c>
      <c r="D15" s="392">
        <v>100</v>
      </c>
      <c r="E15" s="395"/>
      <c r="F15" s="392">
        <f>SUMIF(76:76,E16,77:77)-SUMIF(76:76,C16,77:77)+100</f>
        <v>100</v>
      </c>
      <c r="G15" s="393"/>
      <c r="H15" s="392">
        <f>SUMIF(76:76,G16,77:77)-SUMIF(76:76,C16,77:77)+100</f>
        <v>100</v>
      </c>
      <c r="I15" s="393"/>
      <c r="J15" s="392">
        <f>SUMIF(76:76,I16,77:77)-SUMIF(76:76,C16,77:77)+100</f>
        <v>100</v>
      </c>
      <c r="K15" s="396"/>
      <c r="L15" s="2696"/>
      <c r="M15" s="2690"/>
      <c r="N15" s="2690"/>
      <c r="O15" s="2690"/>
      <c r="P15" s="3715" t="s">
        <v>1673</v>
      </c>
      <c r="Q15" s="1351" t="str">
        <f t="shared" si="6"/>
        <v>居住社区成熟度</v>
      </c>
      <c r="R15" s="705" t="s">
        <v>18</v>
      </c>
      <c r="S15" s="706">
        <f t="shared" si="0"/>
        <v>100</v>
      </c>
      <c r="T15" s="705" t="s">
        <v>18</v>
      </c>
      <c r="U15" s="706">
        <f t="shared" si="1"/>
        <v>100</v>
      </c>
      <c r="V15" s="705" t="s">
        <v>18</v>
      </c>
      <c r="W15" s="706">
        <f t="shared" si="2"/>
        <v>100</v>
      </c>
      <c r="X15" s="1354"/>
      <c r="Y15" s="3708" t="s">
        <v>1673</v>
      </c>
      <c r="Z15" s="1355" t="str">
        <f t="shared" si="7"/>
        <v>居住社区成熟度</v>
      </c>
      <c r="AA15" s="1352">
        <f t="shared" si="3"/>
        <v>1</v>
      </c>
      <c r="AB15" s="1352">
        <f t="shared" si="4"/>
        <v>1</v>
      </c>
      <c r="AC15" s="1352">
        <f t="shared" si="5"/>
        <v>1</v>
      </c>
    </row>
    <row r="16" spans="1:29" ht="15">
      <c r="A16" s="379"/>
      <c r="B16" s="397"/>
      <c r="C16" s="398"/>
      <c r="D16" s="399"/>
      <c r="E16" s="1896"/>
      <c r="F16" s="399"/>
      <c r="G16" s="1897"/>
      <c r="H16" s="401"/>
      <c r="I16" s="1897"/>
      <c r="J16" s="399"/>
      <c r="K16" s="1898"/>
      <c r="L16" s="2696"/>
      <c r="M16" s="2690"/>
      <c r="N16" s="2690"/>
      <c r="O16" s="2690"/>
      <c r="P16" s="3716"/>
      <c r="Q16" s="1351"/>
      <c r="R16" s="705"/>
      <c r="S16" s="706"/>
      <c r="T16" s="705"/>
      <c r="U16" s="706"/>
      <c r="V16" s="705"/>
      <c r="W16" s="706"/>
      <c r="X16" s="1354"/>
      <c r="Y16" s="3709"/>
      <c r="Z16" s="1355"/>
      <c r="AA16" s="1352">
        <v>1</v>
      </c>
      <c r="AB16" s="1352">
        <v>1</v>
      </c>
      <c r="AC16" s="1352">
        <v>1</v>
      </c>
    </row>
    <row r="17" spans="1:29" ht="71.25">
      <c r="A17" s="379"/>
      <c r="B17" s="402" t="s">
        <v>1257</v>
      </c>
      <c r="C17" s="1899" t="str">
        <f>估价对象房地状况!C6</f>
        <v>估价对象周边道路状况、公共交通通达情况、停车便捷程度，综合评价交通便捷度较好</v>
      </c>
      <c r="D17" s="401">
        <v>100</v>
      </c>
      <c r="E17" s="405"/>
      <c r="F17" s="401">
        <f>SUMIF(78:78,E18,79:79)-SUMIF(78:78,C18,79:79)+100</f>
        <v>100</v>
      </c>
      <c r="G17" s="403"/>
      <c r="H17" s="406">
        <f>SUMIF(78:78,G18,79:79)-SUMIF(78:78,C18,79:79)+100</f>
        <v>100</v>
      </c>
      <c r="I17" s="403"/>
      <c r="J17" s="406">
        <f>SUMIF(78:78,I18,79:79)-SUMIF(78:78,C18,79:79)+100</f>
        <v>100</v>
      </c>
      <c r="K17" s="396"/>
      <c r="L17" s="2696"/>
      <c r="M17" s="2690"/>
      <c r="N17" s="2690"/>
      <c r="O17" s="2690"/>
      <c r="P17" s="3716"/>
      <c r="Q17" s="1351" t="str">
        <f>B17</f>
        <v>交通便捷度</v>
      </c>
      <c r="R17" s="705" t="s">
        <v>18</v>
      </c>
      <c r="S17" s="706">
        <f>F17</f>
        <v>100</v>
      </c>
      <c r="T17" s="705" t="s">
        <v>18</v>
      </c>
      <c r="U17" s="706">
        <f>H17</f>
        <v>100</v>
      </c>
      <c r="V17" s="705" t="s">
        <v>18</v>
      </c>
      <c r="W17" s="706">
        <f>J17</f>
        <v>100</v>
      </c>
      <c r="X17" s="1354"/>
      <c r="Y17" s="3709"/>
      <c r="Z17" s="1355" t="str">
        <f>Q17</f>
        <v>交通便捷度</v>
      </c>
      <c r="AA17" s="1352">
        <f t="shared" si="3"/>
        <v>1</v>
      </c>
      <c r="AB17" s="1352">
        <f t="shared" si="4"/>
        <v>1</v>
      </c>
      <c r="AC17" s="1352">
        <f t="shared" si="5"/>
        <v>1</v>
      </c>
    </row>
    <row r="18" spans="1:29" ht="15">
      <c r="A18" s="379"/>
      <c r="B18" s="407"/>
      <c r="C18" s="1900"/>
      <c r="D18" s="401"/>
      <c r="E18" s="1901"/>
      <c r="F18" s="401"/>
      <c r="G18" s="1902"/>
      <c r="H18" s="399"/>
      <c r="I18" s="1902"/>
      <c r="J18" s="399"/>
      <c r="K18" s="1898"/>
      <c r="L18" s="2696"/>
      <c r="M18" s="2690"/>
      <c r="N18" s="2690"/>
      <c r="O18" s="2690"/>
      <c r="P18" s="3716"/>
      <c r="Q18" s="1351"/>
      <c r="R18" s="705"/>
      <c r="S18" s="706"/>
      <c r="T18" s="705"/>
      <c r="U18" s="706"/>
      <c r="V18" s="705"/>
      <c r="W18" s="706"/>
      <c r="X18" s="1354"/>
      <c r="Y18" s="3709"/>
      <c r="Z18" s="1355"/>
      <c r="AA18" s="1352">
        <v>1</v>
      </c>
      <c r="AB18" s="1352">
        <v>1</v>
      </c>
      <c r="AC18" s="1352">
        <v>1</v>
      </c>
    </row>
    <row r="19" spans="1:29" ht="42.75">
      <c r="A19" s="379"/>
      <c r="B19" s="402" t="s">
        <v>1256</v>
      </c>
      <c r="C19" s="1899" t="str">
        <f>估价对象房地状况!C7</f>
        <v>估价对象所在区域公共配套设施齐备情况</v>
      </c>
      <c r="D19" s="406">
        <v>100</v>
      </c>
      <c r="E19" s="410"/>
      <c r="F19" s="406">
        <f>SUMIF(80:80,E20,81:81)-SUMIF(80:80,C20,81:81)+100</f>
        <v>100</v>
      </c>
      <c r="G19" s="408"/>
      <c r="H19" s="401">
        <f>SUMIF(80:80,G20,81:81)-SUMIF(80:80,C20,81:81)+100</f>
        <v>100</v>
      </c>
      <c r="I19" s="408"/>
      <c r="J19" s="401">
        <f>SUMIF(80:80,I20,81:81)-SUMIF(80:80,C20,81:81)+100</f>
        <v>100</v>
      </c>
      <c r="K19" s="396"/>
      <c r="L19" s="2696"/>
      <c r="M19" s="2690"/>
      <c r="N19" s="2690"/>
      <c r="O19" s="2690"/>
      <c r="P19" s="3716"/>
      <c r="Q19" s="1351" t="str">
        <f>B19</f>
        <v>公共配套设施</v>
      </c>
      <c r="R19" s="705" t="s">
        <v>18</v>
      </c>
      <c r="S19" s="706">
        <f>F19</f>
        <v>100</v>
      </c>
      <c r="T19" s="705" t="s">
        <v>18</v>
      </c>
      <c r="U19" s="706">
        <f>H19</f>
        <v>100</v>
      </c>
      <c r="V19" s="705" t="s">
        <v>18</v>
      </c>
      <c r="W19" s="706">
        <f>J19</f>
        <v>100</v>
      </c>
      <c r="X19" s="1354"/>
      <c r="Y19" s="3709"/>
      <c r="Z19" s="1355" t="str">
        <f>Q19</f>
        <v>公共配套设施</v>
      </c>
      <c r="AA19" s="1352">
        <f t="shared" si="3"/>
        <v>1</v>
      </c>
      <c r="AB19" s="1352">
        <f t="shared" si="4"/>
        <v>1</v>
      </c>
      <c r="AC19" s="1352">
        <f t="shared" si="5"/>
        <v>1</v>
      </c>
    </row>
    <row r="20" spans="1:29" ht="15">
      <c r="A20" s="379"/>
      <c r="B20" s="407"/>
      <c r="C20" s="398"/>
      <c r="D20" s="399"/>
      <c r="E20" s="1896"/>
      <c r="F20" s="399"/>
      <c r="G20" s="1897"/>
      <c r="H20" s="399"/>
      <c r="I20" s="1897"/>
      <c r="J20" s="399"/>
      <c r="K20" s="1898"/>
      <c r="L20" s="2696"/>
      <c r="M20" s="2690"/>
      <c r="N20" s="2690"/>
      <c r="O20" s="2690"/>
      <c r="P20" s="3716"/>
      <c r="Q20" s="1351"/>
      <c r="R20" s="705"/>
      <c r="S20" s="706"/>
      <c r="T20" s="705"/>
      <c r="U20" s="706"/>
      <c r="V20" s="705"/>
      <c r="W20" s="706"/>
      <c r="X20" s="1354"/>
      <c r="Y20" s="3709"/>
      <c r="Z20" s="1355"/>
      <c r="AA20" s="1352">
        <v>1</v>
      </c>
      <c r="AB20" s="1352">
        <v>1</v>
      </c>
      <c r="AC20" s="1352">
        <v>1</v>
      </c>
    </row>
    <row r="21" spans="1:29" ht="28.5">
      <c r="A21" s="379"/>
      <c r="B21" s="1131" t="s">
        <v>1258</v>
      </c>
      <c r="C21" s="1899" t="str">
        <f>估价对象房地状况!C8</f>
        <v>估价对象所在区域基础设施水平</v>
      </c>
      <c r="D21" s="401">
        <v>100</v>
      </c>
      <c r="E21" s="410"/>
      <c r="F21" s="406">
        <f>SUMIF(82:82,E22,83:83)-SUMIF(82:82,C22,83:83)+100</f>
        <v>100</v>
      </c>
      <c r="G21" s="408"/>
      <c r="H21" s="401">
        <f>SUMIF(82:82,G22,83:83)-SUMIF(82:82,C22,83:83)+100</f>
        <v>100</v>
      </c>
      <c r="I21" s="408"/>
      <c r="J21" s="401">
        <f>SUMIF(82:82,I22,83:83)-SUMIF(82:82,C22,83:83)+100</f>
        <v>100</v>
      </c>
      <c r="K21" s="396"/>
      <c r="L21" s="2696"/>
      <c r="M21" s="2690"/>
      <c r="N21" s="2690"/>
      <c r="O21" s="2690"/>
      <c r="P21" s="3716"/>
      <c r="Q21" s="1351" t="str">
        <f>B21</f>
        <v>基础设施水平</v>
      </c>
      <c r="R21" s="705" t="s">
        <v>14</v>
      </c>
      <c r="S21" s="706">
        <f>F21</f>
        <v>100</v>
      </c>
      <c r="T21" s="705" t="s">
        <v>14</v>
      </c>
      <c r="U21" s="706">
        <f>H21</f>
        <v>100</v>
      </c>
      <c r="V21" s="705" t="s">
        <v>14</v>
      </c>
      <c r="W21" s="706">
        <f>J21</f>
        <v>100</v>
      </c>
      <c r="X21" s="1354"/>
      <c r="Y21" s="3709"/>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399"/>
      <c r="G22" s="1903"/>
      <c r="H22" s="399"/>
      <c r="I22" s="398"/>
      <c r="J22" s="399"/>
      <c r="K22" s="1904"/>
      <c r="L22" s="2696"/>
      <c r="M22" s="2690"/>
      <c r="N22" s="2690"/>
      <c r="O22" s="2690"/>
      <c r="P22" s="3716"/>
      <c r="Q22" s="1351"/>
      <c r="R22" s="705"/>
      <c r="S22" s="706"/>
      <c r="T22" s="705"/>
      <c r="U22" s="706"/>
      <c r="V22" s="705"/>
      <c r="W22" s="706"/>
      <c r="X22" s="1354"/>
      <c r="Y22" s="3709"/>
      <c r="Z22" s="1355"/>
      <c r="AA22" s="1352">
        <v>1</v>
      </c>
      <c r="AB22" s="1352">
        <v>1</v>
      </c>
      <c r="AC22" s="1352">
        <v>1</v>
      </c>
    </row>
    <row r="23" spans="1:29" ht="42.75">
      <c r="A23" s="379"/>
      <c r="B23" s="402" t="s">
        <v>1259</v>
      </c>
      <c r="C23" s="1899" t="str">
        <f>估价对象房地状况!C9</f>
        <v>区域自然环境：；人文环境；综合评价环境状况一般</v>
      </c>
      <c r="D23" s="401">
        <v>100</v>
      </c>
      <c r="E23" s="405"/>
      <c r="F23" s="401">
        <f>SUMIF(84:84,E24,85:85)-SUMIF(84:84,C24,85:85)+100</f>
        <v>100</v>
      </c>
      <c r="G23" s="403"/>
      <c r="H23" s="401">
        <f>SUMIF(84:84,G24,85:85)-SUMIF(84:84,C24,85:85)+100</f>
        <v>100</v>
      </c>
      <c r="I23" s="403"/>
      <c r="J23" s="401">
        <f>SUMIF(84:84,I24,85:85)-SUMIF(84:84,C24,85:85)+100</f>
        <v>100</v>
      </c>
      <c r="K23" s="396"/>
      <c r="L23" s="2696"/>
      <c r="M23" s="2690"/>
      <c r="N23" s="2690"/>
      <c r="O23" s="2690"/>
      <c r="P23" s="3716"/>
      <c r="Q23" s="1351" t="str">
        <f>B23</f>
        <v>自然及人文环境</v>
      </c>
      <c r="R23" s="705" t="s">
        <v>18</v>
      </c>
      <c r="S23" s="706">
        <f>F23</f>
        <v>100</v>
      </c>
      <c r="T23" s="705" t="s">
        <v>18</v>
      </c>
      <c r="U23" s="706">
        <f>H23</f>
        <v>100</v>
      </c>
      <c r="V23" s="705" t="s">
        <v>18</v>
      </c>
      <c r="W23" s="706">
        <f>J23</f>
        <v>100</v>
      </c>
      <c r="X23" s="1354"/>
      <c r="Y23" s="3709"/>
      <c r="Z23" s="1355" t="str">
        <f>Q23</f>
        <v>自然及人文环境</v>
      </c>
      <c r="AA23" s="1352">
        <f>D23/F23</f>
        <v>1</v>
      </c>
      <c r="AB23" s="1352">
        <f>D23/H23</f>
        <v>1</v>
      </c>
      <c r="AC23" s="1352">
        <f>D23/J23</f>
        <v>1</v>
      </c>
    </row>
    <row r="24" spans="1:29" ht="15">
      <c r="A24" s="379"/>
      <c r="B24" s="407"/>
      <c r="C24" s="398"/>
      <c r="D24" s="399"/>
      <c r="E24" s="1896"/>
      <c r="F24" s="399"/>
      <c r="G24" s="1897"/>
      <c r="H24" s="399"/>
      <c r="I24" s="1897"/>
      <c r="J24" s="399"/>
      <c r="K24" s="1898"/>
      <c r="L24" s="2696"/>
      <c r="M24" s="2690"/>
      <c r="N24" s="2690"/>
      <c r="O24" s="2690"/>
      <c r="P24" s="3716"/>
      <c r="Q24" s="1351"/>
      <c r="R24" s="705"/>
      <c r="S24" s="706"/>
      <c r="T24" s="705"/>
      <c r="U24" s="706"/>
      <c r="V24" s="705"/>
      <c r="W24" s="706"/>
      <c r="X24" s="1354"/>
      <c r="Y24" s="3709"/>
      <c r="Z24" s="1355"/>
      <c r="AA24" s="1352">
        <v>1</v>
      </c>
      <c r="AB24" s="1352">
        <v>1</v>
      </c>
      <c r="AC24" s="1352">
        <v>1</v>
      </c>
    </row>
    <row r="25" spans="1:29" ht="15">
      <c r="A25" s="379"/>
      <c r="B25" s="375" t="s">
        <v>1674</v>
      </c>
      <c r="C25" s="411"/>
      <c r="D25" s="386">
        <v>100</v>
      </c>
      <c r="E25" s="1905"/>
      <c r="F25" s="386">
        <f>SUMIF(86:86,E25,87:87)-SUMIF(86:86,C25,87:87)+100</f>
        <v>100</v>
      </c>
      <c r="G25" s="1906"/>
      <c r="H25" s="386">
        <f>SUMIF(86:86,G25,87:87)-SUMIF(86:86,C25,87:87)+100</f>
        <v>100</v>
      </c>
      <c r="I25" s="1906"/>
      <c r="J25" s="386">
        <f>SUMIF(86:86,I25,87:87)-SUMIF(86:86,C25,87:87)+100</f>
        <v>100</v>
      </c>
      <c r="K25" s="377"/>
      <c r="L25" s="2696"/>
      <c r="M25" s="2690"/>
      <c r="N25" s="2690"/>
      <c r="O25" s="2690"/>
      <c r="P25" s="3716"/>
      <c r="Q25" s="1351" t="str">
        <f t="shared" ref="Q25:Q46" si="11">B25</f>
        <v>楼层-1</v>
      </c>
      <c r="R25" s="705" t="s">
        <v>18</v>
      </c>
      <c r="S25" s="706">
        <f t="shared" ref="S25:S46" si="12">F25</f>
        <v>100</v>
      </c>
      <c r="T25" s="705" t="s">
        <v>18</v>
      </c>
      <c r="U25" s="706">
        <f t="shared" ref="U25:U46" si="13">H25</f>
        <v>100</v>
      </c>
      <c r="V25" s="705" t="s">
        <v>18</v>
      </c>
      <c r="W25" s="706">
        <f t="shared" ref="W25:W46" si="14">J25</f>
        <v>100</v>
      </c>
      <c r="X25" s="1354"/>
      <c r="Y25" s="3709"/>
      <c r="Z25" s="1355" t="str">
        <f>Q25</f>
        <v>楼层-1</v>
      </c>
      <c r="AA25" s="1352">
        <f t="shared" ref="AA25:AA46" si="15">D25/F25</f>
        <v>1</v>
      </c>
      <c r="AB25" s="1352">
        <f t="shared" ref="AB25:AB46" si="16">D25/H25</f>
        <v>1</v>
      </c>
      <c r="AC25" s="1352">
        <f t="shared" ref="AC25:AC46" si="17">D25/J25</f>
        <v>1</v>
      </c>
    </row>
    <row r="26" spans="1:29" ht="15">
      <c r="A26" s="379"/>
      <c r="B26" s="375" t="s">
        <v>1675</v>
      </c>
      <c r="C26" s="411"/>
      <c r="D26" s="386">
        <v>100</v>
      </c>
      <c r="E26" s="1905"/>
      <c r="F26" s="386">
        <f>SUMIF(88:88,E26,89:89)-SUMIF(88:88,C26,89:89)+100</f>
        <v>100</v>
      </c>
      <c r="G26" s="1906"/>
      <c r="H26" s="386">
        <f>SUMIF(88:88,G26,89:89)-SUMIF(88:88,C26,89:89)+100</f>
        <v>100</v>
      </c>
      <c r="I26" s="1906"/>
      <c r="J26" s="386">
        <f>SUMIF(88:88,I26,89:89)-SUMIF(88:88,C26,89:89)+100</f>
        <v>100</v>
      </c>
      <c r="K26" s="377"/>
      <c r="L26" s="2696"/>
      <c r="M26" s="2690"/>
      <c r="N26" s="2690"/>
      <c r="O26" s="2690"/>
      <c r="P26" s="3716"/>
      <c r="Q26" s="1351" t="str">
        <f t="shared" si="11"/>
        <v>朝向</v>
      </c>
      <c r="R26" s="705" t="s">
        <v>18</v>
      </c>
      <c r="S26" s="706">
        <f t="shared" si="12"/>
        <v>100</v>
      </c>
      <c r="T26" s="705" t="s">
        <v>18</v>
      </c>
      <c r="U26" s="706">
        <f t="shared" si="13"/>
        <v>100</v>
      </c>
      <c r="V26" s="705" t="s">
        <v>18</v>
      </c>
      <c r="W26" s="706">
        <f t="shared" si="14"/>
        <v>100</v>
      </c>
      <c r="X26" s="1354"/>
      <c r="Y26" s="3709"/>
      <c r="Z26" s="1355" t="str">
        <f>Q26</f>
        <v>朝向</v>
      </c>
      <c r="AA26" s="1352">
        <f t="shared" si="15"/>
        <v>1</v>
      </c>
      <c r="AB26" s="1352">
        <f t="shared" si="16"/>
        <v>1</v>
      </c>
      <c r="AC26" s="1352">
        <f t="shared" si="17"/>
        <v>1</v>
      </c>
    </row>
    <row r="27" spans="1:29" s="108" customFormat="1" ht="15">
      <c r="A27" s="382"/>
      <c r="B27" s="1133">
        <v>111</v>
      </c>
      <c r="C27" s="383"/>
      <c r="D27" s="413">
        <v>100</v>
      </c>
      <c r="E27" s="416"/>
      <c r="F27" s="413">
        <f>SUMIF(90:90,E27,91:91)-SUMIF(90:90,C27,91:91)+100</f>
        <v>100</v>
      </c>
      <c r="G27" s="414"/>
      <c r="H27" s="413">
        <f>SUMIF(90:90,G27,91:91)-SUMIF(90:90,C27,91:91)+100</f>
        <v>100</v>
      </c>
      <c r="I27" s="414"/>
      <c r="J27" s="413">
        <f>SUMIF(90:90,I27,91:91)-SUMIF(90:90,C27,91:91)+100</f>
        <v>100</v>
      </c>
      <c r="K27" s="1893"/>
      <c r="L27" s="2691"/>
      <c r="M27" s="2692"/>
      <c r="N27" s="2692"/>
      <c r="O27" s="2692"/>
      <c r="P27" s="3716"/>
      <c r="Q27" s="1342">
        <f t="shared" si="11"/>
        <v>111</v>
      </c>
      <c r="R27" s="701" t="s">
        <v>18</v>
      </c>
      <c r="S27" s="702">
        <f t="shared" si="12"/>
        <v>100</v>
      </c>
      <c r="T27" s="701" t="s">
        <v>18</v>
      </c>
      <c r="U27" s="702">
        <f t="shared" si="13"/>
        <v>100</v>
      </c>
      <c r="V27" s="701" t="s">
        <v>18</v>
      </c>
      <c r="W27" s="702">
        <f t="shared" si="14"/>
        <v>100</v>
      </c>
      <c r="X27" s="703"/>
      <c r="Y27" s="3709"/>
      <c r="Z27" s="52">
        <f>Q27</f>
        <v>111</v>
      </c>
      <c r="AA27" s="1352">
        <f t="shared" si="15"/>
        <v>1</v>
      </c>
      <c r="AB27" s="1352">
        <f t="shared" si="16"/>
        <v>1</v>
      </c>
      <c r="AC27" s="1352">
        <f t="shared" si="17"/>
        <v>1</v>
      </c>
    </row>
    <row r="28" spans="1:29" ht="15">
      <c r="A28" s="379"/>
      <c r="B28" s="1133">
        <v>111</v>
      </c>
      <c r="C28" s="385"/>
      <c r="D28" s="386">
        <v>100</v>
      </c>
      <c r="E28" s="385"/>
      <c r="F28" s="386">
        <f>SUMIF(92:92,E28,93:93)-SUMIF(92:92,C28,93:93)+100</f>
        <v>100</v>
      </c>
      <c r="G28" s="1907"/>
      <c r="H28" s="386">
        <f>SUMIF(92:92,G28,93:93)-SUMIF(92:92,C28,93:93)+100</f>
        <v>100</v>
      </c>
      <c r="I28" s="385"/>
      <c r="J28" s="386">
        <f>SUMIF(92:92,I28,93:93)-SUMIF(92:92,C28,93:93)+100</f>
        <v>100</v>
      </c>
      <c r="K28" s="1893"/>
      <c r="L28" s="2696"/>
      <c r="M28" s="2690"/>
      <c r="N28" s="2690"/>
      <c r="O28" s="2690"/>
      <c r="P28" s="3716"/>
      <c r="Q28" s="1351">
        <f t="shared" si="11"/>
        <v>111</v>
      </c>
      <c r="R28" s="705" t="s">
        <v>18</v>
      </c>
      <c r="S28" s="706">
        <f t="shared" si="12"/>
        <v>100</v>
      </c>
      <c r="T28" s="705" t="s">
        <v>18</v>
      </c>
      <c r="U28" s="706">
        <f t="shared" si="13"/>
        <v>100</v>
      </c>
      <c r="V28" s="705" t="s">
        <v>18</v>
      </c>
      <c r="W28" s="706">
        <f t="shared" si="14"/>
        <v>100</v>
      </c>
      <c r="X28" s="1354"/>
      <c r="Y28" s="3709"/>
      <c r="Z28" s="1355">
        <f t="shared" ref="Z28:Z46" si="18">Q28</f>
        <v>111</v>
      </c>
      <c r="AA28" s="1352">
        <f t="shared" si="15"/>
        <v>1</v>
      </c>
      <c r="AB28" s="1352">
        <f t="shared" si="16"/>
        <v>1</v>
      </c>
      <c r="AC28" s="1352">
        <f t="shared" si="17"/>
        <v>1</v>
      </c>
    </row>
    <row r="29" spans="1:29" ht="15">
      <c r="A29" s="379"/>
      <c r="B29" s="1133">
        <v>111</v>
      </c>
      <c r="C29" s="385"/>
      <c r="D29" s="386">
        <v>100</v>
      </c>
      <c r="E29" s="385"/>
      <c r="F29" s="386">
        <f>SUMIF(94:94,E29,95:95)-SUMIF(94:94,C29,95:95)+100</f>
        <v>100</v>
      </c>
      <c r="G29" s="1907"/>
      <c r="H29" s="386">
        <f>SUMIF(94:94,G29,95:95)-SUMIF(94:94,C29,95:95)+100</f>
        <v>100</v>
      </c>
      <c r="I29" s="385"/>
      <c r="J29" s="386">
        <f>SUMIF(94:94,I29,95:95)-SUMIF(94:94,C29,95:95)+100</f>
        <v>100</v>
      </c>
      <c r="K29" s="1893"/>
      <c r="L29" s="2696"/>
      <c r="M29" s="2690"/>
      <c r="N29" s="2690"/>
      <c r="O29" s="2690"/>
      <c r="P29" s="3716"/>
      <c r="Q29" s="1351">
        <f t="shared" si="11"/>
        <v>111</v>
      </c>
      <c r="R29" s="705" t="s">
        <v>18</v>
      </c>
      <c r="S29" s="706">
        <f t="shared" si="12"/>
        <v>100</v>
      </c>
      <c r="T29" s="705" t="s">
        <v>18</v>
      </c>
      <c r="U29" s="706">
        <f t="shared" si="13"/>
        <v>100</v>
      </c>
      <c r="V29" s="705" t="s">
        <v>18</v>
      </c>
      <c r="W29" s="706">
        <f t="shared" si="14"/>
        <v>100</v>
      </c>
      <c r="X29" s="1354"/>
      <c r="Y29" s="3709"/>
      <c r="Z29" s="1355">
        <f t="shared" si="18"/>
        <v>111</v>
      </c>
      <c r="AA29" s="1352">
        <f t="shared" si="15"/>
        <v>1</v>
      </c>
      <c r="AB29" s="1352">
        <f t="shared" si="16"/>
        <v>1</v>
      </c>
      <c r="AC29" s="1352">
        <f t="shared" si="17"/>
        <v>1</v>
      </c>
    </row>
    <row r="30" spans="1:29" ht="15">
      <c r="A30" s="379"/>
      <c r="B30" s="1133">
        <v>111</v>
      </c>
      <c r="C30" s="385"/>
      <c r="D30" s="386">
        <v>100</v>
      </c>
      <c r="E30" s="385"/>
      <c r="F30" s="386">
        <f>SUMIF(96:96,E30,97:97)-SUMIF(96:96,C30,97:97)+100</f>
        <v>100</v>
      </c>
      <c r="G30" s="1907"/>
      <c r="H30" s="386">
        <f>SUMIF(96:96,G30,97:97)-SUMIF(96:96,C30,97:97)+100</f>
        <v>100</v>
      </c>
      <c r="I30" s="385"/>
      <c r="J30" s="386">
        <f>SUMIF(96:96,I30,97:97)-SUMIF(96:96,C30,97:97)+100</f>
        <v>100</v>
      </c>
      <c r="K30" s="1893"/>
      <c r="L30" s="2696"/>
      <c r="M30" s="2690"/>
      <c r="N30" s="2690"/>
      <c r="O30" s="2690"/>
      <c r="P30" s="3716"/>
      <c r="Q30" s="1351">
        <f t="shared" si="11"/>
        <v>111</v>
      </c>
      <c r="R30" s="705" t="s">
        <v>18</v>
      </c>
      <c r="S30" s="706">
        <f t="shared" si="12"/>
        <v>100</v>
      </c>
      <c r="T30" s="705" t="s">
        <v>18</v>
      </c>
      <c r="U30" s="706">
        <f t="shared" si="13"/>
        <v>100</v>
      </c>
      <c r="V30" s="705" t="s">
        <v>18</v>
      </c>
      <c r="W30" s="706">
        <f t="shared" si="14"/>
        <v>100</v>
      </c>
      <c r="X30" s="1354"/>
      <c r="Y30" s="3709"/>
      <c r="Z30" s="1355">
        <f t="shared" si="18"/>
        <v>111</v>
      </c>
      <c r="AA30" s="1352">
        <f t="shared" si="15"/>
        <v>1</v>
      </c>
      <c r="AB30" s="1352">
        <f t="shared" si="16"/>
        <v>1</v>
      </c>
      <c r="AC30" s="1352">
        <f t="shared" si="17"/>
        <v>1</v>
      </c>
    </row>
    <row r="31" spans="1:29" ht="15.75" thickBot="1">
      <c r="A31" s="387"/>
      <c r="B31" s="1133">
        <v>111</v>
      </c>
      <c r="C31" s="388"/>
      <c r="D31" s="389">
        <v>100</v>
      </c>
      <c r="E31" s="388"/>
      <c r="F31" s="389">
        <f>SUMIF(98:98,E31,99:99)-SUMIF(98:98,C31,99:99)+100</f>
        <v>100</v>
      </c>
      <c r="G31" s="1908"/>
      <c r="H31" s="389">
        <f>SUMIF(98:98,G31,99:99)-SUMIF(98:98,C31,99:99)+100</f>
        <v>100</v>
      </c>
      <c r="I31" s="388"/>
      <c r="J31" s="389">
        <f>SUMIF(98:98,I31,99:99)-SUMIF(98:98,C31,99:99)+100</f>
        <v>100</v>
      </c>
      <c r="K31" s="1893"/>
      <c r="L31" s="2696"/>
      <c r="M31" s="2690"/>
      <c r="N31" s="2690"/>
      <c r="O31" s="2690"/>
      <c r="P31" s="3716"/>
      <c r="Q31" s="1351">
        <f t="shared" si="11"/>
        <v>111</v>
      </c>
      <c r="R31" s="705" t="s">
        <v>18</v>
      </c>
      <c r="S31" s="706">
        <f t="shared" si="12"/>
        <v>100</v>
      </c>
      <c r="T31" s="705" t="s">
        <v>18</v>
      </c>
      <c r="U31" s="706">
        <f t="shared" si="13"/>
        <v>100</v>
      </c>
      <c r="V31" s="705" t="s">
        <v>18</v>
      </c>
      <c r="W31" s="706">
        <f t="shared" si="14"/>
        <v>100</v>
      </c>
      <c r="X31" s="1354"/>
      <c r="Y31" s="3709"/>
      <c r="Z31" s="1355">
        <f t="shared" si="18"/>
        <v>111</v>
      </c>
      <c r="AA31" s="1352">
        <f t="shared" si="15"/>
        <v>1</v>
      </c>
      <c r="AB31" s="1352">
        <f t="shared" si="16"/>
        <v>1</v>
      </c>
      <c r="AC31" s="1352">
        <f t="shared" si="17"/>
        <v>1</v>
      </c>
    </row>
    <row r="32" spans="1:29" ht="15">
      <c r="A32" s="391" t="s">
        <v>1676</v>
      </c>
      <c r="B32" s="63" t="s">
        <v>1677</v>
      </c>
      <c r="C32" s="1909"/>
      <c r="D32" s="418">
        <v>100</v>
      </c>
      <c r="E32" s="1910"/>
      <c r="F32" s="412">
        <f>SUMIF(100:100,E32,101:101)-SUMIF(100:100,C32,101:101)+100</f>
        <v>100</v>
      </c>
      <c r="G32" s="1909"/>
      <c r="H32" s="418">
        <f>SUMIF(100:100,G32,101:101)-SUMIF(100:100,C32,101:101)+100</f>
        <v>100</v>
      </c>
      <c r="I32" s="1910"/>
      <c r="J32" s="386">
        <f>SUMIF(100:100,I32,101:101)-SUMIF(100:100,C32,101:101)+100</f>
        <v>100</v>
      </c>
      <c r="K32" s="377"/>
      <c r="L32" s="2696"/>
      <c r="M32" s="2690"/>
      <c r="N32" s="2690"/>
      <c r="O32" s="2690"/>
      <c r="P32" s="3710" t="s">
        <v>1678</v>
      </c>
      <c r="Q32" s="1351" t="str">
        <f t="shared" si="11"/>
        <v>建筑类型</v>
      </c>
      <c r="R32" s="705" t="s">
        <v>18</v>
      </c>
      <c r="S32" s="706">
        <f t="shared" si="12"/>
        <v>100</v>
      </c>
      <c r="T32" s="705" t="s">
        <v>18</v>
      </c>
      <c r="U32" s="706">
        <f t="shared" si="13"/>
        <v>100</v>
      </c>
      <c r="V32" s="705" t="s">
        <v>18</v>
      </c>
      <c r="W32" s="706">
        <f t="shared" si="14"/>
        <v>100</v>
      </c>
      <c r="X32" s="1354"/>
      <c r="Y32" s="3713" t="s">
        <v>1678</v>
      </c>
      <c r="Z32" s="1355" t="str">
        <f t="shared" si="18"/>
        <v>建筑类型</v>
      </c>
      <c r="AA32" s="1352">
        <f t="shared" si="15"/>
        <v>1</v>
      </c>
      <c r="AB32" s="1352">
        <f t="shared" si="16"/>
        <v>1</v>
      </c>
      <c r="AC32" s="1352">
        <f t="shared" si="17"/>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1"/>
      <c r="J33" s="127" t="e">
        <f>LOOKUP(I33,103:103,104:104)-LOOKUP(C33,103:103,104:104)+100</f>
        <v>#N/A</v>
      </c>
      <c r="K33" s="1893"/>
      <c r="L33" s="2695"/>
      <c r="M33" s="2697"/>
      <c r="N33" s="2697"/>
      <c r="O33" s="2697"/>
      <c r="P33" s="3711"/>
      <c r="Q33" s="707" t="str">
        <f t="shared" si="11"/>
        <v>项目建筑规模</v>
      </c>
      <c r="R33" s="708" t="s">
        <v>18</v>
      </c>
      <c r="S33" s="709" t="e">
        <f t="shared" si="12"/>
        <v>#N/A</v>
      </c>
      <c r="T33" s="708" t="s">
        <v>18</v>
      </c>
      <c r="U33" s="709" t="e">
        <f t="shared" si="13"/>
        <v>#N/A</v>
      </c>
      <c r="V33" s="708" t="s">
        <v>18</v>
      </c>
      <c r="W33" s="709" t="e">
        <f t="shared" si="14"/>
        <v>#N/A</v>
      </c>
      <c r="X33" s="710"/>
      <c r="Y33" s="3713"/>
      <c r="Z33" s="711" t="str">
        <f t="shared" si="18"/>
        <v>项目建筑规模</v>
      </c>
      <c r="AA33" s="1352" t="e">
        <f t="shared" si="15"/>
        <v>#N/A</v>
      </c>
      <c r="AB33" s="1352" t="e">
        <f t="shared" si="16"/>
        <v>#N/A</v>
      </c>
      <c r="AC33" s="1352" t="e">
        <f t="shared" si="17"/>
        <v>#N/A</v>
      </c>
    </row>
    <row r="34" spans="1:29" ht="15">
      <c r="A34" s="423"/>
      <c r="B34" s="375" t="s">
        <v>1680</v>
      </c>
      <c r="C34" s="1911"/>
      <c r="D34" s="386">
        <v>100</v>
      </c>
      <c r="E34" s="1912"/>
      <c r="F34" s="412">
        <f>SUMIF(105:105,E34,106:106)-SUMIF(105:105,C34,106:106)+100</f>
        <v>100</v>
      </c>
      <c r="G34" s="1911"/>
      <c r="H34" s="386">
        <f>SUMIF(105:105,G34,106:106)-SUMIF(105:105,C34,106:106)+100</f>
        <v>100</v>
      </c>
      <c r="I34" s="1912"/>
      <c r="J34" s="386">
        <f>SUMIF(105:105,I34,106:106)-SUMIF(105:105,C34,106:106)+100</f>
        <v>100</v>
      </c>
      <c r="K34" s="377"/>
      <c r="L34" s="2696"/>
      <c r="M34" s="2690"/>
      <c r="N34" s="2690"/>
      <c r="O34" s="2690"/>
      <c r="P34" s="3711"/>
      <c r="Q34" s="1351" t="str">
        <f t="shared" si="11"/>
        <v>建筑结构</v>
      </c>
      <c r="R34" s="705" t="s">
        <v>18</v>
      </c>
      <c r="S34" s="706">
        <f t="shared" si="12"/>
        <v>100</v>
      </c>
      <c r="T34" s="705" t="s">
        <v>18</v>
      </c>
      <c r="U34" s="706">
        <f t="shared" si="13"/>
        <v>100</v>
      </c>
      <c r="V34" s="705" t="s">
        <v>18</v>
      </c>
      <c r="W34" s="706">
        <f t="shared" si="14"/>
        <v>100</v>
      </c>
      <c r="X34" s="1354"/>
      <c r="Y34" s="3713"/>
      <c r="Z34" s="1355" t="str">
        <f t="shared" si="18"/>
        <v>建筑结构</v>
      </c>
      <c r="AA34" s="1352">
        <f t="shared" si="15"/>
        <v>1</v>
      </c>
      <c r="AB34" s="1352">
        <f t="shared" si="16"/>
        <v>1</v>
      </c>
      <c r="AC34" s="1352">
        <f t="shared" si="17"/>
        <v>1</v>
      </c>
    </row>
    <row r="35" spans="1:29" ht="15">
      <c r="A35" s="423"/>
      <c r="B35" s="375" t="s">
        <v>1681</v>
      </c>
      <c r="C35" s="1905"/>
      <c r="D35" s="386">
        <v>100</v>
      </c>
      <c r="E35" s="1906"/>
      <c r="F35" s="412">
        <f>SUMIF(107:107,E35,108:108)-SUMIF(107:107,C35,108:108)+100</f>
        <v>100</v>
      </c>
      <c r="G35" s="1905"/>
      <c r="H35" s="386">
        <f>SUMIF(107:107,G35,108:108)-SUMIF(107:107,C35,108:108)+100</f>
        <v>100</v>
      </c>
      <c r="I35" s="1906"/>
      <c r="J35" s="386">
        <f>SUMIF(107:107,I35,108:108)-SUMIF(107:107,C35,108:108)+100</f>
        <v>100</v>
      </c>
      <c r="K35" s="377"/>
      <c r="L35" s="2696"/>
      <c r="M35" s="2690"/>
      <c r="N35" s="2690"/>
      <c r="O35" s="2690"/>
      <c r="P35" s="3711"/>
      <c r="Q35" s="1351" t="str">
        <f t="shared" si="11"/>
        <v>建筑品质</v>
      </c>
      <c r="R35" s="705" t="s">
        <v>18</v>
      </c>
      <c r="S35" s="706">
        <f t="shared" si="12"/>
        <v>100</v>
      </c>
      <c r="T35" s="705" t="s">
        <v>18</v>
      </c>
      <c r="U35" s="706">
        <f t="shared" si="13"/>
        <v>100</v>
      </c>
      <c r="V35" s="705" t="s">
        <v>18</v>
      </c>
      <c r="W35" s="706">
        <f t="shared" si="14"/>
        <v>100</v>
      </c>
      <c r="X35" s="1354"/>
      <c r="Y35" s="3713"/>
      <c r="Z35" s="1355" t="str">
        <f t="shared" si="18"/>
        <v>建筑品质</v>
      </c>
      <c r="AA35" s="1352">
        <f t="shared" si="15"/>
        <v>1</v>
      </c>
      <c r="AB35" s="1352">
        <f t="shared" si="16"/>
        <v>1</v>
      </c>
      <c r="AC35" s="1352">
        <f t="shared" si="17"/>
        <v>1</v>
      </c>
    </row>
    <row r="36" spans="1:29" ht="15">
      <c r="A36" s="423"/>
      <c r="B36" s="375" t="s">
        <v>1682</v>
      </c>
      <c r="C36" s="1905"/>
      <c r="D36" s="386">
        <v>100</v>
      </c>
      <c r="E36" s="1906"/>
      <c r="F36" s="412">
        <f>SUMIF(109:109,E36,110:110)-SUMIF(109:109,C36,110:110)+100</f>
        <v>100</v>
      </c>
      <c r="G36" s="1905"/>
      <c r="H36" s="386">
        <f>SUMIF(109:109,G36,110:110)-SUMIF(109:109,C36,110:110)+100</f>
        <v>100</v>
      </c>
      <c r="I36" s="1906"/>
      <c r="J36" s="386">
        <f>SUMIF(109:109,I36,110:110)-SUMIF(109:109,C36,110:110)+100</f>
        <v>100</v>
      </c>
      <c r="K36" s="377"/>
      <c r="L36" s="2696"/>
      <c r="M36" s="2690"/>
      <c r="N36" s="2690"/>
      <c r="O36" s="2690"/>
      <c r="P36" s="3711"/>
      <c r="Q36" s="1351" t="str">
        <f t="shared" si="11"/>
        <v>公共部分装修</v>
      </c>
      <c r="R36" s="705" t="s">
        <v>18</v>
      </c>
      <c r="S36" s="706">
        <f t="shared" si="12"/>
        <v>100</v>
      </c>
      <c r="T36" s="705" t="s">
        <v>18</v>
      </c>
      <c r="U36" s="706">
        <f t="shared" si="13"/>
        <v>100</v>
      </c>
      <c r="V36" s="705" t="s">
        <v>18</v>
      </c>
      <c r="W36" s="706">
        <f t="shared" si="14"/>
        <v>100</v>
      </c>
      <c r="X36" s="1354"/>
      <c r="Y36" s="3713"/>
      <c r="Z36" s="1355" t="str">
        <f t="shared" si="18"/>
        <v>公共部分装修</v>
      </c>
      <c r="AA36" s="1352">
        <f t="shared" si="15"/>
        <v>1</v>
      </c>
      <c r="AB36" s="1352">
        <f t="shared" si="16"/>
        <v>1</v>
      </c>
      <c r="AC36" s="1352">
        <f t="shared" si="17"/>
        <v>1</v>
      </c>
    </row>
    <row r="37" spans="1:29" s="108" customFormat="1" ht="15">
      <c r="A37" s="424"/>
      <c r="B37" s="375" t="s">
        <v>1683</v>
      </c>
      <c r="C37" s="425"/>
      <c r="D37" s="127">
        <v>100</v>
      </c>
      <c r="E37" s="425"/>
      <c r="F37" s="376" t="e">
        <f>LOOKUP(E37,112:112,113:113)-LOOKUP(C37,112:112,113:113)+100</f>
        <v>#N/A</v>
      </c>
      <c r="G37" s="427"/>
      <c r="H37" s="127" t="e">
        <f>LOOKUP(G37,112:112,113:113)-LOOKUP(C37,112:112,113:113)+100</f>
        <v>#N/A</v>
      </c>
      <c r="I37" s="426"/>
      <c r="J37" s="127" t="e">
        <f>LOOKUP(I37,112:112,113:113)-LOOKUP(C37,112:112,113:113)+100</f>
        <v>#N/A</v>
      </c>
      <c r="K37" s="377"/>
      <c r="L37" s="2691"/>
      <c r="M37" s="2692"/>
      <c r="N37" s="2692"/>
      <c r="O37" s="2692"/>
      <c r="P37" s="3711"/>
      <c r="Q37" s="1342" t="str">
        <f t="shared" si="11"/>
        <v>成新度</v>
      </c>
      <c r="R37" s="701" t="s">
        <v>18</v>
      </c>
      <c r="S37" s="702" t="e">
        <f t="shared" si="12"/>
        <v>#N/A</v>
      </c>
      <c r="T37" s="701" t="s">
        <v>18</v>
      </c>
      <c r="U37" s="702" t="e">
        <f t="shared" si="13"/>
        <v>#N/A</v>
      </c>
      <c r="V37" s="701" t="s">
        <v>18</v>
      </c>
      <c r="W37" s="702" t="e">
        <f t="shared" si="14"/>
        <v>#N/A</v>
      </c>
      <c r="X37" s="703"/>
      <c r="Y37" s="3713"/>
      <c r="Z37" s="52" t="str">
        <f t="shared" si="18"/>
        <v>成新度</v>
      </c>
      <c r="AA37" s="704" t="e">
        <f t="shared" si="15"/>
        <v>#N/A</v>
      </c>
      <c r="AB37" s="704" t="e">
        <f t="shared" si="16"/>
        <v>#N/A</v>
      </c>
      <c r="AC37" s="704" t="e">
        <f t="shared" si="17"/>
        <v>#N/A</v>
      </c>
    </row>
    <row r="38" spans="1:29" ht="15">
      <c r="A38" s="423"/>
      <c r="B38" s="375" t="s">
        <v>1684</v>
      </c>
      <c r="C38" s="1905"/>
      <c r="D38" s="386">
        <v>100</v>
      </c>
      <c r="E38" s="1906"/>
      <c r="F38" s="412">
        <f>SUMIF(114:114,E38,115:115)-SUMIF(114:114,C38,115:115)+100</f>
        <v>100</v>
      </c>
      <c r="G38" s="1905"/>
      <c r="H38" s="386">
        <f>SUMIF(114:114,G38,115:115)-SUMIF(114:114,C38,115:115)+100</f>
        <v>100</v>
      </c>
      <c r="I38" s="1906"/>
      <c r="J38" s="386">
        <f>SUMIF(114:114,I38,115:115)-SUMIF(114:114,C38,115:115)+100</f>
        <v>100</v>
      </c>
      <c r="K38" s="377"/>
      <c r="L38" s="2696"/>
      <c r="M38" s="2690"/>
      <c r="N38" s="2690"/>
      <c r="O38" s="2690"/>
      <c r="P38" s="3711" t="s">
        <v>1678</v>
      </c>
      <c r="Q38" s="1351" t="str">
        <f t="shared" si="11"/>
        <v>物业管理</v>
      </c>
      <c r="R38" s="705" t="s">
        <v>18</v>
      </c>
      <c r="S38" s="706">
        <f t="shared" si="12"/>
        <v>100</v>
      </c>
      <c r="T38" s="705" t="s">
        <v>18</v>
      </c>
      <c r="U38" s="706">
        <f t="shared" si="13"/>
        <v>100</v>
      </c>
      <c r="V38" s="705" t="s">
        <v>18</v>
      </c>
      <c r="W38" s="706">
        <f t="shared" si="14"/>
        <v>100</v>
      </c>
      <c r="X38" s="1354"/>
      <c r="Y38" s="3713" t="s">
        <v>1678</v>
      </c>
      <c r="Z38" s="1355" t="str">
        <f t="shared" si="18"/>
        <v>物业管理</v>
      </c>
      <c r="AA38" s="1352">
        <f t="shared" si="15"/>
        <v>1</v>
      </c>
      <c r="AB38" s="1352">
        <f t="shared" si="16"/>
        <v>1</v>
      </c>
      <c r="AC38" s="1352">
        <f t="shared" si="17"/>
        <v>1</v>
      </c>
    </row>
    <row r="39" spans="1:29" ht="15">
      <c r="A39" s="423"/>
      <c r="B39" s="375" t="s">
        <v>1685</v>
      </c>
      <c r="C39" s="1905"/>
      <c r="D39" s="386">
        <v>100</v>
      </c>
      <c r="E39" s="1906"/>
      <c r="F39" s="412">
        <f>SUMIF(116:116,E39,117:117)-SUMIF(116:116,C39,117:117)+100</f>
        <v>100</v>
      </c>
      <c r="G39" s="1905"/>
      <c r="H39" s="386">
        <f>SUMIF(116:116,G39,117:117)-SUMIF(116:116,C39,117:117)+100</f>
        <v>100</v>
      </c>
      <c r="I39" s="1906"/>
      <c r="J39" s="386">
        <f>SUMIF(116:116,I39,117:117)-SUMIF(116:116,C39,117:117)+100</f>
        <v>100</v>
      </c>
      <c r="K39" s="377"/>
      <c r="L39" s="2696"/>
      <c r="M39" s="2690"/>
      <c r="N39" s="2690"/>
      <c r="O39" s="2690"/>
      <c r="P39" s="3711"/>
      <c r="Q39" s="1351" t="str">
        <f t="shared" si="11"/>
        <v>市政基础设施</v>
      </c>
      <c r="R39" s="705" t="s">
        <v>18</v>
      </c>
      <c r="S39" s="706">
        <f t="shared" si="12"/>
        <v>100</v>
      </c>
      <c r="T39" s="705" t="s">
        <v>18</v>
      </c>
      <c r="U39" s="706">
        <f t="shared" si="13"/>
        <v>100</v>
      </c>
      <c r="V39" s="705" t="s">
        <v>18</v>
      </c>
      <c r="W39" s="706">
        <f t="shared" si="14"/>
        <v>100</v>
      </c>
      <c r="X39" s="1354"/>
      <c r="Y39" s="3713"/>
      <c r="Z39" s="1355" t="str">
        <f t="shared" si="18"/>
        <v>市政基础设施</v>
      </c>
      <c r="AA39" s="1352">
        <f t="shared" si="15"/>
        <v>1</v>
      </c>
      <c r="AB39" s="1352">
        <f t="shared" si="16"/>
        <v>1</v>
      </c>
      <c r="AC39" s="1352">
        <f t="shared" si="17"/>
        <v>1</v>
      </c>
    </row>
    <row r="40" spans="1:29" ht="15">
      <c r="A40" s="423"/>
      <c r="B40" s="375" t="s">
        <v>1686</v>
      </c>
      <c r="C40" s="1905"/>
      <c r="D40" s="386">
        <v>100</v>
      </c>
      <c r="E40" s="1906"/>
      <c r="F40" s="412">
        <f>SUMIF(118:118,E40,119:119)-SUMIF(118:118,C40,119:119)+100</f>
        <v>100</v>
      </c>
      <c r="G40" s="1905"/>
      <c r="H40" s="386">
        <f>SUMIF(118:118,G40,119:119)-SUMIF(118:118,C40,119:119)+100</f>
        <v>100</v>
      </c>
      <c r="I40" s="1906"/>
      <c r="J40" s="386">
        <f>SUMIF(118:118,I40,119:119)-SUMIF(118:118,C40,119:119)+100</f>
        <v>100</v>
      </c>
      <c r="K40" s="377"/>
      <c r="L40" s="2696"/>
      <c r="M40" s="2690"/>
      <c r="N40" s="2690"/>
      <c r="O40" s="2690"/>
      <c r="P40" s="3711"/>
      <c r="Q40" s="1351" t="str">
        <f t="shared" si="11"/>
        <v>房型</v>
      </c>
      <c r="R40" s="705" t="s">
        <v>18</v>
      </c>
      <c r="S40" s="706">
        <f t="shared" si="12"/>
        <v>100</v>
      </c>
      <c r="T40" s="705" t="s">
        <v>18</v>
      </c>
      <c r="U40" s="706">
        <f t="shared" si="13"/>
        <v>100</v>
      </c>
      <c r="V40" s="705" t="s">
        <v>18</v>
      </c>
      <c r="W40" s="706">
        <f t="shared" si="14"/>
        <v>100</v>
      </c>
      <c r="X40" s="1354"/>
      <c r="Y40" s="3713"/>
      <c r="Z40" s="1355" t="str">
        <f t="shared" si="18"/>
        <v>房型</v>
      </c>
      <c r="AA40" s="1352">
        <f t="shared" si="15"/>
        <v>1</v>
      </c>
      <c r="AB40" s="1352">
        <f t="shared" si="16"/>
        <v>1</v>
      </c>
      <c r="AC40" s="1352">
        <f t="shared" si="17"/>
        <v>1</v>
      </c>
    </row>
    <row r="41" spans="1:29" s="422" customFormat="1" ht="28.5">
      <c r="A41" s="419"/>
      <c r="B41" s="375" t="s">
        <v>1687</v>
      </c>
      <c r="C41" s="420"/>
      <c r="D41" s="127">
        <v>100</v>
      </c>
      <c r="E41" s="381"/>
      <c r="F41" s="376">
        <f>SUMIF(120:120,E41,121:121)-SUMIF(120:120,C41,121:121)+100</f>
        <v>100</v>
      </c>
      <c r="G41" s="380"/>
      <c r="H41" s="127">
        <f>SUMIF(120:120,G41,121:121)-SUMIF(120:120,C41,121:121)+100</f>
        <v>100</v>
      </c>
      <c r="I41" s="428"/>
      <c r="J41" s="386">
        <f>SUMIF(120:120,I41,121:121)-SUMIF(120:120,C41,121:121)+100</f>
        <v>100</v>
      </c>
      <c r="K41" s="1893"/>
      <c r="L41" s="2695"/>
      <c r="M41" s="2697"/>
      <c r="N41" s="2697"/>
      <c r="O41" s="2697"/>
      <c r="P41" s="3711"/>
      <c r="Q41" s="707" t="str">
        <f t="shared" si="11"/>
        <v>单套/主力户型建筑面积</v>
      </c>
      <c r="R41" s="708" t="s">
        <v>18</v>
      </c>
      <c r="S41" s="709">
        <f t="shared" si="12"/>
        <v>100</v>
      </c>
      <c r="T41" s="708" t="s">
        <v>18</v>
      </c>
      <c r="U41" s="709">
        <f t="shared" si="13"/>
        <v>100</v>
      </c>
      <c r="V41" s="708" t="s">
        <v>18</v>
      </c>
      <c r="W41" s="709">
        <f t="shared" si="14"/>
        <v>100</v>
      </c>
      <c r="X41" s="710"/>
      <c r="Y41" s="3713"/>
      <c r="Z41" s="711" t="str">
        <f t="shared" si="18"/>
        <v>单套/主力户型建筑面积</v>
      </c>
      <c r="AA41" s="1352">
        <f t="shared" si="15"/>
        <v>1</v>
      </c>
      <c r="AB41" s="1352">
        <f t="shared" si="16"/>
        <v>1</v>
      </c>
      <c r="AC41" s="1352">
        <f t="shared" si="17"/>
        <v>1</v>
      </c>
    </row>
    <row r="42" spans="1:29" ht="15">
      <c r="A42" s="423"/>
      <c r="B42" s="375" t="s">
        <v>1688</v>
      </c>
      <c r="C42" s="1905"/>
      <c r="D42" s="386">
        <v>100</v>
      </c>
      <c r="E42" s="1906"/>
      <c r="F42" s="412">
        <f>SUMIF(122:122,E42,123:123)-SUMIF(122:122,C42,123:123)+100</f>
        <v>100</v>
      </c>
      <c r="G42" s="1905"/>
      <c r="H42" s="386">
        <f>SUMIF(122:122,G42,123:123)-SUMIF(122:122,C42,123:123)+100</f>
        <v>100</v>
      </c>
      <c r="I42" s="1906"/>
      <c r="J42" s="386">
        <f>SUMIF(122:122,I42,123:123)-SUMIF(122:122,C42,123:123)+100</f>
        <v>100</v>
      </c>
      <c r="K42" s="377"/>
      <c r="L42" s="2696"/>
      <c r="M42" s="2690"/>
      <c r="N42" s="2690"/>
      <c r="O42" s="2690"/>
      <c r="P42" s="3711"/>
      <c r="Q42" s="1351" t="str">
        <f t="shared" si="11"/>
        <v>内部装修</v>
      </c>
      <c r="R42" s="705" t="s">
        <v>18</v>
      </c>
      <c r="S42" s="706">
        <f t="shared" si="12"/>
        <v>100</v>
      </c>
      <c r="T42" s="705" t="s">
        <v>18</v>
      </c>
      <c r="U42" s="706">
        <f t="shared" si="13"/>
        <v>100</v>
      </c>
      <c r="V42" s="705" t="s">
        <v>18</v>
      </c>
      <c r="W42" s="706">
        <f t="shared" si="14"/>
        <v>100</v>
      </c>
      <c r="X42" s="1354"/>
      <c r="Y42" s="3713"/>
      <c r="Z42" s="1355" t="str">
        <f t="shared" si="18"/>
        <v>内部装修</v>
      </c>
      <c r="AA42" s="1352">
        <f t="shared" si="15"/>
        <v>1</v>
      </c>
      <c r="AB42" s="1352">
        <f t="shared" si="16"/>
        <v>1</v>
      </c>
      <c r="AC42" s="1352">
        <f t="shared" si="17"/>
        <v>1</v>
      </c>
    </row>
    <row r="43" spans="1:29" ht="15">
      <c r="A43" s="423"/>
      <c r="B43" s="375" t="s">
        <v>1689</v>
      </c>
      <c r="C43" s="1905"/>
      <c r="D43" s="386">
        <v>100</v>
      </c>
      <c r="E43" s="1906"/>
      <c r="F43" s="412">
        <f>SUMIF(124:124,E43,125:125)-SUMIF(124:124,C43,125:125)+100</f>
        <v>100</v>
      </c>
      <c r="G43" s="1905"/>
      <c r="H43" s="386">
        <f>SUMIF(124:124,G43,125:125)-SUMIF(124:124,C43,125:125)+100</f>
        <v>100</v>
      </c>
      <c r="I43" s="1906"/>
      <c r="J43" s="386">
        <f>SUMIF(124:124,I43,125:125)-SUMIF(124:124,C43,125:125)+100</f>
        <v>100</v>
      </c>
      <c r="K43" s="377"/>
      <c r="L43" s="2696"/>
      <c r="M43" s="2690"/>
      <c r="N43" s="2690"/>
      <c r="O43" s="2690"/>
      <c r="P43" s="3711"/>
      <c r="Q43" s="1351" t="str">
        <f t="shared" si="11"/>
        <v>内部装修维护情况</v>
      </c>
      <c r="R43" s="705" t="s">
        <v>18</v>
      </c>
      <c r="S43" s="706">
        <f t="shared" si="12"/>
        <v>100</v>
      </c>
      <c r="T43" s="705" t="s">
        <v>18</v>
      </c>
      <c r="U43" s="706">
        <f t="shared" si="13"/>
        <v>100</v>
      </c>
      <c r="V43" s="705" t="s">
        <v>18</v>
      </c>
      <c r="W43" s="706">
        <f t="shared" si="14"/>
        <v>100</v>
      </c>
      <c r="X43" s="1354"/>
      <c r="Y43" s="3713"/>
      <c r="Z43" s="1355" t="str">
        <f t="shared" si="18"/>
        <v>内部装修维护情况</v>
      </c>
      <c r="AA43" s="1352">
        <f t="shared" si="15"/>
        <v>1</v>
      </c>
      <c r="AB43" s="1352">
        <f t="shared" si="16"/>
        <v>1</v>
      </c>
      <c r="AC43" s="1352">
        <f t="shared" si="17"/>
        <v>1</v>
      </c>
    </row>
    <row r="44" spans="1:29" s="108" customFormat="1" ht="15">
      <c r="A44" s="424"/>
      <c r="B44" s="1133">
        <v>111</v>
      </c>
      <c r="C44" s="420"/>
      <c r="D44" s="127">
        <v>100</v>
      </c>
      <c r="E44" s="420"/>
      <c r="F44" s="376">
        <f>SUMIF(126:126,E44,127:127)-SUMIF(126:126,C44,127:127)+100</f>
        <v>100</v>
      </c>
      <c r="G44" s="420"/>
      <c r="H44" s="127">
        <f>SUMIF(126:126,G44,127:127)-SUMIF(126:126,C44,127:127)+100</f>
        <v>100</v>
      </c>
      <c r="I44" s="420"/>
      <c r="J44" s="127">
        <f>SUMIF(126:126,I44,127:127)-SUMIF(126:126,C44,127:127)+100</f>
        <v>100</v>
      </c>
      <c r="K44" s="1893"/>
      <c r="L44" s="2691"/>
      <c r="M44" s="2692"/>
      <c r="N44" s="2692"/>
      <c r="O44" s="2692"/>
      <c r="P44" s="3711"/>
      <c r="Q44" s="1342">
        <f t="shared" si="11"/>
        <v>111</v>
      </c>
      <c r="R44" s="701" t="s">
        <v>18</v>
      </c>
      <c r="S44" s="702">
        <f t="shared" si="12"/>
        <v>100</v>
      </c>
      <c r="T44" s="701" t="s">
        <v>18</v>
      </c>
      <c r="U44" s="702">
        <f t="shared" si="13"/>
        <v>100</v>
      </c>
      <c r="V44" s="701" t="s">
        <v>18</v>
      </c>
      <c r="W44" s="702">
        <f t="shared" si="14"/>
        <v>100</v>
      </c>
      <c r="X44" s="703"/>
      <c r="Y44" s="3713"/>
      <c r="Z44" s="52">
        <f t="shared" si="18"/>
        <v>111</v>
      </c>
      <c r="AA44" s="704">
        <f t="shared" si="15"/>
        <v>1</v>
      </c>
      <c r="AB44" s="704">
        <f t="shared" si="16"/>
        <v>1</v>
      </c>
      <c r="AC44" s="704">
        <f t="shared" si="17"/>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1893"/>
      <c r="L45" s="2696"/>
      <c r="M45" s="2690"/>
      <c r="N45" s="2690"/>
      <c r="O45" s="2690"/>
      <c r="P45" s="3711"/>
      <c r="Q45" s="1351">
        <f t="shared" si="11"/>
        <v>111</v>
      </c>
      <c r="R45" s="705" t="s">
        <v>18</v>
      </c>
      <c r="S45" s="706">
        <f t="shared" si="12"/>
        <v>100</v>
      </c>
      <c r="T45" s="705" t="s">
        <v>18</v>
      </c>
      <c r="U45" s="706">
        <f t="shared" si="13"/>
        <v>100</v>
      </c>
      <c r="V45" s="705" t="s">
        <v>18</v>
      </c>
      <c r="W45" s="706">
        <f t="shared" si="14"/>
        <v>100</v>
      </c>
      <c r="X45" s="1354"/>
      <c r="Y45" s="3713"/>
      <c r="Z45" s="1355">
        <f t="shared" si="18"/>
        <v>111</v>
      </c>
      <c r="AA45" s="1352">
        <f t="shared" si="15"/>
        <v>1</v>
      </c>
      <c r="AB45" s="1352">
        <f t="shared" si="16"/>
        <v>1</v>
      </c>
      <c r="AC45" s="1352">
        <f t="shared" si="17"/>
        <v>1</v>
      </c>
    </row>
    <row r="46" spans="1:29" ht="15.75" thickBot="1">
      <c r="A46" s="429"/>
      <c r="B46" s="1894">
        <v>111</v>
      </c>
      <c r="C46" s="388"/>
      <c r="D46" s="389">
        <v>100</v>
      </c>
      <c r="E46" s="388"/>
      <c r="F46" s="390">
        <f>SUMIF(130:130,E46,131:131)-SUMIF(130:130,C46,131:131)+100</f>
        <v>100</v>
      </c>
      <c r="G46" s="388"/>
      <c r="H46" s="389">
        <f>SUMIF(130:130,G46,131:131)-SUMIF(130:130,C46,131:131)+100</f>
        <v>100</v>
      </c>
      <c r="I46" s="388"/>
      <c r="J46" s="389">
        <f>SUMIF(130:130,I46,131:131)-SUMIF(130:130,C46,131:131)+100</f>
        <v>100</v>
      </c>
      <c r="K46" s="1893"/>
      <c r="L46" s="2696"/>
      <c r="M46" s="2690"/>
      <c r="N46" s="2690"/>
      <c r="O46" s="2690"/>
      <c r="P46" s="3712"/>
      <c r="Q46" s="1351">
        <f t="shared" si="11"/>
        <v>111</v>
      </c>
      <c r="R46" s="705" t="s">
        <v>17</v>
      </c>
      <c r="S46" s="706">
        <f t="shared" si="12"/>
        <v>100</v>
      </c>
      <c r="T46" s="705" t="s">
        <v>17</v>
      </c>
      <c r="U46" s="706">
        <f t="shared" si="13"/>
        <v>100</v>
      </c>
      <c r="V46" s="705" t="s">
        <v>17</v>
      </c>
      <c r="W46" s="706">
        <f t="shared" si="14"/>
        <v>100</v>
      </c>
      <c r="X46" s="1354"/>
      <c r="Y46" s="3714"/>
      <c r="Z46" s="1355">
        <f t="shared" si="18"/>
        <v>111</v>
      </c>
      <c r="AA46" s="1352">
        <f t="shared" si="15"/>
        <v>1</v>
      </c>
      <c r="AB46" s="1352">
        <f t="shared" si="16"/>
        <v>1</v>
      </c>
      <c r="AC46" s="1352">
        <f t="shared" si="17"/>
        <v>1</v>
      </c>
    </row>
    <row r="47" spans="1:29" ht="15">
      <c r="A47" s="430" t="s">
        <v>1690</v>
      </c>
      <c r="B47" s="431"/>
      <c r="C47" s="1154" t="s">
        <v>16</v>
      </c>
      <c r="D47" s="1155"/>
      <c r="E47" s="1156"/>
      <c r="F47" s="1157"/>
      <c r="G47" s="1158"/>
      <c r="H47" s="1159"/>
      <c r="I47" s="1156"/>
      <c r="J47" s="1159"/>
      <c r="K47" s="1913"/>
      <c r="L47" s="2698"/>
      <c r="M47" s="2699"/>
      <c r="N47" s="2690"/>
      <c r="O47" s="2699"/>
      <c r="P47" s="3706" t="str">
        <f>A47</f>
        <v>成交单价（元/平方米）</v>
      </c>
      <c r="Q47" s="3706"/>
      <c r="R47" s="3707">
        <f>E47</f>
        <v>0</v>
      </c>
      <c r="S47" s="3707"/>
      <c r="T47" s="3707">
        <f>G47</f>
        <v>0</v>
      </c>
      <c r="U47" s="3707"/>
      <c r="V47" s="3707">
        <f>I47</f>
        <v>0</v>
      </c>
      <c r="W47" s="3707"/>
      <c r="X47" s="690"/>
      <c r="Y47" s="712"/>
      <c r="Z47" s="690"/>
      <c r="AA47" s="690"/>
      <c r="AB47" s="690"/>
      <c r="AC47" s="690"/>
    </row>
    <row r="48" spans="1:29" ht="15.75" thickBot="1">
      <c r="A48" s="437" t="s">
        <v>1691</v>
      </c>
      <c r="B48" s="438"/>
      <c r="C48" s="1160" t="e">
        <f>R49</f>
        <v>#DIV/0!</v>
      </c>
      <c r="D48" s="2316" t="s">
        <v>2119</v>
      </c>
      <c r="E48" s="1161" t="e">
        <f>R48</f>
        <v>#DIV/0!</v>
      </c>
      <c r="F48" s="2317"/>
      <c r="G48" s="1160" t="e">
        <f>T48</f>
        <v>#DIV/0!</v>
      </c>
      <c r="H48" s="2317"/>
      <c r="I48" s="1161" t="e">
        <f>V48</f>
        <v>#DIV/0!</v>
      </c>
      <c r="J48" s="2317"/>
      <c r="K48" s="2318">
        <f>F48+H48+J48</f>
        <v>0</v>
      </c>
      <c r="L48" s="2698"/>
      <c r="M48" s="2699"/>
      <c r="N48" s="2699"/>
      <c r="O48" s="2699"/>
      <c r="P48" s="3706" t="str">
        <f>A48</f>
        <v>比较价值（元/平方米）</v>
      </c>
      <c r="Q48" s="3706"/>
      <c r="R48" s="3707" t="e">
        <f>IF(F1="售价",ROUND(PRODUCT(R47,AA7:AA46),0),ROUND(PRODUCT(R47,AA7:AA46),1))</f>
        <v>#DIV/0!</v>
      </c>
      <c r="S48" s="3707"/>
      <c r="T48" s="3707" t="e">
        <f>IF(F1="售价",ROUND(PRODUCT(T47,AB7:AB46),0),ROUND(PRODUCT(T47,AB7:AB46),1))</f>
        <v>#DIV/0!</v>
      </c>
      <c r="U48" s="3707"/>
      <c r="V48" s="3707" t="e">
        <f>IF(F1="售价",ROUND(PRODUCT(V47,AC7:AC46),0),ROUND(PRODUCT(V47,AC7:AC46),1))</f>
        <v>#DIV/0!</v>
      </c>
      <c r="W48" s="3707"/>
      <c r="X48" s="690"/>
      <c r="Y48" s="690"/>
      <c r="Z48" s="690"/>
      <c r="AA48" s="690"/>
      <c r="AB48" s="690"/>
      <c r="AC48" s="690"/>
    </row>
    <row r="49" spans="1:29" ht="15.75" thickBot="1">
      <c r="A49" s="441" t="s">
        <v>1692</v>
      </c>
      <c r="B49" s="442"/>
      <c r="C49" s="1162" t="e">
        <f>R49</f>
        <v>#DIV/0!</v>
      </c>
      <c r="D49" s="1163"/>
      <c r="E49" s="1163"/>
      <c r="F49" s="1163"/>
      <c r="G49" s="1163"/>
      <c r="H49" s="1163"/>
      <c r="I49" s="1163"/>
      <c r="J49" s="1163"/>
      <c r="K49" s="1914"/>
      <c r="L49" s="2698"/>
      <c r="M49" s="2699"/>
      <c r="N49" s="2699"/>
      <c r="O49" s="2699"/>
      <c r="P49" s="3703" t="str">
        <f>A49</f>
        <v>估价对象XX用房的比较价值（楼面单价，元/平方米）</v>
      </c>
      <c r="Q49" s="3704"/>
      <c r="R49" s="3705" t="e">
        <f>IF(F1="售价",ROUND(IF(D48="简单平均",AVERAGE(R48:V48),R48*F48+T48*H48+V48*J48),0),ROUND(IF(D48="简单平均",AVERAGE(R48:V48),R48*F48+T48*H48+V48*J48),1))</f>
        <v>#DIV/0!</v>
      </c>
      <c r="S49" s="3705"/>
      <c r="T49" s="3705"/>
      <c r="U49" s="3705"/>
      <c r="V49" s="3705"/>
      <c r="W49" s="3705"/>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row>
    <row r="51" spans="1:29">
      <c r="A51" s="2699"/>
      <c r="B51" s="2699"/>
      <c r="C51" s="2699"/>
      <c r="D51" s="2699"/>
      <c r="E51" s="2699"/>
      <c r="F51" s="2699"/>
      <c r="G51" s="2699"/>
      <c r="H51" s="2699"/>
      <c r="I51" s="2699"/>
      <c r="J51" s="2699"/>
      <c r="K51" s="2704"/>
      <c r="L51" s="2700"/>
      <c r="M51" s="2699"/>
      <c r="N51" s="2699"/>
      <c r="O51" s="2699"/>
    </row>
    <row r="52" spans="1:29" ht="13.5" customHeight="1">
      <c r="A52" s="2699"/>
      <c r="B52" s="2699"/>
      <c r="C52" s="446" t="s">
        <v>1693</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row>
    <row r="53" spans="1:29" ht="13.5" customHeight="1">
      <c r="A53" s="2699"/>
      <c r="B53" s="2699"/>
      <c r="C53" s="446" t="s">
        <v>1694</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row>
    <row r="54" spans="1:29" s="451" customFormat="1" ht="13.5" customHeight="1">
      <c r="A54" s="2702"/>
      <c r="B54" s="2702"/>
      <c r="C54" s="446" t="s">
        <v>1695</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1916"/>
    </row>
    <row r="55" spans="1:29" s="451" customFormat="1">
      <c r="A55" s="2702"/>
      <c r="B55" s="2705"/>
      <c r="C55" s="2706"/>
      <c r="D55" s="2702"/>
      <c r="E55" s="2702"/>
      <c r="F55" s="2702"/>
      <c r="G55" s="2702"/>
      <c r="H55" s="2702"/>
      <c r="I55" s="2702"/>
      <c r="J55" s="2702"/>
      <c r="K55" s="2707"/>
      <c r="L55" s="2701"/>
      <c r="M55" s="2702"/>
      <c r="N55" s="2702"/>
      <c r="O55" s="2702"/>
      <c r="P55" s="1916"/>
    </row>
    <row r="56" spans="1:29">
      <c r="A56" s="2699"/>
      <c r="B56" s="2705"/>
      <c r="C56" s="2706"/>
      <c r="D56" s="2699"/>
      <c r="E56" s="2699"/>
      <c r="F56" s="2699"/>
      <c r="G56" s="2699"/>
      <c r="H56" s="2699"/>
      <c r="I56" s="2699"/>
      <c r="J56" s="2699"/>
      <c r="K56" s="2704"/>
      <c r="L56" s="2700"/>
      <c r="M56" s="2699"/>
      <c r="N56" s="2699"/>
      <c r="O56" s="2699"/>
    </row>
    <row r="57" spans="1:29" ht="21.75" thickBot="1">
      <c r="A57" s="694" t="s">
        <v>1696</v>
      </c>
      <c r="B57" s="690"/>
      <c r="C57" s="695"/>
      <c r="D57" s="695"/>
      <c r="E57" s="695"/>
      <c r="F57" s="696"/>
      <c r="G57" s="696"/>
      <c r="H57" s="695"/>
      <c r="I57" s="695"/>
      <c r="J57" s="695"/>
      <c r="K57" s="941"/>
      <c r="L57" s="942"/>
      <c r="M57" s="940"/>
      <c r="N57" s="940"/>
      <c r="O57" s="940"/>
      <c r="P57" s="1917"/>
      <c r="Q57" s="453"/>
    </row>
    <row r="58" spans="1:29" s="457" customFormat="1" ht="15">
      <c r="A58" s="454" t="s">
        <v>1697</v>
      </c>
      <c r="B58" s="455"/>
      <c r="C58" s="1185" t="str">
        <f>YEAR(C7)&amp;"-"&amp;MONTH(C7)</f>
        <v>2024-4</v>
      </c>
      <c r="D58" s="1184">
        <f>EDATE(C58,-1)</f>
        <v>45352</v>
      </c>
      <c r="E58" s="1184">
        <f>EDATE(D58,-1)</f>
        <v>45323</v>
      </c>
      <c r="F58" s="1184">
        <f t="shared" ref="F58:O58" si="19">EDATE(E58,-1)</f>
        <v>45292</v>
      </c>
      <c r="G58" s="1184">
        <f t="shared" si="19"/>
        <v>45261</v>
      </c>
      <c r="H58" s="1184">
        <f t="shared" si="19"/>
        <v>45231</v>
      </c>
      <c r="I58" s="1184">
        <f t="shared" si="19"/>
        <v>45200</v>
      </c>
      <c r="J58" s="1184">
        <f t="shared" si="19"/>
        <v>45170</v>
      </c>
      <c r="K58" s="1184">
        <f t="shared" si="19"/>
        <v>45139</v>
      </c>
      <c r="L58" s="1184">
        <f t="shared" si="19"/>
        <v>45108</v>
      </c>
      <c r="M58" s="1184">
        <f t="shared" si="19"/>
        <v>45078</v>
      </c>
      <c r="N58" s="1184">
        <f t="shared" si="19"/>
        <v>45047</v>
      </c>
      <c r="O58" s="1184">
        <f t="shared" si="19"/>
        <v>45017</v>
      </c>
      <c r="P58" s="1180"/>
    </row>
    <row r="59" spans="1:29" s="108" customFormat="1" ht="15">
      <c r="A59" s="458"/>
      <c r="B59" s="1918"/>
      <c r="C59" s="1182">
        <v>100</v>
      </c>
      <c r="D59" s="460"/>
      <c r="E59" s="461"/>
      <c r="F59" s="461"/>
      <c r="G59" s="461"/>
      <c r="H59" s="461"/>
      <c r="I59" s="461"/>
      <c r="J59" s="461"/>
      <c r="K59" s="461"/>
      <c r="L59" s="461"/>
      <c r="M59" s="462"/>
      <c r="N59" s="461"/>
      <c r="O59" s="462"/>
      <c r="P59" s="1919"/>
    </row>
    <row r="60" spans="1:29" s="108" customFormat="1" ht="15.75" thickBot="1">
      <c r="A60" s="464" t="s">
        <v>1698</v>
      </c>
      <c r="B60" s="465"/>
      <c r="C60" s="466"/>
      <c r="D60" s="467"/>
      <c r="E60" s="467"/>
      <c r="F60" s="467"/>
      <c r="G60" s="467"/>
      <c r="H60" s="467"/>
      <c r="I60" s="467"/>
      <c r="J60" s="467"/>
      <c r="K60" s="467"/>
      <c r="L60" s="467"/>
      <c r="M60" s="468"/>
      <c r="N60" s="467"/>
      <c r="O60" s="468"/>
      <c r="P60" s="1919"/>
      <c r="Q60" s="453"/>
    </row>
    <row r="61" spans="1:29" s="108" customFormat="1" ht="15">
      <c r="A61" s="470" t="s">
        <v>1699</v>
      </c>
      <c r="B61" s="459"/>
      <c r="C61" s="471" t="s">
        <v>1700</v>
      </c>
      <c r="D61" s="472"/>
      <c r="E61" s="472"/>
      <c r="F61" s="472"/>
      <c r="G61" s="472"/>
      <c r="H61" s="472"/>
      <c r="I61" s="472"/>
      <c r="J61" s="472"/>
      <c r="K61" s="472"/>
      <c r="L61" s="473"/>
      <c r="M61" s="474"/>
      <c r="N61" s="932"/>
      <c r="O61" s="932"/>
      <c r="P61" s="1920"/>
      <c r="Q61" s="453"/>
    </row>
    <row r="62" spans="1:29" s="108" customFormat="1" ht="15.75" thickBot="1">
      <c r="A62" s="470"/>
      <c r="B62" s="459"/>
      <c r="C62" s="460">
        <v>100</v>
      </c>
      <c r="D62" s="461"/>
      <c r="E62" s="461"/>
      <c r="F62" s="461"/>
      <c r="G62" s="461"/>
      <c r="H62" s="461"/>
      <c r="I62" s="461"/>
      <c r="J62" s="461"/>
      <c r="K62" s="461"/>
      <c r="L62" s="461"/>
      <c r="M62" s="463"/>
      <c r="N62" s="932"/>
      <c r="O62" s="932"/>
      <c r="P62" s="1919"/>
      <c r="Q62" s="453"/>
    </row>
    <row r="63" spans="1:29">
      <c r="A63" s="476" t="s">
        <v>1701</v>
      </c>
      <c r="B63" s="477" t="s">
        <v>1667</v>
      </c>
      <c r="C63" s="478">
        <f>C9</f>
        <v>0</v>
      </c>
      <c r="D63" s="479"/>
      <c r="E63" s="479"/>
      <c r="F63" s="479"/>
      <c r="G63" s="479"/>
      <c r="H63" s="479"/>
      <c r="I63" s="479"/>
      <c r="J63" s="479"/>
      <c r="K63" s="480"/>
      <c r="L63" s="481"/>
      <c r="M63" s="482"/>
      <c r="N63" s="933"/>
      <c r="O63" s="933"/>
      <c r="P63" s="1921"/>
      <c r="Q63" s="453"/>
    </row>
    <row r="64" spans="1:29" ht="15.75" thickBot="1">
      <c r="A64" s="483"/>
      <c r="B64" s="484"/>
      <c r="C64" s="485">
        <v>100</v>
      </c>
      <c r="D64" s="485"/>
      <c r="E64" s="485"/>
      <c r="F64" s="485"/>
      <c r="G64" s="485"/>
      <c r="H64" s="485"/>
      <c r="I64" s="485"/>
      <c r="J64" s="485"/>
      <c r="K64" s="485"/>
      <c r="L64" s="485"/>
      <c r="M64" s="486"/>
      <c r="N64" s="934"/>
      <c r="O64" s="934"/>
      <c r="P64" s="1921"/>
      <c r="Q64" s="453"/>
    </row>
    <row r="65" spans="1:17" ht="27.75" thickTop="1">
      <c r="A65" s="483"/>
      <c r="B65" s="487" t="s">
        <v>1670</v>
      </c>
      <c r="C65" s="532"/>
      <c r="D65" s="532"/>
      <c r="E65" s="532"/>
      <c r="F65" s="532"/>
      <c r="G65" s="532"/>
      <c r="H65" s="532"/>
      <c r="I65" s="532"/>
      <c r="J65" s="532"/>
      <c r="K65" s="532"/>
      <c r="L65" s="532"/>
      <c r="M65" s="532"/>
      <c r="N65" s="934"/>
      <c r="O65" s="934"/>
      <c r="P65" s="1921"/>
      <c r="Q65" s="453"/>
    </row>
    <row r="66" spans="1:17" ht="15.75" thickBot="1">
      <c r="A66" s="483"/>
      <c r="B66" s="492"/>
      <c r="C66" s="485"/>
      <c r="D66" s="485"/>
      <c r="E66" s="485"/>
      <c r="F66" s="485"/>
      <c r="G66" s="485"/>
      <c r="H66" s="485"/>
      <c r="I66" s="485"/>
      <c r="J66" s="485"/>
      <c r="K66" s="485"/>
      <c r="L66" s="485"/>
      <c r="M66" s="486"/>
      <c r="N66" s="934"/>
      <c r="O66" s="934"/>
      <c r="P66" s="1921"/>
      <c r="Q66" s="453"/>
    </row>
    <row r="67" spans="1:17" ht="15.75" thickTop="1">
      <c r="A67" s="483"/>
      <c r="B67" s="495" t="s">
        <v>1671</v>
      </c>
      <c r="C67" s="496" t="str">
        <f>C68&amp;"（含）"&amp;"-"&amp;D68</f>
        <v>（含）-</v>
      </c>
      <c r="D67" s="496" t="str">
        <f t="shared" ref="D67:L67" si="20">D68&amp;"（含）"&amp;"-"&amp;E68</f>
        <v>（含）-</v>
      </c>
      <c r="E67" s="496" t="str">
        <f t="shared" si="20"/>
        <v>（含）-</v>
      </c>
      <c r="F67" s="496" t="str">
        <f t="shared" si="20"/>
        <v>（含）-</v>
      </c>
      <c r="G67" s="496" t="str">
        <f t="shared" si="20"/>
        <v>（含）-</v>
      </c>
      <c r="H67" s="496" t="str">
        <f t="shared" si="20"/>
        <v>（含）-</v>
      </c>
      <c r="I67" s="496" t="str">
        <f t="shared" si="20"/>
        <v>（含）-</v>
      </c>
      <c r="J67" s="496" t="str">
        <f t="shared" si="20"/>
        <v>（含）-</v>
      </c>
      <c r="K67" s="496" t="str">
        <f>K68&amp;"（含）"&amp;"-"&amp;L68</f>
        <v>（含）-</v>
      </c>
      <c r="L67" s="496" t="str">
        <f t="shared" si="20"/>
        <v>（含）-</v>
      </c>
      <c r="M67" s="399" t="str">
        <f>M68&amp;"（含）"&amp;"-"&amp;P68</f>
        <v>（含）-</v>
      </c>
      <c r="N67" s="934"/>
      <c r="O67" s="934"/>
      <c r="P67" s="1921"/>
      <c r="Q67" s="453"/>
    </row>
    <row r="68" spans="1:17" ht="15">
      <c r="A68" s="483"/>
      <c r="B68" s="497"/>
      <c r="C68" s="498"/>
      <c r="D68" s="498"/>
      <c r="E68" s="498"/>
      <c r="F68" s="498"/>
      <c r="G68" s="498"/>
      <c r="H68" s="498"/>
      <c r="I68" s="498"/>
      <c r="J68" s="498"/>
      <c r="K68" s="499"/>
      <c r="L68" s="500"/>
      <c r="M68" s="501"/>
      <c r="N68" s="933"/>
      <c r="O68" s="933"/>
      <c r="P68" s="1921"/>
      <c r="Q68" s="453"/>
    </row>
    <row r="69" spans="1:17" ht="15.75" thickBot="1">
      <c r="A69" s="483"/>
      <c r="B69" s="484"/>
      <c r="C69" s="493">
        <v>100</v>
      </c>
      <c r="D69" s="493">
        <f t="shared" ref="D69:M69" si="21">C69-$K11</f>
        <v>100</v>
      </c>
      <c r="E69" s="493">
        <f t="shared" si="21"/>
        <v>100</v>
      </c>
      <c r="F69" s="493">
        <f t="shared" si="21"/>
        <v>100</v>
      </c>
      <c r="G69" s="493">
        <f t="shared" si="21"/>
        <v>100</v>
      </c>
      <c r="H69" s="493">
        <f t="shared" si="21"/>
        <v>100</v>
      </c>
      <c r="I69" s="493">
        <f t="shared" si="21"/>
        <v>100</v>
      </c>
      <c r="J69" s="493">
        <f t="shared" si="21"/>
        <v>100</v>
      </c>
      <c r="K69" s="493">
        <f t="shared" si="21"/>
        <v>100</v>
      </c>
      <c r="L69" s="493">
        <f t="shared" si="21"/>
        <v>100</v>
      </c>
      <c r="M69" s="494">
        <f t="shared" si="21"/>
        <v>100</v>
      </c>
      <c r="N69" s="934"/>
      <c r="O69" s="934"/>
      <c r="P69" s="1921"/>
      <c r="Q69" s="453"/>
    </row>
    <row r="70" spans="1:17" s="422" customFormat="1" ht="15.75" thickTop="1">
      <c r="A70" s="502"/>
      <c r="B70" s="487">
        <f>B12</f>
        <v>111</v>
      </c>
      <c r="C70" s="503"/>
      <c r="D70" s="503"/>
      <c r="E70" s="503"/>
      <c r="F70" s="503"/>
      <c r="G70" s="503"/>
      <c r="H70" s="504"/>
      <c r="I70" s="504"/>
      <c r="J70" s="504"/>
      <c r="K70" s="504"/>
      <c r="L70" s="505"/>
      <c r="M70" s="506"/>
      <c r="N70" s="935"/>
      <c r="O70" s="935"/>
      <c r="P70" s="1922"/>
      <c r="Q70" s="508"/>
    </row>
    <row r="71" spans="1:17" s="422" customFormat="1" ht="15.75" thickBot="1">
      <c r="A71" s="502"/>
      <c r="B71" s="492"/>
      <c r="C71" s="509"/>
      <c r="D71" s="485"/>
      <c r="E71" s="485"/>
      <c r="F71" s="485"/>
      <c r="G71" s="485"/>
      <c r="H71" s="485"/>
      <c r="I71" s="485"/>
      <c r="J71" s="485"/>
      <c r="K71" s="485"/>
      <c r="L71" s="485"/>
      <c r="M71" s="486"/>
      <c r="N71" s="934"/>
      <c r="O71" s="934"/>
      <c r="P71" s="1922"/>
      <c r="Q71" s="508"/>
    </row>
    <row r="72" spans="1:17" s="422" customFormat="1" ht="15.75" thickTop="1">
      <c r="A72" s="502"/>
      <c r="B72" s="487">
        <f>B13</f>
        <v>111</v>
      </c>
      <c r="C72" s="503"/>
      <c r="D72" s="503"/>
      <c r="E72" s="503"/>
      <c r="F72" s="503"/>
      <c r="G72" s="503"/>
      <c r="H72" s="504"/>
      <c r="I72" s="504"/>
      <c r="J72" s="504"/>
      <c r="K72" s="504"/>
      <c r="L72" s="505"/>
      <c r="M72" s="506"/>
      <c r="N72" s="935"/>
      <c r="O72" s="935"/>
      <c r="P72" s="1923"/>
      <c r="Q72" s="510"/>
    </row>
    <row r="73" spans="1:17" s="422" customFormat="1" ht="15.75" thickBot="1">
      <c r="A73" s="502"/>
      <c r="B73" s="492"/>
      <c r="C73" s="509"/>
      <c r="D73" s="509"/>
      <c r="E73" s="509"/>
      <c r="F73" s="509"/>
      <c r="G73" s="509"/>
      <c r="H73" s="511"/>
      <c r="I73" s="511"/>
      <c r="J73" s="511"/>
      <c r="K73" s="511"/>
      <c r="L73" s="511"/>
      <c r="M73" s="512"/>
      <c r="N73" s="935"/>
      <c r="O73" s="935"/>
      <c r="P73" s="1922"/>
      <c r="Q73" s="508"/>
    </row>
    <row r="74" spans="1:17" s="422" customFormat="1" ht="15.75" thickTop="1">
      <c r="A74" s="502"/>
      <c r="B74" s="495">
        <f>B14</f>
        <v>111</v>
      </c>
      <c r="C74" s="503"/>
      <c r="D74" s="503"/>
      <c r="E74" s="503"/>
      <c r="F74" s="503"/>
      <c r="G74" s="472"/>
      <c r="H74" s="513"/>
      <c r="I74" s="513"/>
      <c r="J74" s="513"/>
      <c r="K74" s="513"/>
      <c r="L74" s="514"/>
      <c r="M74" s="515"/>
      <c r="N74" s="935"/>
      <c r="O74" s="935"/>
      <c r="P74" s="1924"/>
      <c r="Q74" s="508"/>
    </row>
    <row r="75" spans="1:17" s="422" customFormat="1" ht="15.75" thickBot="1">
      <c r="A75" s="517"/>
      <c r="B75" s="518"/>
      <c r="C75" s="519"/>
      <c r="D75" s="519"/>
      <c r="E75" s="519"/>
      <c r="F75" s="519"/>
      <c r="G75" s="519"/>
      <c r="H75" s="520"/>
      <c r="I75" s="520"/>
      <c r="J75" s="520"/>
      <c r="K75" s="520"/>
      <c r="L75" s="520"/>
      <c r="M75" s="521"/>
      <c r="N75" s="935"/>
      <c r="O75" s="935"/>
      <c r="P75" s="1922"/>
      <c r="Q75" s="508"/>
    </row>
    <row r="76" spans="1:17">
      <c r="A76" s="476" t="s">
        <v>1672</v>
      </c>
      <c r="B76" s="477" t="s">
        <v>1702</v>
      </c>
      <c r="C76" s="522" t="s">
        <v>1703</v>
      </c>
      <c r="D76" s="522" t="s">
        <v>1704</v>
      </c>
      <c r="E76" s="522" t="s">
        <v>1705</v>
      </c>
      <c r="F76" s="522" t="s">
        <v>1706</v>
      </c>
      <c r="G76" s="522" t="s">
        <v>1707</v>
      </c>
      <c r="H76" s="478"/>
      <c r="I76" s="478"/>
      <c r="J76" s="478"/>
      <c r="K76" s="523"/>
      <c r="L76" s="524"/>
      <c r="M76" s="525"/>
      <c r="N76" s="933"/>
      <c r="O76" s="933"/>
      <c r="P76" s="1925"/>
      <c r="Q76" s="453"/>
    </row>
    <row r="77" spans="1:17" ht="15.75" thickBot="1">
      <c r="A77" s="483"/>
      <c r="B77" s="492"/>
      <c r="C77" s="493">
        <v>100</v>
      </c>
      <c r="D77" s="493">
        <f>C77-$K15</f>
        <v>100</v>
      </c>
      <c r="E77" s="493">
        <f>D77-$K15</f>
        <v>100</v>
      </c>
      <c r="F77" s="493">
        <f>E77-$K15</f>
        <v>100</v>
      </c>
      <c r="G77" s="493">
        <f>F77-$K15</f>
        <v>100</v>
      </c>
      <c r="H77" s="493"/>
      <c r="I77" s="493"/>
      <c r="J77" s="493"/>
      <c r="K77" s="493"/>
      <c r="L77" s="493"/>
      <c r="M77" s="494"/>
      <c r="N77" s="934"/>
      <c r="O77" s="934"/>
      <c r="P77" s="1921"/>
      <c r="Q77" s="453"/>
    </row>
    <row r="78" spans="1:17" ht="15.75" thickTop="1">
      <c r="A78" s="483"/>
      <c r="B78" s="487" t="s">
        <v>1708</v>
      </c>
      <c r="C78" s="527" t="s">
        <v>1703</v>
      </c>
      <c r="D78" s="527" t="s">
        <v>1704</v>
      </c>
      <c r="E78" s="527" t="s">
        <v>1705</v>
      </c>
      <c r="F78" s="527" t="s">
        <v>1706</v>
      </c>
      <c r="G78" s="527" t="s">
        <v>1707</v>
      </c>
      <c r="H78" s="488"/>
      <c r="I78" s="488"/>
      <c r="J78" s="488"/>
      <c r="K78" s="489"/>
      <c r="L78" s="490"/>
      <c r="M78" s="491"/>
      <c r="N78" s="933"/>
      <c r="O78" s="933"/>
      <c r="P78" s="1921"/>
      <c r="Q78" s="453"/>
    </row>
    <row r="79" spans="1:17" ht="15.75" thickBot="1">
      <c r="A79" s="483"/>
      <c r="B79" s="492"/>
      <c r="C79" s="493">
        <v>100</v>
      </c>
      <c r="D79" s="493">
        <f>C79-$K17</f>
        <v>100</v>
      </c>
      <c r="E79" s="493">
        <f>D79-$K17</f>
        <v>100</v>
      </c>
      <c r="F79" s="493">
        <f>E79-$K17</f>
        <v>100</v>
      </c>
      <c r="G79" s="493">
        <f>F79-$K17</f>
        <v>100</v>
      </c>
      <c r="H79" s="493"/>
      <c r="I79" s="493"/>
      <c r="J79" s="493"/>
      <c r="K79" s="493"/>
      <c r="L79" s="493"/>
      <c r="M79" s="494"/>
      <c r="N79" s="934"/>
      <c r="O79" s="934"/>
      <c r="P79" s="1921"/>
      <c r="Q79" s="453"/>
    </row>
    <row r="80" spans="1:17" ht="15.75" thickTop="1">
      <c r="A80" s="483"/>
      <c r="B80" s="487" t="s">
        <v>1709</v>
      </c>
      <c r="C80" s="527" t="s">
        <v>1703</v>
      </c>
      <c r="D80" s="527" t="s">
        <v>1704</v>
      </c>
      <c r="E80" s="527" t="s">
        <v>1705</v>
      </c>
      <c r="F80" s="527" t="s">
        <v>1706</v>
      </c>
      <c r="G80" s="527" t="s">
        <v>1707</v>
      </c>
      <c r="H80" s="488"/>
      <c r="I80" s="488"/>
      <c r="J80" s="488"/>
      <c r="K80" s="489"/>
      <c r="L80" s="490"/>
      <c r="M80" s="491"/>
      <c r="N80" s="933"/>
      <c r="O80" s="933"/>
      <c r="P80" s="1921"/>
      <c r="Q80" s="453"/>
    </row>
    <row r="81" spans="1:17" ht="15.75" thickBot="1">
      <c r="A81" s="483"/>
      <c r="B81" s="492"/>
      <c r="C81" s="493">
        <v>100</v>
      </c>
      <c r="D81" s="493">
        <f>C81-$K19</f>
        <v>100</v>
      </c>
      <c r="E81" s="493">
        <f>D81-$K19</f>
        <v>100</v>
      </c>
      <c r="F81" s="493">
        <f>E81-$K19</f>
        <v>100</v>
      </c>
      <c r="G81" s="493">
        <f>F81-$K19</f>
        <v>100</v>
      </c>
      <c r="H81" s="493"/>
      <c r="I81" s="493"/>
      <c r="J81" s="493"/>
      <c r="K81" s="493"/>
      <c r="L81" s="493"/>
      <c r="M81" s="494"/>
      <c r="N81" s="934"/>
      <c r="O81" s="934"/>
      <c r="P81" s="1921"/>
      <c r="Q81" s="453"/>
    </row>
    <row r="82" spans="1:17" ht="15.75" thickTop="1">
      <c r="A82" s="483"/>
      <c r="B82" s="495" t="s">
        <v>1258</v>
      </c>
      <c r="C82" s="488" t="s">
        <v>1710</v>
      </c>
      <c r="D82" s="488" t="s">
        <v>1711</v>
      </c>
      <c r="E82" s="488" t="s">
        <v>1712</v>
      </c>
      <c r="F82" s="488" t="s">
        <v>1713</v>
      </c>
      <c r="G82" s="488" t="s">
        <v>1714</v>
      </c>
      <c r="H82" s="488"/>
      <c r="I82" s="488"/>
      <c r="J82" s="488"/>
      <c r="K82" s="488"/>
      <c r="L82" s="488"/>
      <c r="M82" s="1129"/>
      <c r="N82" s="934"/>
      <c r="O82" s="934"/>
      <c r="P82" s="1921"/>
      <c r="Q82" s="453"/>
    </row>
    <row r="83" spans="1:17" ht="15.75" thickBot="1">
      <c r="A83" s="483"/>
      <c r="B83" s="495"/>
      <c r="C83" s="608">
        <v>100</v>
      </c>
      <c r="D83" s="608">
        <f>C83-$K21</f>
        <v>100</v>
      </c>
      <c r="E83" s="608">
        <f t="shared" ref="E83:G83" si="22">D83-$K21</f>
        <v>100</v>
      </c>
      <c r="F83" s="608">
        <f t="shared" si="22"/>
        <v>100</v>
      </c>
      <c r="G83" s="608">
        <f t="shared" si="22"/>
        <v>100</v>
      </c>
      <c r="H83" s="608"/>
      <c r="I83" s="608"/>
      <c r="J83" s="608"/>
      <c r="K83" s="608"/>
      <c r="L83" s="608"/>
      <c r="M83" s="401"/>
      <c r="N83" s="934"/>
      <c r="O83" s="934"/>
      <c r="P83" s="1921"/>
      <c r="Q83" s="453"/>
    </row>
    <row r="84" spans="1:17" ht="15.75" thickTop="1">
      <c r="A84" s="483"/>
      <c r="B84" s="487" t="s">
        <v>1715</v>
      </c>
      <c r="C84" s="527" t="s">
        <v>1703</v>
      </c>
      <c r="D84" s="527" t="s">
        <v>1704</v>
      </c>
      <c r="E84" s="527" t="s">
        <v>1705</v>
      </c>
      <c r="F84" s="527" t="s">
        <v>1706</v>
      </c>
      <c r="G84" s="527" t="s">
        <v>1707</v>
      </c>
      <c r="H84" s="488"/>
      <c r="I84" s="488"/>
      <c r="J84" s="488"/>
      <c r="K84" s="489"/>
      <c r="L84" s="490"/>
      <c r="M84" s="491"/>
      <c r="N84" s="933"/>
      <c r="O84" s="933"/>
      <c r="P84" s="1921"/>
      <c r="Q84" s="453"/>
    </row>
    <row r="85" spans="1:17" ht="15.75" thickBot="1">
      <c r="A85" s="483"/>
      <c r="B85" s="492"/>
      <c r="C85" s="493">
        <v>100</v>
      </c>
      <c r="D85" s="493">
        <f>C85-$K23</f>
        <v>100</v>
      </c>
      <c r="E85" s="493">
        <f>D85-$K23</f>
        <v>100</v>
      </c>
      <c r="F85" s="493">
        <f>E85-$K23</f>
        <v>100</v>
      </c>
      <c r="G85" s="493">
        <f>F85-$K23</f>
        <v>100</v>
      </c>
      <c r="H85" s="493"/>
      <c r="I85" s="493"/>
      <c r="J85" s="493"/>
      <c r="K85" s="493"/>
      <c r="L85" s="493"/>
      <c r="M85" s="494"/>
      <c r="N85" s="934"/>
      <c r="O85" s="934"/>
      <c r="P85" s="1921"/>
      <c r="Q85" s="453"/>
    </row>
    <row r="86" spans="1:17" s="108" customFormat="1" ht="15.75" thickTop="1">
      <c r="A86" s="528"/>
      <c r="B86" s="487" t="s">
        <v>1716</v>
      </c>
      <c r="C86" s="503"/>
      <c r="D86" s="503"/>
      <c r="E86" s="503"/>
      <c r="F86" s="503"/>
      <c r="G86" s="503"/>
      <c r="H86" s="503"/>
      <c r="I86" s="503"/>
      <c r="J86" s="503"/>
      <c r="K86" s="503"/>
      <c r="L86" s="529"/>
      <c r="M86" s="530"/>
      <c r="N86" s="932"/>
      <c r="O86" s="932"/>
      <c r="P86" s="1921"/>
      <c r="Q86" s="453"/>
    </row>
    <row r="87" spans="1:17" s="108" customFormat="1" ht="15.75" thickBot="1">
      <c r="A87" s="528"/>
      <c r="B87" s="492"/>
      <c r="C87" s="531">
        <v>100</v>
      </c>
      <c r="D87" s="493">
        <f t="shared" ref="D87:M87" si="23">$C$87-($C$86-D86)*$K$25</f>
        <v>100</v>
      </c>
      <c r="E87" s="493">
        <f t="shared" si="23"/>
        <v>100</v>
      </c>
      <c r="F87" s="493">
        <f t="shared" si="23"/>
        <v>100</v>
      </c>
      <c r="G87" s="493">
        <f t="shared" si="23"/>
        <v>100</v>
      </c>
      <c r="H87" s="493">
        <f t="shared" si="23"/>
        <v>100</v>
      </c>
      <c r="I87" s="493">
        <f t="shared" si="23"/>
        <v>100</v>
      </c>
      <c r="J87" s="493">
        <f t="shared" si="23"/>
        <v>100</v>
      </c>
      <c r="K87" s="493">
        <f t="shared" si="23"/>
        <v>100</v>
      </c>
      <c r="L87" s="493">
        <f t="shared" si="23"/>
        <v>100</v>
      </c>
      <c r="M87" s="493">
        <f t="shared" si="23"/>
        <v>100</v>
      </c>
      <c r="N87" s="934"/>
      <c r="O87" s="934"/>
      <c r="P87" s="1921"/>
      <c r="Q87" s="453"/>
    </row>
    <row r="88" spans="1:17" s="108" customFormat="1" ht="15.75" thickTop="1">
      <c r="A88" s="528"/>
      <c r="B88" s="487" t="s">
        <v>1717</v>
      </c>
      <c r="C88" s="503"/>
      <c r="D88" s="503"/>
      <c r="E88" s="503"/>
      <c r="F88" s="1926"/>
      <c r="G88" s="503"/>
      <c r="H88" s="503"/>
      <c r="I88" s="503"/>
      <c r="J88" s="503"/>
      <c r="K88" s="503"/>
      <c r="L88" s="503"/>
      <c r="M88" s="530"/>
      <c r="N88" s="932"/>
      <c r="O88" s="932"/>
      <c r="P88" s="1921"/>
      <c r="Q88" s="453"/>
    </row>
    <row r="89" spans="1:17" s="108" customFormat="1" ht="15.75" thickBot="1">
      <c r="A89" s="528"/>
      <c r="B89" s="492"/>
      <c r="C89" s="531">
        <v>100</v>
      </c>
      <c r="D89" s="493">
        <f t="shared" ref="D89:M89" si="24">C89-$K26</f>
        <v>100</v>
      </c>
      <c r="E89" s="493">
        <f t="shared" si="24"/>
        <v>100</v>
      </c>
      <c r="F89" s="493">
        <f t="shared" si="24"/>
        <v>100</v>
      </c>
      <c r="G89" s="493">
        <f t="shared" si="24"/>
        <v>100</v>
      </c>
      <c r="H89" s="493">
        <f t="shared" si="24"/>
        <v>100</v>
      </c>
      <c r="I89" s="493">
        <f t="shared" si="24"/>
        <v>100</v>
      </c>
      <c r="J89" s="493">
        <f t="shared" si="24"/>
        <v>100</v>
      </c>
      <c r="K89" s="493">
        <f t="shared" si="24"/>
        <v>100</v>
      </c>
      <c r="L89" s="493">
        <f t="shared" si="24"/>
        <v>100</v>
      </c>
      <c r="M89" s="493">
        <f t="shared" si="24"/>
        <v>100</v>
      </c>
      <c r="N89" s="934"/>
      <c r="O89" s="934"/>
      <c r="P89" s="1921"/>
      <c r="Q89" s="453"/>
    </row>
    <row r="90" spans="1:17" s="422" customFormat="1" ht="15.75" thickTop="1">
      <c r="A90" s="502"/>
      <c r="B90" s="487">
        <f>B27</f>
        <v>111</v>
      </c>
      <c r="C90" s="503"/>
      <c r="D90" s="503"/>
      <c r="E90" s="503"/>
      <c r="F90" s="503"/>
      <c r="G90" s="503"/>
      <c r="H90" s="504"/>
      <c r="I90" s="504"/>
      <c r="J90" s="504"/>
      <c r="K90" s="504"/>
      <c r="L90" s="505"/>
      <c r="M90" s="506"/>
      <c r="N90" s="935"/>
      <c r="O90" s="935"/>
      <c r="P90" s="1922"/>
      <c r="Q90" s="508"/>
    </row>
    <row r="91" spans="1:17" s="422" customFormat="1" ht="15.75" thickBot="1">
      <c r="A91" s="502"/>
      <c r="B91" s="492"/>
      <c r="C91" s="509"/>
      <c r="D91" s="509"/>
      <c r="E91" s="509"/>
      <c r="F91" s="509"/>
      <c r="G91" s="509"/>
      <c r="H91" s="511"/>
      <c r="I91" s="511"/>
      <c r="J91" s="511"/>
      <c r="K91" s="511"/>
      <c r="L91" s="511"/>
      <c r="M91" s="512"/>
      <c r="N91" s="935"/>
      <c r="O91" s="935"/>
      <c r="P91" s="1922"/>
      <c r="Q91" s="508"/>
    </row>
    <row r="92" spans="1:17" ht="15.75" thickTop="1">
      <c r="A92" s="483"/>
      <c r="B92" s="487">
        <f>B28</f>
        <v>111</v>
      </c>
      <c r="C92" s="503"/>
      <c r="D92" s="503"/>
      <c r="E92" s="503"/>
      <c r="F92" s="503"/>
      <c r="G92" s="532"/>
      <c r="H92" s="532"/>
      <c r="I92" s="532"/>
      <c r="J92" s="532"/>
      <c r="K92" s="533"/>
      <c r="L92" s="534"/>
      <c r="M92" s="535"/>
      <c r="N92" s="933"/>
      <c r="O92" s="933"/>
      <c r="P92" s="1921"/>
      <c r="Q92" s="453"/>
    </row>
    <row r="93" spans="1:17" ht="15.75" thickBot="1">
      <c r="A93" s="483"/>
      <c r="B93" s="492"/>
      <c r="C93" s="509"/>
      <c r="D93" s="485"/>
      <c r="E93" s="485"/>
      <c r="F93" s="485"/>
      <c r="G93" s="485"/>
      <c r="H93" s="485"/>
      <c r="I93" s="485"/>
      <c r="J93" s="485"/>
      <c r="K93" s="485"/>
      <c r="L93" s="485"/>
      <c r="M93" s="486"/>
      <c r="N93" s="934"/>
      <c r="O93" s="934"/>
      <c r="P93" s="1921"/>
      <c r="Q93" s="453"/>
    </row>
    <row r="94" spans="1:17" ht="15.75" thickTop="1">
      <c r="A94" s="483"/>
      <c r="B94" s="487">
        <f>B29</f>
        <v>111</v>
      </c>
      <c r="C94" s="503"/>
      <c r="D94" s="503"/>
      <c r="E94" s="503"/>
      <c r="F94" s="503"/>
      <c r="G94" s="532"/>
      <c r="H94" s="532"/>
      <c r="I94" s="532"/>
      <c r="J94" s="532"/>
      <c r="K94" s="533"/>
      <c r="L94" s="534"/>
      <c r="M94" s="535"/>
      <c r="N94" s="933"/>
      <c r="O94" s="933"/>
      <c r="P94" s="1921"/>
      <c r="Q94" s="453"/>
    </row>
    <row r="95" spans="1:17" ht="15.75" thickBot="1">
      <c r="A95" s="483"/>
      <c r="B95" s="492"/>
      <c r="C95" s="509"/>
      <c r="D95" s="509"/>
      <c r="E95" s="509"/>
      <c r="F95" s="509"/>
      <c r="G95" s="485"/>
      <c r="H95" s="485"/>
      <c r="I95" s="485"/>
      <c r="J95" s="485"/>
      <c r="K95" s="485"/>
      <c r="L95" s="485"/>
      <c r="M95" s="486"/>
      <c r="N95" s="934"/>
      <c r="O95" s="934"/>
      <c r="P95" s="1921"/>
      <c r="Q95" s="453"/>
    </row>
    <row r="96" spans="1:17" ht="15.75" thickTop="1">
      <c r="A96" s="483"/>
      <c r="B96" s="487">
        <f>B30</f>
        <v>111</v>
      </c>
      <c r="C96" s="503"/>
      <c r="D96" s="503"/>
      <c r="E96" s="503"/>
      <c r="F96" s="503"/>
      <c r="G96" s="532"/>
      <c r="H96" s="532"/>
      <c r="I96" s="532"/>
      <c r="J96" s="532"/>
      <c r="K96" s="533"/>
      <c r="L96" s="534"/>
      <c r="M96" s="535"/>
      <c r="N96" s="933"/>
      <c r="O96" s="933"/>
      <c r="P96" s="1921"/>
      <c r="Q96" s="453"/>
    </row>
    <row r="97" spans="1:17" ht="15.75" thickBot="1">
      <c r="A97" s="483"/>
      <c r="B97" s="492"/>
      <c r="C97" s="519"/>
      <c r="D97" s="519"/>
      <c r="E97" s="519"/>
      <c r="F97" s="519"/>
      <c r="G97" s="485"/>
      <c r="H97" s="485"/>
      <c r="I97" s="485"/>
      <c r="J97" s="485"/>
      <c r="K97" s="485"/>
      <c r="L97" s="485"/>
      <c r="M97" s="486"/>
      <c r="N97" s="934"/>
      <c r="O97" s="934"/>
      <c r="P97" s="1921"/>
      <c r="Q97" s="453"/>
    </row>
    <row r="98" spans="1:17" ht="15.75" thickTop="1">
      <c r="A98" s="483"/>
      <c r="B98" s="495">
        <f>B31</f>
        <v>111</v>
      </c>
      <c r="C98" s="536"/>
      <c r="D98" s="536"/>
      <c r="E98" s="536"/>
      <c r="F98" s="536"/>
      <c r="G98" s="536"/>
      <c r="H98" s="536"/>
      <c r="I98" s="536"/>
      <c r="J98" s="536"/>
      <c r="K98" s="537"/>
      <c r="L98" s="538"/>
      <c r="M98" s="539"/>
      <c r="N98" s="933"/>
      <c r="O98" s="933"/>
      <c r="P98" s="1921"/>
      <c r="Q98" s="453"/>
    </row>
    <row r="99" spans="1:17" ht="15.75" thickBot="1">
      <c r="A99" s="1927"/>
      <c r="B99" s="518"/>
      <c r="C99" s="540"/>
      <c r="D99" s="540"/>
      <c r="E99" s="540"/>
      <c r="F99" s="540"/>
      <c r="G99" s="540"/>
      <c r="H99" s="540"/>
      <c r="I99" s="540"/>
      <c r="J99" s="540"/>
      <c r="K99" s="540"/>
      <c r="L99" s="540"/>
      <c r="M99" s="541"/>
      <c r="N99" s="934"/>
      <c r="O99" s="934"/>
      <c r="P99" s="1921"/>
      <c r="Q99" s="453"/>
    </row>
    <row r="100" spans="1:17">
      <c r="A100" s="476" t="s">
        <v>1676</v>
      </c>
      <c r="B100" s="477" t="s">
        <v>1718</v>
      </c>
      <c r="C100" s="479"/>
      <c r="D100" s="479"/>
      <c r="E100" s="479"/>
      <c r="F100" s="479"/>
      <c r="G100" s="479"/>
      <c r="H100" s="479"/>
      <c r="I100" s="479"/>
      <c r="J100" s="479"/>
      <c r="K100" s="480"/>
      <c r="L100" s="481"/>
      <c r="M100" s="482"/>
      <c r="N100" s="933"/>
      <c r="O100" s="933"/>
      <c r="P100" s="1921"/>
      <c r="Q100" s="453"/>
    </row>
    <row r="101" spans="1:17" ht="15.75" thickBot="1">
      <c r="A101" s="483"/>
      <c r="B101" s="492"/>
      <c r="C101" s="493">
        <v>100</v>
      </c>
      <c r="D101" s="493">
        <f t="shared" ref="D101:M101" si="25">C101-$K32</f>
        <v>100</v>
      </c>
      <c r="E101" s="493">
        <f t="shared" si="25"/>
        <v>100</v>
      </c>
      <c r="F101" s="493">
        <f t="shared" si="25"/>
        <v>100</v>
      </c>
      <c r="G101" s="493">
        <f t="shared" si="25"/>
        <v>100</v>
      </c>
      <c r="H101" s="493">
        <f t="shared" si="25"/>
        <v>100</v>
      </c>
      <c r="I101" s="493">
        <f t="shared" si="25"/>
        <v>100</v>
      </c>
      <c r="J101" s="493">
        <f t="shared" si="25"/>
        <v>100</v>
      </c>
      <c r="K101" s="493">
        <f t="shared" si="25"/>
        <v>100</v>
      </c>
      <c r="L101" s="493">
        <f t="shared" si="25"/>
        <v>100</v>
      </c>
      <c r="M101" s="493">
        <f t="shared" si="25"/>
        <v>100</v>
      </c>
      <c r="N101" s="934"/>
      <c r="O101" s="934"/>
      <c r="P101" s="1921"/>
      <c r="Q101" s="453"/>
    </row>
    <row r="102" spans="1:17" ht="15.75" thickTop="1">
      <c r="A102" s="483"/>
      <c r="B102" s="487" t="s">
        <v>1719</v>
      </c>
      <c r="C102" s="527" t="str">
        <f>C103&amp;"(含)"&amp;"-"&amp;D103</f>
        <v>(含)-</v>
      </c>
      <c r="D102" s="527" t="str">
        <f t="shared" ref="D102:L102" si="26">D103&amp;"(含)"&amp;"-"&amp;E103</f>
        <v>(含)-</v>
      </c>
      <c r="E102" s="527" t="str">
        <f t="shared" si="26"/>
        <v>(含)-</v>
      </c>
      <c r="F102" s="527" t="str">
        <f t="shared" si="26"/>
        <v>(含)-</v>
      </c>
      <c r="G102" s="527" t="str">
        <f t="shared" si="26"/>
        <v>(含)-</v>
      </c>
      <c r="H102" s="527" t="str">
        <f t="shared" si="26"/>
        <v>(含)-</v>
      </c>
      <c r="I102" s="527" t="str">
        <f t="shared" si="26"/>
        <v>(含)-</v>
      </c>
      <c r="J102" s="527" t="str">
        <f t="shared" si="26"/>
        <v>(含)-</v>
      </c>
      <c r="K102" s="527" t="str">
        <f>K103&amp;"(含)"&amp;"-"&amp;L103</f>
        <v>(含)-</v>
      </c>
      <c r="L102" s="527" t="str">
        <f t="shared" si="26"/>
        <v>(含)-</v>
      </c>
      <c r="M102" s="527" t="str">
        <f>M103&amp;"(含)"&amp;"-"&amp;P103</f>
        <v>(含)-</v>
      </c>
      <c r="N102" s="932"/>
      <c r="O102" s="932"/>
      <c r="P102" s="1921"/>
      <c r="Q102" s="453"/>
    </row>
    <row r="103" spans="1:17" s="422" customFormat="1">
      <c r="A103" s="542"/>
      <c r="B103" s="543"/>
      <c r="C103" s="544"/>
      <c r="D103" s="544"/>
      <c r="E103" s="544"/>
      <c r="F103" s="544"/>
      <c r="G103" s="544"/>
      <c r="H103" s="544"/>
      <c r="I103" s="544"/>
      <c r="J103" s="545"/>
      <c r="K103" s="545"/>
      <c r="L103" s="546"/>
      <c r="M103" s="547"/>
      <c r="N103" s="935"/>
      <c r="O103" s="935"/>
      <c r="P103" s="1922"/>
      <c r="Q103" s="508"/>
    </row>
    <row r="104" spans="1:17" s="422" customFormat="1" ht="15.75" thickBot="1">
      <c r="A104" s="502"/>
      <c r="B104" s="492"/>
      <c r="C104" s="509"/>
      <c r="D104" s="485"/>
      <c r="E104" s="485"/>
      <c r="F104" s="485"/>
      <c r="G104" s="485"/>
      <c r="H104" s="485"/>
      <c r="I104" s="485"/>
      <c r="J104" s="485"/>
      <c r="K104" s="485"/>
      <c r="L104" s="485"/>
      <c r="M104" s="485"/>
      <c r="N104" s="934"/>
      <c r="O104" s="934"/>
      <c r="P104" s="1922"/>
      <c r="Q104" s="508"/>
    </row>
    <row r="105" spans="1:17" ht="15" thickTop="1">
      <c r="A105" s="548"/>
      <c r="B105" s="487" t="s">
        <v>1720</v>
      </c>
      <c r="C105" s="503"/>
      <c r="D105" s="503"/>
      <c r="E105" s="532"/>
      <c r="F105" s="532"/>
      <c r="G105" s="532"/>
      <c r="H105" s="532"/>
      <c r="I105" s="532"/>
      <c r="J105" s="532"/>
      <c r="K105" s="533"/>
      <c r="L105" s="534"/>
      <c r="M105" s="535"/>
      <c r="N105" s="933"/>
      <c r="O105" s="933"/>
      <c r="P105" s="1921"/>
      <c r="Q105" s="453"/>
    </row>
    <row r="106" spans="1:17" ht="15.75" thickBot="1">
      <c r="A106" s="483"/>
      <c r="B106" s="492"/>
      <c r="C106" s="493">
        <v>100</v>
      </c>
      <c r="D106" s="493">
        <f t="shared" ref="D106:M106" si="27">C106-$K34</f>
        <v>100</v>
      </c>
      <c r="E106" s="493">
        <f t="shared" si="27"/>
        <v>100</v>
      </c>
      <c r="F106" s="493">
        <f t="shared" si="27"/>
        <v>100</v>
      </c>
      <c r="G106" s="493">
        <f t="shared" si="27"/>
        <v>100</v>
      </c>
      <c r="H106" s="493">
        <f t="shared" si="27"/>
        <v>100</v>
      </c>
      <c r="I106" s="493">
        <f t="shared" si="27"/>
        <v>100</v>
      </c>
      <c r="J106" s="493">
        <f t="shared" si="27"/>
        <v>100</v>
      </c>
      <c r="K106" s="493">
        <f t="shared" si="27"/>
        <v>100</v>
      </c>
      <c r="L106" s="493">
        <f t="shared" si="27"/>
        <v>100</v>
      </c>
      <c r="M106" s="493">
        <f t="shared" si="27"/>
        <v>100</v>
      </c>
      <c r="N106" s="934"/>
      <c r="O106" s="934"/>
      <c r="P106" s="1921"/>
      <c r="Q106" s="453"/>
    </row>
    <row r="107" spans="1:17" ht="15" thickTop="1">
      <c r="A107" s="548"/>
      <c r="B107" s="487" t="s">
        <v>1721</v>
      </c>
      <c r="C107" s="532"/>
      <c r="D107" s="532"/>
      <c r="E107" s="532"/>
      <c r="F107" s="532"/>
      <c r="G107" s="532"/>
      <c r="H107" s="532"/>
      <c r="I107" s="532"/>
      <c r="J107" s="532"/>
      <c r="K107" s="533"/>
      <c r="L107" s="534"/>
      <c r="M107" s="535"/>
      <c r="N107" s="933"/>
      <c r="O107" s="933"/>
      <c r="P107" s="1921"/>
      <c r="Q107" s="453"/>
    </row>
    <row r="108" spans="1:17" ht="15.75" thickBot="1">
      <c r="A108" s="483"/>
      <c r="B108" s="492"/>
      <c r="C108" s="493">
        <v>100</v>
      </c>
      <c r="D108" s="493">
        <f t="shared" ref="D108:M108" si="28">C108-$K35</f>
        <v>100</v>
      </c>
      <c r="E108" s="493">
        <f t="shared" si="28"/>
        <v>100</v>
      </c>
      <c r="F108" s="493">
        <f t="shared" si="28"/>
        <v>100</v>
      </c>
      <c r="G108" s="493">
        <f t="shared" si="28"/>
        <v>100</v>
      </c>
      <c r="H108" s="493">
        <f t="shared" si="28"/>
        <v>100</v>
      </c>
      <c r="I108" s="493">
        <f t="shared" si="28"/>
        <v>100</v>
      </c>
      <c r="J108" s="493">
        <f t="shared" si="28"/>
        <v>100</v>
      </c>
      <c r="K108" s="493">
        <f t="shared" si="28"/>
        <v>100</v>
      </c>
      <c r="L108" s="493">
        <f t="shared" si="28"/>
        <v>100</v>
      </c>
      <c r="M108" s="493">
        <f t="shared" si="28"/>
        <v>100</v>
      </c>
      <c r="N108" s="934"/>
      <c r="O108" s="934"/>
      <c r="P108" s="1921"/>
      <c r="Q108" s="453"/>
    </row>
    <row r="109" spans="1:17" ht="15" thickTop="1">
      <c r="A109" s="548"/>
      <c r="B109" s="487" t="s">
        <v>1722</v>
      </c>
      <c r="C109" s="503"/>
      <c r="D109" s="503"/>
      <c r="E109" s="503"/>
      <c r="F109" s="532"/>
      <c r="G109" s="532"/>
      <c r="H109" s="532"/>
      <c r="I109" s="532"/>
      <c r="J109" s="532"/>
      <c r="K109" s="533"/>
      <c r="L109" s="534"/>
      <c r="M109" s="535"/>
      <c r="N109" s="933"/>
      <c r="O109" s="933"/>
      <c r="P109" s="1921"/>
      <c r="Q109" s="453"/>
    </row>
    <row r="110" spans="1:17" ht="15.75" thickBot="1">
      <c r="A110" s="483"/>
      <c r="B110" s="492"/>
      <c r="C110" s="493">
        <v>100</v>
      </c>
      <c r="D110" s="493">
        <f t="shared" ref="D110:M110" si="29">C110-$K36</f>
        <v>100</v>
      </c>
      <c r="E110" s="493">
        <f t="shared" si="29"/>
        <v>100</v>
      </c>
      <c r="F110" s="493">
        <f t="shared" si="29"/>
        <v>100</v>
      </c>
      <c r="G110" s="493">
        <f t="shared" si="29"/>
        <v>100</v>
      </c>
      <c r="H110" s="493">
        <f t="shared" si="29"/>
        <v>100</v>
      </c>
      <c r="I110" s="493">
        <f t="shared" si="29"/>
        <v>100</v>
      </c>
      <c r="J110" s="493">
        <f t="shared" si="29"/>
        <v>100</v>
      </c>
      <c r="K110" s="493">
        <f t="shared" si="29"/>
        <v>100</v>
      </c>
      <c r="L110" s="493">
        <f t="shared" si="29"/>
        <v>100</v>
      </c>
      <c r="M110" s="493">
        <f t="shared" si="29"/>
        <v>100</v>
      </c>
      <c r="N110" s="934"/>
      <c r="O110" s="934"/>
      <c r="P110" s="1921"/>
      <c r="Q110" s="453"/>
    </row>
    <row r="111" spans="1:17" s="422" customFormat="1" ht="15" thickTop="1">
      <c r="A111" s="542"/>
      <c r="B111" s="487" t="s">
        <v>1188</v>
      </c>
      <c r="C111" s="527" t="str">
        <f>C112&amp;"(含)"&amp;"-"&amp;D112</f>
        <v>0.5(含)-0.6</v>
      </c>
      <c r="D111" s="527" t="str">
        <f>D112&amp;"(含)"&amp;"-"&amp;E112</f>
        <v>0.6(含)-0.7</v>
      </c>
      <c r="E111" s="527" t="str">
        <f>E112&amp;"(含)"&amp;"-"&amp;F112</f>
        <v>0.7(含)-0.8</v>
      </c>
      <c r="F111" s="527" t="str">
        <f>F112&amp;"(含)"&amp;"-"&amp;G112</f>
        <v>0.8(含)-0.9</v>
      </c>
      <c r="G111" s="527" t="str">
        <f>G112&amp;"(含)"&amp;"-"&amp;ROUND(H112,0)&amp;"(含)"</f>
        <v>0.9(含)-1(含)</v>
      </c>
      <c r="H111" s="527" t="str">
        <f>ROUND(H112,0)&amp;"(含)"&amp;"-"&amp;I112</f>
        <v>1(含)-</v>
      </c>
      <c r="I111" s="527"/>
      <c r="J111" s="549"/>
      <c r="K111" s="549"/>
      <c r="L111" s="550"/>
      <c r="M111" s="551"/>
      <c r="N111" s="935"/>
      <c r="O111" s="935"/>
      <c r="P111" s="1922"/>
      <c r="Q111" s="508"/>
    </row>
    <row r="112" spans="1:17" s="422" customFormat="1">
      <c r="A112" s="542"/>
      <c r="B112" s="495"/>
      <c r="C112" s="552">
        <v>0.5</v>
      </c>
      <c r="D112" s="552">
        <v>0.6</v>
      </c>
      <c r="E112" s="552">
        <v>0.7</v>
      </c>
      <c r="F112" s="552">
        <v>0.8</v>
      </c>
      <c r="G112" s="552">
        <v>0.9</v>
      </c>
      <c r="H112" s="552">
        <v>1.0001</v>
      </c>
      <c r="I112" s="552"/>
      <c r="J112" s="553"/>
      <c r="K112" s="553"/>
      <c r="L112" s="554"/>
      <c r="M112" s="555"/>
      <c r="N112" s="935"/>
      <c r="O112" s="935"/>
      <c r="P112" s="1922"/>
      <c r="Q112" s="508"/>
    </row>
    <row r="113" spans="1:17" s="422" customFormat="1" ht="15.75" thickBot="1">
      <c r="A113" s="502"/>
      <c r="B113" s="492"/>
      <c r="C113" s="531">
        <v>100</v>
      </c>
      <c r="D113" s="493">
        <f>C113+$K37</f>
        <v>100</v>
      </c>
      <c r="E113" s="493">
        <f>D113+$K37</f>
        <v>100</v>
      </c>
      <c r="F113" s="493">
        <f>E113+$K37</f>
        <v>100</v>
      </c>
      <c r="G113" s="493">
        <f>F113+$K37</f>
        <v>100</v>
      </c>
      <c r="H113" s="493">
        <f>G113+$K37</f>
        <v>100</v>
      </c>
      <c r="I113" s="531"/>
      <c r="J113" s="556"/>
      <c r="K113" s="556"/>
      <c r="L113" s="556"/>
      <c r="M113" s="557"/>
      <c r="N113" s="935"/>
      <c r="O113" s="935"/>
      <c r="P113" s="1922"/>
      <c r="Q113" s="508"/>
    </row>
    <row r="114" spans="1:17" ht="15" thickTop="1">
      <c r="A114" s="548"/>
      <c r="B114" s="487" t="s">
        <v>1723</v>
      </c>
      <c r="C114" s="503"/>
      <c r="D114" s="503"/>
      <c r="E114" s="532"/>
      <c r="F114" s="532"/>
      <c r="G114" s="532"/>
      <c r="H114" s="532"/>
      <c r="I114" s="532"/>
      <c r="J114" s="532"/>
      <c r="K114" s="533"/>
      <c r="L114" s="534"/>
      <c r="M114" s="535"/>
      <c r="N114" s="933"/>
      <c r="O114" s="933"/>
      <c r="P114" s="1921"/>
      <c r="Q114" s="453"/>
    </row>
    <row r="115" spans="1:17" ht="15.75" thickBot="1">
      <c r="A115" s="483"/>
      <c r="B115" s="492"/>
      <c r="C115" s="493">
        <v>100</v>
      </c>
      <c r="D115" s="493">
        <f t="shared" ref="D115:M115" si="30">C115-$K38</f>
        <v>100</v>
      </c>
      <c r="E115" s="493">
        <f t="shared" si="30"/>
        <v>100</v>
      </c>
      <c r="F115" s="493">
        <f t="shared" si="30"/>
        <v>100</v>
      </c>
      <c r="G115" s="493">
        <f t="shared" si="30"/>
        <v>100</v>
      </c>
      <c r="H115" s="493">
        <f t="shared" si="30"/>
        <v>100</v>
      </c>
      <c r="I115" s="493">
        <f t="shared" si="30"/>
        <v>100</v>
      </c>
      <c r="J115" s="493">
        <f t="shared" si="30"/>
        <v>100</v>
      </c>
      <c r="K115" s="493">
        <f t="shared" si="30"/>
        <v>100</v>
      </c>
      <c r="L115" s="493">
        <f t="shared" si="30"/>
        <v>100</v>
      </c>
      <c r="M115" s="493">
        <f t="shared" si="30"/>
        <v>100</v>
      </c>
      <c r="N115" s="934"/>
      <c r="O115" s="934"/>
      <c r="P115" s="1921"/>
      <c r="Q115" s="453"/>
    </row>
    <row r="116" spans="1:17" ht="15" thickTop="1">
      <c r="A116" s="548"/>
      <c r="B116" s="487" t="s">
        <v>1724</v>
      </c>
      <c r="C116" s="503"/>
      <c r="D116" s="503"/>
      <c r="E116" s="503"/>
      <c r="F116" s="503"/>
      <c r="G116" s="503"/>
      <c r="H116" s="532"/>
      <c r="I116" s="532"/>
      <c r="J116" s="532"/>
      <c r="K116" s="533"/>
      <c r="L116" s="534"/>
      <c r="M116" s="535"/>
      <c r="N116" s="933"/>
      <c r="O116" s="933"/>
      <c r="P116" s="1921"/>
      <c r="Q116" s="453"/>
    </row>
    <row r="117" spans="1:17" ht="15.75" thickBot="1">
      <c r="A117" s="483"/>
      <c r="B117" s="492"/>
      <c r="C117" s="493">
        <v>100</v>
      </c>
      <c r="D117" s="493">
        <f>C117-$K39</f>
        <v>100</v>
      </c>
      <c r="E117" s="493">
        <f>D117-$K39</f>
        <v>100</v>
      </c>
      <c r="F117" s="493">
        <f>E117-$K39</f>
        <v>100</v>
      </c>
      <c r="G117" s="493">
        <f>F117-$K39</f>
        <v>100</v>
      </c>
      <c r="H117" s="493"/>
      <c r="I117" s="493"/>
      <c r="J117" s="493"/>
      <c r="K117" s="493"/>
      <c r="L117" s="493"/>
      <c r="M117" s="494"/>
      <c r="N117" s="934"/>
      <c r="O117" s="934"/>
      <c r="P117" s="1921"/>
      <c r="Q117" s="453"/>
    </row>
    <row r="118" spans="1:17" ht="15" thickTop="1">
      <c r="A118" s="548"/>
      <c r="B118" s="487" t="s">
        <v>1725</v>
      </c>
      <c r="C118" s="532"/>
      <c r="D118" s="532"/>
      <c r="E118" s="532"/>
      <c r="F118" s="532"/>
      <c r="G118" s="532"/>
      <c r="H118" s="532"/>
      <c r="I118" s="532"/>
      <c r="J118" s="532"/>
      <c r="K118" s="533"/>
      <c r="L118" s="534"/>
      <c r="M118" s="535"/>
      <c r="N118" s="933"/>
      <c r="O118" s="933"/>
      <c r="P118" s="1921"/>
      <c r="Q118" s="453"/>
    </row>
    <row r="119" spans="1:17" ht="15.75" thickBot="1">
      <c r="A119" s="483"/>
      <c r="B119" s="492"/>
      <c r="C119" s="493">
        <v>100</v>
      </c>
      <c r="D119" s="493">
        <f t="shared" ref="D119:M119" si="31">C119-$K40</f>
        <v>100</v>
      </c>
      <c r="E119" s="493">
        <f t="shared" si="31"/>
        <v>100</v>
      </c>
      <c r="F119" s="493">
        <f t="shared" si="31"/>
        <v>100</v>
      </c>
      <c r="G119" s="493">
        <f t="shared" si="31"/>
        <v>100</v>
      </c>
      <c r="H119" s="493">
        <f t="shared" si="31"/>
        <v>100</v>
      </c>
      <c r="I119" s="493">
        <f t="shared" si="31"/>
        <v>100</v>
      </c>
      <c r="J119" s="493">
        <f t="shared" si="31"/>
        <v>100</v>
      </c>
      <c r="K119" s="493">
        <f t="shared" si="31"/>
        <v>100</v>
      </c>
      <c r="L119" s="493">
        <f t="shared" si="31"/>
        <v>100</v>
      </c>
      <c r="M119" s="493">
        <f t="shared" si="31"/>
        <v>100</v>
      </c>
      <c r="N119" s="934"/>
      <c r="O119" s="934"/>
      <c r="P119" s="1921"/>
      <c r="Q119" s="453"/>
    </row>
    <row r="120" spans="1:17" s="422" customFormat="1" ht="28.5" thickTop="1">
      <c r="A120" s="542"/>
      <c r="B120" s="487" t="s">
        <v>1687</v>
      </c>
      <c r="C120" s="503"/>
      <c r="D120" s="503"/>
      <c r="E120" s="503"/>
      <c r="F120" s="503"/>
      <c r="G120" s="503"/>
      <c r="H120" s="503"/>
      <c r="I120" s="503"/>
      <c r="J120" s="503"/>
      <c r="K120" s="503"/>
      <c r="L120" s="529"/>
      <c r="M120" s="530"/>
      <c r="N120" s="935"/>
      <c r="O120" s="935"/>
      <c r="P120" s="1922"/>
      <c r="Q120" s="508"/>
    </row>
    <row r="121" spans="1:17" s="422" customFormat="1" ht="15.75" thickBot="1">
      <c r="A121" s="502"/>
      <c r="B121" s="484"/>
      <c r="C121" s="509"/>
      <c r="D121" s="485"/>
      <c r="E121" s="485"/>
      <c r="F121" s="485"/>
      <c r="G121" s="485"/>
      <c r="H121" s="485"/>
      <c r="I121" s="485"/>
      <c r="J121" s="485"/>
      <c r="K121" s="485"/>
      <c r="L121" s="485"/>
      <c r="M121" s="485"/>
      <c r="N121" s="935"/>
      <c r="O121" s="935"/>
      <c r="P121" s="1922"/>
      <c r="Q121" s="508"/>
    </row>
    <row r="122" spans="1:17" ht="15" thickTop="1">
      <c r="A122" s="548"/>
      <c r="B122" s="487" t="s">
        <v>1726</v>
      </c>
      <c r="C122" s="503"/>
      <c r="D122" s="503"/>
      <c r="E122" s="503"/>
      <c r="F122" s="532"/>
      <c r="G122" s="532"/>
      <c r="H122" s="532"/>
      <c r="I122" s="532"/>
      <c r="J122" s="532"/>
      <c r="K122" s="533"/>
      <c r="L122" s="534"/>
      <c r="M122" s="535"/>
      <c r="N122" s="933"/>
      <c r="O122" s="933"/>
      <c r="P122" s="1921"/>
      <c r="Q122" s="453"/>
    </row>
    <row r="123" spans="1:17" ht="15.75" thickBot="1">
      <c r="A123" s="483"/>
      <c r="B123" s="492"/>
      <c r="C123" s="493">
        <v>100</v>
      </c>
      <c r="D123" s="493">
        <f t="shared" ref="D123:M123" si="32">C123-$K42</f>
        <v>100</v>
      </c>
      <c r="E123" s="493">
        <f t="shared" si="32"/>
        <v>100</v>
      </c>
      <c r="F123" s="493">
        <f t="shared" si="32"/>
        <v>100</v>
      </c>
      <c r="G123" s="493">
        <f t="shared" si="32"/>
        <v>100</v>
      </c>
      <c r="H123" s="493">
        <f t="shared" si="32"/>
        <v>100</v>
      </c>
      <c r="I123" s="493">
        <f t="shared" si="32"/>
        <v>100</v>
      </c>
      <c r="J123" s="493">
        <f t="shared" si="32"/>
        <v>100</v>
      </c>
      <c r="K123" s="493">
        <f t="shared" si="32"/>
        <v>100</v>
      </c>
      <c r="L123" s="493">
        <f t="shared" si="32"/>
        <v>100</v>
      </c>
      <c r="M123" s="493">
        <f t="shared" si="32"/>
        <v>100</v>
      </c>
      <c r="N123" s="934"/>
      <c r="O123" s="934"/>
      <c r="P123" s="1921"/>
      <c r="Q123" s="453"/>
    </row>
    <row r="124" spans="1:17" ht="15" thickTop="1">
      <c r="A124" s="548"/>
      <c r="B124" s="487" t="s">
        <v>1727</v>
      </c>
      <c r="C124" s="527" t="s">
        <v>1703</v>
      </c>
      <c r="D124" s="527" t="s">
        <v>1704</v>
      </c>
      <c r="E124" s="527" t="s">
        <v>1705</v>
      </c>
      <c r="F124" s="527" t="s">
        <v>1706</v>
      </c>
      <c r="G124" s="527" t="s">
        <v>1707</v>
      </c>
      <c r="H124" s="488"/>
      <c r="I124" s="488"/>
      <c r="J124" s="488"/>
      <c r="K124" s="489"/>
      <c r="L124" s="490"/>
      <c r="M124" s="491"/>
      <c r="N124" s="933"/>
      <c r="O124" s="933"/>
      <c r="P124" s="1922"/>
      <c r="Q124" s="453"/>
    </row>
    <row r="125" spans="1:17" ht="15.75" thickBot="1">
      <c r="A125" s="483"/>
      <c r="B125" s="492"/>
      <c r="C125" s="493">
        <v>100</v>
      </c>
      <c r="D125" s="493">
        <f>C125-$K43</f>
        <v>100</v>
      </c>
      <c r="E125" s="493">
        <f>D125-$K43</f>
        <v>100</v>
      </c>
      <c r="F125" s="493">
        <f>E125-$K43</f>
        <v>100</v>
      </c>
      <c r="G125" s="493">
        <f>F125-$K43</f>
        <v>100</v>
      </c>
      <c r="H125" s="493"/>
      <c r="I125" s="493"/>
      <c r="J125" s="493"/>
      <c r="K125" s="493"/>
      <c r="L125" s="493"/>
      <c r="M125" s="494"/>
      <c r="N125" s="934"/>
      <c r="O125" s="934"/>
      <c r="P125" s="1921"/>
      <c r="Q125" s="453"/>
    </row>
    <row r="126" spans="1:17" s="422" customFormat="1" ht="15" thickTop="1">
      <c r="A126" s="542"/>
      <c r="B126" s="487">
        <f>B44</f>
        <v>111</v>
      </c>
      <c r="C126" s="503"/>
      <c r="D126" s="503"/>
      <c r="E126" s="503"/>
      <c r="F126" s="503"/>
      <c r="G126" s="503"/>
      <c r="H126" s="504"/>
      <c r="I126" s="504"/>
      <c r="J126" s="504"/>
      <c r="K126" s="504"/>
      <c r="L126" s="505"/>
      <c r="M126" s="506"/>
      <c r="N126" s="935"/>
      <c r="O126" s="935"/>
      <c r="P126" s="1922"/>
      <c r="Q126" s="508"/>
    </row>
    <row r="127" spans="1:17" s="422" customFormat="1" ht="15.75" thickBot="1">
      <c r="A127" s="502"/>
      <c r="B127" s="492"/>
      <c r="C127" s="509"/>
      <c r="D127" s="485"/>
      <c r="E127" s="485"/>
      <c r="F127" s="485"/>
      <c r="G127" s="509"/>
      <c r="H127" s="511"/>
      <c r="I127" s="511"/>
      <c r="J127" s="511"/>
      <c r="K127" s="511"/>
      <c r="L127" s="511"/>
      <c r="M127" s="512"/>
      <c r="N127" s="935"/>
      <c r="O127" s="935"/>
      <c r="P127" s="1922"/>
      <c r="Q127" s="508"/>
    </row>
    <row r="128" spans="1:17" ht="15" thickTop="1">
      <c r="A128" s="548"/>
      <c r="B128" s="487">
        <f>B45</f>
        <v>111</v>
      </c>
      <c r="C128" s="503"/>
      <c r="D128" s="503"/>
      <c r="E128" s="503"/>
      <c r="F128" s="503"/>
      <c r="G128" s="532"/>
      <c r="H128" s="532"/>
      <c r="I128" s="532"/>
      <c r="J128" s="532"/>
      <c r="K128" s="533"/>
      <c r="L128" s="534"/>
      <c r="M128" s="535"/>
      <c r="N128" s="933"/>
      <c r="O128" s="933"/>
      <c r="P128" s="1921"/>
      <c r="Q128" s="453"/>
    </row>
    <row r="129" spans="1:17" ht="15.75" thickBot="1">
      <c r="A129" s="483"/>
      <c r="B129" s="492"/>
      <c r="C129" s="509"/>
      <c r="D129" s="509"/>
      <c r="E129" s="509"/>
      <c r="F129" s="509"/>
      <c r="G129" s="485"/>
      <c r="H129" s="485"/>
      <c r="I129" s="485"/>
      <c r="J129" s="485"/>
      <c r="K129" s="485"/>
      <c r="L129" s="485"/>
      <c r="M129" s="486"/>
      <c r="N129" s="934"/>
      <c r="O129" s="934"/>
      <c r="P129" s="1921"/>
      <c r="Q129" s="453"/>
    </row>
    <row r="130" spans="1:17" ht="15" thickTop="1">
      <c r="A130" s="548"/>
      <c r="B130" s="495">
        <f>B46</f>
        <v>111</v>
      </c>
      <c r="C130" s="503"/>
      <c r="D130" s="503"/>
      <c r="E130" s="503"/>
      <c r="F130" s="503"/>
      <c r="G130" s="536"/>
      <c r="H130" s="536"/>
      <c r="I130" s="536"/>
      <c r="J130" s="536"/>
      <c r="K130" s="472"/>
      <c r="L130" s="473"/>
      <c r="M130" s="539"/>
      <c r="N130" s="933"/>
      <c r="O130" s="933"/>
      <c r="P130" s="1921"/>
      <c r="Q130" s="453"/>
    </row>
    <row r="131" spans="1:17" ht="15.75" thickBot="1">
      <c r="A131" s="1927"/>
      <c r="B131" s="518"/>
      <c r="C131" s="519"/>
      <c r="D131" s="519"/>
      <c r="E131" s="519"/>
      <c r="F131" s="519"/>
      <c r="G131" s="540"/>
      <c r="H131" s="540"/>
      <c r="I131" s="540"/>
      <c r="J131" s="540"/>
      <c r="K131" s="540"/>
      <c r="L131" s="540"/>
      <c r="M131" s="541"/>
      <c r="N131" s="934"/>
      <c r="O131" s="934"/>
      <c r="P131" s="1921"/>
      <c r="Q131" s="453"/>
    </row>
    <row r="136" spans="1:17" ht="15" thickBot="1">
      <c r="B136" s="1928" t="s">
        <v>1728</v>
      </c>
    </row>
    <row r="137" spans="1:17" ht="15">
      <c r="B137" s="1929" t="s">
        <v>1729</v>
      </c>
      <c r="C137" s="1930"/>
      <c r="D137" s="1930"/>
      <c r="E137" s="1930"/>
      <c r="F137" s="1930"/>
      <c r="G137" s="1931"/>
      <c r="H137" s="1932"/>
      <c r="I137" s="1933" t="s">
        <v>1730</v>
      </c>
      <c r="J137" s="1930"/>
      <c r="K137" s="1934"/>
    </row>
    <row r="138" spans="1:17" ht="15">
      <c r="B138" s="1935"/>
      <c r="C138" s="137" t="s">
        <v>1731</v>
      </c>
      <c r="D138" s="137" t="s">
        <v>1732</v>
      </c>
      <c r="E138" s="1936" t="s">
        <v>1733</v>
      </c>
      <c r="F138" s="1937" t="s">
        <v>1734</v>
      </c>
      <c r="G138" s="137" t="s">
        <v>1732</v>
      </c>
      <c r="H138" s="138" t="s">
        <v>1733</v>
      </c>
      <c r="I138" s="1938"/>
      <c r="J138" s="137" t="s">
        <v>1735</v>
      </c>
      <c r="K138" s="138" t="s">
        <v>1736</v>
      </c>
    </row>
    <row r="139" spans="1:17" ht="15">
      <c r="B139" s="867">
        <v>6</v>
      </c>
      <c r="C139" s="868">
        <v>96</v>
      </c>
      <c r="D139" s="1939" t="s">
        <v>1737</v>
      </c>
      <c r="E139" s="869">
        <v>100</v>
      </c>
      <c r="F139" s="870">
        <v>102.5</v>
      </c>
      <c r="G139" s="1939" t="s">
        <v>1737</v>
      </c>
      <c r="H139" s="871">
        <v>105</v>
      </c>
      <c r="I139" s="1940" t="s">
        <v>1738</v>
      </c>
      <c r="J139" s="868">
        <v>20</v>
      </c>
      <c r="K139" s="872">
        <f>C145/(J139-2)</f>
        <v>4.0555555555555553E-3</v>
      </c>
    </row>
    <row r="140" spans="1:17" ht="15">
      <c r="B140" s="873">
        <v>5</v>
      </c>
      <c r="C140" s="874">
        <v>100</v>
      </c>
      <c r="D140" s="874"/>
      <c r="E140" s="875"/>
      <c r="F140" s="876">
        <v>102</v>
      </c>
      <c r="G140" s="874"/>
      <c r="H140" s="877"/>
      <c r="I140" s="1941" t="s">
        <v>1739</v>
      </c>
      <c r="J140" s="271">
        <f>ROUNDUP((J139-1)/2,0)</f>
        <v>10</v>
      </c>
      <c r="K140" s="878">
        <v>100</v>
      </c>
    </row>
    <row r="141" spans="1:17" ht="15">
      <c r="B141" s="873">
        <v>4</v>
      </c>
      <c r="C141" s="874">
        <v>102</v>
      </c>
      <c r="D141" s="874"/>
      <c r="E141" s="875"/>
      <c r="F141" s="876">
        <v>101.5</v>
      </c>
      <c r="G141" s="874"/>
      <c r="H141" s="877"/>
      <c r="I141" s="1941" t="s">
        <v>1740</v>
      </c>
      <c r="J141" s="271">
        <v>1</v>
      </c>
      <c r="K141" s="879">
        <f>ROUND(100+(J141-J140)*K139*100,1)</f>
        <v>96.4</v>
      </c>
    </row>
    <row r="142" spans="1:17" ht="15">
      <c r="B142" s="873">
        <v>3</v>
      </c>
      <c r="C142" s="874">
        <v>103</v>
      </c>
      <c r="D142" s="874"/>
      <c r="E142" s="875"/>
      <c r="F142" s="876">
        <v>101</v>
      </c>
      <c r="G142" s="874"/>
      <c r="H142" s="877"/>
      <c r="I142" s="1941" t="s">
        <v>1741</v>
      </c>
      <c r="J142" s="271">
        <f>J139</f>
        <v>20</v>
      </c>
      <c r="K142" s="880">
        <v>95</v>
      </c>
    </row>
    <row r="143" spans="1:17" ht="15">
      <c r="B143" s="873">
        <v>2</v>
      </c>
      <c r="C143" s="874">
        <v>100</v>
      </c>
      <c r="D143" s="874"/>
      <c r="E143" s="875"/>
      <c r="F143" s="876">
        <v>100.5</v>
      </c>
      <c r="G143" s="874"/>
      <c r="H143" s="877"/>
      <c r="I143" s="1941" t="s">
        <v>1742</v>
      </c>
      <c r="J143" s="874">
        <v>15</v>
      </c>
      <c r="K143" s="879">
        <f>ROUND(100+(J143-J140)*K139*100,1)</f>
        <v>102</v>
      </c>
    </row>
    <row r="144" spans="1:17" ht="15">
      <c r="B144" s="873">
        <v>1</v>
      </c>
      <c r="C144" s="874">
        <v>98</v>
      </c>
      <c r="D144" s="1942" t="s">
        <v>1743</v>
      </c>
      <c r="E144" s="875">
        <v>102</v>
      </c>
      <c r="F144" s="881">
        <v>100</v>
      </c>
      <c r="G144" s="1942" t="s">
        <v>1743</v>
      </c>
      <c r="H144" s="877">
        <v>105</v>
      </c>
      <c r="I144" s="1941" t="s">
        <v>1742</v>
      </c>
      <c r="J144" s="874">
        <v>18</v>
      </c>
      <c r="K144" s="879">
        <f>ROUND(100+(J144-J140)*K139*100,1)</f>
        <v>103.2</v>
      </c>
    </row>
    <row r="145" spans="2:11" ht="15.75" thickBot="1">
      <c r="B145" s="1943" t="s">
        <v>1744</v>
      </c>
      <c r="C145" s="882">
        <f>ROUND(MAX(C139:C144)/MIN(C139:C144)-1,3)</f>
        <v>7.2999999999999995E-2</v>
      </c>
      <c r="D145" s="883"/>
      <c r="E145" s="883"/>
      <c r="F145" s="1944" t="s">
        <v>1745</v>
      </c>
      <c r="G145" s="1945"/>
      <c r="H145" s="1946"/>
      <c r="I145" s="1947" t="s">
        <v>1742</v>
      </c>
      <c r="J145" s="884">
        <v>8</v>
      </c>
      <c r="K145" s="885">
        <f>ROUND(100+(J145-J140)*K139*100,1)</f>
        <v>99.2</v>
      </c>
    </row>
    <row r="147" spans="2:11">
      <c r="B147" s="1928" t="s">
        <v>1746</v>
      </c>
    </row>
    <row r="148" spans="2:11">
      <c r="B148" s="1928" t="s">
        <v>1747</v>
      </c>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49:Q49"/>
    <mergeCell ref="R49:W49"/>
    <mergeCell ref="P48:Q48"/>
    <mergeCell ref="R48:S48"/>
    <mergeCell ref="Y15:Y31"/>
    <mergeCell ref="P32:P46"/>
    <mergeCell ref="Y32:Y46"/>
    <mergeCell ref="T48:U48"/>
    <mergeCell ref="V48:W48"/>
    <mergeCell ref="P47:Q47"/>
    <mergeCell ref="R47:S47"/>
    <mergeCell ref="T47:U47"/>
    <mergeCell ref="V47:W47"/>
    <mergeCell ref="P15:P31"/>
  </mergeCells>
  <phoneticPr fontId="24" type="noConversion"/>
  <conditionalFormatting sqref="F52 H52 J52">
    <cfRule type="containsText" dxfId="161" priority="19" stopIfTrue="1" operator="containsText" text="超过">
      <formula>NOT(ISERROR(SEARCH("超过",F52)))</formula>
    </cfRule>
  </conditionalFormatting>
  <conditionalFormatting sqref="J54">
    <cfRule type="containsText" dxfId="160" priority="18" stopIfTrue="1" operator="containsText" text="超过">
      <formula>NOT(ISERROR(SEARCH("超过",J54)))</formula>
    </cfRule>
  </conditionalFormatting>
  <conditionalFormatting sqref="H54">
    <cfRule type="containsText" dxfId="159" priority="17" stopIfTrue="1" operator="containsText" text="超过">
      <formula>NOT(ISERROR(SEARCH("超过",H54)))</formula>
    </cfRule>
  </conditionalFormatting>
  <conditionalFormatting sqref="F54">
    <cfRule type="containsText" dxfId="158" priority="16" stopIfTrue="1" operator="containsText" text="超过">
      <formula>NOT(ISERROR(SEARCH("超过",F54)))</formula>
    </cfRule>
  </conditionalFormatting>
  <conditionalFormatting sqref="F53 H53 J53">
    <cfRule type="containsText" dxfId="157" priority="15" stopIfTrue="1" operator="containsText" text="超过">
      <formula>NOT(ISERROR(SEARCH("超过",F53)))</formula>
    </cfRule>
  </conditionalFormatting>
  <conditionalFormatting sqref="E52">
    <cfRule type="expression" dxfId="156" priority="14" stopIfTrue="1">
      <formula>$F$52="超过30%"</formula>
    </cfRule>
  </conditionalFormatting>
  <conditionalFormatting sqref="G54">
    <cfRule type="expression" dxfId="155" priority="12" stopIfTrue="1">
      <formula>$H$54="超过30%"</formula>
    </cfRule>
  </conditionalFormatting>
  <conditionalFormatting sqref="E53">
    <cfRule type="expression" dxfId="154" priority="11" stopIfTrue="1">
      <formula>$F$53="超过20%"</formula>
    </cfRule>
  </conditionalFormatting>
  <conditionalFormatting sqref="E54">
    <cfRule type="expression" dxfId="153" priority="10" stopIfTrue="1">
      <formula>$F$54="超过30%"</formula>
    </cfRule>
  </conditionalFormatting>
  <conditionalFormatting sqref="G52">
    <cfRule type="expression" dxfId="152" priority="9" stopIfTrue="1">
      <formula>$H$52="超过30%"</formula>
    </cfRule>
  </conditionalFormatting>
  <conditionalFormatting sqref="G53">
    <cfRule type="expression" dxfId="151" priority="8" stopIfTrue="1">
      <formula>$H$53="超过20%"</formula>
    </cfRule>
  </conditionalFormatting>
  <conditionalFormatting sqref="I52">
    <cfRule type="expression" dxfId="150" priority="7" stopIfTrue="1">
      <formula>$J$52="超过30%"</formula>
    </cfRule>
  </conditionalFormatting>
  <conditionalFormatting sqref="I53">
    <cfRule type="expression" dxfId="149" priority="6" stopIfTrue="1">
      <formula>$J$53="超过20%"</formula>
    </cfRule>
  </conditionalFormatting>
  <conditionalFormatting sqref="I54">
    <cfRule type="expression" dxfId="148" priority="5" stopIfTrue="1">
      <formula>$J$54="超过30%"</formula>
    </cfRule>
  </conditionalFormatting>
  <conditionalFormatting sqref="F48">
    <cfRule type="expression" dxfId="147" priority="4">
      <formula>$D$48="简单平均"</formula>
    </cfRule>
  </conditionalFormatting>
  <conditionalFormatting sqref="H48">
    <cfRule type="expression" dxfId="146" priority="3">
      <formula>$D$48="简单平均"</formula>
    </cfRule>
  </conditionalFormatting>
  <conditionalFormatting sqref="J48">
    <cfRule type="expression" dxfId="145" priority="2">
      <formula>$D$48="简单平均"</formula>
    </cfRule>
  </conditionalFormatting>
  <conditionalFormatting sqref="F7:F46 H7:H46 J7:J46">
    <cfRule type="cellIs" dxfId="144" priority="1" operator="notEqual">
      <formula>100</formula>
    </cfRule>
  </conditionalFormatting>
  <dataValidations count="24">
    <dataValidation type="list" allowBlank="1" showInputMessage="1" showErrorMessage="1" sqref="E24 G24 I24 C24">
      <formula1>环境</formula1>
    </dataValidation>
    <dataValidation type="list" allowBlank="1" showInputMessage="1" showErrorMessage="1" sqref="E16 G16 I16 C16">
      <formula1>居住社区成熟度</formula1>
    </dataValidation>
    <dataValidation type="list" allowBlank="1" showInputMessage="1" showErrorMessage="1" sqref="E18 G18 I18 C18">
      <formula1>交通便捷度</formula1>
    </dataValidation>
    <dataValidation type="list" allowBlank="1" showInputMessage="1" showErrorMessage="1" sqref="C20 G20 E20 I20">
      <formula1>公共配套设施</formula1>
    </dataValidation>
    <dataValidation type="list" allowBlank="1" showInputMessage="1" showErrorMessage="1" sqref="E25 G25 I25 C25">
      <formula1>住宅楼层</formula1>
    </dataValidation>
    <dataValidation type="list" allowBlank="1" showInputMessage="1" showErrorMessage="1" sqref="E26 G26 I26 C26">
      <formula1>住宅朝向</formula1>
    </dataValidation>
    <dataValidation type="list" allowBlank="1" showInputMessage="1" showErrorMessage="1" sqref="E32 G32 I32 C32">
      <formula1>住宅建筑类型</formula1>
    </dataValidation>
    <dataValidation type="list" allowBlank="1" showInputMessage="1" showErrorMessage="1" sqref="E34 G34 I34 C34">
      <formula1>住宅建筑结构</formula1>
    </dataValidation>
    <dataValidation type="list" allowBlank="1" showInputMessage="1" showErrorMessage="1" sqref="E35 G35 I35 C35">
      <formula1>住宅建筑品质</formula1>
    </dataValidation>
    <dataValidation type="list" allowBlank="1" showInputMessage="1" showErrorMessage="1" sqref="E36 G36 I36 C36">
      <formula1>住宅公共部分装修</formula1>
    </dataValidation>
    <dataValidation type="list" allowBlank="1" showInputMessage="1" showErrorMessage="1" sqref="E38 G38 I38 C38">
      <formula1>住宅物业管理</formula1>
    </dataValidation>
    <dataValidation type="list" allowBlank="1" showInputMessage="1" showErrorMessage="1" sqref="E39 G39 I39 C39">
      <formula1>住宅基础设施水平</formula1>
    </dataValidation>
    <dataValidation type="list" allowBlank="1" showInputMessage="1" showErrorMessage="1" sqref="E40 G40 I40 C40">
      <formula1>住宅房型</formula1>
    </dataValidation>
    <dataValidation type="list" allowBlank="1" showInputMessage="1" showErrorMessage="1" sqref="E42 G42 I42 C42">
      <formula1>住宅内部装修</formula1>
    </dataValidation>
    <dataValidation type="list" allowBlank="1" showInputMessage="1" showErrorMessage="1" sqref="E43 G43 I43 C43">
      <formula1>内部装修维护情况</formula1>
    </dataValidation>
    <dataValidation type="list" allowBlank="1" showInputMessage="1" showErrorMessage="1" sqref="E8 G8 I8 C8">
      <formula1>住宅交易情况</formula1>
    </dataValidation>
    <dataValidation type="list" allowBlank="1" showInputMessage="1" showErrorMessage="1" sqref="D1">
      <formula1>项目类型</formula1>
    </dataValidation>
    <dataValidation type="list" allowBlank="1" showInputMessage="1" showErrorMessage="1" sqref="E9 G9 I9">
      <formula1>住宅用途</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0" fitToHeight="0" orientation="portrait" r:id="rId1"/>
  <legacyDrawing r:id="rId2"/>
</worksheet>
</file>

<file path=xl/worksheets/sheet2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4">
    <tabColor rgb="FF92D050"/>
    <pageSetUpPr fitToPage="1"/>
  </sheetPr>
  <dimension ref="A1:AC131"/>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1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1915"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877" t="s">
        <v>1748</v>
      </c>
      <c r="C1" s="1237" t="s">
        <v>1644</v>
      </c>
      <c r="D1" s="1224"/>
      <c r="E1" s="3400"/>
      <c r="F1" s="1878"/>
      <c r="G1" s="1234" t="s">
        <v>1749</v>
      </c>
      <c r="H1" s="1233"/>
      <c r="I1" s="1233"/>
      <c r="J1" s="1233"/>
      <c r="K1" s="1235"/>
      <c r="L1" s="1236"/>
      <c r="M1" s="1237"/>
      <c r="N1" s="1237"/>
      <c r="O1" s="1237"/>
      <c r="P1" s="1948"/>
      <c r="Q1" s="1949"/>
      <c r="R1" s="1949"/>
      <c r="S1" s="1949"/>
      <c r="T1" s="1949"/>
      <c r="U1" s="1949"/>
      <c r="V1" s="1949"/>
      <c r="W1" s="1949"/>
      <c r="X1" s="1949"/>
      <c r="Y1" s="1949"/>
      <c r="Z1" s="1949"/>
      <c r="AA1" s="1949"/>
      <c r="AB1" s="1949"/>
      <c r="AC1" s="1950"/>
    </row>
    <row r="2" spans="1:29" s="352" customFormat="1" ht="28.5" customHeight="1" thickTop="1">
      <c r="A2" s="1220" t="s">
        <v>1444</v>
      </c>
      <c r="B2" s="1164" t="b">
        <f>IF(E1="项目模式",IF(C2="——",ROUND(C49*D3/10000,0),ROUND(C49*D3/10000,0)-D2),IF(E1="单套模式",IF(C2="——",ROUND(C49*D3/10000,4),ROUND(C49*D3/10000,4)-D2)))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1951"/>
      <c r="Q2" s="912"/>
      <c r="R2" s="912"/>
      <c r="S2" s="912"/>
      <c r="T2" s="912"/>
      <c r="U2" s="912"/>
      <c r="V2" s="912"/>
      <c r="W2" s="912"/>
      <c r="X2" s="912"/>
      <c r="Y2" s="912"/>
      <c r="Z2" s="912"/>
      <c r="AA2" s="912"/>
      <c r="AB2" s="912"/>
      <c r="AC2" s="1952"/>
    </row>
    <row r="3" spans="1:29" s="352" customFormat="1" ht="28.5" customHeight="1" thickBot="1">
      <c r="A3" s="203" t="s">
        <v>1446</v>
      </c>
      <c r="B3" s="558">
        <f>IF(C2="——",C49,ROUND(B2*10000/D3,0))</f>
        <v>0</v>
      </c>
      <c r="C3" s="354" t="s">
        <v>1750</v>
      </c>
      <c r="D3" s="353">
        <f>IF(D1="",'数据-汇总表'!E3,SUMIF('数据-汇总表'!$C19:$C33,D1,'数据-汇总表'!$E19:$E33))</f>
        <v>17559.11</v>
      </c>
      <c r="E3" s="1953"/>
      <c r="F3" s="909"/>
      <c r="G3" s="908"/>
      <c r="H3" s="908"/>
      <c r="I3" s="908"/>
      <c r="J3" s="908"/>
      <c r="K3" s="910"/>
      <c r="L3" s="2708"/>
      <c r="M3" s="2709"/>
      <c r="N3" s="2709"/>
      <c r="O3" s="2709"/>
      <c r="P3" s="1951"/>
      <c r="Q3" s="912"/>
      <c r="R3" s="912"/>
      <c r="S3" s="912"/>
      <c r="T3" s="912"/>
      <c r="U3" s="912"/>
      <c r="V3" s="912"/>
      <c r="W3" s="912"/>
      <c r="X3" s="912"/>
      <c r="Y3" s="912"/>
      <c r="Z3" s="912"/>
      <c r="AA3" s="912"/>
      <c r="AB3" s="912"/>
      <c r="AC3" s="1953"/>
    </row>
    <row r="4" spans="1:29" ht="15">
      <c r="A4" s="355" t="s">
        <v>1751</v>
      </c>
      <c r="B4" s="356"/>
      <c r="C4" s="3721" t="s">
        <v>1752</v>
      </c>
      <c r="D4" s="3722"/>
      <c r="E4" s="3723" t="s">
        <v>1753</v>
      </c>
      <c r="F4" s="3724"/>
      <c r="G4" s="3721" t="s">
        <v>1754</v>
      </c>
      <c r="H4" s="3722"/>
      <c r="I4" s="3721" t="s">
        <v>1755</v>
      </c>
      <c r="J4" s="3722"/>
      <c r="K4" s="559" t="s">
        <v>1756</v>
      </c>
      <c r="L4" s="2689"/>
      <c r="M4" s="2690"/>
      <c r="N4" s="2690"/>
      <c r="O4" s="2690"/>
      <c r="P4" s="3725" t="s">
        <v>1757</v>
      </c>
      <c r="Q4" s="3726"/>
      <c r="R4" s="3731" t="s">
        <v>1753</v>
      </c>
      <c r="S4" s="3732"/>
      <c r="T4" s="3731" t="s">
        <v>1754</v>
      </c>
      <c r="U4" s="3732"/>
      <c r="V4" s="3737" t="s">
        <v>1755</v>
      </c>
      <c r="W4" s="3737"/>
      <c r="X4" s="1354"/>
      <c r="Y4" s="3731" t="s">
        <v>1757</v>
      </c>
      <c r="Z4" s="3732"/>
      <c r="AA4" s="3718" t="s">
        <v>1753</v>
      </c>
      <c r="AB4" s="3737" t="s">
        <v>1754</v>
      </c>
      <c r="AC4" s="3718" t="s">
        <v>1755</v>
      </c>
    </row>
    <row r="5" spans="1:29" ht="15">
      <c r="A5" s="358"/>
      <c r="B5" s="359"/>
      <c r="C5" s="3740" t="s">
        <v>1655</v>
      </c>
      <c r="D5" s="3741"/>
      <c r="E5" s="3747" t="s">
        <v>1656</v>
      </c>
      <c r="F5" s="3748"/>
      <c r="G5" s="3740" t="s">
        <v>1657</v>
      </c>
      <c r="H5" s="3741"/>
      <c r="I5" s="3740" t="s">
        <v>1658</v>
      </c>
      <c r="J5" s="3741"/>
      <c r="K5" s="559"/>
      <c r="L5" s="2689"/>
      <c r="M5" s="2690"/>
      <c r="N5" s="2690"/>
      <c r="O5" s="2690"/>
      <c r="P5" s="3727"/>
      <c r="Q5" s="3728"/>
      <c r="R5" s="3733"/>
      <c r="S5" s="3734"/>
      <c r="T5" s="3733"/>
      <c r="U5" s="3734"/>
      <c r="V5" s="3737"/>
      <c r="W5" s="3737"/>
      <c r="X5" s="1354"/>
      <c r="Y5" s="3733"/>
      <c r="Z5" s="3734"/>
      <c r="AA5" s="3719"/>
      <c r="AB5" s="3737"/>
      <c r="AC5" s="3719"/>
    </row>
    <row r="6" spans="1:29" ht="15.75" thickBot="1">
      <c r="A6" s="360"/>
      <c r="B6" s="361"/>
      <c r="C6" s="3738" t="s">
        <v>1659</v>
      </c>
      <c r="D6" s="3739"/>
      <c r="E6" s="3745" t="s">
        <v>1659</v>
      </c>
      <c r="F6" s="3746"/>
      <c r="G6" s="3738" t="s">
        <v>1659</v>
      </c>
      <c r="H6" s="3739"/>
      <c r="I6" s="3738" t="s">
        <v>1659</v>
      </c>
      <c r="J6" s="3739"/>
      <c r="K6" s="559" t="s">
        <v>1660</v>
      </c>
      <c r="L6" s="2689"/>
      <c r="M6" s="2690"/>
      <c r="N6" s="2690"/>
      <c r="O6" s="2690"/>
      <c r="P6" s="3729"/>
      <c r="Q6" s="3730"/>
      <c r="R6" s="3733"/>
      <c r="S6" s="3734"/>
      <c r="T6" s="3735"/>
      <c r="U6" s="3736"/>
      <c r="V6" s="3737"/>
      <c r="W6" s="3737"/>
      <c r="X6" s="1354"/>
      <c r="Y6" s="3735"/>
      <c r="Z6" s="3736"/>
      <c r="AA6" s="3720"/>
      <c r="AB6" s="3737"/>
      <c r="AC6" s="3720"/>
    </row>
    <row r="7" spans="1:29" s="108" customFormat="1" ht="15.75" thickBot="1">
      <c r="A7" s="362" t="s">
        <v>1661</v>
      </c>
      <c r="B7" s="363"/>
      <c r="C7" s="364">
        <f>'数据-取费表'!B2</f>
        <v>45400</v>
      </c>
      <c r="D7" s="365">
        <v>100</v>
      </c>
      <c r="E7" s="366"/>
      <c r="F7" s="367">
        <f>SUMIF(58:58,YEAR(E7)&amp;"-"&amp;MONTH(E7),59:59)</f>
        <v>0</v>
      </c>
      <c r="G7" s="366"/>
      <c r="H7" s="365">
        <f>SUMIF(58:58,YEAR(G7)&amp;"-"&amp;MONTH(G7),59:59)</f>
        <v>0</v>
      </c>
      <c r="I7" s="366"/>
      <c r="J7" s="365">
        <f>SUMIF(58:58,YEAR(I7)&amp;"-"&amp;MONTH(I7),59:59)</f>
        <v>0</v>
      </c>
      <c r="K7" s="560"/>
      <c r="L7" s="2691"/>
      <c r="M7" s="2692"/>
      <c r="N7" s="2692"/>
      <c r="O7" s="2692"/>
      <c r="P7" s="3742" t="s">
        <v>1662</v>
      </c>
      <c r="Q7" s="3744"/>
      <c r="R7" s="701" t="s">
        <v>14</v>
      </c>
      <c r="S7" s="702">
        <f t="shared" ref="S7:S15" si="0">F7</f>
        <v>0</v>
      </c>
      <c r="T7" s="701" t="s">
        <v>14</v>
      </c>
      <c r="U7" s="702">
        <f t="shared" ref="U7:U15" si="1">H7</f>
        <v>0</v>
      </c>
      <c r="V7" s="701" t="s">
        <v>14</v>
      </c>
      <c r="W7" s="702">
        <f t="shared" ref="W7:W15" si="2">J7</f>
        <v>0</v>
      </c>
      <c r="X7" s="703"/>
      <c r="Y7" s="3742" t="s">
        <v>1662</v>
      </c>
      <c r="Z7" s="3743"/>
      <c r="AA7" s="704" t="e">
        <f>D7/F7</f>
        <v>#DIV/0!</v>
      </c>
      <c r="AB7" s="704" t="e">
        <f>D7/H7</f>
        <v>#DIV/0!</v>
      </c>
      <c r="AC7" s="704" t="e">
        <f>D7/J7</f>
        <v>#DIV/0!</v>
      </c>
    </row>
    <row r="8" spans="1:29" s="108" customFormat="1" ht="15.75" thickBot="1">
      <c r="A8" s="362" t="s">
        <v>1663</v>
      </c>
      <c r="B8" s="363"/>
      <c r="C8" s="368"/>
      <c r="D8" s="365">
        <v>100</v>
      </c>
      <c r="E8" s="368"/>
      <c r="F8" s="367">
        <f>SUMIF(61:61,E8,62:62)-SUMIF(61:61,C8,62:62)+100</f>
        <v>100</v>
      </c>
      <c r="G8" s="368"/>
      <c r="H8" s="365">
        <f>SUMIF(61:61,G8,62:62)-SUMIF(61:61,C8,62:62)+100</f>
        <v>100</v>
      </c>
      <c r="I8" s="368"/>
      <c r="J8" s="365">
        <f>SUMIF(61:61,I8,62:62)-SUMIF(61:61,C8,62:62)+100</f>
        <v>100</v>
      </c>
      <c r="K8" s="560"/>
      <c r="L8" s="2691"/>
      <c r="M8" s="2692"/>
      <c r="N8" s="2692"/>
      <c r="O8" s="2692"/>
      <c r="P8" s="3742" t="s">
        <v>1665</v>
      </c>
      <c r="Q8" s="3743"/>
      <c r="R8" s="701" t="s">
        <v>14</v>
      </c>
      <c r="S8" s="702">
        <f t="shared" si="0"/>
        <v>100</v>
      </c>
      <c r="T8" s="701" t="s">
        <v>14</v>
      </c>
      <c r="U8" s="702">
        <f t="shared" si="1"/>
        <v>100</v>
      </c>
      <c r="V8" s="701" t="s">
        <v>14</v>
      </c>
      <c r="W8" s="702">
        <f t="shared" si="2"/>
        <v>100</v>
      </c>
      <c r="X8" s="703"/>
      <c r="Y8" s="3742" t="s">
        <v>1665</v>
      </c>
      <c r="Z8" s="3743"/>
      <c r="AA8" s="704">
        <f t="shared" ref="AA8:AA46" si="3">D8/F8</f>
        <v>1</v>
      </c>
      <c r="AB8" s="704">
        <f t="shared" ref="AB8:AB46" si="4">D8/H8</f>
        <v>1</v>
      </c>
      <c r="AC8" s="704">
        <f t="shared" ref="AC8:AC46" si="5">D8/J8</f>
        <v>1</v>
      </c>
    </row>
    <row r="9" spans="1:29" s="108" customFormat="1">
      <c r="A9" s="369" t="s">
        <v>1666</v>
      </c>
      <c r="B9" s="63" t="s">
        <v>1667</v>
      </c>
      <c r="C9" s="370"/>
      <c r="D9" s="126">
        <v>100</v>
      </c>
      <c r="E9" s="371"/>
      <c r="F9" s="372">
        <f>SUMIF(63:63,E9,64:64)-SUMIF(63:63,C9,64:64)+100</f>
        <v>100</v>
      </c>
      <c r="G9" s="371"/>
      <c r="H9" s="126">
        <f>SUMIF(63:63,G9,64:64)-SUMIF(63:63,C9,64:64)+100</f>
        <v>100</v>
      </c>
      <c r="I9" s="371"/>
      <c r="J9" s="126">
        <f>SUMIF(63:63,I9,64:64)-SUMIF(63:63,C9,64:64)+100</f>
        <v>100</v>
      </c>
      <c r="K9" s="560"/>
      <c r="L9" s="2691"/>
      <c r="M9" s="2692"/>
      <c r="N9" s="2692"/>
      <c r="O9" s="2692"/>
      <c r="P9" s="3717" t="s">
        <v>1668</v>
      </c>
      <c r="Q9" s="1342" t="str">
        <f t="shared" ref="Q9:Q15" si="6">B9</f>
        <v>用途</v>
      </c>
      <c r="R9" s="701" t="s">
        <v>14</v>
      </c>
      <c r="S9" s="702">
        <f t="shared" si="0"/>
        <v>100</v>
      </c>
      <c r="T9" s="701" t="s">
        <v>14</v>
      </c>
      <c r="U9" s="702">
        <f t="shared" si="1"/>
        <v>100</v>
      </c>
      <c r="V9" s="701" t="s">
        <v>14</v>
      </c>
      <c r="W9" s="702">
        <f t="shared" si="2"/>
        <v>100</v>
      </c>
      <c r="X9" s="703"/>
      <c r="Y9" s="3580"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9"/>
      <c r="F10" s="376">
        <f>SUMIF(65:65,E10,66:66)-SUMIF(65:65,C10,66:66)+100</f>
        <v>100</v>
      </c>
      <c r="G10" s="3408"/>
      <c r="H10" s="127">
        <f>SUMIF(65:65,G10,66:66)-SUMIF(65:65,C10,66:66)+100</f>
        <v>100</v>
      </c>
      <c r="I10" s="3408"/>
      <c r="J10" s="127">
        <f>SUMIF(65:65,I10,66:66)-SUMIF(65:65,C10,66:66)+100</f>
        <v>100</v>
      </c>
      <c r="K10" s="560"/>
      <c r="L10" s="2693"/>
      <c r="M10" s="2694"/>
      <c r="N10" s="2694"/>
      <c r="O10" s="2694"/>
      <c r="P10" s="3717"/>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704">
        <f t="shared" si="5"/>
        <v>1</v>
      </c>
    </row>
    <row r="11" spans="1:29" ht="15">
      <c r="A11" s="379"/>
      <c r="B11" s="375" t="s">
        <v>1671</v>
      </c>
      <c r="C11" s="380"/>
      <c r="D11" s="127">
        <v>100</v>
      </c>
      <c r="E11" s="381"/>
      <c r="F11" s="376" t="e">
        <f>LOOKUP(E11,68:68,69:69)-LOOKUP(C11,68:68,69:69)+100</f>
        <v>#N/A</v>
      </c>
      <c r="G11" s="380"/>
      <c r="H11" s="127" t="e">
        <f>LOOKUP(G11,68:68,69:69)-LOOKUP(C11,68:68,69:69)+100</f>
        <v>#N/A</v>
      </c>
      <c r="I11" s="380"/>
      <c r="J11" s="127" t="e">
        <f>LOOKUP(I11,68:68,69:69)-LOOKUP(C11,68:68,69:69)+100</f>
        <v>#N/A</v>
      </c>
      <c r="K11" s="561"/>
      <c r="L11" s="2695"/>
      <c r="M11" s="2690"/>
      <c r="N11" s="2690"/>
      <c r="O11" s="2690"/>
      <c r="P11" s="3717"/>
      <c r="Q11" s="1342" t="str">
        <f t="shared" si="6"/>
        <v>容积率</v>
      </c>
      <c r="R11" s="701" t="s">
        <v>14</v>
      </c>
      <c r="S11" s="702" t="e">
        <f t="shared" si="0"/>
        <v>#N/A</v>
      </c>
      <c r="T11" s="701" t="s">
        <v>14</v>
      </c>
      <c r="U11" s="702" t="e">
        <f t="shared" si="1"/>
        <v>#N/A</v>
      </c>
      <c r="V11" s="701" t="s">
        <v>14</v>
      </c>
      <c r="W11" s="702" t="e">
        <f t="shared" si="2"/>
        <v>#N/A</v>
      </c>
      <c r="X11" s="703"/>
      <c r="Y11" s="3580"/>
      <c r="Z11" s="52" t="str">
        <f t="shared" si="7"/>
        <v>容积率</v>
      </c>
      <c r="AA11" s="704" t="e">
        <f t="shared" si="3"/>
        <v>#N/A</v>
      </c>
      <c r="AB11" s="704" t="e">
        <f t="shared" si="4"/>
        <v>#N/A</v>
      </c>
      <c r="AC11" s="704" t="e">
        <f t="shared" si="5"/>
        <v>#N/A</v>
      </c>
    </row>
    <row r="12" spans="1:29" s="108" customFormat="1" ht="15">
      <c r="A12" s="382"/>
      <c r="B12" s="1892">
        <v>111</v>
      </c>
      <c r="C12" s="383"/>
      <c r="D12" s="384">
        <v>100</v>
      </c>
      <c r="E12" s="385"/>
      <c r="F12" s="376">
        <f>SUMIF(70:70,E12,71:71)-SUMIF(70:70,C12,71:71)+100</f>
        <v>100</v>
      </c>
      <c r="G12" s="385"/>
      <c r="H12" s="127">
        <f>SUMIF(70:70,G12,71:71)-SUMIF(70:70,C12,71:71)+100</f>
        <v>100</v>
      </c>
      <c r="I12" s="385"/>
      <c r="J12" s="127">
        <f>SUMIF(70:70,I12,71:71)-SUMIF(70:70,C12,71:71)+100</f>
        <v>100</v>
      </c>
      <c r="K12" s="562"/>
      <c r="L12" s="2691"/>
      <c r="M12" s="2692"/>
      <c r="N12" s="2692"/>
      <c r="O12" s="2692"/>
      <c r="P12" s="3717"/>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704">
        <f>D12/J12</f>
        <v>1</v>
      </c>
    </row>
    <row r="13" spans="1:29" ht="15">
      <c r="A13" s="379"/>
      <c r="B13" s="1892">
        <v>111</v>
      </c>
      <c r="C13" s="385"/>
      <c r="D13" s="386">
        <v>100</v>
      </c>
      <c r="E13" s="385"/>
      <c r="F13" s="376">
        <f>SUMIF(72:72,E13,73:73)-SUMIF(72:72,C13,73:73)+100</f>
        <v>100</v>
      </c>
      <c r="G13" s="385"/>
      <c r="H13" s="386">
        <f>SUMIF(72:72,G13,73:73)-SUMIF(72:72,C13,73:73)+100</f>
        <v>100</v>
      </c>
      <c r="I13" s="385"/>
      <c r="J13" s="386">
        <f>SUMIF(72:72,I13,73:73)-SUMIF(72:72,C13,73:73)+100</f>
        <v>100</v>
      </c>
      <c r="K13" s="562"/>
      <c r="L13" s="2696"/>
      <c r="M13" s="2690"/>
      <c r="N13" s="2690"/>
      <c r="O13" s="2690"/>
      <c r="P13" s="3717"/>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704">
        <f t="shared" si="5"/>
        <v>1</v>
      </c>
    </row>
    <row r="14" spans="1:29" ht="15.75" thickBot="1">
      <c r="A14" s="387"/>
      <c r="B14" s="1894">
        <v>111</v>
      </c>
      <c r="C14" s="388"/>
      <c r="D14" s="389">
        <v>100</v>
      </c>
      <c r="E14" s="385"/>
      <c r="F14" s="390">
        <f>SUMIF(74:74,E14,75:75)-SUMIF(74:74,C14,75:75)+100</f>
        <v>100</v>
      </c>
      <c r="G14" s="385"/>
      <c r="H14" s="389">
        <f>SUMIF(74:74,G14,75:75)-SUMIF(74:74,C14,75:75)+100</f>
        <v>100</v>
      </c>
      <c r="I14" s="385"/>
      <c r="J14" s="389">
        <f>SUMIF(74:74,I14,75:75)-SUMIF(74:74,C14,75:75)+100</f>
        <v>100</v>
      </c>
      <c r="K14" s="562"/>
      <c r="L14" s="2696"/>
      <c r="M14" s="2690"/>
      <c r="N14" s="2690"/>
      <c r="O14" s="2690"/>
      <c r="P14" s="3717"/>
      <c r="Q14" s="1342">
        <f t="shared" si="6"/>
        <v>111</v>
      </c>
      <c r="R14" s="701" t="s">
        <v>14</v>
      </c>
      <c r="S14" s="702">
        <f t="shared" si="0"/>
        <v>100</v>
      </c>
      <c r="T14" s="701" t="s">
        <v>14</v>
      </c>
      <c r="U14" s="702">
        <f t="shared" si="1"/>
        <v>100</v>
      </c>
      <c r="V14" s="701" t="s">
        <v>14</v>
      </c>
      <c r="W14" s="702">
        <f t="shared" si="2"/>
        <v>100</v>
      </c>
      <c r="X14" s="703"/>
      <c r="Y14" s="3580"/>
      <c r="Z14" s="52">
        <f t="shared" si="7"/>
        <v>111</v>
      </c>
      <c r="AA14" s="704">
        <f t="shared" si="3"/>
        <v>1</v>
      </c>
      <c r="AB14" s="704">
        <f t="shared" si="4"/>
        <v>1</v>
      </c>
      <c r="AC14" s="704">
        <f t="shared" si="5"/>
        <v>1</v>
      </c>
    </row>
    <row r="15" spans="1:29" ht="15">
      <c r="A15" s="391" t="s">
        <v>1672</v>
      </c>
      <c r="B15" s="61" t="s">
        <v>1759</v>
      </c>
      <c r="C15" s="1895" t="str">
        <f>估价对象房地状况!C4</f>
        <v>一般</v>
      </c>
      <c r="D15" s="392">
        <v>100</v>
      </c>
      <c r="E15" s="393"/>
      <c r="F15" s="394">
        <f>SUMIF(76:76,E16,77:77)-SUMIF(76:76,C16,77:77)+100</f>
        <v>100</v>
      </c>
      <c r="G15" s="395"/>
      <c r="H15" s="392">
        <f>SUMIF(76:76,G16,77:77)-SUMIF(76:76,C16,77:77)+100</f>
        <v>100</v>
      </c>
      <c r="I15" s="393"/>
      <c r="J15" s="392">
        <f>SUMIF(76:76,I16,77:77)-SUMIF(76:76,C16,77:77)+100</f>
        <v>100</v>
      </c>
      <c r="K15" s="563"/>
      <c r="L15" s="2696"/>
      <c r="M15" s="2690"/>
      <c r="N15" s="2690"/>
      <c r="O15" s="2690"/>
      <c r="P15" s="3715" t="s">
        <v>1673</v>
      </c>
      <c r="Q15" s="1351" t="str">
        <f t="shared" si="6"/>
        <v>商业繁华度</v>
      </c>
      <c r="R15" s="705" t="s">
        <v>14</v>
      </c>
      <c r="S15" s="706">
        <f t="shared" si="0"/>
        <v>100</v>
      </c>
      <c r="T15" s="705" t="s">
        <v>14</v>
      </c>
      <c r="U15" s="706">
        <f t="shared" si="1"/>
        <v>100</v>
      </c>
      <c r="V15" s="705" t="s">
        <v>14</v>
      </c>
      <c r="W15" s="706">
        <f t="shared" si="2"/>
        <v>100</v>
      </c>
      <c r="X15" s="1354"/>
      <c r="Y15" s="3708" t="s">
        <v>1673</v>
      </c>
      <c r="Z15" s="1355" t="str">
        <f t="shared" si="7"/>
        <v>商业繁华度</v>
      </c>
      <c r="AA15" s="1352">
        <f t="shared" si="3"/>
        <v>1</v>
      </c>
      <c r="AB15" s="1352">
        <f t="shared" si="4"/>
        <v>1</v>
      </c>
      <c r="AC15" s="1352">
        <f t="shared" si="5"/>
        <v>1</v>
      </c>
    </row>
    <row r="16" spans="1:29" ht="15">
      <c r="A16" s="379"/>
      <c r="B16" s="397"/>
      <c r="C16" s="398"/>
      <c r="D16" s="399"/>
      <c r="E16" s="398"/>
      <c r="F16" s="400"/>
      <c r="G16" s="398"/>
      <c r="H16" s="401"/>
      <c r="I16" s="398"/>
      <c r="J16" s="399"/>
      <c r="K16" s="564"/>
      <c r="L16" s="2696"/>
      <c r="M16" s="2690"/>
      <c r="N16" s="2690"/>
      <c r="O16" s="2690"/>
      <c r="P16" s="3716"/>
      <c r="Q16" s="1351"/>
      <c r="R16" s="705"/>
      <c r="S16" s="706"/>
      <c r="T16" s="705"/>
      <c r="U16" s="706"/>
      <c r="V16" s="705"/>
      <c r="W16" s="706"/>
      <c r="X16" s="1354"/>
      <c r="Y16" s="3709"/>
      <c r="Z16" s="1355"/>
      <c r="AA16" s="1352">
        <v>1</v>
      </c>
      <c r="AB16" s="1352">
        <v>1</v>
      </c>
      <c r="AC16" s="1352">
        <v>1</v>
      </c>
    </row>
    <row r="17" spans="1:29" ht="85.5">
      <c r="A17" s="379"/>
      <c r="B17" s="402" t="s">
        <v>1257</v>
      </c>
      <c r="C17" s="1899" t="str">
        <f>估价对象房地状况!C6</f>
        <v>估价对象周边道路状况、公共交通通达情况、停车便捷程度，综合评价交通便捷度较好</v>
      </c>
      <c r="D17" s="401">
        <v>100</v>
      </c>
      <c r="E17" s="403"/>
      <c r="F17" s="404">
        <f>SUMIF(78:78,E18,79:79)-SUMIF(78:78,C18,79:79)+100</f>
        <v>100</v>
      </c>
      <c r="G17" s="405"/>
      <c r="H17" s="406">
        <f>SUMIF(78:78,G18,79:79)-SUMIF(78:78,C18,79:79)+100</f>
        <v>100</v>
      </c>
      <c r="I17" s="403"/>
      <c r="J17" s="406">
        <f>SUMIF(78:78,I18,79:79)-SUMIF(78:78,C18,79:79)+100</f>
        <v>100</v>
      </c>
      <c r="K17" s="563"/>
      <c r="L17" s="2696"/>
      <c r="M17" s="2690"/>
      <c r="N17" s="2690"/>
      <c r="O17" s="2690"/>
      <c r="P17" s="3716"/>
      <c r="Q17" s="1351" t="str">
        <f>B17</f>
        <v>交通便捷度</v>
      </c>
      <c r="R17" s="705" t="s">
        <v>14</v>
      </c>
      <c r="S17" s="706">
        <f>F17</f>
        <v>100</v>
      </c>
      <c r="T17" s="705" t="s">
        <v>14</v>
      </c>
      <c r="U17" s="706">
        <f>H17</f>
        <v>100</v>
      </c>
      <c r="V17" s="705" t="s">
        <v>14</v>
      </c>
      <c r="W17" s="706">
        <f>J17</f>
        <v>100</v>
      </c>
      <c r="X17" s="1354"/>
      <c r="Y17" s="3709"/>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2696"/>
      <c r="M18" s="2690"/>
      <c r="N18" s="2690"/>
      <c r="O18" s="2690"/>
      <c r="P18" s="3716"/>
      <c r="Q18" s="1351"/>
      <c r="R18" s="705"/>
      <c r="S18" s="706"/>
      <c r="T18" s="705"/>
      <c r="U18" s="706"/>
      <c r="V18" s="705"/>
      <c r="W18" s="706"/>
      <c r="X18" s="1354"/>
      <c r="Y18" s="3709"/>
      <c r="Z18" s="1355"/>
      <c r="AA18" s="1352">
        <v>1</v>
      </c>
      <c r="AB18" s="1352">
        <v>1</v>
      </c>
      <c r="AC18" s="1352">
        <v>1</v>
      </c>
    </row>
    <row r="19" spans="1:29" ht="42.75">
      <c r="A19" s="379"/>
      <c r="B19" s="402" t="s">
        <v>1760</v>
      </c>
      <c r="C19" s="1899" t="str">
        <f>估价对象房地状况!C7</f>
        <v>估价对象所在区域公共配套设施齐备情况</v>
      </c>
      <c r="D19" s="406">
        <v>100</v>
      </c>
      <c r="E19" s="408"/>
      <c r="F19" s="409">
        <f>SUMIF(80:80,E20,81:81)-SUMIF(80:80,C20,81:81)+100</f>
        <v>100</v>
      </c>
      <c r="G19" s="410"/>
      <c r="H19" s="401">
        <f>SUMIF(80:80,G20,81:81)-SUMIF(80:80,C20,81:81)+100</f>
        <v>100</v>
      </c>
      <c r="I19" s="408"/>
      <c r="J19" s="401">
        <f>SUMIF(80:80,I20,81:81)-SUMIF(80:80,C20,81:81)+100</f>
        <v>100</v>
      </c>
      <c r="K19" s="563"/>
      <c r="L19" s="2696"/>
      <c r="M19" s="2690"/>
      <c r="N19" s="2690"/>
      <c r="O19" s="2690"/>
      <c r="P19" s="3716"/>
      <c r="Q19" s="1351" t="str">
        <f>B19</f>
        <v>公共配套设施</v>
      </c>
      <c r="R19" s="705" t="s">
        <v>14</v>
      </c>
      <c r="S19" s="706">
        <f>F19</f>
        <v>100</v>
      </c>
      <c r="T19" s="705" t="s">
        <v>14</v>
      </c>
      <c r="U19" s="706">
        <f>H19</f>
        <v>100</v>
      </c>
      <c r="V19" s="705" t="s">
        <v>14</v>
      </c>
      <c r="W19" s="706">
        <f>J19</f>
        <v>100</v>
      </c>
      <c r="X19" s="1354"/>
      <c r="Y19" s="3709"/>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2696"/>
      <c r="M20" s="2690"/>
      <c r="N20" s="2690"/>
      <c r="O20" s="2690"/>
      <c r="P20" s="3716"/>
      <c r="Q20" s="1351"/>
      <c r="R20" s="705"/>
      <c r="S20" s="706"/>
      <c r="T20" s="705"/>
      <c r="U20" s="706"/>
      <c r="V20" s="705"/>
      <c r="W20" s="706"/>
      <c r="X20" s="1354"/>
      <c r="Y20" s="3709"/>
      <c r="Z20" s="1355"/>
      <c r="AA20" s="1352">
        <v>1</v>
      </c>
      <c r="AB20" s="1352">
        <v>1</v>
      </c>
      <c r="AC20" s="1352">
        <v>1</v>
      </c>
    </row>
    <row r="21" spans="1:29" ht="28.5">
      <c r="A21" s="379"/>
      <c r="B21" s="1131" t="s">
        <v>1761</v>
      </c>
      <c r="C21" s="1899" t="str">
        <f>估价对象房地状况!C8</f>
        <v>估价对象所在区域基础设施水平</v>
      </c>
      <c r="D21" s="406">
        <v>100</v>
      </c>
      <c r="E21" s="408"/>
      <c r="F21" s="409">
        <f>SUMIF(82:82,E22,83:83)-SUMIF(82:82,C22,83:83)+100</f>
        <v>100</v>
      </c>
      <c r="G21" s="410"/>
      <c r="H21" s="401">
        <f>SUMIF(82:82,G22,83:83)-SUMIF(82:82,C22,83:83)+100</f>
        <v>100</v>
      </c>
      <c r="I21" s="408"/>
      <c r="J21" s="401">
        <f>SUMIF(82:82,I22,83:83)-SUMIF(82:82,C22,83:83)+100</f>
        <v>100</v>
      </c>
      <c r="K21" s="563"/>
      <c r="L21" s="2696"/>
      <c r="M21" s="2690"/>
      <c r="N21" s="2690"/>
      <c r="O21" s="2690"/>
      <c r="P21" s="3716"/>
      <c r="Q21" s="1351" t="str">
        <f>B21</f>
        <v>基础设施水平</v>
      </c>
      <c r="R21" s="705" t="s">
        <v>14</v>
      </c>
      <c r="S21" s="706">
        <f>F21</f>
        <v>100</v>
      </c>
      <c r="T21" s="705" t="s">
        <v>14</v>
      </c>
      <c r="U21" s="706">
        <f>H21</f>
        <v>100</v>
      </c>
      <c r="V21" s="705" t="s">
        <v>14</v>
      </c>
      <c r="W21" s="706">
        <f>J21</f>
        <v>100</v>
      </c>
      <c r="X21" s="1354"/>
      <c r="Y21" s="3709"/>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2696"/>
      <c r="M22" s="2690"/>
      <c r="N22" s="2690"/>
      <c r="O22" s="2690"/>
      <c r="P22" s="3716"/>
      <c r="Q22" s="1351"/>
      <c r="R22" s="705"/>
      <c r="S22" s="706"/>
      <c r="T22" s="705"/>
      <c r="U22" s="706"/>
      <c r="V22" s="705"/>
      <c r="W22" s="706"/>
      <c r="X22" s="1354"/>
      <c r="Y22" s="3709"/>
      <c r="Z22" s="1355"/>
      <c r="AA22" s="1352">
        <v>1</v>
      </c>
      <c r="AB22" s="1352">
        <v>1</v>
      </c>
      <c r="AC22" s="1352">
        <v>1</v>
      </c>
    </row>
    <row r="23" spans="1:29" ht="57">
      <c r="A23" s="379"/>
      <c r="B23" s="402" t="s">
        <v>1259</v>
      </c>
      <c r="C23" s="1954" t="str">
        <f>估价对象房地状况!C9</f>
        <v>区域自然环境：；人文环境；综合评价环境状况一般</v>
      </c>
      <c r="D23" s="401">
        <v>100</v>
      </c>
      <c r="E23" s="403"/>
      <c r="F23" s="404">
        <f>SUMIF(84:84,E24,85:85)-SUMIF(84:84,C24,85:85)+100</f>
        <v>100</v>
      </c>
      <c r="G23" s="405"/>
      <c r="H23" s="401">
        <f>SUMIF(84:84,G24,85:85)-SUMIF(84:84,C24,85:85)+100</f>
        <v>100</v>
      </c>
      <c r="I23" s="403"/>
      <c r="J23" s="401">
        <f>SUMIF(84:84,I24,85:85)-SUMIF(84:84,C24,85:85)+100</f>
        <v>100</v>
      </c>
      <c r="K23" s="563"/>
      <c r="L23" s="2696"/>
      <c r="M23" s="2690"/>
      <c r="N23" s="2690"/>
      <c r="O23" s="2690"/>
      <c r="P23" s="3716"/>
      <c r="Q23" s="1351" t="str">
        <f>B23</f>
        <v>自然及人文环境</v>
      </c>
      <c r="R23" s="705" t="s">
        <v>14</v>
      </c>
      <c r="S23" s="706">
        <f>F23</f>
        <v>100</v>
      </c>
      <c r="T23" s="705" t="s">
        <v>14</v>
      </c>
      <c r="U23" s="706">
        <f>H23</f>
        <v>100</v>
      </c>
      <c r="V23" s="705" t="s">
        <v>14</v>
      </c>
      <c r="W23" s="706">
        <f>J23</f>
        <v>100</v>
      </c>
      <c r="X23" s="1354"/>
      <c r="Y23" s="3709"/>
      <c r="Z23" s="1355" t="str">
        <f>Q23</f>
        <v>自然及人文环境</v>
      </c>
      <c r="AA23" s="1352">
        <f t="shared" si="3"/>
        <v>1</v>
      </c>
      <c r="AB23" s="1352">
        <f t="shared" si="4"/>
        <v>1</v>
      </c>
      <c r="AC23" s="1352">
        <f t="shared" si="5"/>
        <v>1</v>
      </c>
    </row>
    <row r="24" spans="1:29" ht="15">
      <c r="A24" s="379"/>
      <c r="B24" s="407"/>
      <c r="C24" s="398"/>
      <c r="D24" s="399"/>
      <c r="E24" s="1897"/>
      <c r="F24" s="400"/>
      <c r="G24" s="1896"/>
      <c r="H24" s="399"/>
      <c r="I24" s="1897"/>
      <c r="J24" s="399"/>
      <c r="K24" s="564"/>
      <c r="L24" s="2696"/>
      <c r="M24" s="2690"/>
      <c r="N24" s="2690"/>
      <c r="O24" s="2690"/>
      <c r="P24" s="3716"/>
      <c r="Q24" s="1351"/>
      <c r="R24" s="705"/>
      <c r="S24" s="706"/>
      <c r="T24" s="705"/>
      <c r="U24" s="706"/>
      <c r="V24" s="705"/>
      <c r="W24" s="706"/>
      <c r="X24" s="1354"/>
      <c r="Y24" s="3709"/>
      <c r="Z24" s="1355"/>
      <c r="AA24" s="1352">
        <v>1</v>
      </c>
      <c r="AB24" s="1352">
        <v>1</v>
      </c>
      <c r="AC24" s="1352">
        <v>1</v>
      </c>
    </row>
    <row r="25" spans="1:29" ht="15">
      <c r="A25" s="379"/>
      <c r="B25" s="375" t="s">
        <v>1762</v>
      </c>
      <c r="C25" s="565"/>
      <c r="D25" s="386">
        <v>100</v>
      </c>
      <c r="E25" s="565"/>
      <c r="F25" s="412">
        <f>SUMIF(86:86,E25,87:87)-SUMIF(86:86,C25,87:87)+100</f>
        <v>100</v>
      </c>
      <c r="G25" s="565"/>
      <c r="H25" s="386">
        <f>SUMIF(86:86,G25,87:87)-SUMIF(86:86,C25,87:87)+100</f>
        <v>100</v>
      </c>
      <c r="I25" s="565"/>
      <c r="J25" s="386">
        <f>SUMIF(86:86,I25,87:87)-SUMIF(86:86,C25,87:87)+100</f>
        <v>100</v>
      </c>
      <c r="K25" s="561"/>
      <c r="L25" s="2696"/>
      <c r="M25" s="2690"/>
      <c r="N25" s="2690"/>
      <c r="O25" s="2690"/>
      <c r="P25" s="3716"/>
      <c r="Q25" s="1351" t="str">
        <f t="shared" ref="Q25:Q46" si="11">B25</f>
        <v>临街状况</v>
      </c>
      <c r="R25" s="705" t="s">
        <v>14</v>
      </c>
      <c r="S25" s="706">
        <f>F25</f>
        <v>100</v>
      </c>
      <c r="T25" s="705" t="s">
        <v>14</v>
      </c>
      <c r="U25" s="706">
        <f>H25</f>
        <v>100</v>
      </c>
      <c r="V25" s="705" t="s">
        <v>14</v>
      </c>
      <c r="W25" s="706">
        <f>J25</f>
        <v>100</v>
      </c>
      <c r="X25" s="1354"/>
      <c r="Y25" s="3709"/>
      <c r="Z25" s="1355" t="str">
        <f>Q25</f>
        <v>临街状况</v>
      </c>
      <c r="AA25" s="1352">
        <f t="shared" si="3"/>
        <v>1</v>
      </c>
      <c r="AB25" s="1352">
        <f t="shared" si="4"/>
        <v>1</v>
      </c>
      <c r="AC25" s="1352">
        <f t="shared" si="5"/>
        <v>1</v>
      </c>
    </row>
    <row r="26" spans="1:29" ht="15">
      <c r="A26" s="379"/>
      <c r="B26" s="1133" t="s">
        <v>1763</v>
      </c>
      <c r="C26" s="385"/>
      <c r="D26" s="386">
        <v>100</v>
      </c>
      <c r="E26" s="385"/>
      <c r="F26" s="412">
        <f>SUMIF(88:88,E26,89:89)-SUMIF(88:88,C26,89:89)+100</f>
        <v>100</v>
      </c>
      <c r="G26" s="385"/>
      <c r="H26" s="386">
        <f>SUMIF(88:88,G26,89:89)-SUMIF(88:88,C26,89:89)+100</f>
        <v>100</v>
      </c>
      <c r="I26" s="385"/>
      <c r="J26" s="386">
        <f>SUMIF(88:88,I26,89:89)-SUMIF(88:88,C26,89:89)+100</f>
        <v>100</v>
      </c>
      <c r="K26" s="562"/>
      <c r="L26" s="2696"/>
      <c r="M26" s="2690"/>
      <c r="N26" s="2690"/>
      <c r="O26" s="2690"/>
      <c r="P26" s="3716"/>
      <c r="Q26" s="1351" t="str">
        <f t="shared" si="11"/>
        <v>平面位置/可视性</v>
      </c>
      <c r="R26" s="705" t="s">
        <v>14</v>
      </c>
      <c r="S26" s="706">
        <f>F26</f>
        <v>100</v>
      </c>
      <c r="T26" s="705" t="s">
        <v>14</v>
      </c>
      <c r="U26" s="706">
        <f>H26</f>
        <v>100</v>
      </c>
      <c r="V26" s="705" t="s">
        <v>14</v>
      </c>
      <c r="W26" s="706">
        <f>J26</f>
        <v>100</v>
      </c>
      <c r="X26" s="1354"/>
      <c r="Y26" s="3709"/>
      <c r="Z26" s="1355" t="str">
        <f>Q26</f>
        <v>平面位置/可视性</v>
      </c>
      <c r="AA26" s="1352">
        <f t="shared" si="3"/>
        <v>1</v>
      </c>
      <c r="AB26" s="1352">
        <f t="shared" si="4"/>
        <v>1</v>
      </c>
      <c r="AC26" s="1352">
        <f t="shared" si="5"/>
        <v>1</v>
      </c>
    </row>
    <row r="27" spans="1:29" s="108" customFormat="1" ht="15">
      <c r="A27" s="382"/>
      <c r="B27" s="402" t="s">
        <v>1764</v>
      </c>
      <c r="C27" s="1955"/>
      <c r="D27" s="413">
        <v>100</v>
      </c>
      <c r="E27" s="1955"/>
      <c r="F27" s="415">
        <f>SUMIF(90:90,E27,91:91)-SUMIF(90:90,C27,91:91)+100</f>
        <v>100</v>
      </c>
      <c r="G27" s="1955"/>
      <c r="H27" s="413">
        <f>SUMIF(90:90,G27,91:91)-SUMIF(90:90,C27,91:91)+100</f>
        <v>100</v>
      </c>
      <c r="I27" s="1955"/>
      <c r="J27" s="413">
        <f>SUMIF(90:90,I27,91:91)-SUMIF(90:90,C27,91:91)+100</f>
        <v>100</v>
      </c>
      <c r="K27" s="561"/>
      <c r="L27" s="2691"/>
      <c r="M27" s="2692"/>
      <c r="N27" s="2692"/>
      <c r="O27" s="2692"/>
      <c r="P27" s="3716"/>
      <c r="Q27" s="1342" t="str">
        <f t="shared" si="11"/>
        <v>人流量</v>
      </c>
      <c r="R27" s="701" t="s">
        <v>14</v>
      </c>
      <c r="S27" s="702">
        <f>F27</f>
        <v>100</v>
      </c>
      <c r="T27" s="701" t="s">
        <v>14</v>
      </c>
      <c r="U27" s="702">
        <f>H27</f>
        <v>100</v>
      </c>
      <c r="V27" s="701" t="s">
        <v>14</v>
      </c>
      <c r="W27" s="702">
        <f>J27</f>
        <v>100</v>
      </c>
      <c r="X27" s="703"/>
      <c r="Y27" s="3709"/>
      <c r="Z27" s="52" t="str">
        <f>Q27</f>
        <v>人流量</v>
      </c>
      <c r="AA27" s="1352">
        <f>D27/F27</f>
        <v>1</v>
      </c>
      <c r="AB27" s="1352">
        <f>D27/H27</f>
        <v>1</v>
      </c>
      <c r="AC27" s="1352">
        <f>D27/J27</f>
        <v>1</v>
      </c>
    </row>
    <row r="28" spans="1:29" ht="15">
      <c r="A28" s="379"/>
      <c r="B28" s="375" t="s">
        <v>1765</v>
      </c>
      <c r="C28" s="565"/>
      <c r="D28" s="386">
        <v>100</v>
      </c>
      <c r="E28" s="565"/>
      <c r="F28" s="412">
        <f>SUMIF(92:92,E28,93:93)-SUMIF(92:92,C28,93:93)+100</f>
        <v>100</v>
      </c>
      <c r="G28" s="565"/>
      <c r="H28" s="386">
        <f>SUMIF(92:92,G28,93:93)-SUMIF(92:92,C28,93:93)+100</f>
        <v>100</v>
      </c>
      <c r="I28" s="565"/>
      <c r="J28" s="386">
        <f>SUMIF(92:92,I28,93:93)-SUMIF(92:92,C28,93:93)+100</f>
        <v>100</v>
      </c>
      <c r="K28" s="562"/>
      <c r="L28" s="2696"/>
      <c r="M28" s="2690"/>
      <c r="N28" s="2690"/>
      <c r="O28" s="2690"/>
      <c r="P28" s="3716"/>
      <c r="Q28" s="1351" t="str">
        <f t="shared" si="11"/>
        <v>楼层</v>
      </c>
      <c r="R28" s="705" t="s">
        <v>14</v>
      </c>
      <c r="S28" s="706">
        <f t="shared" ref="S28:S46" si="12">F28</f>
        <v>100</v>
      </c>
      <c r="T28" s="705" t="s">
        <v>14</v>
      </c>
      <c r="U28" s="706">
        <f t="shared" ref="U28:U46" si="13">H28</f>
        <v>100</v>
      </c>
      <c r="V28" s="705" t="s">
        <v>14</v>
      </c>
      <c r="W28" s="706">
        <f t="shared" ref="W28:W46" si="14">J28</f>
        <v>100</v>
      </c>
      <c r="X28" s="1354"/>
      <c r="Y28" s="3709"/>
      <c r="Z28" s="1355" t="str">
        <f t="shared" ref="Z28:Z46" si="15">Q28</f>
        <v>楼层</v>
      </c>
      <c r="AA28" s="1352">
        <f t="shared" si="3"/>
        <v>1</v>
      </c>
      <c r="AB28" s="1352">
        <f t="shared" si="4"/>
        <v>1</v>
      </c>
      <c r="AC28" s="1352">
        <f t="shared" si="5"/>
        <v>1</v>
      </c>
    </row>
    <row r="29" spans="1:29" ht="15">
      <c r="A29" s="379"/>
      <c r="B29" s="1133">
        <v>111</v>
      </c>
      <c r="C29" s="385"/>
      <c r="D29" s="386">
        <v>100</v>
      </c>
      <c r="E29" s="385"/>
      <c r="F29" s="412">
        <f>SUMIF(94:94,E29,95:95)-SUMIF(94:94,C29,95:95)+100</f>
        <v>100</v>
      </c>
      <c r="G29" s="385"/>
      <c r="H29" s="386">
        <f>SUMIF(94:94,G29,95:95)-SUMIF(94:94,C29,95:95)+100</f>
        <v>100</v>
      </c>
      <c r="I29" s="385"/>
      <c r="J29" s="386">
        <f>SUMIF(94:94,I29,95:95)-SUMIF(94:94,C29,95:95)+100</f>
        <v>100</v>
      </c>
      <c r="K29" s="562"/>
      <c r="L29" s="2696"/>
      <c r="M29" s="2690"/>
      <c r="N29" s="2690"/>
      <c r="O29" s="2690"/>
      <c r="P29" s="3716"/>
      <c r="Q29" s="1351">
        <f t="shared" si="11"/>
        <v>111</v>
      </c>
      <c r="R29" s="705" t="s">
        <v>14</v>
      </c>
      <c r="S29" s="706">
        <f t="shared" si="12"/>
        <v>100</v>
      </c>
      <c r="T29" s="705" t="s">
        <v>14</v>
      </c>
      <c r="U29" s="706">
        <f t="shared" si="13"/>
        <v>100</v>
      </c>
      <c r="V29" s="705" t="s">
        <v>14</v>
      </c>
      <c r="W29" s="706">
        <f t="shared" si="14"/>
        <v>100</v>
      </c>
      <c r="X29" s="1354"/>
      <c r="Y29" s="3709"/>
      <c r="Z29" s="1355">
        <f t="shared" si="15"/>
        <v>111</v>
      </c>
      <c r="AA29" s="1352">
        <f t="shared" si="3"/>
        <v>1</v>
      </c>
      <c r="AB29" s="1352">
        <f t="shared" si="4"/>
        <v>1</v>
      </c>
      <c r="AC29" s="1352">
        <f t="shared" si="5"/>
        <v>1</v>
      </c>
    </row>
    <row r="30" spans="1:29" ht="15">
      <c r="A30" s="379"/>
      <c r="B30" s="1133">
        <v>111</v>
      </c>
      <c r="C30" s="385"/>
      <c r="D30" s="386">
        <v>100</v>
      </c>
      <c r="E30" s="385"/>
      <c r="F30" s="412">
        <f>SUMIF(96:96,E30,97:97)-SUMIF(96:96,C30,97:97)+100</f>
        <v>100</v>
      </c>
      <c r="G30" s="385"/>
      <c r="H30" s="386">
        <f>SUMIF(96:96,G30,97:97)-SUMIF(96:96,C30,97:97)+100</f>
        <v>100</v>
      </c>
      <c r="I30" s="385"/>
      <c r="J30" s="386">
        <f>SUMIF(96:96,I30,97:97)-SUMIF(96:96,C30,97:97)+100</f>
        <v>100</v>
      </c>
      <c r="K30" s="562"/>
      <c r="L30" s="2696"/>
      <c r="M30" s="2690"/>
      <c r="N30" s="2690"/>
      <c r="O30" s="2690"/>
      <c r="P30" s="3716"/>
      <c r="Q30" s="1351">
        <f t="shared" si="11"/>
        <v>111</v>
      </c>
      <c r="R30" s="705" t="s">
        <v>14</v>
      </c>
      <c r="S30" s="706">
        <f t="shared" si="12"/>
        <v>100</v>
      </c>
      <c r="T30" s="705" t="s">
        <v>14</v>
      </c>
      <c r="U30" s="706">
        <f t="shared" si="13"/>
        <v>100</v>
      </c>
      <c r="V30" s="705" t="s">
        <v>14</v>
      </c>
      <c r="W30" s="706">
        <f t="shared" si="14"/>
        <v>100</v>
      </c>
      <c r="X30" s="1354"/>
      <c r="Y30" s="3709"/>
      <c r="Z30" s="1355">
        <f t="shared" si="15"/>
        <v>111</v>
      </c>
      <c r="AA30" s="1352">
        <f t="shared" si="3"/>
        <v>1</v>
      </c>
      <c r="AB30" s="1352">
        <f t="shared" si="4"/>
        <v>1</v>
      </c>
      <c r="AC30" s="1352">
        <f t="shared" si="5"/>
        <v>1</v>
      </c>
    </row>
    <row r="31" spans="1:29" ht="15.75" thickBot="1">
      <c r="A31" s="387"/>
      <c r="B31" s="1133">
        <v>111</v>
      </c>
      <c r="C31" s="388"/>
      <c r="D31" s="389">
        <v>100</v>
      </c>
      <c r="E31" s="385"/>
      <c r="F31" s="390">
        <f>SUMIF(98:98,E31,99:99)-SUMIF(98:98,C31,99:99)+100</f>
        <v>100</v>
      </c>
      <c r="G31" s="385"/>
      <c r="H31" s="389">
        <f>SUMIF(98:98,G31,99:99)-SUMIF(98:98,C31,99:99)+100</f>
        <v>100</v>
      </c>
      <c r="I31" s="385"/>
      <c r="J31" s="389">
        <f>SUMIF(98:98,I31,99:99)-SUMIF(98:98,C31,99:99)+100</f>
        <v>100</v>
      </c>
      <c r="K31" s="562"/>
      <c r="L31" s="2696"/>
      <c r="M31" s="2690"/>
      <c r="N31" s="2690"/>
      <c r="O31" s="2690"/>
      <c r="P31" s="3716"/>
      <c r="Q31" s="1351">
        <f t="shared" si="11"/>
        <v>111</v>
      </c>
      <c r="R31" s="705" t="s">
        <v>14</v>
      </c>
      <c r="S31" s="706">
        <f t="shared" si="12"/>
        <v>100</v>
      </c>
      <c r="T31" s="705" t="s">
        <v>14</v>
      </c>
      <c r="U31" s="706">
        <f t="shared" si="13"/>
        <v>100</v>
      </c>
      <c r="V31" s="705" t="s">
        <v>14</v>
      </c>
      <c r="W31" s="706">
        <f t="shared" si="14"/>
        <v>100</v>
      </c>
      <c r="X31" s="1354"/>
      <c r="Y31" s="3709"/>
      <c r="Z31" s="1355">
        <f t="shared" si="15"/>
        <v>111</v>
      </c>
      <c r="AA31" s="1352">
        <f t="shared" si="3"/>
        <v>1</v>
      </c>
      <c r="AB31" s="1352">
        <f t="shared" si="4"/>
        <v>1</v>
      </c>
      <c r="AC31" s="1352">
        <f t="shared" si="5"/>
        <v>1</v>
      </c>
    </row>
    <row r="32" spans="1:29" ht="15">
      <c r="A32" s="391" t="s">
        <v>1676</v>
      </c>
      <c r="B32" s="63" t="s">
        <v>1766</v>
      </c>
      <c r="C32" s="1909"/>
      <c r="D32" s="418">
        <v>100</v>
      </c>
      <c r="E32" s="1909"/>
      <c r="F32" s="412">
        <f>SUMIF(100:100,E32,101:101)-SUMIF(100:100,C32,101:101)+100</f>
        <v>100</v>
      </c>
      <c r="G32" s="1909"/>
      <c r="H32" s="386">
        <f>SUMIF(100:100,G32,101:101)-SUMIF(100:100,C32,101:101)+100</f>
        <v>100</v>
      </c>
      <c r="I32" s="1909"/>
      <c r="J32" s="418">
        <f>SUMIF(100:100,I32,101:101)-SUMIF(100:100,C32,101:101)+100</f>
        <v>100</v>
      </c>
      <c r="K32" s="561"/>
      <c r="L32" s="2696"/>
      <c r="M32" s="2690"/>
      <c r="N32" s="2690"/>
      <c r="O32" s="2690"/>
      <c r="P32" s="3710" t="s">
        <v>1678</v>
      </c>
      <c r="Q32" s="1351" t="str">
        <f t="shared" si="11"/>
        <v>商业类型</v>
      </c>
      <c r="R32" s="705" t="s">
        <v>14</v>
      </c>
      <c r="S32" s="706">
        <f t="shared" si="12"/>
        <v>100</v>
      </c>
      <c r="T32" s="705" t="s">
        <v>14</v>
      </c>
      <c r="U32" s="706">
        <f t="shared" si="13"/>
        <v>100</v>
      </c>
      <c r="V32" s="705" t="s">
        <v>14</v>
      </c>
      <c r="W32" s="706">
        <f t="shared" si="14"/>
        <v>100</v>
      </c>
      <c r="X32" s="1354"/>
      <c r="Y32" s="3713" t="s">
        <v>1678</v>
      </c>
      <c r="Z32" s="1355" t="str">
        <f t="shared" si="15"/>
        <v>商业类型</v>
      </c>
      <c r="AA32" s="1352">
        <f t="shared" si="3"/>
        <v>1</v>
      </c>
      <c r="AB32" s="1352">
        <f t="shared" si="4"/>
        <v>1</v>
      </c>
      <c r="AC32" s="1352">
        <f t="shared" si="5"/>
        <v>1</v>
      </c>
    </row>
    <row r="33" spans="1:29" s="422" customFormat="1" ht="15">
      <c r="A33" s="419"/>
      <c r="B33" s="375" t="s">
        <v>1679</v>
      </c>
      <c r="C33" s="420"/>
      <c r="D33" s="127">
        <v>100</v>
      </c>
      <c r="E33" s="381"/>
      <c r="F33" s="376" t="e">
        <f>LOOKUP(E33,103:103,104:104)-LOOKUP(C33,103:103,104:104)+100</f>
        <v>#N/A</v>
      </c>
      <c r="G33" s="380"/>
      <c r="H33" s="127" t="e">
        <f>LOOKUP(G33,103:103,104:104)-LOOKUP(C33,103:103,104:104)+100</f>
        <v>#N/A</v>
      </c>
      <c r="I33" s="380"/>
      <c r="J33" s="127" t="e">
        <f>LOOKUP(I33,103:103,104:104)-LOOKUP(C33,103:103,104:104)+100</f>
        <v>#N/A</v>
      </c>
      <c r="K33" s="562"/>
      <c r="L33" s="2695"/>
      <c r="M33" s="2697"/>
      <c r="N33" s="2697"/>
      <c r="O33" s="2697"/>
      <c r="P33" s="3711"/>
      <c r="Q33" s="707" t="str">
        <f t="shared" si="11"/>
        <v>项目建筑规模</v>
      </c>
      <c r="R33" s="708" t="s">
        <v>14</v>
      </c>
      <c r="S33" s="709" t="e">
        <f t="shared" si="12"/>
        <v>#N/A</v>
      </c>
      <c r="T33" s="708" t="s">
        <v>14</v>
      </c>
      <c r="U33" s="709" t="e">
        <f t="shared" si="13"/>
        <v>#N/A</v>
      </c>
      <c r="V33" s="708" t="s">
        <v>14</v>
      </c>
      <c r="W33" s="709" t="e">
        <f t="shared" si="14"/>
        <v>#N/A</v>
      </c>
      <c r="X33" s="710"/>
      <c r="Y33" s="3713"/>
      <c r="Z33" s="711" t="str">
        <f t="shared" si="15"/>
        <v>项目建筑规模</v>
      </c>
      <c r="AA33" s="1352" t="e">
        <f t="shared" si="3"/>
        <v>#N/A</v>
      </c>
      <c r="AB33" s="1352" t="e">
        <f t="shared" si="4"/>
        <v>#N/A</v>
      </c>
      <c r="AC33" s="1352" t="e">
        <f t="shared" si="5"/>
        <v>#N/A</v>
      </c>
    </row>
    <row r="34" spans="1:29" ht="15">
      <c r="A34" s="423"/>
      <c r="B34" s="375" t="s">
        <v>1680</v>
      </c>
      <c r="C34" s="1911"/>
      <c r="D34" s="386">
        <v>100</v>
      </c>
      <c r="E34" s="1911"/>
      <c r="F34" s="412">
        <f>SUMIF(105:105,E34,106:106)-SUMIF(105:105,C34,106:106)+100</f>
        <v>100</v>
      </c>
      <c r="G34" s="1911"/>
      <c r="H34" s="386">
        <f>SUMIF(105:105,G34,106:106)-SUMIF(105:105,C34,106:106)+100</f>
        <v>100</v>
      </c>
      <c r="I34" s="1911"/>
      <c r="J34" s="386">
        <f>SUMIF(105:105,I34,106:106)-SUMIF(105:105,C34,106:106)+100</f>
        <v>100</v>
      </c>
      <c r="K34" s="561"/>
      <c r="L34" s="2696"/>
      <c r="M34" s="2690"/>
      <c r="N34" s="2690"/>
      <c r="O34" s="2690"/>
      <c r="P34" s="3711"/>
      <c r="Q34" s="1351" t="str">
        <f t="shared" si="11"/>
        <v>建筑结构</v>
      </c>
      <c r="R34" s="705" t="s">
        <v>14</v>
      </c>
      <c r="S34" s="706">
        <f t="shared" si="12"/>
        <v>100</v>
      </c>
      <c r="T34" s="705" t="s">
        <v>14</v>
      </c>
      <c r="U34" s="706">
        <f t="shared" si="13"/>
        <v>100</v>
      </c>
      <c r="V34" s="705" t="s">
        <v>14</v>
      </c>
      <c r="W34" s="706">
        <f t="shared" si="14"/>
        <v>100</v>
      </c>
      <c r="X34" s="1354"/>
      <c r="Y34" s="3713"/>
      <c r="Z34" s="1355" t="str">
        <f t="shared" si="15"/>
        <v>建筑结构</v>
      </c>
      <c r="AA34" s="1352">
        <f t="shared" si="3"/>
        <v>1</v>
      </c>
      <c r="AB34" s="1352">
        <f t="shared" si="4"/>
        <v>1</v>
      </c>
      <c r="AC34" s="1352">
        <f t="shared" si="5"/>
        <v>1</v>
      </c>
    </row>
    <row r="35" spans="1:29" ht="15">
      <c r="A35" s="423"/>
      <c r="B35" s="375" t="s">
        <v>1767</v>
      </c>
      <c r="C35" s="1905"/>
      <c r="D35" s="386">
        <v>100</v>
      </c>
      <c r="E35" s="1905"/>
      <c r="F35" s="412">
        <f>SUMIF(107:107,E35,108:108)-SUMIF(107:107,C35,108:108)+100</f>
        <v>100</v>
      </c>
      <c r="G35" s="1905"/>
      <c r="H35" s="386">
        <f>SUMIF(107:107,G35,108:108)-SUMIF(107:107,C35,108:108)+100</f>
        <v>100</v>
      </c>
      <c r="I35" s="1905"/>
      <c r="J35" s="386">
        <f>SUMIF(107:107,I35,108:108)-SUMIF(107:107,C35,108:108)+100</f>
        <v>100</v>
      </c>
      <c r="K35" s="561"/>
      <c r="L35" s="2696"/>
      <c r="M35" s="2690"/>
      <c r="N35" s="2690"/>
      <c r="O35" s="2690"/>
      <c r="P35" s="3711"/>
      <c r="Q35" s="1351" t="str">
        <f t="shared" si="11"/>
        <v>公共部分装修</v>
      </c>
      <c r="R35" s="705" t="s">
        <v>14</v>
      </c>
      <c r="S35" s="706">
        <f t="shared" si="12"/>
        <v>100</v>
      </c>
      <c r="T35" s="705" t="s">
        <v>14</v>
      </c>
      <c r="U35" s="706">
        <f t="shared" si="13"/>
        <v>100</v>
      </c>
      <c r="V35" s="705" t="s">
        <v>14</v>
      </c>
      <c r="W35" s="706">
        <f t="shared" si="14"/>
        <v>100</v>
      </c>
      <c r="X35" s="1354"/>
      <c r="Y35" s="3713"/>
      <c r="Z35" s="1355" t="str">
        <f t="shared" si="15"/>
        <v>公共部分装修</v>
      </c>
      <c r="AA35" s="1352">
        <f t="shared" si="3"/>
        <v>1</v>
      </c>
      <c r="AB35" s="1352">
        <f t="shared" si="4"/>
        <v>1</v>
      </c>
      <c r="AC35" s="1352">
        <f t="shared" si="5"/>
        <v>1</v>
      </c>
    </row>
    <row r="36" spans="1:29" ht="15">
      <c r="A36" s="423"/>
      <c r="B36" s="375" t="s">
        <v>1768</v>
      </c>
      <c r="C36" s="425"/>
      <c r="D36" s="386">
        <v>100</v>
      </c>
      <c r="E36" s="425"/>
      <c r="F36" s="412" t="e">
        <f>LOOKUP(E36,110:110,111:111)-LOOKUP(C36,110:110,111:111)+100</f>
        <v>#N/A</v>
      </c>
      <c r="G36" s="425"/>
      <c r="H36" s="412" t="e">
        <f>LOOKUP(G36,110:110,111:111)-LOOKUP(C36,110:110,111:111)+100</f>
        <v>#N/A</v>
      </c>
      <c r="I36" s="425"/>
      <c r="J36" s="386" t="e">
        <f>LOOKUP(I36,110:110,111:111)-LOOKUP(C36,110:110,111:111)+100</f>
        <v>#N/A</v>
      </c>
      <c r="K36" s="561"/>
      <c r="L36" s="2696"/>
      <c r="M36" s="2690"/>
      <c r="N36" s="2690"/>
      <c r="O36" s="2690"/>
      <c r="P36" s="3711"/>
      <c r="Q36" s="1351" t="str">
        <f t="shared" si="11"/>
        <v>成新度</v>
      </c>
      <c r="R36" s="705" t="s">
        <v>14</v>
      </c>
      <c r="S36" s="706" t="e">
        <f t="shared" si="12"/>
        <v>#N/A</v>
      </c>
      <c r="T36" s="705" t="s">
        <v>14</v>
      </c>
      <c r="U36" s="706" t="e">
        <f t="shared" si="13"/>
        <v>#N/A</v>
      </c>
      <c r="V36" s="705" t="s">
        <v>14</v>
      </c>
      <c r="W36" s="706" t="e">
        <f t="shared" si="14"/>
        <v>#N/A</v>
      </c>
      <c r="X36" s="1354"/>
      <c r="Y36" s="3713"/>
      <c r="Z36" s="1355" t="str">
        <f t="shared" si="15"/>
        <v>成新度</v>
      </c>
      <c r="AA36" s="1352" t="e">
        <f t="shared" si="3"/>
        <v>#N/A</v>
      </c>
      <c r="AB36" s="1352" t="e">
        <f t="shared" si="4"/>
        <v>#N/A</v>
      </c>
      <c r="AC36" s="1352" t="e">
        <f t="shared" si="5"/>
        <v>#N/A</v>
      </c>
    </row>
    <row r="37" spans="1:29" s="108" customFormat="1" ht="15">
      <c r="A37" s="424"/>
      <c r="B37" s="375" t="s">
        <v>1769</v>
      </c>
      <c r="C37" s="1905"/>
      <c r="D37" s="127">
        <v>100</v>
      </c>
      <c r="E37" s="1905"/>
      <c r="F37" s="412">
        <f>SUMIF(112:112,E37,113:113)-SUMIF(112:112,C37,113:113)+100</f>
        <v>100</v>
      </c>
      <c r="G37" s="1905"/>
      <c r="H37" s="386">
        <f>SUMIF(112:112,G37,113:113)-SUMIF(112:112,C37,113:113)+100</f>
        <v>100</v>
      </c>
      <c r="I37" s="1905"/>
      <c r="J37" s="386">
        <f>SUMIF(112:112,I37,113:113)-SUMIF(112:112,C37,113:113)+100</f>
        <v>100</v>
      </c>
      <c r="K37" s="561"/>
      <c r="L37" s="2691"/>
      <c r="M37" s="2692"/>
      <c r="N37" s="2692"/>
      <c r="O37" s="2692"/>
      <c r="P37" s="3711"/>
      <c r="Q37" s="1342" t="str">
        <f t="shared" si="11"/>
        <v>市政基础设施</v>
      </c>
      <c r="R37" s="701" t="s">
        <v>14</v>
      </c>
      <c r="S37" s="702">
        <f t="shared" si="12"/>
        <v>100</v>
      </c>
      <c r="T37" s="701" t="s">
        <v>14</v>
      </c>
      <c r="U37" s="702">
        <f t="shared" si="13"/>
        <v>100</v>
      </c>
      <c r="V37" s="701" t="s">
        <v>14</v>
      </c>
      <c r="W37" s="702">
        <f t="shared" si="14"/>
        <v>100</v>
      </c>
      <c r="X37" s="703"/>
      <c r="Y37" s="3713"/>
      <c r="Z37" s="52" t="str">
        <f t="shared" si="15"/>
        <v>市政基础设施</v>
      </c>
      <c r="AA37" s="704">
        <f t="shared" si="3"/>
        <v>1</v>
      </c>
      <c r="AB37" s="704">
        <f t="shared" si="4"/>
        <v>1</v>
      </c>
      <c r="AC37" s="704">
        <f t="shared" si="5"/>
        <v>1</v>
      </c>
    </row>
    <row r="38" spans="1:29" ht="15">
      <c r="A38" s="423"/>
      <c r="B38" s="375" t="s">
        <v>1770</v>
      </c>
      <c r="C38" s="1905"/>
      <c r="D38" s="386">
        <v>100</v>
      </c>
      <c r="E38" s="1905"/>
      <c r="F38" s="412">
        <f>SUMIF(114:114,E38,115:115)-SUMIF(114:114,C38,115:115)+100</f>
        <v>100</v>
      </c>
      <c r="G38" s="1905"/>
      <c r="H38" s="386">
        <f>SUMIF(114:114,G38,115:115)-SUMIF(114:114,C38,115:115)+100</f>
        <v>100</v>
      </c>
      <c r="I38" s="1905"/>
      <c r="J38" s="386">
        <f>SUMIF(114:114,I38,115:115)-SUMIF(114:114,C38,115:115)+100</f>
        <v>100</v>
      </c>
      <c r="K38" s="561"/>
      <c r="L38" s="2696"/>
      <c r="M38" s="2690"/>
      <c r="N38" s="2690"/>
      <c r="O38" s="2690"/>
      <c r="P38" s="3711" t="s">
        <v>1678</v>
      </c>
      <c r="Q38" s="1351" t="str">
        <f t="shared" si="11"/>
        <v>业态</v>
      </c>
      <c r="R38" s="705" t="s">
        <v>14</v>
      </c>
      <c r="S38" s="706">
        <f t="shared" si="12"/>
        <v>100</v>
      </c>
      <c r="T38" s="705" t="s">
        <v>14</v>
      </c>
      <c r="U38" s="706">
        <f t="shared" si="13"/>
        <v>100</v>
      </c>
      <c r="V38" s="705" t="s">
        <v>14</v>
      </c>
      <c r="W38" s="706">
        <f t="shared" si="14"/>
        <v>100</v>
      </c>
      <c r="X38" s="1354"/>
      <c r="Y38" s="3713" t="s">
        <v>1678</v>
      </c>
      <c r="Z38" s="1355" t="str">
        <f t="shared" si="15"/>
        <v>业态</v>
      </c>
      <c r="AA38" s="1352">
        <f t="shared" si="3"/>
        <v>1</v>
      </c>
      <c r="AB38" s="1352">
        <f t="shared" si="4"/>
        <v>1</v>
      </c>
      <c r="AC38" s="1352">
        <f t="shared" si="5"/>
        <v>1</v>
      </c>
    </row>
    <row r="39" spans="1:29" ht="15">
      <c r="A39" s="423"/>
      <c r="B39" s="375" t="s">
        <v>1771</v>
      </c>
      <c r="C39" s="1905"/>
      <c r="D39" s="386">
        <v>100</v>
      </c>
      <c r="E39" s="1905"/>
      <c r="F39" s="412">
        <f>SUMIF(116:116,E39,117:117)-SUMIF(116:116,C39,117:117)+100</f>
        <v>100</v>
      </c>
      <c r="G39" s="1905"/>
      <c r="H39" s="386">
        <f>SUMIF(116:116,G39,117:117)-SUMIF(116:116,C39,117:117)+100</f>
        <v>100</v>
      </c>
      <c r="I39" s="1905"/>
      <c r="J39" s="386">
        <f>SUMIF(116:116,I39,117:117)-SUMIF(116:116,C39,117:117)+100</f>
        <v>100</v>
      </c>
      <c r="K39" s="561"/>
      <c r="L39" s="2696"/>
      <c r="M39" s="2690"/>
      <c r="N39" s="2690"/>
      <c r="O39" s="2690"/>
      <c r="P39" s="3711"/>
      <c r="Q39" s="1351" t="str">
        <f t="shared" si="11"/>
        <v>层高</v>
      </c>
      <c r="R39" s="705" t="s">
        <v>14</v>
      </c>
      <c r="S39" s="706">
        <f t="shared" si="12"/>
        <v>100</v>
      </c>
      <c r="T39" s="705" t="s">
        <v>14</v>
      </c>
      <c r="U39" s="706">
        <f t="shared" si="13"/>
        <v>100</v>
      </c>
      <c r="V39" s="705" t="s">
        <v>14</v>
      </c>
      <c r="W39" s="706">
        <f t="shared" si="14"/>
        <v>100</v>
      </c>
      <c r="X39" s="1354"/>
      <c r="Y39" s="3713"/>
      <c r="Z39" s="1355" t="str">
        <f t="shared" si="15"/>
        <v>层高</v>
      </c>
      <c r="AA39" s="1352">
        <f t="shared" si="3"/>
        <v>1</v>
      </c>
      <c r="AB39" s="1352">
        <f t="shared" si="4"/>
        <v>1</v>
      </c>
      <c r="AC39" s="1352">
        <f t="shared" si="5"/>
        <v>1</v>
      </c>
    </row>
    <row r="40" spans="1:29" ht="15">
      <c r="A40" s="423"/>
      <c r="B40" s="375" t="s">
        <v>1772</v>
      </c>
      <c r="C40" s="566"/>
      <c r="D40" s="386">
        <v>100</v>
      </c>
      <c r="E40" s="567"/>
      <c r="F40" s="412">
        <f>SUMIF(118:118,E40,119:119)-SUMIF(118:118,C40,119:119)+100</f>
        <v>100</v>
      </c>
      <c r="G40" s="567"/>
      <c r="H40" s="386">
        <f>SUMIF(118:118,G40,119:119)-SUMIF(118:118,C40,119:119)+100</f>
        <v>100</v>
      </c>
      <c r="I40" s="567"/>
      <c r="J40" s="386">
        <f>SUMIF(118:118,I40,119:119)-SUMIF(118:118,C40,119:119)+100</f>
        <v>100</v>
      </c>
      <c r="K40" s="562"/>
      <c r="L40" s="2696"/>
      <c r="M40" s="2690"/>
      <c r="N40" s="2690"/>
      <c r="O40" s="2690"/>
      <c r="P40" s="3711"/>
      <c r="Q40" s="1351" t="str">
        <f t="shared" si="11"/>
        <v>单套建筑面积</v>
      </c>
      <c r="R40" s="705" t="s">
        <v>14</v>
      </c>
      <c r="S40" s="706">
        <f t="shared" si="12"/>
        <v>100</v>
      </c>
      <c r="T40" s="705" t="s">
        <v>14</v>
      </c>
      <c r="U40" s="706">
        <f t="shared" si="13"/>
        <v>100</v>
      </c>
      <c r="V40" s="705" t="s">
        <v>14</v>
      </c>
      <c r="W40" s="706">
        <f t="shared" si="14"/>
        <v>100</v>
      </c>
      <c r="X40" s="1354"/>
      <c r="Y40" s="3713"/>
      <c r="Z40" s="1355" t="str">
        <f t="shared" si="15"/>
        <v>单套建筑面积</v>
      </c>
      <c r="AA40" s="1352">
        <f t="shared" si="3"/>
        <v>1</v>
      </c>
      <c r="AB40" s="1352">
        <f t="shared" si="4"/>
        <v>1</v>
      </c>
      <c r="AC40" s="1352">
        <f t="shared" si="5"/>
        <v>1</v>
      </c>
    </row>
    <row r="41" spans="1:29" s="422" customFormat="1" ht="15">
      <c r="A41" s="419"/>
      <c r="B41" s="1353" t="s">
        <v>1773</v>
      </c>
      <c r="C41" s="565"/>
      <c r="D41" s="386">
        <v>100</v>
      </c>
      <c r="E41" s="565"/>
      <c r="F41" s="412">
        <f>SUMIF(120:120,E41,121:121)-SUMIF(120:120,C41,121:121)+100</f>
        <v>100</v>
      </c>
      <c r="G41" s="565"/>
      <c r="H41" s="386">
        <f>SUMIF(120:120,G41,121:121)-SUMIF(120:120,C41,121:121)+100</f>
        <v>100</v>
      </c>
      <c r="I41" s="565"/>
      <c r="J41" s="386">
        <f>SUMIF(120:120,I41,121:121)-SUMIF(120:120,C41,121:121)+100</f>
        <v>100</v>
      </c>
      <c r="K41" s="561"/>
      <c r="L41" s="2695"/>
      <c r="M41" s="2697"/>
      <c r="N41" s="2697"/>
      <c r="O41" s="2697"/>
      <c r="P41" s="3711"/>
      <c r="Q41" s="707" t="str">
        <f t="shared" si="11"/>
        <v>进深比</v>
      </c>
      <c r="R41" s="708" t="s">
        <v>14</v>
      </c>
      <c r="S41" s="709">
        <f t="shared" si="12"/>
        <v>100</v>
      </c>
      <c r="T41" s="708" t="s">
        <v>14</v>
      </c>
      <c r="U41" s="709">
        <f t="shared" si="13"/>
        <v>100</v>
      </c>
      <c r="V41" s="708" t="s">
        <v>14</v>
      </c>
      <c r="W41" s="709">
        <f t="shared" si="14"/>
        <v>100</v>
      </c>
      <c r="X41" s="710"/>
      <c r="Y41" s="3713"/>
      <c r="Z41" s="711" t="str">
        <f t="shared" si="15"/>
        <v>进深比</v>
      </c>
      <c r="AA41" s="1352">
        <f t="shared" si="3"/>
        <v>1</v>
      </c>
      <c r="AB41" s="1352">
        <f t="shared" si="4"/>
        <v>1</v>
      </c>
      <c r="AC41" s="1352">
        <f t="shared" si="5"/>
        <v>1</v>
      </c>
    </row>
    <row r="42" spans="1:29" ht="15">
      <c r="A42" s="423"/>
      <c r="B42" s="375" t="s">
        <v>1774</v>
      </c>
      <c r="C42" s="1905"/>
      <c r="D42" s="386">
        <v>100</v>
      </c>
      <c r="E42" s="1905"/>
      <c r="F42" s="412">
        <f>SUMIF(122:122,E42,123:123)-SUMIF(122:122,C42,123:123)+100</f>
        <v>100</v>
      </c>
      <c r="G42" s="1905"/>
      <c r="H42" s="386">
        <f>SUMIF(122:122,G42,123:123)-SUMIF(122:122,C42,123:123)+100</f>
        <v>100</v>
      </c>
      <c r="I42" s="1905"/>
      <c r="J42" s="386">
        <f>SUMIF(122:122,I42,123:123)-SUMIF(122:122,C42,123:123)+100</f>
        <v>100</v>
      </c>
      <c r="K42" s="561"/>
      <c r="L42" s="2696"/>
      <c r="M42" s="2690"/>
      <c r="N42" s="2690"/>
      <c r="O42" s="2690"/>
      <c r="P42" s="3711"/>
      <c r="Q42" s="1351" t="str">
        <f t="shared" si="11"/>
        <v>内部装修</v>
      </c>
      <c r="R42" s="705" t="s">
        <v>14</v>
      </c>
      <c r="S42" s="706">
        <f t="shared" si="12"/>
        <v>100</v>
      </c>
      <c r="T42" s="705" t="s">
        <v>14</v>
      </c>
      <c r="U42" s="706">
        <f t="shared" si="13"/>
        <v>100</v>
      </c>
      <c r="V42" s="705" t="s">
        <v>14</v>
      </c>
      <c r="W42" s="706">
        <f t="shared" si="14"/>
        <v>100</v>
      </c>
      <c r="X42" s="1354"/>
      <c r="Y42" s="3713"/>
      <c r="Z42" s="1355" t="str">
        <f t="shared" si="15"/>
        <v>内部装修</v>
      </c>
      <c r="AA42" s="1352">
        <f t="shared" si="3"/>
        <v>1</v>
      </c>
      <c r="AB42" s="1352">
        <f t="shared" si="4"/>
        <v>1</v>
      </c>
      <c r="AC42" s="1352">
        <f t="shared" si="5"/>
        <v>1</v>
      </c>
    </row>
    <row r="43" spans="1:29" ht="15">
      <c r="A43" s="423"/>
      <c r="B43" s="375" t="s">
        <v>1689</v>
      </c>
      <c r="C43" s="1905"/>
      <c r="D43" s="386">
        <v>100</v>
      </c>
      <c r="E43" s="1905"/>
      <c r="F43" s="412">
        <f>SUMIF(124:124,E43,125:125)-SUMIF(124:124,C43,125:125)+100</f>
        <v>100</v>
      </c>
      <c r="G43" s="1905"/>
      <c r="H43" s="386">
        <f>SUMIF(124:124,G43,125:125)-SUMIF(124:124,C43,125:125)+100</f>
        <v>100</v>
      </c>
      <c r="I43" s="1905"/>
      <c r="J43" s="386">
        <f>SUMIF(124:124,I43,125:125)-SUMIF(124:124,C43,125:125)+100</f>
        <v>100</v>
      </c>
      <c r="K43" s="561"/>
      <c r="L43" s="2696"/>
      <c r="M43" s="2690"/>
      <c r="N43" s="2690"/>
      <c r="O43" s="2690"/>
      <c r="P43" s="3711"/>
      <c r="Q43" s="1351" t="str">
        <f t="shared" si="11"/>
        <v>内部装修维护情况</v>
      </c>
      <c r="R43" s="705" t="s">
        <v>14</v>
      </c>
      <c r="S43" s="706">
        <f t="shared" si="12"/>
        <v>100</v>
      </c>
      <c r="T43" s="705" t="s">
        <v>14</v>
      </c>
      <c r="U43" s="706">
        <f t="shared" si="13"/>
        <v>100</v>
      </c>
      <c r="V43" s="705" t="s">
        <v>14</v>
      </c>
      <c r="W43" s="706">
        <f t="shared" si="14"/>
        <v>100</v>
      </c>
      <c r="X43" s="1354"/>
      <c r="Y43" s="3713"/>
      <c r="Z43" s="1355" t="str">
        <f t="shared" si="15"/>
        <v>内部装修维护情况</v>
      </c>
      <c r="AA43" s="1352">
        <f t="shared" si="3"/>
        <v>1</v>
      </c>
      <c r="AB43" s="1352">
        <f t="shared" si="4"/>
        <v>1</v>
      </c>
      <c r="AC43" s="1352">
        <f t="shared" si="5"/>
        <v>1</v>
      </c>
    </row>
    <row r="44" spans="1:29" s="108" customFormat="1" ht="15">
      <c r="A44" s="424"/>
      <c r="B44" s="1133">
        <v>111</v>
      </c>
      <c r="C44" s="420"/>
      <c r="D44" s="127">
        <v>100</v>
      </c>
      <c r="E44" s="385"/>
      <c r="F44" s="376">
        <f>SUMIF(126:126,E44,127:127)-SUMIF(126:126,C44,127:127)+100</f>
        <v>100</v>
      </c>
      <c r="G44" s="385"/>
      <c r="H44" s="127">
        <f>SUMIF(126:126,G44,127:127)-SUMIF(126:126,C44,127:127)+100</f>
        <v>100</v>
      </c>
      <c r="I44" s="385"/>
      <c r="J44" s="127">
        <f>SUMIF(126:126,I44,127:127)-SUMIF(126:126,C44,127:127)+100</f>
        <v>100</v>
      </c>
      <c r="K44" s="562"/>
      <c r="L44" s="2691"/>
      <c r="M44" s="2692"/>
      <c r="N44" s="2692"/>
      <c r="O44" s="2692"/>
      <c r="P44" s="3711"/>
      <c r="Q44" s="1342">
        <f t="shared" si="11"/>
        <v>111</v>
      </c>
      <c r="R44" s="701" t="s">
        <v>14</v>
      </c>
      <c r="S44" s="702">
        <f t="shared" si="12"/>
        <v>100</v>
      </c>
      <c r="T44" s="701" t="s">
        <v>14</v>
      </c>
      <c r="U44" s="702">
        <f t="shared" si="13"/>
        <v>100</v>
      </c>
      <c r="V44" s="701" t="s">
        <v>14</v>
      </c>
      <c r="W44" s="702">
        <f t="shared" si="14"/>
        <v>100</v>
      </c>
      <c r="X44" s="703"/>
      <c r="Y44" s="3713"/>
      <c r="Z44" s="52">
        <f t="shared" si="15"/>
        <v>111</v>
      </c>
      <c r="AA44" s="704">
        <f t="shared" si="3"/>
        <v>1</v>
      </c>
      <c r="AB44" s="704">
        <f t="shared" si="4"/>
        <v>1</v>
      </c>
      <c r="AC44" s="704">
        <f t="shared" si="5"/>
        <v>1</v>
      </c>
    </row>
    <row r="45" spans="1:29" ht="15">
      <c r="A45" s="423"/>
      <c r="B45" s="1133">
        <v>111</v>
      </c>
      <c r="C45" s="385"/>
      <c r="D45" s="386">
        <v>100</v>
      </c>
      <c r="E45" s="385"/>
      <c r="F45" s="412">
        <f>SUMIF(128:128,E45,129:129)-SUMIF(128:128,C45,129:129)+100</f>
        <v>100</v>
      </c>
      <c r="G45" s="385"/>
      <c r="H45" s="386">
        <f>SUMIF(128:128,G45,129:129)-SUMIF(128:128,C45,129:129)+100</f>
        <v>100</v>
      </c>
      <c r="I45" s="385"/>
      <c r="J45" s="386">
        <f>SUMIF(128:128,I45,129:129)-SUMIF(128:128,C45,129:129)+100</f>
        <v>100</v>
      </c>
      <c r="K45" s="562"/>
      <c r="L45" s="2696"/>
      <c r="M45" s="2690"/>
      <c r="N45" s="2690"/>
      <c r="O45" s="2690"/>
      <c r="P45" s="3711"/>
      <c r="Q45" s="1351">
        <f t="shared" si="11"/>
        <v>111</v>
      </c>
      <c r="R45" s="705" t="s">
        <v>14</v>
      </c>
      <c r="S45" s="706">
        <f t="shared" si="12"/>
        <v>100</v>
      </c>
      <c r="T45" s="705" t="s">
        <v>14</v>
      </c>
      <c r="U45" s="706">
        <f t="shared" si="13"/>
        <v>100</v>
      </c>
      <c r="V45" s="705" t="s">
        <v>14</v>
      </c>
      <c r="W45" s="706">
        <f t="shared" si="14"/>
        <v>100</v>
      </c>
      <c r="X45" s="1354"/>
      <c r="Y45" s="3713"/>
      <c r="Z45" s="1355">
        <f t="shared" si="15"/>
        <v>111</v>
      </c>
      <c r="AA45" s="1352">
        <f t="shared" si="3"/>
        <v>1</v>
      </c>
      <c r="AB45" s="1352">
        <f t="shared" si="4"/>
        <v>1</v>
      </c>
      <c r="AC45" s="1352">
        <f t="shared" si="5"/>
        <v>1</v>
      </c>
    </row>
    <row r="46" spans="1:29" ht="15.75" thickBot="1">
      <c r="A46" s="429"/>
      <c r="B46" s="1894">
        <v>111</v>
      </c>
      <c r="C46" s="388"/>
      <c r="D46" s="389">
        <v>100</v>
      </c>
      <c r="E46" s="385"/>
      <c r="F46" s="390">
        <f>SUMIF(130:130,E46,131:131)-SUMIF(130:130,C46,131:131)+100</f>
        <v>100</v>
      </c>
      <c r="G46" s="385"/>
      <c r="H46" s="389">
        <f>SUMIF(130:130,G46,131:131)-SUMIF(130:130,C46,131:131)+100</f>
        <v>100</v>
      </c>
      <c r="I46" s="385"/>
      <c r="J46" s="389">
        <f>SUMIF(130:130,I46,131:131)-SUMIF(130:130,C46,131:131)+100</f>
        <v>100</v>
      </c>
      <c r="K46" s="562"/>
      <c r="L46" s="2696"/>
      <c r="M46" s="2690"/>
      <c r="N46" s="2690"/>
      <c r="O46" s="2690"/>
      <c r="P46" s="3712"/>
      <c r="Q46" s="1351">
        <f t="shared" si="11"/>
        <v>111</v>
      </c>
      <c r="R46" s="705" t="s">
        <v>14</v>
      </c>
      <c r="S46" s="706">
        <f t="shared" si="12"/>
        <v>100</v>
      </c>
      <c r="T46" s="705" t="s">
        <v>14</v>
      </c>
      <c r="U46" s="706">
        <f t="shared" si="13"/>
        <v>100</v>
      </c>
      <c r="V46" s="705" t="s">
        <v>14</v>
      </c>
      <c r="W46" s="706">
        <f t="shared" si="14"/>
        <v>100</v>
      </c>
      <c r="X46" s="1354"/>
      <c r="Y46" s="3714"/>
      <c r="Z46" s="1355">
        <f t="shared" si="15"/>
        <v>111</v>
      </c>
      <c r="AA46" s="1352">
        <f t="shared" si="3"/>
        <v>1</v>
      </c>
      <c r="AB46" s="1352">
        <f t="shared" si="4"/>
        <v>1</v>
      </c>
      <c r="AC46" s="1352">
        <f t="shared" si="5"/>
        <v>1</v>
      </c>
    </row>
    <row r="47" spans="1:29" ht="15">
      <c r="A47" s="430" t="s">
        <v>1690</v>
      </c>
      <c r="B47" s="431"/>
      <c r="C47" s="1154" t="s">
        <v>0</v>
      </c>
      <c r="D47" s="1155"/>
      <c r="E47" s="1156"/>
      <c r="F47" s="1157"/>
      <c r="G47" s="1158"/>
      <c r="H47" s="1159"/>
      <c r="I47" s="1156"/>
      <c r="J47" s="1159"/>
      <c r="K47" s="714"/>
      <c r="L47" s="2698"/>
      <c r="M47" s="2699"/>
      <c r="N47" s="2690"/>
      <c r="O47" s="2699"/>
      <c r="P47" s="3706" t="str">
        <f>A47</f>
        <v>成交单价（元/平方米）</v>
      </c>
      <c r="Q47" s="3706"/>
      <c r="R47" s="3737">
        <f>E47</f>
        <v>0</v>
      </c>
      <c r="S47" s="3737"/>
      <c r="T47" s="3737">
        <f>G47</f>
        <v>0</v>
      </c>
      <c r="U47" s="3737"/>
      <c r="V47" s="3737">
        <f>I47</f>
        <v>0</v>
      </c>
      <c r="W47" s="3737"/>
      <c r="X47" s="690"/>
      <c r="Y47" s="712"/>
      <c r="Z47" s="690"/>
      <c r="AA47" s="690"/>
      <c r="AB47" s="690"/>
      <c r="AC47" s="690"/>
    </row>
    <row r="48" spans="1:29" ht="15.75" thickBot="1">
      <c r="A48" s="437" t="s">
        <v>1775</v>
      </c>
      <c r="B48" s="438"/>
      <c r="C48" s="1160" t="e">
        <f>R49</f>
        <v>#DIV/0!</v>
      </c>
      <c r="D48" s="2316" t="s">
        <v>2119</v>
      </c>
      <c r="E48" s="1161" t="e">
        <f>R48</f>
        <v>#DIV/0!</v>
      </c>
      <c r="F48" s="2317"/>
      <c r="G48" s="1160" t="e">
        <f>T48</f>
        <v>#DIV/0!</v>
      </c>
      <c r="H48" s="2317"/>
      <c r="I48" s="1161" t="e">
        <f>V48</f>
        <v>#DIV/0!</v>
      </c>
      <c r="J48" s="2317"/>
      <c r="K48" s="2319">
        <f>F48+H48+J48</f>
        <v>0</v>
      </c>
      <c r="L48" s="2698"/>
      <c r="M48" s="2699"/>
      <c r="N48" s="2690"/>
      <c r="O48" s="2699"/>
      <c r="P48" s="3706" t="str">
        <f>A48</f>
        <v>比较价值（元/平方米）</v>
      </c>
      <c r="Q48" s="3706"/>
      <c r="R48" s="3707" t="e">
        <f>IF(F1="售价",ROUND(PRODUCT(R47,AA7:AA46),0),ROUND(PRODUCT(R47,AA7:AA46),1))</f>
        <v>#DIV/0!</v>
      </c>
      <c r="S48" s="3707"/>
      <c r="T48" s="3707" t="e">
        <f>IF(F1="售价",ROUND(PRODUCT(T47,AB7:AB46),0),ROUND(PRODUCT(T47,AB7:AB46),1))</f>
        <v>#DIV/0!</v>
      </c>
      <c r="U48" s="3707"/>
      <c r="V48" s="3707" t="e">
        <f>IF(F1="售价",ROUND(PRODUCT(V47,AC7:AC46),0),ROUND(PRODUCT(V47,AC7:AC46),1))</f>
        <v>#DIV/0!</v>
      </c>
      <c r="W48" s="3707"/>
      <c r="X48" s="690"/>
      <c r="Y48" s="690"/>
      <c r="Z48" s="690"/>
      <c r="AA48" s="690"/>
      <c r="AB48" s="690"/>
      <c r="AC48" s="690"/>
    </row>
    <row r="49" spans="1:29" ht="15.75" thickBot="1">
      <c r="A49" s="441" t="s">
        <v>1776</v>
      </c>
      <c r="B49" s="442"/>
      <c r="C49" s="1163" t="e">
        <f>R49</f>
        <v>#DIV/0!</v>
      </c>
      <c r="D49" s="1163"/>
      <c r="E49" s="1163"/>
      <c r="F49" s="1163"/>
      <c r="G49" s="1163"/>
      <c r="H49" s="1163"/>
      <c r="I49" s="1163"/>
      <c r="J49" s="1163"/>
      <c r="K49" s="715"/>
      <c r="L49" s="2698"/>
      <c r="M49" s="2699"/>
      <c r="N49" s="2690"/>
      <c r="O49" s="2699"/>
      <c r="P49" s="3703" t="str">
        <f>A49</f>
        <v>估价对象XX用房的比较价值（楼面单价，元/平方米）</v>
      </c>
      <c r="Q49" s="3704"/>
      <c r="R49" s="3705" t="e">
        <f>IF(F1="售价",ROUND(IF(D48="简单平均",AVERAGE(R48:V48),R48*F48+T48*H48+V48*J48),0),ROUND(IF(D48="简单平均",AVERAGE(R48:V48),R48*F48+T48*H48+V48*J48),1))</f>
        <v>#DIV/0!</v>
      </c>
      <c r="S49" s="3705"/>
      <c r="T49" s="3705"/>
      <c r="U49" s="3705"/>
      <c r="V49" s="3705"/>
      <c r="W49" s="3705"/>
      <c r="X49" s="690"/>
      <c r="Y49" s="690"/>
      <c r="Z49" s="690"/>
      <c r="AA49" s="690"/>
      <c r="AB49" s="690"/>
      <c r="AC49" s="690"/>
    </row>
    <row r="50" spans="1:29">
      <c r="A50" s="2699"/>
      <c r="B50" s="2699"/>
      <c r="C50" s="2699"/>
      <c r="D50" s="2699"/>
      <c r="E50" s="2699"/>
      <c r="F50" s="2699"/>
      <c r="G50" s="2703"/>
      <c r="H50" s="2699"/>
      <c r="I50" s="2699"/>
      <c r="J50" s="2699"/>
      <c r="K50" s="2704"/>
      <c r="L50" s="2700"/>
      <c r="M50" s="2699"/>
      <c r="N50" s="2699"/>
      <c r="O50" s="2699"/>
      <c r="P50" s="2710"/>
      <c r="Q50" s="2699"/>
      <c r="R50" s="2699"/>
      <c r="S50" s="2699"/>
      <c r="T50" s="2699"/>
      <c r="U50" s="2699"/>
      <c r="V50" s="2699"/>
      <c r="W50" s="2699"/>
      <c r="X50" s="2699"/>
      <c r="Y50" s="2699"/>
      <c r="Z50" s="2699"/>
      <c r="AA50" s="2699"/>
      <c r="AB50" s="2699"/>
      <c r="AC50" s="2699"/>
    </row>
    <row r="51" spans="1:29">
      <c r="A51" s="2699"/>
      <c r="B51" s="2699"/>
      <c r="C51" s="2699"/>
      <c r="D51" s="2699"/>
      <c r="E51" s="2699"/>
      <c r="F51" s="2699"/>
      <c r="G51" s="2699"/>
      <c r="H51" s="2699"/>
      <c r="I51" s="2699"/>
      <c r="J51" s="2699"/>
      <c r="K51" s="2704"/>
      <c r="L51" s="2700"/>
      <c r="M51" s="2699"/>
      <c r="N51" s="2699"/>
      <c r="O51" s="2699"/>
      <c r="P51" s="2710"/>
      <c r="Q51" s="2699"/>
      <c r="R51" s="2699"/>
      <c r="S51" s="2699"/>
      <c r="T51" s="2699"/>
      <c r="U51" s="2699"/>
      <c r="V51" s="2699"/>
      <c r="W51" s="2699"/>
      <c r="X51" s="2699"/>
      <c r="Y51" s="2699"/>
      <c r="Z51" s="2699"/>
      <c r="AA51" s="2699"/>
      <c r="AB51" s="2699"/>
      <c r="AC51" s="2699"/>
    </row>
    <row r="52" spans="1:29" ht="13.5" customHeight="1">
      <c r="A52" s="2699"/>
      <c r="B52" s="2699"/>
      <c r="C52" s="446" t="s">
        <v>1777</v>
      </c>
      <c r="D52" s="447"/>
      <c r="E52" s="448" t="e">
        <f>IF(E47&lt;E48,E48/E47-1,E47/E48-1)</f>
        <v>#DIV/0!</v>
      </c>
      <c r="F52" s="449" t="e">
        <f>IF(OR(E52&gt;=0.3,E52&lt;=-0.3),"超过30%","")</f>
        <v>#DIV/0!</v>
      </c>
      <c r="G52" s="448" t="e">
        <f>IF(G47&lt;G48,G48/G47-1,G47/G48-1)</f>
        <v>#DIV/0!</v>
      </c>
      <c r="H52" s="449" t="e">
        <f>IF(OR(G52&gt;=0.3,G52&lt;=-0.3),"超过30%","")</f>
        <v>#DIV/0!</v>
      </c>
      <c r="I52" s="448" t="e">
        <f>IF(I47&lt;I48,I48/I47-1,I47/I48-1)</f>
        <v>#DIV/0!</v>
      </c>
      <c r="J52" s="449" t="e">
        <f>IF(OR(I52&gt;=0.3,I52&lt;=-0.3),"超过30%","")</f>
        <v>#DIV/0!</v>
      </c>
      <c r="K52" s="2704"/>
      <c r="L52" s="2700"/>
      <c r="M52" s="2699"/>
      <c r="N52" s="2699"/>
      <c r="O52" s="2699"/>
      <c r="P52" s="2710"/>
      <c r="Q52" s="2699"/>
      <c r="R52" s="2699"/>
      <c r="S52" s="2699"/>
      <c r="T52" s="2699"/>
      <c r="U52" s="2699"/>
      <c r="V52" s="2699"/>
      <c r="W52" s="2699"/>
      <c r="X52" s="2699"/>
      <c r="Y52" s="2699"/>
      <c r="Z52" s="2699"/>
      <c r="AA52" s="2699"/>
      <c r="AB52" s="2699"/>
      <c r="AC52" s="2699"/>
    </row>
    <row r="53" spans="1:29" ht="13.5" customHeight="1">
      <c r="A53" s="2699"/>
      <c r="B53" s="2699"/>
      <c r="C53" s="446" t="s">
        <v>1778</v>
      </c>
      <c r="D53" s="450"/>
      <c r="E53" s="448" t="e">
        <f>IF(E48&lt;G48,G48/E48-1,E48/G48-1)</f>
        <v>#DIV/0!</v>
      </c>
      <c r="F53" s="449" t="e">
        <f>IF(OR(E53&gt;=0.2,E53&lt;=-0.2),"超过20%","")</f>
        <v>#DIV/0!</v>
      </c>
      <c r="G53" s="448" t="e">
        <f>IF(G48&lt;I48,I48/G48-1,G48/I48-1)</f>
        <v>#DIV/0!</v>
      </c>
      <c r="H53" s="449" t="e">
        <f>IF(OR(G53&gt;=0.2,G53&lt;=-0.2),"超过20%","")</f>
        <v>#DIV/0!</v>
      </c>
      <c r="I53" s="448" t="e">
        <f>IF(I48&lt;E48,E48/I48-1,I48/E48-1)</f>
        <v>#DIV/0!</v>
      </c>
      <c r="J53" s="449" t="e">
        <f>IF(OR(I53&gt;=0.2,I53&lt;=-0.2),"超过20%","")</f>
        <v>#DIV/0!</v>
      </c>
      <c r="K53" s="2704"/>
      <c r="L53" s="2700"/>
      <c r="M53" s="2699"/>
      <c r="N53" s="2699"/>
      <c r="O53" s="2699"/>
      <c r="P53" s="2710"/>
      <c r="Q53" s="2699"/>
      <c r="R53" s="2699"/>
      <c r="S53" s="2699"/>
      <c r="T53" s="2699"/>
      <c r="U53" s="2699"/>
      <c r="V53" s="2699"/>
      <c r="W53" s="2699"/>
      <c r="X53" s="2699"/>
      <c r="Y53" s="2699"/>
      <c r="Z53" s="2699"/>
      <c r="AA53" s="2699"/>
      <c r="AB53" s="2699"/>
      <c r="AC53" s="2699"/>
    </row>
    <row r="54" spans="1:29" s="451" customFormat="1" ht="13.5" customHeight="1">
      <c r="A54" s="2702"/>
      <c r="B54" s="2702"/>
      <c r="C54" s="446" t="s">
        <v>1779</v>
      </c>
      <c r="D54" s="450"/>
      <c r="E54" s="448" t="e">
        <f>IF(E47&lt;G47,G47/E47-1,E47/G47-1)</f>
        <v>#DIV/0!</v>
      </c>
      <c r="F54" s="449" t="e">
        <f>IF(OR(E54&gt;=0.3,E54&lt;=-0.3),"超过30%","")</f>
        <v>#DIV/0!</v>
      </c>
      <c r="G54" s="448" t="e">
        <f>IF(G47&lt;I47,I47/G47-1,G47/I47-1)</f>
        <v>#DIV/0!</v>
      </c>
      <c r="H54" s="449" t="e">
        <f>IF(OR(G54&gt;=0.3,G54&lt;=-0.3),"超过30%","")</f>
        <v>#DIV/0!</v>
      </c>
      <c r="I54" s="448" t="e">
        <f>IF(I47&lt;E47,E47/I47-1,I47/E47-1)</f>
        <v>#DIV/0!</v>
      </c>
      <c r="J54" s="449" t="e">
        <f>IF(OR(I54&gt;=0.3,I54&lt;=-0.3),"超过30%","")</f>
        <v>#DIV/0!</v>
      </c>
      <c r="K54" s="2707"/>
      <c r="L54" s="2701"/>
      <c r="M54" s="2702"/>
      <c r="N54" s="2702"/>
      <c r="O54" s="2702"/>
      <c r="P54" s="2711"/>
      <c r="Q54" s="2702"/>
      <c r="R54" s="2702"/>
      <c r="S54" s="2702"/>
      <c r="T54" s="2702"/>
      <c r="U54" s="2702"/>
      <c r="V54" s="2702"/>
      <c r="W54" s="2702"/>
      <c r="X54" s="2702"/>
      <c r="Y54" s="2702"/>
      <c r="Z54" s="2702"/>
      <c r="AA54" s="2702"/>
      <c r="AB54" s="2702"/>
      <c r="AC54" s="2702"/>
    </row>
    <row r="55" spans="1:29" s="451" customFormat="1">
      <c r="A55" s="2702"/>
      <c r="B55" s="2705"/>
      <c r="C55" s="2706"/>
      <c r="D55" s="2702"/>
      <c r="E55" s="2702"/>
      <c r="F55" s="2702"/>
      <c r="G55" s="2702"/>
      <c r="H55" s="2702"/>
      <c r="I55" s="2702"/>
      <c r="J55" s="2702"/>
      <c r="K55" s="2707"/>
      <c r="L55" s="2701"/>
      <c r="M55" s="2702"/>
      <c r="N55" s="2702"/>
      <c r="O55" s="2702"/>
      <c r="P55" s="2711"/>
      <c r="Q55" s="2702"/>
      <c r="R55" s="2702"/>
      <c r="S55" s="2702"/>
      <c r="T55" s="2702"/>
      <c r="U55" s="2702"/>
      <c r="V55" s="2702"/>
      <c r="W55" s="2702"/>
      <c r="X55" s="2702"/>
      <c r="Y55" s="2702"/>
      <c r="Z55" s="2702"/>
      <c r="AA55" s="2702"/>
      <c r="AB55" s="2702"/>
      <c r="AC55" s="2702"/>
    </row>
    <row r="56" spans="1:29">
      <c r="A56" s="2699"/>
      <c r="B56" s="2705"/>
      <c r="C56" s="2706"/>
      <c r="D56" s="2699"/>
      <c r="E56" s="2699"/>
      <c r="F56" s="2699"/>
      <c r="G56" s="2699"/>
      <c r="H56" s="2699"/>
      <c r="I56" s="2699"/>
      <c r="J56" s="2699"/>
      <c r="K56" s="2704"/>
      <c r="L56" s="2700"/>
      <c r="M56" s="2699"/>
      <c r="N56" s="2699"/>
      <c r="O56" s="2699"/>
      <c r="P56" s="2710"/>
      <c r="Q56" s="2699"/>
      <c r="R56" s="2699"/>
      <c r="S56" s="2699"/>
      <c r="T56" s="2699"/>
      <c r="U56" s="2699"/>
      <c r="V56" s="2699"/>
      <c r="W56" s="2699"/>
      <c r="X56" s="2699"/>
      <c r="Y56" s="2699"/>
      <c r="Z56" s="2699"/>
      <c r="AA56" s="2699"/>
      <c r="AB56" s="2699"/>
      <c r="AC56" s="2699"/>
    </row>
    <row r="57" spans="1:29" ht="21.75" thickBot="1">
      <c r="A57" s="694" t="s">
        <v>1780</v>
      </c>
      <c r="B57" s="690"/>
      <c r="C57" s="695"/>
      <c r="D57" s="695"/>
      <c r="E57" s="695"/>
      <c r="F57" s="696"/>
      <c r="G57" s="696"/>
      <c r="H57" s="695"/>
      <c r="I57" s="695"/>
      <c r="J57" s="695"/>
      <c r="K57" s="697"/>
      <c r="L57" s="942"/>
      <c r="M57" s="940"/>
      <c r="N57" s="940"/>
      <c r="O57" s="940"/>
      <c r="P57" s="2712"/>
      <c r="Q57" s="2713"/>
      <c r="R57" s="2699"/>
      <c r="S57" s="2699"/>
      <c r="T57" s="2699"/>
      <c r="U57" s="2699"/>
      <c r="V57" s="2699"/>
      <c r="W57" s="2699"/>
      <c r="X57" s="2699"/>
      <c r="Y57" s="2699"/>
      <c r="Z57" s="2699"/>
      <c r="AA57" s="2699"/>
      <c r="AB57" s="2699"/>
      <c r="AC57" s="2699"/>
    </row>
    <row r="58" spans="1:29" s="457" customFormat="1" ht="15">
      <c r="A58" s="454" t="s">
        <v>1661</v>
      </c>
      <c r="B58" s="455"/>
      <c r="C58" s="1183" t="str">
        <f>YEAR(C7)&amp;"-"&amp;MONTH(C7)</f>
        <v>2024-4</v>
      </c>
      <c r="D58" s="1184">
        <f>EDATE(C58,-1)</f>
        <v>45352</v>
      </c>
      <c r="E58" s="1184">
        <f t="shared" ref="E58:N58" si="16">EDATE(D58,-1)</f>
        <v>45323</v>
      </c>
      <c r="F58" s="1184">
        <f t="shared" si="16"/>
        <v>45292</v>
      </c>
      <c r="G58" s="1184">
        <f t="shared" si="16"/>
        <v>45261</v>
      </c>
      <c r="H58" s="1184">
        <f t="shared" si="16"/>
        <v>45231</v>
      </c>
      <c r="I58" s="1184">
        <f t="shared" si="16"/>
        <v>45200</v>
      </c>
      <c r="J58" s="1184">
        <f t="shared" si="16"/>
        <v>45170</v>
      </c>
      <c r="K58" s="1184">
        <f t="shared" si="16"/>
        <v>45139</v>
      </c>
      <c r="L58" s="1184">
        <f t="shared" si="16"/>
        <v>45108</v>
      </c>
      <c r="M58" s="1184">
        <f t="shared" si="16"/>
        <v>45078</v>
      </c>
      <c r="N58" s="1184">
        <f t="shared" si="16"/>
        <v>45047</v>
      </c>
      <c r="O58" s="1184">
        <f>EDATE(N58,-1)</f>
        <v>45017</v>
      </c>
      <c r="P58" s="2714"/>
      <c r="Q58" s="2715"/>
      <c r="R58" s="2715"/>
      <c r="S58" s="2715"/>
      <c r="T58" s="2715"/>
      <c r="U58" s="2715"/>
      <c r="V58" s="2715"/>
      <c r="W58" s="2715"/>
      <c r="X58" s="2715"/>
      <c r="Y58" s="2715"/>
      <c r="Z58" s="2715"/>
      <c r="AA58" s="2715"/>
      <c r="AB58" s="2715"/>
      <c r="AC58" s="2715"/>
    </row>
    <row r="59" spans="1:29" s="108" customFormat="1" ht="15">
      <c r="A59" s="458"/>
      <c r="B59" s="459"/>
      <c r="C59" s="1182">
        <v>100</v>
      </c>
      <c r="D59" s="461"/>
      <c r="E59" s="461"/>
      <c r="F59" s="461"/>
      <c r="G59" s="461"/>
      <c r="H59" s="461"/>
      <c r="I59" s="461"/>
      <c r="J59" s="461"/>
      <c r="K59" s="461"/>
      <c r="L59" s="461"/>
      <c r="M59" s="462"/>
      <c r="N59" s="461"/>
      <c r="O59" s="462"/>
      <c r="P59" s="2716"/>
      <c r="Q59" s="2635"/>
      <c r="R59" s="2635"/>
      <c r="S59" s="2635"/>
      <c r="T59" s="2635"/>
      <c r="U59" s="2635"/>
      <c r="V59" s="2635"/>
      <c r="W59" s="2635"/>
      <c r="X59" s="2635"/>
      <c r="Y59" s="2635"/>
      <c r="Z59" s="2635"/>
      <c r="AA59" s="2635"/>
      <c r="AB59" s="2635"/>
      <c r="AC59" s="2635"/>
    </row>
    <row r="60" spans="1:29" s="108" customFormat="1" ht="15.75" thickBot="1">
      <c r="A60" s="464" t="s">
        <v>1698</v>
      </c>
      <c r="B60" s="465"/>
      <c r="C60" s="466"/>
      <c r="D60" s="467"/>
      <c r="E60" s="467"/>
      <c r="F60" s="467"/>
      <c r="G60" s="467"/>
      <c r="H60" s="467"/>
      <c r="I60" s="467"/>
      <c r="J60" s="467"/>
      <c r="K60" s="467"/>
      <c r="L60" s="467"/>
      <c r="M60" s="468"/>
      <c r="N60" s="467"/>
      <c r="O60" s="468"/>
      <c r="P60" s="2716"/>
      <c r="Q60" s="2713"/>
      <c r="R60" s="2635"/>
      <c r="S60" s="2635"/>
      <c r="T60" s="2635"/>
      <c r="U60" s="2635"/>
      <c r="V60" s="2635"/>
      <c r="W60" s="2635"/>
      <c r="X60" s="2635"/>
      <c r="Y60" s="2635"/>
      <c r="Z60" s="2635"/>
      <c r="AA60" s="2635"/>
      <c r="AB60" s="2635"/>
      <c r="AC60" s="2635"/>
    </row>
    <row r="61" spans="1:29" s="108" customFormat="1" ht="15">
      <c r="A61" s="470" t="s">
        <v>1663</v>
      </c>
      <c r="B61" s="459"/>
      <c r="C61" s="471" t="s">
        <v>1758</v>
      </c>
      <c r="D61" s="472"/>
      <c r="E61" s="472"/>
      <c r="F61" s="472"/>
      <c r="G61" s="472"/>
      <c r="H61" s="472"/>
      <c r="I61" s="472"/>
      <c r="J61" s="472"/>
      <c r="K61" s="472"/>
      <c r="L61" s="473"/>
      <c r="M61" s="474"/>
      <c r="N61" s="2726"/>
      <c r="O61" s="2726"/>
      <c r="P61" s="2717"/>
      <c r="Q61" s="2713"/>
      <c r="R61" s="2635"/>
      <c r="S61" s="2635"/>
      <c r="T61" s="2635"/>
      <c r="U61" s="2635"/>
      <c r="V61" s="2635"/>
      <c r="W61" s="2635"/>
      <c r="X61" s="2635"/>
      <c r="Y61" s="2635"/>
      <c r="Z61" s="2635"/>
      <c r="AA61" s="2635"/>
      <c r="AB61" s="2635"/>
      <c r="AC61" s="2635"/>
    </row>
    <row r="62" spans="1:29" s="108" customFormat="1" ht="15.75" thickBot="1">
      <c r="A62" s="470"/>
      <c r="B62" s="459"/>
      <c r="C62" s="460">
        <v>100</v>
      </c>
      <c r="D62" s="461"/>
      <c r="E62" s="461"/>
      <c r="F62" s="461"/>
      <c r="G62" s="461"/>
      <c r="H62" s="461"/>
      <c r="I62" s="461"/>
      <c r="J62" s="461"/>
      <c r="K62" s="461"/>
      <c r="L62" s="461"/>
      <c r="M62" s="463"/>
      <c r="N62" s="2726"/>
      <c r="O62" s="2726"/>
      <c r="P62" s="2716"/>
      <c r="Q62" s="2713"/>
      <c r="R62" s="2635"/>
      <c r="S62" s="2635"/>
      <c r="T62" s="2635"/>
      <c r="U62" s="2635"/>
      <c r="V62" s="2635"/>
      <c r="W62" s="2635"/>
      <c r="X62" s="2635"/>
      <c r="Y62" s="2635"/>
      <c r="Z62" s="2635"/>
      <c r="AA62" s="2635"/>
      <c r="AB62" s="2635"/>
      <c r="AC62" s="2635"/>
    </row>
    <row r="63" spans="1:29">
      <c r="A63" s="476" t="s">
        <v>1701</v>
      </c>
      <c r="B63" s="477" t="s">
        <v>1667</v>
      </c>
      <c r="C63" s="478">
        <f>C9</f>
        <v>0</v>
      </c>
      <c r="D63" s="479"/>
      <c r="E63" s="479"/>
      <c r="F63" s="479"/>
      <c r="G63" s="479"/>
      <c r="H63" s="479"/>
      <c r="I63" s="479"/>
      <c r="J63" s="479"/>
      <c r="K63" s="480"/>
      <c r="L63" s="481"/>
      <c r="M63" s="482"/>
      <c r="N63" s="2727"/>
      <c r="O63" s="2727"/>
      <c r="P63" s="2718"/>
      <c r="Q63" s="2713"/>
      <c r="R63" s="2699"/>
      <c r="S63" s="2699"/>
      <c r="T63" s="2699"/>
      <c r="U63" s="2699"/>
      <c r="V63" s="2699"/>
      <c r="W63" s="2699"/>
      <c r="X63" s="2699"/>
      <c r="Y63" s="2699"/>
      <c r="Z63" s="2699"/>
      <c r="AA63" s="2699"/>
      <c r="AB63" s="2699"/>
      <c r="AC63" s="2699"/>
    </row>
    <row r="64" spans="1:29" ht="15.75" thickBot="1">
      <c r="A64" s="483"/>
      <c r="B64" s="484"/>
      <c r="C64" s="485">
        <v>100</v>
      </c>
      <c r="D64" s="485"/>
      <c r="E64" s="485"/>
      <c r="F64" s="485"/>
      <c r="G64" s="485"/>
      <c r="H64" s="485"/>
      <c r="I64" s="485"/>
      <c r="J64" s="485"/>
      <c r="K64" s="485"/>
      <c r="L64" s="485"/>
      <c r="M64" s="486"/>
      <c r="N64" s="2728"/>
      <c r="O64" s="2728"/>
      <c r="P64" s="2718"/>
      <c r="Q64" s="2713"/>
      <c r="R64" s="2699"/>
      <c r="S64" s="2699"/>
      <c r="T64" s="2699"/>
      <c r="U64" s="2699"/>
      <c r="V64" s="2699"/>
      <c r="W64" s="2699"/>
      <c r="X64" s="2699"/>
      <c r="Y64" s="2699"/>
      <c r="Z64" s="2699"/>
      <c r="AA64" s="2699"/>
      <c r="AB64" s="2699"/>
      <c r="AC64" s="2699"/>
    </row>
    <row r="65" spans="1:29" ht="27.75" thickTop="1">
      <c r="A65" s="483"/>
      <c r="B65" s="487" t="s">
        <v>1670</v>
      </c>
      <c r="C65" s="532"/>
      <c r="D65" s="532"/>
      <c r="E65" s="532"/>
      <c r="F65" s="532"/>
      <c r="G65" s="532"/>
      <c r="H65" s="532"/>
      <c r="I65" s="532"/>
      <c r="J65" s="532"/>
      <c r="K65" s="533"/>
      <c r="L65" s="534"/>
      <c r="M65" s="535"/>
      <c r="N65" s="2727"/>
      <c r="O65" s="2727"/>
      <c r="P65" s="2718"/>
      <c r="Q65" s="2713"/>
      <c r="R65" s="2699"/>
      <c r="S65" s="2699"/>
      <c r="T65" s="2699"/>
      <c r="U65" s="2699"/>
      <c r="V65" s="2699"/>
      <c r="W65" s="2699"/>
      <c r="X65" s="2699"/>
      <c r="Y65" s="2699"/>
      <c r="Z65" s="2699"/>
      <c r="AA65" s="2699"/>
      <c r="AB65" s="2699"/>
      <c r="AC65" s="2699"/>
    </row>
    <row r="66" spans="1:29" ht="15.75" thickBot="1">
      <c r="A66" s="483"/>
      <c r="B66" s="492"/>
      <c r="C66" s="485"/>
      <c r="D66" s="485"/>
      <c r="E66" s="485"/>
      <c r="F66" s="485"/>
      <c r="G66" s="485"/>
      <c r="H66" s="485"/>
      <c r="I66" s="485"/>
      <c r="J66" s="485"/>
      <c r="K66" s="485"/>
      <c r="L66" s="485"/>
      <c r="M66" s="486"/>
      <c r="N66" s="2728"/>
      <c r="O66" s="2728"/>
      <c r="P66" s="2718"/>
      <c r="Q66" s="2713"/>
      <c r="R66" s="2699"/>
      <c r="S66" s="2699"/>
      <c r="T66" s="2699"/>
      <c r="U66" s="2699"/>
      <c r="V66" s="2699"/>
      <c r="W66" s="2699"/>
      <c r="X66" s="2699"/>
      <c r="Y66" s="2699"/>
      <c r="Z66" s="2699"/>
      <c r="AA66" s="2699"/>
      <c r="AB66" s="2699"/>
      <c r="AC66" s="2699"/>
    </row>
    <row r="67" spans="1:29" ht="15.75" thickTop="1">
      <c r="A67" s="483"/>
      <c r="B67" s="495" t="s">
        <v>1671</v>
      </c>
      <c r="C67" s="496" t="str">
        <f>C68&amp;"（含）"&amp;"-"&amp;D68</f>
        <v>（含）-</v>
      </c>
      <c r="D67" s="496" t="str">
        <f t="shared" ref="D67:L67" si="17">D68&amp;"（含）"&amp;"-"&amp;E68</f>
        <v>（含）-</v>
      </c>
      <c r="E67" s="496" t="str">
        <f t="shared" si="17"/>
        <v>（含）-</v>
      </c>
      <c r="F67" s="496" t="str">
        <f t="shared" si="17"/>
        <v>（含）-</v>
      </c>
      <c r="G67" s="496" t="str">
        <f t="shared" si="17"/>
        <v>（含）-</v>
      </c>
      <c r="H67" s="496" t="str">
        <f t="shared" si="17"/>
        <v>（含）-</v>
      </c>
      <c r="I67" s="496" t="str">
        <f t="shared" si="17"/>
        <v>（含）-</v>
      </c>
      <c r="J67" s="496" t="str">
        <f t="shared" si="17"/>
        <v>（含）-</v>
      </c>
      <c r="K67" s="496" t="str">
        <f t="shared" si="17"/>
        <v>（含）-</v>
      </c>
      <c r="L67" s="496" t="str">
        <f t="shared" si="17"/>
        <v>（含）-</v>
      </c>
      <c r="M67" s="399" t="str">
        <f>M68&amp;"（含）"&amp;"-"&amp;P68</f>
        <v>（含）-</v>
      </c>
      <c r="N67" s="2728"/>
      <c r="O67" s="2728"/>
      <c r="P67" s="2718"/>
      <c r="Q67" s="2713"/>
      <c r="R67" s="2699"/>
      <c r="S67" s="2699"/>
      <c r="T67" s="2699"/>
      <c r="U67" s="2699"/>
      <c r="V67" s="2699"/>
      <c r="W67" s="2699"/>
      <c r="X67" s="2699"/>
      <c r="Y67" s="2699"/>
      <c r="Z67" s="2699"/>
      <c r="AA67" s="2699"/>
      <c r="AB67" s="2699"/>
      <c r="AC67" s="2699"/>
    </row>
    <row r="68" spans="1:29" ht="15">
      <c r="A68" s="483"/>
      <c r="B68" s="497"/>
      <c r="C68" s="498"/>
      <c r="D68" s="498"/>
      <c r="E68" s="498"/>
      <c r="F68" s="498"/>
      <c r="G68" s="498"/>
      <c r="H68" s="498"/>
      <c r="I68" s="498"/>
      <c r="J68" s="498"/>
      <c r="K68" s="499"/>
      <c r="L68" s="500"/>
      <c r="M68" s="501"/>
      <c r="N68" s="2727"/>
      <c r="O68" s="2727"/>
      <c r="P68" s="2718"/>
      <c r="Q68" s="2713"/>
      <c r="R68" s="2699"/>
      <c r="S68" s="2699"/>
      <c r="T68" s="2699"/>
      <c r="U68" s="2699"/>
      <c r="V68" s="2699"/>
      <c r="W68" s="2699"/>
      <c r="X68" s="2699"/>
      <c r="Y68" s="2699"/>
      <c r="Z68" s="2699"/>
      <c r="AA68" s="2699"/>
      <c r="AB68" s="2699"/>
      <c r="AC68" s="2699"/>
    </row>
    <row r="69" spans="1:29" ht="15.75" thickBot="1">
      <c r="A69" s="483"/>
      <c r="B69" s="484"/>
      <c r="C69" s="493">
        <v>100</v>
      </c>
      <c r="D69" s="493">
        <f t="shared" ref="D69:M69" si="18">C69-$K11</f>
        <v>100</v>
      </c>
      <c r="E69" s="493">
        <f t="shared" si="18"/>
        <v>100</v>
      </c>
      <c r="F69" s="493">
        <f t="shared" si="18"/>
        <v>100</v>
      </c>
      <c r="G69" s="493">
        <f t="shared" si="18"/>
        <v>100</v>
      </c>
      <c r="H69" s="493">
        <f t="shared" si="18"/>
        <v>100</v>
      </c>
      <c r="I69" s="493">
        <f t="shared" si="18"/>
        <v>100</v>
      </c>
      <c r="J69" s="493">
        <f t="shared" si="18"/>
        <v>100</v>
      </c>
      <c r="K69" s="493">
        <f t="shared" si="18"/>
        <v>100</v>
      </c>
      <c r="L69" s="493">
        <f t="shared" si="18"/>
        <v>100</v>
      </c>
      <c r="M69" s="494">
        <f t="shared" si="18"/>
        <v>100</v>
      </c>
      <c r="N69" s="2728"/>
      <c r="O69" s="2728"/>
      <c r="P69" s="2718"/>
      <c r="Q69" s="2713"/>
      <c r="R69" s="2699"/>
      <c r="S69" s="2699"/>
      <c r="T69" s="2699"/>
      <c r="U69" s="2699"/>
      <c r="V69" s="2699"/>
      <c r="W69" s="2699"/>
      <c r="X69" s="2699"/>
      <c r="Y69" s="2699"/>
      <c r="Z69" s="2699"/>
      <c r="AA69" s="2699"/>
      <c r="AB69" s="2699"/>
      <c r="AC69" s="2699"/>
    </row>
    <row r="70" spans="1:29" s="422" customFormat="1" ht="15.75" thickTop="1">
      <c r="A70" s="502"/>
      <c r="B70" s="487">
        <f>B12</f>
        <v>111</v>
      </c>
      <c r="C70" s="503"/>
      <c r="D70" s="503"/>
      <c r="E70" s="503"/>
      <c r="F70" s="503"/>
      <c r="G70" s="503"/>
      <c r="H70" s="504"/>
      <c r="I70" s="504"/>
      <c r="J70" s="504"/>
      <c r="K70" s="504"/>
      <c r="L70" s="505"/>
      <c r="M70" s="506"/>
      <c r="N70" s="2729"/>
      <c r="O70" s="2729"/>
      <c r="P70" s="2719"/>
      <c r="Q70" s="2720"/>
      <c r="R70" s="2721"/>
      <c r="S70" s="2721"/>
      <c r="T70" s="2721"/>
      <c r="U70" s="2721"/>
      <c r="V70" s="2721"/>
      <c r="W70" s="2721"/>
      <c r="X70" s="2721"/>
      <c r="Y70" s="2721"/>
      <c r="Z70" s="2721"/>
      <c r="AA70" s="2721"/>
      <c r="AB70" s="2721"/>
      <c r="AC70" s="2721"/>
    </row>
    <row r="71" spans="1:29" s="422" customFormat="1" ht="15.75" thickBot="1">
      <c r="A71" s="502"/>
      <c r="B71" s="492"/>
      <c r="C71" s="509"/>
      <c r="D71" s="485"/>
      <c r="E71" s="485"/>
      <c r="F71" s="485"/>
      <c r="G71" s="485"/>
      <c r="H71" s="485"/>
      <c r="I71" s="485"/>
      <c r="J71" s="485"/>
      <c r="K71" s="485"/>
      <c r="L71" s="485"/>
      <c r="M71" s="486"/>
      <c r="N71" s="2728"/>
      <c r="O71" s="2728"/>
      <c r="P71" s="2719"/>
      <c r="Q71" s="2720"/>
      <c r="R71" s="2721"/>
      <c r="S71" s="2721"/>
      <c r="T71" s="2721"/>
      <c r="U71" s="2721"/>
      <c r="V71" s="2721"/>
      <c r="W71" s="2721"/>
      <c r="X71" s="2721"/>
      <c r="Y71" s="2721"/>
      <c r="Z71" s="2721"/>
      <c r="AA71" s="2721"/>
      <c r="AB71" s="2721"/>
      <c r="AC71" s="2721"/>
    </row>
    <row r="72" spans="1:29" s="422" customFormat="1" ht="15.75" thickTop="1">
      <c r="A72" s="502"/>
      <c r="B72" s="487">
        <f>B13</f>
        <v>111</v>
      </c>
      <c r="C72" s="503"/>
      <c r="D72" s="503"/>
      <c r="E72" s="503"/>
      <c r="F72" s="503"/>
      <c r="G72" s="503"/>
      <c r="H72" s="504"/>
      <c r="I72" s="504"/>
      <c r="J72" s="504"/>
      <c r="K72" s="504"/>
      <c r="L72" s="505"/>
      <c r="M72" s="506"/>
      <c r="N72" s="2729"/>
      <c r="O72" s="2729"/>
      <c r="P72" s="2722"/>
      <c r="Q72" s="2723"/>
      <c r="R72" s="2721"/>
      <c r="S72" s="2721"/>
      <c r="T72" s="2721"/>
      <c r="U72" s="2721"/>
      <c r="V72" s="2721"/>
      <c r="W72" s="2721"/>
      <c r="X72" s="2721"/>
      <c r="Y72" s="2721"/>
      <c r="Z72" s="2721"/>
      <c r="AA72" s="2721"/>
      <c r="AB72" s="2721"/>
      <c r="AC72" s="2721"/>
    </row>
    <row r="73" spans="1:29" s="422" customFormat="1" ht="15.75" thickBot="1">
      <c r="A73" s="502"/>
      <c r="B73" s="492"/>
      <c r="C73" s="509"/>
      <c r="D73" s="485"/>
      <c r="E73" s="485"/>
      <c r="F73" s="485"/>
      <c r="G73" s="509"/>
      <c r="H73" s="511"/>
      <c r="I73" s="511"/>
      <c r="J73" s="511"/>
      <c r="K73" s="511"/>
      <c r="L73" s="511"/>
      <c r="M73" s="512"/>
      <c r="N73" s="2729"/>
      <c r="O73" s="2729"/>
      <c r="P73" s="2719"/>
      <c r="Q73" s="2720"/>
      <c r="R73" s="2721"/>
      <c r="S73" s="2721"/>
      <c r="T73" s="2721"/>
      <c r="U73" s="2721"/>
      <c r="V73" s="2721"/>
      <c r="W73" s="2721"/>
      <c r="X73" s="2721"/>
      <c r="Y73" s="2721"/>
      <c r="Z73" s="2721"/>
      <c r="AA73" s="2721"/>
      <c r="AB73" s="2721"/>
      <c r="AC73" s="2721"/>
    </row>
    <row r="74" spans="1:29" s="422" customFormat="1" ht="15.75" thickTop="1">
      <c r="A74" s="502"/>
      <c r="B74" s="495">
        <f>B14</f>
        <v>111</v>
      </c>
      <c r="C74" s="503"/>
      <c r="D74" s="503"/>
      <c r="E74" s="503"/>
      <c r="F74" s="503"/>
      <c r="G74" s="472"/>
      <c r="H74" s="513"/>
      <c r="I74" s="513"/>
      <c r="J74" s="513"/>
      <c r="K74" s="513"/>
      <c r="L74" s="514"/>
      <c r="M74" s="515"/>
      <c r="N74" s="2729"/>
      <c r="O74" s="2729"/>
      <c r="P74" s="2724"/>
      <c r="Q74" s="2720"/>
      <c r="R74" s="2721"/>
      <c r="S74" s="2721"/>
      <c r="T74" s="2721"/>
      <c r="U74" s="2721"/>
      <c r="V74" s="2721"/>
      <c r="W74" s="2721"/>
      <c r="X74" s="2721"/>
      <c r="Y74" s="2721"/>
      <c r="Z74" s="2721"/>
      <c r="AA74" s="2721"/>
      <c r="AB74" s="2721"/>
      <c r="AC74" s="2721"/>
    </row>
    <row r="75" spans="1:29" s="422" customFormat="1" ht="15.75" thickBot="1">
      <c r="A75" s="517"/>
      <c r="B75" s="518"/>
      <c r="C75" s="519"/>
      <c r="D75" s="519"/>
      <c r="E75" s="519"/>
      <c r="F75" s="519"/>
      <c r="G75" s="519"/>
      <c r="H75" s="520"/>
      <c r="I75" s="520"/>
      <c r="J75" s="520"/>
      <c r="K75" s="520"/>
      <c r="L75" s="520"/>
      <c r="M75" s="521"/>
      <c r="N75" s="2729"/>
      <c r="O75" s="2729"/>
      <c r="P75" s="2719"/>
      <c r="Q75" s="2720"/>
      <c r="R75" s="2721"/>
      <c r="S75" s="2721"/>
      <c r="T75" s="2721"/>
      <c r="U75" s="2721"/>
      <c r="V75" s="2721"/>
      <c r="W75" s="2721"/>
      <c r="X75" s="2721"/>
      <c r="Y75" s="2721"/>
      <c r="Z75" s="2721"/>
      <c r="AA75" s="2721"/>
      <c r="AB75" s="2721"/>
      <c r="AC75" s="2721"/>
    </row>
    <row r="76" spans="1:29">
      <c r="A76" s="476" t="s">
        <v>1672</v>
      </c>
      <c r="B76" s="477" t="s">
        <v>1702</v>
      </c>
      <c r="C76" s="522" t="s">
        <v>1703</v>
      </c>
      <c r="D76" s="522" t="s">
        <v>1704</v>
      </c>
      <c r="E76" s="522" t="s">
        <v>1705</v>
      </c>
      <c r="F76" s="522" t="s">
        <v>1706</v>
      </c>
      <c r="G76" s="522" t="s">
        <v>1707</v>
      </c>
      <c r="H76" s="478"/>
      <c r="I76" s="478"/>
      <c r="J76" s="478"/>
      <c r="K76" s="523"/>
      <c r="L76" s="524"/>
      <c r="M76" s="525"/>
      <c r="N76" s="2727"/>
      <c r="O76" s="2727"/>
      <c r="P76" s="2725"/>
      <c r="Q76" s="2713"/>
      <c r="R76" s="2699"/>
      <c r="S76" s="2699"/>
      <c r="T76" s="2699"/>
      <c r="U76" s="2699"/>
      <c r="V76" s="2699"/>
      <c r="W76" s="2699"/>
      <c r="X76" s="2699"/>
      <c r="Y76" s="2699"/>
      <c r="Z76" s="2699"/>
      <c r="AA76" s="2699"/>
      <c r="AB76" s="2699"/>
      <c r="AC76" s="2699"/>
    </row>
    <row r="77" spans="1:29" ht="15.75" thickBot="1">
      <c r="A77" s="483"/>
      <c r="B77" s="492"/>
      <c r="C77" s="493">
        <v>100</v>
      </c>
      <c r="D77" s="493">
        <f>C77-$K15</f>
        <v>100</v>
      </c>
      <c r="E77" s="493">
        <f>D77-$K15</f>
        <v>100</v>
      </c>
      <c r="F77" s="493">
        <f>E77-$K15</f>
        <v>100</v>
      </c>
      <c r="G77" s="493">
        <f>F77-$K15</f>
        <v>100</v>
      </c>
      <c r="H77" s="493"/>
      <c r="I77" s="493"/>
      <c r="J77" s="493"/>
      <c r="K77" s="493"/>
      <c r="L77" s="493"/>
      <c r="M77" s="494"/>
      <c r="N77" s="2728"/>
      <c r="O77" s="2728"/>
      <c r="P77" s="2718"/>
      <c r="Q77" s="2713"/>
      <c r="R77" s="2699"/>
      <c r="S77" s="2699"/>
      <c r="T77" s="2699"/>
      <c r="U77" s="2699"/>
      <c r="V77" s="2699"/>
      <c r="W77" s="2699"/>
      <c r="X77" s="2699"/>
      <c r="Y77" s="2699"/>
      <c r="Z77" s="2699"/>
      <c r="AA77" s="2699"/>
      <c r="AB77" s="2699"/>
      <c r="AC77" s="2699"/>
    </row>
    <row r="78" spans="1:29" ht="15.75" thickTop="1">
      <c r="A78" s="483"/>
      <c r="B78" s="487" t="s">
        <v>1708</v>
      </c>
      <c r="C78" s="527" t="s">
        <v>1703</v>
      </c>
      <c r="D78" s="527" t="s">
        <v>1704</v>
      </c>
      <c r="E78" s="527" t="s">
        <v>1705</v>
      </c>
      <c r="F78" s="527" t="s">
        <v>1706</v>
      </c>
      <c r="G78" s="527" t="s">
        <v>1707</v>
      </c>
      <c r="H78" s="488"/>
      <c r="I78" s="488"/>
      <c r="J78" s="488"/>
      <c r="K78" s="489"/>
      <c r="L78" s="490"/>
      <c r="M78" s="491"/>
      <c r="N78" s="2727"/>
      <c r="O78" s="2727"/>
      <c r="P78" s="2718"/>
      <c r="Q78" s="2713"/>
      <c r="R78" s="2699"/>
      <c r="S78" s="2699"/>
      <c r="T78" s="2699"/>
      <c r="U78" s="2699"/>
      <c r="V78" s="2699"/>
      <c r="W78" s="2699"/>
      <c r="X78" s="2699"/>
      <c r="Y78" s="2699"/>
      <c r="Z78" s="2699"/>
      <c r="AA78" s="2699"/>
      <c r="AB78" s="2699"/>
      <c r="AC78" s="2699"/>
    </row>
    <row r="79" spans="1:29" ht="15.75" thickBot="1">
      <c r="A79" s="483"/>
      <c r="B79" s="492"/>
      <c r="C79" s="493">
        <v>100</v>
      </c>
      <c r="D79" s="493">
        <f>C79-$K17</f>
        <v>100</v>
      </c>
      <c r="E79" s="493">
        <f>D79-$K17</f>
        <v>100</v>
      </c>
      <c r="F79" s="493">
        <f>E79-$K17</f>
        <v>100</v>
      </c>
      <c r="G79" s="493">
        <f>F79-$K17</f>
        <v>100</v>
      </c>
      <c r="H79" s="493"/>
      <c r="I79" s="493"/>
      <c r="J79" s="493"/>
      <c r="K79" s="493"/>
      <c r="L79" s="493"/>
      <c r="M79" s="494"/>
      <c r="N79" s="2728"/>
      <c r="O79" s="2728"/>
      <c r="P79" s="2718"/>
      <c r="Q79" s="2713"/>
      <c r="R79" s="2699"/>
      <c r="S79" s="2699"/>
      <c r="T79" s="2699"/>
      <c r="U79" s="2699"/>
      <c r="V79" s="2699"/>
      <c r="W79" s="2699"/>
      <c r="X79" s="2699"/>
      <c r="Y79" s="2699"/>
      <c r="Z79" s="2699"/>
      <c r="AA79" s="2699"/>
      <c r="AB79" s="2699"/>
      <c r="AC79" s="2699"/>
    </row>
    <row r="80" spans="1:29" ht="15.75" thickTop="1">
      <c r="A80" s="483"/>
      <c r="B80" s="487" t="s">
        <v>1709</v>
      </c>
      <c r="C80" s="527" t="s">
        <v>1703</v>
      </c>
      <c r="D80" s="527" t="s">
        <v>1704</v>
      </c>
      <c r="E80" s="527" t="s">
        <v>1705</v>
      </c>
      <c r="F80" s="527" t="s">
        <v>1706</v>
      </c>
      <c r="G80" s="527" t="s">
        <v>1707</v>
      </c>
      <c r="H80" s="488"/>
      <c r="I80" s="488"/>
      <c r="J80" s="488"/>
      <c r="K80" s="489"/>
      <c r="L80" s="490"/>
      <c r="M80" s="491"/>
      <c r="N80" s="2727"/>
      <c r="O80" s="2727"/>
      <c r="P80" s="2718"/>
      <c r="Q80" s="2713"/>
      <c r="R80" s="2699"/>
      <c r="S80" s="2699"/>
      <c r="T80" s="2699"/>
      <c r="U80" s="2699"/>
      <c r="V80" s="2699"/>
      <c r="W80" s="2699"/>
      <c r="X80" s="2699"/>
      <c r="Y80" s="2699"/>
      <c r="Z80" s="2699"/>
      <c r="AA80" s="2699"/>
      <c r="AB80" s="2699"/>
      <c r="AC80" s="2699"/>
    </row>
    <row r="81" spans="1:29" ht="15.75" thickBot="1">
      <c r="A81" s="483"/>
      <c r="B81" s="492"/>
      <c r="C81" s="493">
        <v>100</v>
      </c>
      <c r="D81" s="493">
        <f>C81-$K19</f>
        <v>100</v>
      </c>
      <c r="E81" s="493">
        <f>D81-$K19</f>
        <v>100</v>
      </c>
      <c r="F81" s="493">
        <f>E81-$K19</f>
        <v>100</v>
      </c>
      <c r="G81" s="493">
        <f>F81-$K19</f>
        <v>100</v>
      </c>
      <c r="H81" s="493"/>
      <c r="I81" s="493"/>
      <c r="J81" s="493"/>
      <c r="K81" s="493"/>
      <c r="L81" s="493"/>
      <c r="M81" s="494"/>
      <c r="N81" s="2728"/>
      <c r="O81" s="2728"/>
      <c r="P81" s="2718"/>
      <c r="Q81" s="2713"/>
      <c r="R81" s="2699"/>
      <c r="S81" s="2699"/>
      <c r="T81" s="2699"/>
      <c r="U81" s="2699"/>
      <c r="V81" s="2699"/>
      <c r="W81" s="2699"/>
      <c r="X81" s="2699"/>
      <c r="Y81" s="2699"/>
      <c r="Z81" s="2699"/>
      <c r="AA81" s="2699"/>
      <c r="AB81" s="2699"/>
      <c r="AC81" s="2699"/>
    </row>
    <row r="82" spans="1:29" ht="15.75" thickTop="1">
      <c r="A82" s="483"/>
      <c r="B82" s="495" t="s">
        <v>1761</v>
      </c>
      <c r="C82" s="608" t="s">
        <v>1781</v>
      </c>
      <c r="D82" s="608" t="s">
        <v>1782</v>
      </c>
      <c r="E82" s="608" t="s">
        <v>1783</v>
      </c>
      <c r="F82" s="608" t="s">
        <v>1784</v>
      </c>
      <c r="G82" s="608" t="s">
        <v>1785</v>
      </c>
      <c r="H82" s="488"/>
      <c r="I82" s="488"/>
      <c r="J82" s="488"/>
      <c r="K82" s="488"/>
      <c r="L82" s="488"/>
      <c r="M82" s="1129"/>
      <c r="N82" s="2728"/>
      <c r="O82" s="2728"/>
      <c r="P82" s="2718"/>
      <c r="Q82" s="2713"/>
      <c r="R82" s="2699"/>
      <c r="S82" s="2699"/>
      <c r="T82" s="2699"/>
      <c r="U82" s="2699"/>
      <c r="V82" s="2699"/>
      <c r="W82" s="2699"/>
      <c r="X82" s="2699"/>
      <c r="Y82" s="2699"/>
      <c r="Z82" s="2699"/>
      <c r="AA82" s="2699"/>
      <c r="AB82" s="2699"/>
      <c r="AC82" s="2699"/>
    </row>
    <row r="83" spans="1:29" ht="15.75" thickBot="1">
      <c r="A83" s="483"/>
      <c r="B83" s="495"/>
      <c r="C83" s="493">
        <v>100</v>
      </c>
      <c r="D83" s="493">
        <f>C83-$K21</f>
        <v>100</v>
      </c>
      <c r="E83" s="493">
        <f t="shared" ref="E83:G83" si="19">D83-$K21</f>
        <v>100</v>
      </c>
      <c r="F83" s="493">
        <f t="shared" si="19"/>
        <v>100</v>
      </c>
      <c r="G83" s="493">
        <f t="shared" si="19"/>
        <v>100</v>
      </c>
      <c r="H83" s="608"/>
      <c r="I83" s="608"/>
      <c r="J83" s="608"/>
      <c r="K83" s="608"/>
      <c r="L83" s="608"/>
      <c r="M83" s="401"/>
      <c r="N83" s="2728"/>
      <c r="O83" s="2728"/>
      <c r="P83" s="2718"/>
      <c r="Q83" s="2713"/>
      <c r="R83" s="2699"/>
      <c r="S83" s="2699"/>
      <c r="T83" s="2699"/>
      <c r="U83" s="2699"/>
      <c r="V83" s="2699"/>
      <c r="W83" s="2699"/>
      <c r="X83" s="2699"/>
      <c r="Y83" s="2699"/>
      <c r="Z83" s="2699"/>
      <c r="AA83" s="2699"/>
      <c r="AB83" s="2699"/>
      <c r="AC83" s="2699"/>
    </row>
    <row r="84" spans="1:29" ht="15.75" thickTop="1">
      <c r="A84" s="483"/>
      <c r="B84" s="487" t="s">
        <v>1715</v>
      </c>
      <c r="C84" s="527" t="s">
        <v>1703</v>
      </c>
      <c r="D84" s="527" t="s">
        <v>1704</v>
      </c>
      <c r="E84" s="527" t="s">
        <v>1705</v>
      </c>
      <c r="F84" s="527" t="s">
        <v>1706</v>
      </c>
      <c r="G84" s="527" t="s">
        <v>1707</v>
      </c>
      <c r="H84" s="488"/>
      <c r="I84" s="488"/>
      <c r="J84" s="488"/>
      <c r="K84" s="489"/>
      <c r="L84" s="490"/>
      <c r="M84" s="491"/>
      <c r="N84" s="2727"/>
      <c r="O84" s="2727"/>
      <c r="P84" s="2718"/>
      <c r="Q84" s="2713"/>
      <c r="R84" s="2699"/>
      <c r="S84" s="2699"/>
      <c r="T84" s="2699"/>
      <c r="U84" s="2699"/>
      <c r="V84" s="2699"/>
      <c r="W84" s="2699"/>
      <c r="X84" s="2699"/>
      <c r="Y84" s="2699"/>
      <c r="Z84" s="2699"/>
      <c r="AA84" s="2699"/>
      <c r="AB84" s="2699"/>
      <c r="AC84" s="2699"/>
    </row>
    <row r="85" spans="1:29" ht="15.75" thickBot="1">
      <c r="A85" s="483"/>
      <c r="B85" s="492"/>
      <c r="C85" s="493">
        <v>100</v>
      </c>
      <c r="D85" s="493">
        <f>C85-$K23</f>
        <v>100</v>
      </c>
      <c r="E85" s="493">
        <f>D85-$K23</f>
        <v>100</v>
      </c>
      <c r="F85" s="493">
        <f>E85-$K23</f>
        <v>100</v>
      </c>
      <c r="G85" s="493">
        <f>F85-$K23</f>
        <v>100</v>
      </c>
      <c r="H85" s="493"/>
      <c r="I85" s="493"/>
      <c r="J85" s="493"/>
      <c r="K85" s="493"/>
      <c r="L85" s="493"/>
      <c r="M85" s="494"/>
      <c r="N85" s="2728"/>
      <c r="O85" s="2728"/>
      <c r="P85" s="2718"/>
      <c r="Q85" s="2713"/>
      <c r="R85" s="2699"/>
      <c r="S85" s="2699"/>
      <c r="T85" s="2699"/>
      <c r="U85" s="2699"/>
      <c r="V85" s="2699"/>
      <c r="W85" s="2699"/>
      <c r="X85" s="2699"/>
      <c r="Y85" s="2699"/>
      <c r="Z85" s="2699"/>
      <c r="AA85" s="2699"/>
      <c r="AB85" s="2699"/>
      <c r="AC85" s="2699"/>
    </row>
    <row r="86" spans="1:29" s="108" customFormat="1" ht="15.75" thickTop="1">
      <c r="A86" s="528"/>
      <c r="B86" s="487" t="s">
        <v>1786</v>
      </c>
      <c r="C86" s="503"/>
      <c r="D86" s="503"/>
      <c r="E86" s="503"/>
      <c r="F86" s="503"/>
      <c r="G86" s="503"/>
      <c r="H86" s="503"/>
      <c r="I86" s="503"/>
      <c r="J86" s="503"/>
      <c r="K86" s="503"/>
      <c r="L86" s="529"/>
      <c r="M86" s="530"/>
      <c r="N86" s="2726"/>
      <c r="O86" s="2726"/>
      <c r="P86" s="2718"/>
      <c r="Q86" s="2713"/>
      <c r="R86" s="2635"/>
      <c r="S86" s="2635"/>
      <c r="T86" s="2635"/>
      <c r="U86" s="2635"/>
      <c r="V86" s="2635"/>
      <c r="W86" s="2635"/>
      <c r="X86" s="2635"/>
      <c r="Y86" s="2635"/>
      <c r="Z86" s="2635"/>
      <c r="AA86" s="2635"/>
      <c r="AB86" s="2635"/>
      <c r="AC86" s="2635"/>
    </row>
    <row r="87" spans="1:29" s="108" customFormat="1" ht="15.75" thickBot="1">
      <c r="A87" s="528"/>
      <c r="B87" s="492"/>
      <c r="C87" s="531">
        <v>100</v>
      </c>
      <c r="D87" s="493">
        <f t="shared" ref="D87:M87" si="20">C87-$K25</f>
        <v>100</v>
      </c>
      <c r="E87" s="493">
        <f t="shared" si="20"/>
        <v>100</v>
      </c>
      <c r="F87" s="493">
        <f t="shared" si="20"/>
        <v>100</v>
      </c>
      <c r="G87" s="493">
        <f t="shared" si="20"/>
        <v>100</v>
      </c>
      <c r="H87" s="493">
        <f t="shared" si="20"/>
        <v>100</v>
      </c>
      <c r="I87" s="493">
        <f t="shared" si="20"/>
        <v>100</v>
      </c>
      <c r="J87" s="493">
        <f t="shared" si="20"/>
        <v>100</v>
      </c>
      <c r="K87" s="493">
        <f t="shared" si="20"/>
        <v>100</v>
      </c>
      <c r="L87" s="493">
        <f t="shared" si="20"/>
        <v>100</v>
      </c>
      <c r="M87" s="493">
        <f t="shared" si="20"/>
        <v>100</v>
      </c>
      <c r="N87" s="2728"/>
      <c r="O87" s="2728"/>
      <c r="P87" s="2718"/>
      <c r="Q87" s="2713"/>
      <c r="R87" s="2635"/>
      <c r="S87" s="2635"/>
      <c r="T87" s="2635"/>
      <c r="U87" s="2635"/>
      <c r="V87" s="2635"/>
      <c r="W87" s="2635"/>
      <c r="X87" s="2635"/>
      <c r="Y87" s="2635"/>
      <c r="Z87" s="2635"/>
      <c r="AA87" s="2635"/>
      <c r="AB87" s="2635"/>
      <c r="AC87" s="2635"/>
    </row>
    <row r="88" spans="1:29" s="108" customFormat="1" ht="15.75" thickTop="1">
      <c r="A88" s="528"/>
      <c r="B88" s="487" t="str">
        <f>B26</f>
        <v>平面位置/可视性</v>
      </c>
      <c r="C88" s="503"/>
      <c r="D88" s="503"/>
      <c r="E88" s="503"/>
      <c r="F88" s="1926"/>
      <c r="G88" s="503"/>
      <c r="H88" s="503"/>
      <c r="I88" s="503"/>
      <c r="J88" s="503"/>
      <c r="K88" s="503"/>
      <c r="L88" s="503"/>
      <c r="M88" s="530"/>
      <c r="N88" s="2726"/>
      <c r="O88" s="2726"/>
      <c r="P88" s="2718"/>
      <c r="Q88" s="2713"/>
      <c r="R88" s="2635"/>
      <c r="S88" s="2635"/>
      <c r="T88" s="2635"/>
      <c r="U88" s="2635"/>
      <c r="V88" s="2635"/>
      <c r="W88" s="2635"/>
      <c r="X88" s="2635"/>
      <c r="Y88" s="2635"/>
      <c r="Z88" s="2635"/>
      <c r="AA88" s="2635"/>
      <c r="AB88" s="2635"/>
      <c r="AC88" s="2635"/>
    </row>
    <row r="89" spans="1:29" s="108" customFormat="1" ht="15.75" thickBot="1">
      <c r="A89" s="528"/>
      <c r="B89" s="492"/>
      <c r="C89" s="509"/>
      <c r="D89" s="485"/>
      <c r="E89" s="485"/>
      <c r="F89" s="485"/>
      <c r="G89" s="485"/>
      <c r="H89" s="485"/>
      <c r="I89" s="485"/>
      <c r="J89" s="485"/>
      <c r="K89" s="485"/>
      <c r="L89" s="485"/>
      <c r="M89" s="485"/>
      <c r="N89" s="2728"/>
      <c r="O89" s="2728"/>
      <c r="P89" s="2718"/>
      <c r="Q89" s="2713"/>
      <c r="R89" s="2635"/>
      <c r="S89" s="2635"/>
      <c r="T89" s="2635"/>
      <c r="U89" s="2635"/>
      <c r="V89" s="2635"/>
      <c r="W89" s="2635"/>
      <c r="X89" s="2635"/>
      <c r="Y89" s="2635"/>
      <c r="Z89" s="2635"/>
      <c r="AA89" s="2635"/>
      <c r="AB89" s="2635"/>
      <c r="AC89" s="2635"/>
    </row>
    <row r="90" spans="1:29" s="422" customFormat="1" ht="15.75" thickTop="1">
      <c r="A90" s="502"/>
      <c r="B90" s="487" t="str">
        <f>B27</f>
        <v>人流量</v>
      </c>
      <c r="C90" s="503"/>
      <c r="D90" s="503"/>
      <c r="E90" s="503"/>
      <c r="F90" s="503"/>
      <c r="G90" s="503"/>
      <c r="H90" s="504"/>
      <c r="I90" s="504"/>
      <c r="J90" s="504"/>
      <c r="K90" s="504"/>
      <c r="L90" s="505"/>
      <c r="M90" s="506"/>
      <c r="N90" s="2729"/>
      <c r="O90" s="2729"/>
      <c r="P90" s="2719"/>
      <c r="Q90" s="2720"/>
      <c r="R90" s="2721"/>
      <c r="S90" s="2721"/>
      <c r="T90" s="2721"/>
      <c r="U90" s="2721"/>
      <c r="V90" s="2721"/>
      <c r="W90" s="2721"/>
      <c r="X90" s="2721"/>
      <c r="Y90" s="2721"/>
      <c r="Z90" s="2721"/>
      <c r="AA90" s="2721"/>
      <c r="AB90" s="2721"/>
      <c r="AC90" s="2721"/>
    </row>
    <row r="91" spans="1:29" s="422" customFormat="1" ht="15.75" thickBot="1">
      <c r="A91" s="502"/>
      <c r="B91" s="492"/>
      <c r="C91" s="531">
        <v>100</v>
      </c>
      <c r="D91" s="493">
        <f>C91-$K27</f>
        <v>100</v>
      </c>
      <c r="E91" s="493">
        <f t="shared" ref="E91:M91" si="21">D91-$K27</f>
        <v>100</v>
      </c>
      <c r="F91" s="493">
        <f t="shared" si="21"/>
        <v>100</v>
      </c>
      <c r="G91" s="493">
        <f t="shared" si="21"/>
        <v>100</v>
      </c>
      <c r="H91" s="493">
        <f t="shared" si="21"/>
        <v>100</v>
      </c>
      <c r="I91" s="493">
        <f t="shared" si="21"/>
        <v>100</v>
      </c>
      <c r="J91" s="493">
        <f t="shared" si="21"/>
        <v>100</v>
      </c>
      <c r="K91" s="493">
        <f t="shared" si="21"/>
        <v>100</v>
      </c>
      <c r="L91" s="493">
        <f t="shared" si="21"/>
        <v>100</v>
      </c>
      <c r="M91" s="493">
        <f t="shared" si="21"/>
        <v>100</v>
      </c>
      <c r="N91" s="2729"/>
      <c r="O91" s="2729"/>
      <c r="P91" s="2719"/>
      <c r="Q91" s="2720"/>
      <c r="R91" s="2721"/>
      <c r="S91" s="2721"/>
      <c r="T91" s="2721"/>
      <c r="U91" s="2721"/>
      <c r="V91" s="2721"/>
      <c r="W91" s="2721"/>
      <c r="X91" s="2721"/>
      <c r="Y91" s="2721"/>
      <c r="Z91" s="2721"/>
      <c r="AA91" s="2721"/>
      <c r="AB91" s="2721"/>
      <c r="AC91" s="2721"/>
    </row>
    <row r="92" spans="1:29" ht="15.75" thickTop="1">
      <c r="A92" s="483"/>
      <c r="B92" s="487" t="str">
        <f>B28</f>
        <v>楼层</v>
      </c>
      <c r="C92" s="503"/>
      <c r="D92" s="503"/>
      <c r="E92" s="503"/>
      <c r="F92" s="503"/>
      <c r="G92" s="503"/>
      <c r="H92" s="503"/>
      <c r="I92" s="503"/>
      <c r="J92" s="503"/>
      <c r="K92" s="503"/>
      <c r="L92" s="529"/>
      <c r="M92" s="530"/>
      <c r="N92" s="2727"/>
      <c r="O92" s="2727"/>
      <c r="P92" s="2718"/>
      <c r="Q92" s="2713"/>
      <c r="R92" s="2699"/>
      <c r="S92" s="2699"/>
      <c r="T92" s="2699"/>
      <c r="U92" s="2699"/>
      <c r="V92" s="2699"/>
      <c r="W92" s="2699"/>
      <c r="X92" s="2699"/>
      <c r="Y92" s="2699"/>
      <c r="Z92" s="2699"/>
      <c r="AA92" s="2699"/>
      <c r="AB92" s="2699"/>
      <c r="AC92" s="2699"/>
    </row>
    <row r="93" spans="1:29" ht="15.75" thickBot="1">
      <c r="A93" s="483"/>
      <c r="B93" s="492"/>
      <c r="C93" s="485"/>
      <c r="D93" s="485"/>
      <c r="E93" s="485"/>
      <c r="F93" s="485"/>
      <c r="G93" s="485"/>
      <c r="H93" s="485"/>
      <c r="I93" s="485"/>
      <c r="J93" s="485"/>
      <c r="K93" s="485"/>
      <c r="L93" s="485"/>
      <c r="M93" s="486"/>
      <c r="N93" s="2728"/>
      <c r="O93" s="2728"/>
      <c r="P93" s="2718"/>
      <c r="Q93" s="2713"/>
      <c r="R93" s="2699"/>
      <c r="S93" s="2699"/>
      <c r="T93" s="2699"/>
      <c r="U93" s="2699"/>
      <c r="V93" s="2699"/>
      <c r="W93" s="2699"/>
      <c r="X93" s="2699"/>
      <c r="Y93" s="2699"/>
      <c r="Z93" s="2699"/>
      <c r="AA93" s="2699"/>
      <c r="AB93" s="2699"/>
      <c r="AC93" s="2699"/>
    </row>
    <row r="94" spans="1:29" ht="15.75" thickTop="1">
      <c r="A94" s="483"/>
      <c r="B94" s="487">
        <f>B29</f>
        <v>111</v>
      </c>
      <c r="C94" s="503"/>
      <c r="D94" s="503"/>
      <c r="E94" s="503"/>
      <c r="F94" s="503"/>
      <c r="G94" s="532"/>
      <c r="H94" s="532"/>
      <c r="I94" s="532"/>
      <c r="J94" s="532"/>
      <c r="K94" s="533"/>
      <c r="L94" s="534"/>
      <c r="M94" s="535"/>
      <c r="N94" s="2727"/>
      <c r="O94" s="2727"/>
      <c r="P94" s="2718"/>
      <c r="Q94" s="2713"/>
      <c r="R94" s="2699"/>
      <c r="S94" s="2699"/>
      <c r="T94" s="2699"/>
      <c r="U94" s="2699"/>
      <c r="V94" s="2699"/>
      <c r="W94" s="2699"/>
      <c r="X94" s="2699"/>
      <c r="Y94" s="2699"/>
      <c r="Z94" s="2699"/>
      <c r="AA94" s="2699"/>
      <c r="AB94" s="2699"/>
      <c r="AC94" s="2699"/>
    </row>
    <row r="95" spans="1:29" ht="15.75" thickBot="1">
      <c r="A95" s="483"/>
      <c r="B95" s="492"/>
      <c r="C95" s="509"/>
      <c r="D95" s="485"/>
      <c r="E95" s="485"/>
      <c r="F95" s="485"/>
      <c r="G95" s="485"/>
      <c r="H95" s="485"/>
      <c r="I95" s="485"/>
      <c r="J95" s="485"/>
      <c r="K95" s="485"/>
      <c r="L95" s="485"/>
      <c r="M95" s="486"/>
      <c r="N95" s="2728"/>
      <c r="O95" s="2728"/>
      <c r="P95" s="2718"/>
      <c r="Q95" s="2713"/>
      <c r="R95" s="2699"/>
      <c r="S95" s="2699"/>
      <c r="T95" s="2699"/>
      <c r="U95" s="2699"/>
      <c r="V95" s="2699"/>
      <c r="W95" s="2699"/>
      <c r="X95" s="2699"/>
      <c r="Y95" s="2699"/>
      <c r="Z95" s="2699"/>
      <c r="AA95" s="2699"/>
      <c r="AB95" s="2699"/>
      <c r="AC95" s="2699"/>
    </row>
    <row r="96" spans="1:29" ht="15.75" thickTop="1">
      <c r="A96" s="483"/>
      <c r="B96" s="487">
        <f>B30</f>
        <v>111</v>
      </c>
      <c r="C96" s="503"/>
      <c r="D96" s="503"/>
      <c r="E96" s="503"/>
      <c r="F96" s="503"/>
      <c r="G96" s="532"/>
      <c r="H96" s="532"/>
      <c r="I96" s="532"/>
      <c r="J96" s="532"/>
      <c r="K96" s="533"/>
      <c r="L96" s="534"/>
      <c r="M96" s="535"/>
      <c r="N96" s="2727"/>
      <c r="O96" s="2727"/>
      <c r="P96" s="2718"/>
      <c r="Q96" s="2713"/>
      <c r="R96" s="2699"/>
      <c r="S96" s="2699"/>
      <c r="T96" s="2699"/>
      <c r="U96" s="2699"/>
      <c r="V96" s="2699"/>
      <c r="W96" s="2699"/>
      <c r="X96" s="2699"/>
      <c r="Y96" s="2699"/>
      <c r="Z96" s="2699"/>
      <c r="AA96" s="2699"/>
      <c r="AB96" s="2699"/>
      <c r="AC96" s="2699"/>
    </row>
    <row r="97" spans="1:29" ht="15.75" thickBot="1">
      <c r="A97" s="483"/>
      <c r="B97" s="492"/>
      <c r="C97" s="509"/>
      <c r="D97" s="485"/>
      <c r="E97" s="485"/>
      <c r="F97" s="485"/>
      <c r="G97" s="485"/>
      <c r="H97" s="485"/>
      <c r="I97" s="485"/>
      <c r="J97" s="485"/>
      <c r="K97" s="485"/>
      <c r="L97" s="485"/>
      <c r="M97" s="486"/>
      <c r="N97" s="2728"/>
      <c r="O97" s="2728"/>
      <c r="P97" s="2718"/>
      <c r="Q97" s="2713"/>
      <c r="R97" s="2699"/>
      <c r="S97" s="2699"/>
      <c r="T97" s="2699"/>
      <c r="U97" s="2699"/>
      <c r="V97" s="2699"/>
      <c r="W97" s="2699"/>
      <c r="X97" s="2699"/>
      <c r="Y97" s="2699"/>
      <c r="Z97" s="2699"/>
      <c r="AA97" s="2699"/>
      <c r="AB97" s="2699"/>
      <c r="AC97" s="2699"/>
    </row>
    <row r="98" spans="1:29" ht="15.75" thickTop="1">
      <c r="A98" s="483"/>
      <c r="B98" s="495">
        <f>B31</f>
        <v>111</v>
      </c>
      <c r="C98" s="503"/>
      <c r="D98" s="503"/>
      <c r="E98" s="503"/>
      <c r="F98" s="503"/>
      <c r="G98" s="536"/>
      <c r="H98" s="536"/>
      <c r="I98" s="536"/>
      <c r="J98" s="536"/>
      <c r="K98" s="537"/>
      <c r="L98" s="538"/>
      <c r="M98" s="539"/>
      <c r="N98" s="2727"/>
      <c r="O98" s="2727"/>
      <c r="P98" s="2718"/>
      <c r="Q98" s="2713"/>
      <c r="R98" s="2699"/>
      <c r="S98" s="2699"/>
      <c r="T98" s="2699"/>
      <c r="U98" s="2699"/>
      <c r="V98" s="2699"/>
      <c r="W98" s="2699"/>
      <c r="X98" s="2699"/>
      <c r="Y98" s="2699"/>
      <c r="Z98" s="2699"/>
      <c r="AA98" s="2699"/>
      <c r="AB98" s="2699"/>
      <c r="AC98" s="2699"/>
    </row>
    <row r="99" spans="1:29" ht="15.75" thickBot="1">
      <c r="A99" s="1927"/>
      <c r="B99" s="518"/>
      <c r="C99" s="519"/>
      <c r="D99" s="519"/>
      <c r="E99" s="519"/>
      <c r="F99" s="519"/>
      <c r="G99" s="540"/>
      <c r="H99" s="540"/>
      <c r="I99" s="540"/>
      <c r="J99" s="540"/>
      <c r="K99" s="540"/>
      <c r="L99" s="540"/>
      <c r="M99" s="541"/>
      <c r="N99" s="2728"/>
      <c r="O99" s="2728"/>
      <c r="P99" s="2718"/>
      <c r="Q99" s="2713"/>
      <c r="R99" s="2699"/>
      <c r="S99" s="2699"/>
      <c r="T99" s="2699"/>
      <c r="U99" s="2699"/>
      <c r="V99" s="2699"/>
      <c r="W99" s="2699"/>
      <c r="X99" s="2699"/>
      <c r="Y99" s="2699"/>
      <c r="Z99" s="2699"/>
      <c r="AA99" s="2699"/>
      <c r="AB99" s="2699"/>
      <c r="AC99" s="2699"/>
    </row>
    <row r="100" spans="1:29">
      <c r="A100" s="476" t="s">
        <v>1676</v>
      </c>
      <c r="B100" s="477" t="s">
        <v>1787</v>
      </c>
      <c r="C100" s="479"/>
      <c r="D100" s="479"/>
      <c r="E100" s="479"/>
      <c r="F100" s="479"/>
      <c r="G100" s="479"/>
      <c r="H100" s="479"/>
      <c r="I100" s="479"/>
      <c r="J100" s="479"/>
      <c r="K100" s="480"/>
      <c r="L100" s="481"/>
      <c r="M100" s="482"/>
      <c r="N100" s="2727"/>
      <c r="O100" s="2727"/>
      <c r="P100" s="2718"/>
      <c r="Q100" s="2713"/>
      <c r="R100" s="2699"/>
      <c r="S100" s="2699"/>
      <c r="T100" s="2699"/>
      <c r="U100" s="2699"/>
      <c r="V100" s="2699"/>
      <c r="W100" s="2699"/>
      <c r="X100" s="2699"/>
      <c r="Y100" s="2699"/>
      <c r="Z100" s="2699"/>
      <c r="AA100" s="2699"/>
      <c r="AB100" s="2699"/>
      <c r="AC100" s="2699"/>
    </row>
    <row r="101" spans="1:29" ht="15.75" thickBot="1">
      <c r="A101" s="483"/>
      <c r="B101" s="492"/>
      <c r="C101" s="493">
        <v>100</v>
      </c>
      <c r="D101" s="493">
        <f t="shared" ref="D101:M101" si="22">C101-$K32</f>
        <v>100</v>
      </c>
      <c r="E101" s="493">
        <f t="shared" si="22"/>
        <v>100</v>
      </c>
      <c r="F101" s="493">
        <f t="shared" si="22"/>
        <v>100</v>
      </c>
      <c r="G101" s="493">
        <f t="shared" si="22"/>
        <v>100</v>
      </c>
      <c r="H101" s="493">
        <f t="shared" si="22"/>
        <v>100</v>
      </c>
      <c r="I101" s="493">
        <f t="shared" si="22"/>
        <v>100</v>
      </c>
      <c r="J101" s="493">
        <f t="shared" si="22"/>
        <v>100</v>
      </c>
      <c r="K101" s="493">
        <f t="shared" si="22"/>
        <v>100</v>
      </c>
      <c r="L101" s="493">
        <f t="shared" si="22"/>
        <v>100</v>
      </c>
      <c r="M101" s="494">
        <f t="shared" si="22"/>
        <v>100</v>
      </c>
      <c r="N101" s="2728"/>
      <c r="O101" s="2728"/>
      <c r="P101" s="2718"/>
      <c r="Q101" s="2713"/>
      <c r="R101" s="2699"/>
      <c r="S101" s="2699"/>
      <c r="T101" s="2699"/>
      <c r="U101" s="2699"/>
      <c r="V101" s="2699"/>
      <c r="W101" s="2699"/>
      <c r="X101" s="2699"/>
      <c r="Y101" s="2699"/>
      <c r="Z101" s="2699"/>
      <c r="AA101" s="2699"/>
      <c r="AB101" s="2699"/>
      <c r="AC101" s="2699"/>
    </row>
    <row r="102" spans="1:29" ht="15.75" thickTop="1">
      <c r="A102" s="483"/>
      <c r="B102" s="487" t="s">
        <v>1719</v>
      </c>
      <c r="C102" s="527" t="str">
        <f>C103&amp;"(含)"&amp;"-"&amp;D103</f>
        <v>(含)-</v>
      </c>
      <c r="D102" s="527" t="str">
        <f t="shared" ref="D102:L102" si="23">D103&amp;"(含)"&amp;"-"&amp;E103</f>
        <v>(含)-</v>
      </c>
      <c r="E102" s="527" t="str">
        <f t="shared" si="23"/>
        <v>(含)-</v>
      </c>
      <c r="F102" s="527" t="str">
        <f t="shared" si="23"/>
        <v>(含)-</v>
      </c>
      <c r="G102" s="527" t="str">
        <f t="shared" si="23"/>
        <v>(含)-</v>
      </c>
      <c r="H102" s="527" t="str">
        <f t="shared" si="23"/>
        <v>(含)-</v>
      </c>
      <c r="I102" s="527" t="str">
        <f t="shared" si="23"/>
        <v>(含)-</v>
      </c>
      <c r="J102" s="527" t="str">
        <f t="shared" si="23"/>
        <v>(含)-</v>
      </c>
      <c r="K102" s="527" t="str">
        <f t="shared" si="23"/>
        <v>(含)-</v>
      </c>
      <c r="L102" s="527" t="str">
        <f t="shared" si="23"/>
        <v>(含)-</v>
      </c>
      <c r="M102" s="570" t="str">
        <f>M103&amp;"(含)"&amp;"-"&amp;P103</f>
        <v>(含)-</v>
      </c>
      <c r="N102" s="2726"/>
      <c r="O102" s="2726"/>
      <c r="P102" s="2718"/>
      <c r="Q102" s="2713"/>
      <c r="R102" s="2699"/>
      <c r="S102" s="2699"/>
      <c r="T102" s="2699"/>
      <c r="U102" s="2699"/>
      <c r="V102" s="2699"/>
      <c r="W102" s="2699"/>
      <c r="X102" s="2699"/>
      <c r="Y102" s="2699"/>
      <c r="Z102" s="2699"/>
      <c r="AA102" s="2699"/>
      <c r="AB102" s="2699"/>
      <c r="AC102" s="2699"/>
    </row>
    <row r="103" spans="1:29" s="422" customFormat="1">
      <c r="A103" s="542"/>
      <c r="B103" s="543"/>
      <c r="C103" s="544"/>
      <c r="D103" s="544"/>
      <c r="E103" s="544"/>
      <c r="F103" s="544"/>
      <c r="G103" s="544"/>
      <c r="H103" s="544"/>
      <c r="I103" s="544"/>
      <c r="J103" s="545"/>
      <c r="K103" s="545"/>
      <c r="L103" s="546"/>
      <c r="M103" s="547"/>
      <c r="N103" s="2729"/>
      <c r="O103" s="2729"/>
      <c r="P103" s="2719"/>
      <c r="Q103" s="2720"/>
      <c r="R103" s="2721"/>
      <c r="S103" s="2721"/>
      <c r="T103" s="2721"/>
      <c r="U103" s="2721"/>
      <c r="V103" s="2721"/>
      <c r="W103" s="2721"/>
      <c r="X103" s="2721"/>
      <c r="Y103" s="2721"/>
      <c r="Z103" s="2721"/>
      <c r="AA103" s="2721"/>
      <c r="AB103" s="2721"/>
      <c r="AC103" s="2721"/>
    </row>
    <row r="104" spans="1:29" s="422" customFormat="1" ht="15.75" thickBot="1">
      <c r="A104" s="502"/>
      <c r="B104" s="492"/>
      <c r="C104" s="509"/>
      <c r="D104" s="485"/>
      <c r="E104" s="485"/>
      <c r="F104" s="485"/>
      <c r="G104" s="485"/>
      <c r="H104" s="485"/>
      <c r="I104" s="485"/>
      <c r="J104" s="485"/>
      <c r="K104" s="485"/>
      <c r="L104" s="485"/>
      <c r="M104" s="486"/>
      <c r="N104" s="2728"/>
      <c r="O104" s="2728"/>
      <c r="P104" s="2719"/>
      <c r="Q104" s="2720"/>
      <c r="R104" s="2721"/>
      <c r="S104" s="2721"/>
      <c r="T104" s="2721"/>
      <c r="U104" s="2721"/>
      <c r="V104" s="2721"/>
      <c r="W104" s="2721"/>
      <c r="X104" s="2721"/>
      <c r="Y104" s="2721"/>
      <c r="Z104" s="2721"/>
      <c r="AA104" s="2721"/>
      <c r="AB104" s="2721"/>
      <c r="AC104" s="2721"/>
    </row>
    <row r="105" spans="1:29" ht="15" thickTop="1">
      <c r="A105" s="548"/>
      <c r="B105" s="487" t="s">
        <v>1720</v>
      </c>
      <c r="C105" s="503"/>
      <c r="D105" s="503"/>
      <c r="E105" s="532"/>
      <c r="F105" s="532"/>
      <c r="G105" s="532"/>
      <c r="H105" s="532"/>
      <c r="I105" s="532"/>
      <c r="J105" s="532"/>
      <c r="K105" s="533"/>
      <c r="L105" s="534"/>
      <c r="M105" s="535"/>
      <c r="N105" s="2727"/>
      <c r="O105" s="2727"/>
      <c r="P105" s="2718"/>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4">C106-$K34</f>
        <v>100</v>
      </c>
      <c r="E106" s="493">
        <f t="shared" si="24"/>
        <v>100</v>
      </c>
      <c r="F106" s="493">
        <f t="shared" si="24"/>
        <v>100</v>
      </c>
      <c r="G106" s="493">
        <f t="shared" si="24"/>
        <v>100</v>
      </c>
      <c r="H106" s="493">
        <f t="shared" si="24"/>
        <v>100</v>
      </c>
      <c r="I106" s="493">
        <f t="shared" si="24"/>
        <v>100</v>
      </c>
      <c r="J106" s="493">
        <f t="shared" si="24"/>
        <v>100</v>
      </c>
      <c r="K106" s="493">
        <f t="shared" si="24"/>
        <v>100</v>
      </c>
      <c r="L106" s="493">
        <f t="shared" si="24"/>
        <v>100</v>
      </c>
      <c r="M106" s="494">
        <f t="shared" si="24"/>
        <v>100</v>
      </c>
      <c r="N106" s="2728"/>
      <c r="O106" s="2728"/>
      <c r="P106" s="2718"/>
      <c r="Q106" s="2713"/>
      <c r="R106" s="2699"/>
      <c r="S106" s="2699"/>
      <c r="T106" s="2699"/>
      <c r="U106" s="2699"/>
      <c r="V106" s="2699"/>
      <c r="W106" s="2699"/>
      <c r="X106" s="2699"/>
      <c r="Y106" s="2699"/>
      <c r="Z106" s="2699"/>
      <c r="AA106" s="2699"/>
      <c r="AB106" s="2699"/>
      <c r="AC106" s="2699"/>
    </row>
    <row r="107" spans="1:29" ht="15" thickTop="1">
      <c r="A107" s="548"/>
      <c r="B107" s="487" t="s">
        <v>1722</v>
      </c>
      <c r="C107" s="503"/>
      <c r="D107" s="503"/>
      <c r="E107" s="503"/>
      <c r="F107" s="532"/>
      <c r="G107" s="532"/>
      <c r="H107" s="532"/>
      <c r="I107" s="532"/>
      <c r="J107" s="532"/>
      <c r="K107" s="533"/>
      <c r="L107" s="534"/>
      <c r="M107" s="535"/>
      <c r="N107" s="2727"/>
      <c r="O107" s="2727"/>
      <c r="P107" s="2718"/>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5">C108-$K35</f>
        <v>100</v>
      </c>
      <c r="E108" s="493">
        <f t="shared" si="25"/>
        <v>100</v>
      </c>
      <c r="F108" s="493">
        <f t="shared" si="25"/>
        <v>100</v>
      </c>
      <c r="G108" s="493">
        <f t="shared" si="25"/>
        <v>100</v>
      </c>
      <c r="H108" s="493">
        <f t="shared" si="25"/>
        <v>100</v>
      </c>
      <c r="I108" s="493">
        <f t="shared" si="25"/>
        <v>100</v>
      </c>
      <c r="J108" s="493">
        <f t="shared" si="25"/>
        <v>100</v>
      </c>
      <c r="K108" s="493">
        <f t="shared" si="25"/>
        <v>100</v>
      </c>
      <c r="L108" s="493">
        <f t="shared" si="25"/>
        <v>100</v>
      </c>
      <c r="M108" s="494">
        <f t="shared" si="25"/>
        <v>100</v>
      </c>
      <c r="N108" s="2728"/>
      <c r="O108" s="2728"/>
      <c r="P108" s="2718"/>
      <c r="Q108" s="2713"/>
      <c r="R108" s="2699"/>
      <c r="S108" s="2699"/>
      <c r="T108" s="2699"/>
      <c r="U108" s="2699"/>
      <c r="V108" s="2699"/>
      <c r="W108" s="2699"/>
      <c r="X108" s="2699"/>
      <c r="Y108" s="2699"/>
      <c r="Z108" s="2699"/>
      <c r="AA108" s="2699"/>
      <c r="AB108" s="2699"/>
      <c r="AC108" s="2699"/>
    </row>
    <row r="109" spans="1:29" ht="15" thickTop="1">
      <c r="A109" s="548"/>
      <c r="B109" s="487" t="s">
        <v>1188</v>
      </c>
      <c r="C109" s="527" t="str">
        <f>C110&amp;"(含)"&amp;"-"&amp;D110</f>
        <v>0.5(含)-0.6</v>
      </c>
      <c r="D109" s="527" t="str">
        <f>D110&amp;"(含)"&amp;"-"&amp;E110</f>
        <v>0.6(含)-0.7</v>
      </c>
      <c r="E109" s="527" t="str">
        <f>E110&amp;"(含)"&amp;"-"&amp;F110</f>
        <v>0.7(含)-0.8</v>
      </c>
      <c r="F109" s="527" t="str">
        <f>F110&amp;"(含)"&amp;"-"&amp;G110</f>
        <v>0.8(含)-0.9</v>
      </c>
      <c r="G109" s="527" t="str">
        <f>G110&amp;"(含)"&amp;"-"&amp;ROUND(H110,0)&amp;"(含)"</f>
        <v>0.9(含)-1(含)</v>
      </c>
      <c r="H109" s="527"/>
      <c r="I109" s="532"/>
      <c r="J109" s="532"/>
      <c r="K109" s="533"/>
      <c r="L109" s="534"/>
      <c r="M109" s="535"/>
      <c r="N109" s="2727"/>
      <c r="O109" s="2727"/>
      <c r="P109" s="2718"/>
      <c r="Q109" s="2713"/>
      <c r="R109" s="2699"/>
      <c r="S109" s="2699"/>
      <c r="T109" s="2699"/>
      <c r="U109" s="2699"/>
      <c r="V109" s="2699"/>
      <c r="W109" s="2699"/>
      <c r="X109" s="2699"/>
      <c r="Y109" s="2699"/>
      <c r="Z109" s="2699"/>
      <c r="AA109" s="2699"/>
      <c r="AB109" s="2699"/>
      <c r="AC109" s="2699"/>
    </row>
    <row r="110" spans="1:29">
      <c r="A110" s="548"/>
      <c r="B110" s="495"/>
      <c r="C110" s="552">
        <v>0.5</v>
      </c>
      <c r="D110" s="552">
        <v>0.6</v>
      </c>
      <c r="E110" s="552">
        <v>0.7</v>
      </c>
      <c r="F110" s="552">
        <v>0.8</v>
      </c>
      <c r="G110" s="552">
        <v>0.9</v>
      </c>
      <c r="H110" s="552">
        <v>1.0001</v>
      </c>
      <c r="I110" s="571"/>
      <c r="J110" s="571"/>
      <c r="K110" s="572"/>
      <c r="L110" s="573"/>
      <c r="M110" s="574"/>
      <c r="N110" s="2727"/>
      <c r="O110" s="2727"/>
      <c r="P110" s="2718"/>
      <c r="Q110" s="2713"/>
      <c r="R110" s="2699"/>
      <c r="S110" s="2699"/>
      <c r="T110" s="2699"/>
      <c r="U110" s="2699"/>
      <c r="V110" s="2699"/>
      <c r="W110" s="2699"/>
      <c r="X110" s="2699"/>
      <c r="Y110" s="2699"/>
      <c r="Z110" s="2699"/>
      <c r="AA110" s="2699"/>
      <c r="AB110" s="2699"/>
      <c r="AC110" s="2699"/>
    </row>
    <row r="111" spans="1:29" ht="15.75" thickBot="1">
      <c r="A111" s="483"/>
      <c r="B111" s="492"/>
      <c r="C111" s="531">
        <v>100</v>
      </c>
      <c r="D111" s="493">
        <f>C111+$K36</f>
        <v>100</v>
      </c>
      <c r="E111" s="493">
        <f t="shared" ref="E111:M111" si="26">D111+$K36</f>
        <v>100</v>
      </c>
      <c r="F111" s="493">
        <f t="shared" si="26"/>
        <v>100</v>
      </c>
      <c r="G111" s="493">
        <f t="shared" si="26"/>
        <v>100</v>
      </c>
      <c r="H111" s="493">
        <f t="shared" si="26"/>
        <v>100</v>
      </c>
      <c r="I111" s="493">
        <f t="shared" si="26"/>
        <v>100</v>
      </c>
      <c r="J111" s="493">
        <f t="shared" si="26"/>
        <v>100</v>
      </c>
      <c r="K111" s="493">
        <f t="shared" si="26"/>
        <v>100</v>
      </c>
      <c r="L111" s="493">
        <f t="shared" si="26"/>
        <v>100</v>
      </c>
      <c r="M111" s="493">
        <f t="shared" si="26"/>
        <v>100</v>
      </c>
      <c r="N111" s="2728"/>
      <c r="O111" s="2728"/>
      <c r="P111" s="2718"/>
      <c r="Q111" s="2713"/>
      <c r="R111" s="2699"/>
      <c r="S111" s="2699"/>
      <c r="T111" s="2699"/>
      <c r="U111" s="2699"/>
      <c r="V111" s="2699"/>
      <c r="W111" s="2699"/>
      <c r="X111" s="2699"/>
      <c r="Y111" s="2699"/>
      <c r="Z111" s="2699"/>
      <c r="AA111" s="2699"/>
      <c r="AB111" s="2699"/>
      <c r="AC111" s="2699"/>
    </row>
    <row r="112" spans="1:29" s="422" customFormat="1" ht="15" thickTop="1">
      <c r="A112" s="542"/>
      <c r="B112" s="487" t="s">
        <v>1724</v>
      </c>
      <c r="C112" s="503"/>
      <c r="D112" s="503"/>
      <c r="E112" s="503"/>
      <c r="F112" s="503"/>
      <c r="G112" s="503"/>
      <c r="H112" s="532"/>
      <c r="I112" s="532"/>
      <c r="J112" s="532"/>
      <c r="K112" s="533"/>
      <c r="L112" s="534"/>
      <c r="M112" s="535"/>
      <c r="N112" s="2729"/>
      <c r="O112" s="2729"/>
      <c r="P112" s="2719"/>
      <c r="Q112" s="2720"/>
      <c r="R112" s="2721"/>
      <c r="S112" s="2721"/>
      <c r="T112" s="2721"/>
      <c r="U112" s="2721"/>
      <c r="V112" s="2721"/>
      <c r="W112" s="2721"/>
      <c r="X112" s="2721"/>
      <c r="Y112" s="2721"/>
      <c r="Z112" s="2721"/>
      <c r="AA112" s="2721"/>
      <c r="AB112" s="2721"/>
      <c r="AC112" s="2721"/>
    </row>
    <row r="113" spans="1:29" s="422" customFormat="1" ht="15.75" thickBot="1">
      <c r="A113" s="502"/>
      <c r="B113" s="492"/>
      <c r="C113" s="493">
        <v>100</v>
      </c>
      <c r="D113" s="493">
        <f>C113-$K37</f>
        <v>100</v>
      </c>
      <c r="E113" s="493">
        <f t="shared" ref="E113:M113" si="27">D113-$K37</f>
        <v>100</v>
      </c>
      <c r="F113" s="493">
        <f t="shared" si="27"/>
        <v>100</v>
      </c>
      <c r="G113" s="493">
        <f t="shared" si="27"/>
        <v>100</v>
      </c>
      <c r="H113" s="493">
        <f t="shared" si="27"/>
        <v>100</v>
      </c>
      <c r="I113" s="493">
        <f t="shared" si="27"/>
        <v>100</v>
      </c>
      <c r="J113" s="493">
        <f t="shared" si="27"/>
        <v>100</v>
      </c>
      <c r="K113" s="493">
        <f t="shared" si="27"/>
        <v>100</v>
      </c>
      <c r="L113" s="493">
        <f t="shared" si="27"/>
        <v>100</v>
      </c>
      <c r="M113" s="493">
        <f t="shared" si="27"/>
        <v>100</v>
      </c>
      <c r="N113" s="2729"/>
      <c r="O113" s="2729"/>
      <c r="P113" s="2719"/>
      <c r="Q113" s="2720"/>
      <c r="R113" s="2721"/>
      <c r="S113" s="2721"/>
      <c r="T113" s="2721"/>
      <c r="U113" s="2721"/>
      <c r="V113" s="2721"/>
      <c r="W113" s="2721"/>
      <c r="X113" s="2721"/>
      <c r="Y113" s="2721"/>
      <c r="Z113" s="2721"/>
      <c r="AA113" s="2721"/>
      <c r="AB113" s="2721"/>
      <c r="AC113" s="2721"/>
    </row>
    <row r="114" spans="1:29" ht="15" thickTop="1">
      <c r="A114" s="548"/>
      <c r="B114" s="487" t="s">
        <v>1788</v>
      </c>
      <c r="C114" s="503"/>
      <c r="D114" s="503"/>
      <c r="E114" s="532"/>
      <c r="F114" s="532"/>
      <c r="G114" s="532"/>
      <c r="H114" s="532"/>
      <c r="I114" s="532"/>
      <c r="J114" s="532"/>
      <c r="K114" s="533"/>
      <c r="L114" s="534"/>
      <c r="M114" s="535"/>
      <c r="N114" s="2727"/>
      <c r="O114" s="2727"/>
      <c r="P114" s="2718"/>
      <c r="Q114" s="2713"/>
      <c r="R114" s="2699"/>
      <c r="S114" s="2699"/>
      <c r="T114" s="2699"/>
      <c r="U114" s="2699"/>
      <c r="V114" s="2699"/>
      <c r="W114" s="2699"/>
      <c r="X114" s="2699"/>
      <c r="Y114" s="2699"/>
      <c r="Z114" s="2699"/>
      <c r="AA114" s="2699"/>
      <c r="AB114" s="2699"/>
      <c r="AC114" s="2699"/>
    </row>
    <row r="115" spans="1:29" ht="15.75" thickBot="1">
      <c r="A115" s="483"/>
      <c r="B115" s="492"/>
      <c r="C115" s="493">
        <v>100</v>
      </c>
      <c r="D115" s="493">
        <f t="shared" ref="D115:M115" si="28">C115-$K38</f>
        <v>100</v>
      </c>
      <c r="E115" s="493">
        <f t="shared" si="28"/>
        <v>100</v>
      </c>
      <c r="F115" s="493">
        <f t="shared" si="28"/>
        <v>100</v>
      </c>
      <c r="G115" s="493">
        <f t="shared" si="28"/>
        <v>100</v>
      </c>
      <c r="H115" s="493">
        <f t="shared" si="28"/>
        <v>100</v>
      </c>
      <c r="I115" s="493">
        <f t="shared" si="28"/>
        <v>100</v>
      </c>
      <c r="J115" s="493">
        <f t="shared" si="28"/>
        <v>100</v>
      </c>
      <c r="K115" s="493">
        <f t="shared" si="28"/>
        <v>100</v>
      </c>
      <c r="L115" s="493">
        <f t="shared" si="28"/>
        <v>100</v>
      </c>
      <c r="M115" s="494">
        <f t="shared" si="28"/>
        <v>100</v>
      </c>
      <c r="N115" s="2728"/>
      <c r="O115" s="2728"/>
      <c r="P115" s="2718"/>
      <c r="Q115" s="2713"/>
      <c r="R115" s="2699"/>
      <c r="S115" s="2699"/>
      <c r="T115" s="2699"/>
      <c r="U115" s="2699"/>
      <c r="V115" s="2699"/>
      <c r="W115" s="2699"/>
      <c r="X115" s="2699"/>
      <c r="Y115" s="2699"/>
      <c r="Z115" s="2699"/>
      <c r="AA115" s="2699"/>
      <c r="AB115" s="2699"/>
      <c r="AC115" s="2699"/>
    </row>
    <row r="116" spans="1:29" ht="15" thickTop="1">
      <c r="A116" s="548"/>
      <c r="B116" s="487" t="s">
        <v>1789</v>
      </c>
      <c r="C116" s="503"/>
      <c r="D116" s="503"/>
      <c r="E116" s="503"/>
      <c r="F116" s="503"/>
      <c r="G116" s="503"/>
      <c r="H116" s="532"/>
      <c r="I116" s="532"/>
      <c r="J116" s="532"/>
      <c r="K116" s="533"/>
      <c r="L116" s="534"/>
      <c r="M116" s="535"/>
      <c r="N116" s="2727"/>
      <c r="O116" s="2727"/>
      <c r="P116" s="2718"/>
      <c r="Q116" s="2713"/>
      <c r="R116" s="2699"/>
      <c r="S116" s="2699"/>
      <c r="T116" s="2699"/>
      <c r="U116" s="2699"/>
      <c r="V116" s="2699"/>
      <c r="W116" s="2699"/>
      <c r="X116" s="2699"/>
      <c r="Y116" s="2699"/>
      <c r="Z116" s="2699"/>
      <c r="AA116" s="2699"/>
      <c r="AB116" s="2699"/>
      <c r="AC116" s="2699"/>
    </row>
    <row r="117" spans="1:29" ht="15.75" thickBot="1">
      <c r="A117" s="483"/>
      <c r="B117" s="492"/>
      <c r="C117" s="493">
        <v>100</v>
      </c>
      <c r="D117" s="493">
        <f>C117-$K39</f>
        <v>100</v>
      </c>
      <c r="E117" s="493">
        <f>D117-$K39</f>
        <v>100</v>
      </c>
      <c r="F117" s="493">
        <f>E117-$K39</f>
        <v>100</v>
      </c>
      <c r="G117" s="493">
        <f>F117-$K39</f>
        <v>100</v>
      </c>
      <c r="H117" s="493"/>
      <c r="I117" s="493"/>
      <c r="J117" s="493"/>
      <c r="K117" s="493"/>
      <c r="L117" s="493"/>
      <c r="M117" s="494"/>
      <c r="N117" s="2728"/>
      <c r="O117" s="2728"/>
      <c r="P117" s="2718"/>
      <c r="Q117" s="2713"/>
      <c r="R117" s="2699"/>
      <c r="S117" s="2699"/>
      <c r="T117" s="2699"/>
      <c r="U117" s="2699"/>
      <c r="V117" s="2699"/>
      <c r="W117" s="2699"/>
      <c r="X117" s="2699"/>
      <c r="Y117" s="2699"/>
      <c r="Z117" s="2699"/>
      <c r="AA117" s="2699"/>
      <c r="AB117" s="2699"/>
      <c r="AC117" s="2699"/>
    </row>
    <row r="118" spans="1:29" ht="15" thickTop="1">
      <c r="A118" s="548"/>
      <c r="B118" s="487" t="s">
        <v>1790</v>
      </c>
      <c r="C118" s="575"/>
      <c r="D118" s="575"/>
      <c r="E118" s="575"/>
      <c r="F118" s="575"/>
      <c r="G118" s="575"/>
      <c r="H118" s="504"/>
      <c r="I118" s="504"/>
      <c r="J118" s="504"/>
      <c r="K118" s="504"/>
      <c r="L118" s="505"/>
      <c r="M118" s="506"/>
      <c r="N118" s="2727"/>
      <c r="O118" s="2727"/>
      <c r="P118" s="2718"/>
      <c r="Q118" s="2713"/>
      <c r="R118" s="2699"/>
      <c r="S118" s="2699"/>
      <c r="T118" s="2699"/>
      <c r="U118" s="2699"/>
      <c r="V118" s="2699"/>
      <c r="W118" s="2699"/>
      <c r="X118" s="2699"/>
      <c r="Y118" s="2699"/>
      <c r="Z118" s="2699"/>
      <c r="AA118" s="2699"/>
      <c r="AB118" s="2699"/>
      <c r="AC118" s="2699"/>
    </row>
    <row r="119" spans="1:29" ht="15.75" thickBot="1">
      <c r="A119" s="483"/>
      <c r="B119" s="492"/>
      <c r="C119" s="509"/>
      <c r="D119" s="485"/>
      <c r="E119" s="485"/>
      <c r="F119" s="485"/>
      <c r="G119" s="485"/>
      <c r="H119" s="485"/>
      <c r="I119" s="485"/>
      <c r="J119" s="485"/>
      <c r="K119" s="485"/>
      <c r="L119" s="485"/>
      <c r="M119" s="486"/>
      <c r="N119" s="2728"/>
      <c r="O119" s="2728"/>
      <c r="P119" s="2718"/>
      <c r="Q119" s="2713"/>
      <c r="R119" s="2699"/>
      <c r="S119" s="2699"/>
      <c r="T119" s="2699"/>
      <c r="U119" s="2699"/>
      <c r="V119" s="2699"/>
      <c r="W119" s="2699"/>
      <c r="X119" s="2699"/>
      <c r="Y119" s="2699"/>
      <c r="Z119" s="2699"/>
      <c r="AA119" s="2699"/>
      <c r="AB119" s="2699"/>
      <c r="AC119" s="2699"/>
    </row>
    <row r="120" spans="1:29" s="422" customFormat="1" ht="15" thickTop="1">
      <c r="A120" s="542"/>
      <c r="B120" s="487" t="s">
        <v>1791</v>
      </c>
      <c r="C120" s="532"/>
      <c r="D120" s="532"/>
      <c r="E120" s="532"/>
      <c r="F120" s="532"/>
      <c r="G120" s="504"/>
      <c r="H120" s="504"/>
      <c r="I120" s="504"/>
      <c r="J120" s="504"/>
      <c r="K120" s="504"/>
      <c r="L120" s="505"/>
      <c r="M120" s="506"/>
      <c r="N120" s="2729"/>
      <c r="O120" s="2729"/>
      <c r="P120" s="2719"/>
      <c r="Q120" s="2720"/>
      <c r="R120" s="2721"/>
      <c r="S120" s="2721"/>
      <c r="T120" s="2721"/>
      <c r="U120" s="2721"/>
      <c r="V120" s="2721"/>
      <c r="W120" s="2721"/>
      <c r="X120" s="2721"/>
      <c r="Y120" s="2721"/>
      <c r="Z120" s="2721"/>
      <c r="AA120" s="2721"/>
      <c r="AB120" s="2721"/>
      <c r="AC120" s="2721"/>
    </row>
    <row r="121" spans="1:29" s="422" customFormat="1" ht="15.75" thickBot="1">
      <c r="A121" s="502"/>
      <c r="B121" s="484"/>
      <c r="C121" s="531">
        <v>100</v>
      </c>
      <c r="D121" s="493">
        <f>C121-$K41</f>
        <v>100</v>
      </c>
      <c r="E121" s="493">
        <f t="shared" ref="E121:M121" si="29">D121-$K41</f>
        <v>100</v>
      </c>
      <c r="F121" s="493">
        <f t="shared" si="29"/>
        <v>100</v>
      </c>
      <c r="G121" s="493">
        <f t="shared" si="29"/>
        <v>100</v>
      </c>
      <c r="H121" s="493">
        <f t="shared" si="29"/>
        <v>100</v>
      </c>
      <c r="I121" s="493">
        <f t="shared" si="29"/>
        <v>100</v>
      </c>
      <c r="J121" s="493">
        <f t="shared" si="29"/>
        <v>100</v>
      </c>
      <c r="K121" s="493">
        <f t="shared" si="29"/>
        <v>100</v>
      </c>
      <c r="L121" s="493">
        <f t="shared" si="29"/>
        <v>100</v>
      </c>
      <c r="M121" s="494">
        <f t="shared" si="29"/>
        <v>100</v>
      </c>
      <c r="N121" s="2729"/>
      <c r="O121" s="2729"/>
      <c r="P121" s="2719"/>
      <c r="Q121" s="2720"/>
      <c r="R121" s="2721"/>
      <c r="S121" s="2721"/>
      <c r="T121" s="2721"/>
      <c r="U121" s="2721"/>
      <c r="V121" s="2721"/>
      <c r="W121" s="2721"/>
      <c r="X121" s="2721"/>
      <c r="Y121" s="2721"/>
      <c r="Z121" s="2721"/>
      <c r="AA121" s="2721"/>
      <c r="AB121" s="2721"/>
      <c r="AC121" s="2721"/>
    </row>
    <row r="122" spans="1:29" ht="15" thickTop="1">
      <c r="A122" s="548"/>
      <c r="B122" s="487" t="s">
        <v>1726</v>
      </c>
      <c r="C122" s="503"/>
      <c r="D122" s="503"/>
      <c r="E122" s="503"/>
      <c r="F122" s="532"/>
      <c r="G122" s="532"/>
      <c r="H122" s="532"/>
      <c r="I122" s="532"/>
      <c r="J122" s="532"/>
      <c r="K122" s="533"/>
      <c r="L122" s="534"/>
      <c r="M122" s="535"/>
      <c r="N122" s="2727"/>
      <c r="O122" s="2727"/>
      <c r="P122" s="2718"/>
      <c r="Q122" s="2713"/>
      <c r="R122" s="2699"/>
      <c r="S122" s="2699"/>
      <c r="T122" s="2699"/>
      <c r="U122" s="2699"/>
      <c r="V122" s="2699"/>
      <c r="W122" s="2699"/>
      <c r="X122" s="2699"/>
      <c r="Y122" s="2699"/>
      <c r="Z122" s="2699"/>
      <c r="AA122" s="2699"/>
      <c r="AB122" s="2699"/>
      <c r="AC122" s="2699"/>
    </row>
    <row r="123" spans="1:29" ht="15.75" thickBot="1">
      <c r="A123" s="483"/>
      <c r="B123" s="492"/>
      <c r="C123" s="493">
        <v>100</v>
      </c>
      <c r="D123" s="493">
        <f t="shared" ref="D123:M123" si="30">C123-$K42</f>
        <v>100</v>
      </c>
      <c r="E123" s="493">
        <f t="shared" si="30"/>
        <v>100</v>
      </c>
      <c r="F123" s="493">
        <f t="shared" si="30"/>
        <v>100</v>
      </c>
      <c r="G123" s="493">
        <f t="shared" si="30"/>
        <v>100</v>
      </c>
      <c r="H123" s="493">
        <f t="shared" si="30"/>
        <v>100</v>
      </c>
      <c r="I123" s="493">
        <f t="shared" si="30"/>
        <v>100</v>
      </c>
      <c r="J123" s="493">
        <f t="shared" si="30"/>
        <v>100</v>
      </c>
      <c r="K123" s="493">
        <f t="shared" si="30"/>
        <v>100</v>
      </c>
      <c r="L123" s="493">
        <f t="shared" si="30"/>
        <v>100</v>
      </c>
      <c r="M123" s="494">
        <f t="shared" si="30"/>
        <v>100</v>
      </c>
      <c r="N123" s="2728"/>
      <c r="O123" s="2728"/>
      <c r="P123" s="2718"/>
      <c r="Q123" s="2713"/>
      <c r="R123" s="2699"/>
      <c r="S123" s="2699"/>
      <c r="T123" s="2699"/>
      <c r="U123" s="2699"/>
      <c r="V123" s="2699"/>
      <c r="W123" s="2699"/>
      <c r="X123" s="2699"/>
      <c r="Y123" s="2699"/>
      <c r="Z123" s="2699"/>
      <c r="AA123" s="2699"/>
      <c r="AB123" s="2699"/>
      <c r="AC123" s="2699"/>
    </row>
    <row r="124" spans="1:29" ht="15" thickTop="1">
      <c r="A124" s="548"/>
      <c r="B124" s="487" t="s">
        <v>1727</v>
      </c>
      <c r="C124" s="527" t="s">
        <v>1703</v>
      </c>
      <c r="D124" s="527" t="s">
        <v>1704</v>
      </c>
      <c r="E124" s="527" t="s">
        <v>1705</v>
      </c>
      <c r="F124" s="527" t="s">
        <v>1706</v>
      </c>
      <c r="G124" s="527" t="s">
        <v>1707</v>
      </c>
      <c r="H124" s="488"/>
      <c r="I124" s="488"/>
      <c r="J124" s="488"/>
      <c r="K124" s="489"/>
      <c r="L124" s="490"/>
      <c r="M124" s="491"/>
      <c r="N124" s="2727"/>
      <c r="O124" s="2727"/>
      <c r="P124" s="2719"/>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C125-$K43</f>
        <v>100</v>
      </c>
      <c r="E125" s="493">
        <f>D125-$K43</f>
        <v>100</v>
      </c>
      <c r="F125" s="493">
        <f>E125-$K43</f>
        <v>100</v>
      </c>
      <c r="G125" s="493">
        <f>F125-$K43</f>
        <v>100</v>
      </c>
      <c r="H125" s="493"/>
      <c r="I125" s="493"/>
      <c r="J125" s="493"/>
      <c r="K125" s="493"/>
      <c r="L125" s="493"/>
      <c r="M125" s="494"/>
      <c r="N125" s="2728"/>
      <c r="O125" s="2728"/>
      <c r="P125" s="2718"/>
      <c r="Q125" s="2713"/>
      <c r="R125" s="2699"/>
      <c r="S125" s="2699"/>
      <c r="T125" s="2699"/>
      <c r="U125" s="2699"/>
      <c r="V125" s="2699"/>
      <c r="W125" s="2699"/>
      <c r="X125" s="2699"/>
      <c r="Y125" s="2699"/>
      <c r="Z125" s="2699"/>
      <c r="AA125" s="2699"/>
      <c r="AB125" s="2699"/>
      <c r="AC125" s="2699"/>
    </row>
    <row r="126" spans="1:29" s="422" customFormat="1" ht="15" thickTop="1">
      <c r="A126" s="542"/>
      <c r="B126" s="487">
        <f>B44</f>
        <v>111</v>
      </c>
      <c r="C126" s="503"/>
      <c r="D126" s="503"/>
      <c r="E126" s="503"/>
      <c r="F126" s="503"/>
      <c r="G126" s="503"/>
      <c r="H126" s="504"/>
      <c r="I126" s="504"/>
      <c r="J126" s="504"/>
      <c r="K126" s="504"/>
      <c r="L126" s="505"/>
      <c r="M126" s="506"/>
      <c r="N126" s="2729"/>
      <c r="O126" s="2729"/>
      <c r="P126" s="2719"/>
      <c r="Q126" s="2720"/>
      <c r="R126" s="2721"/>
      <c r="S126" s="2721"/>
      <c r="T126" s="2721"/>
      <c r="U126" s="2721"/>
      <c r="V126" s="2721"/>
      <c r="W126" s="2721"/>
      <c r="X126" s="2721"/>
      <c r="Y126" s="2721"/>
      <c r="Z126" s="2721"/>
      <c r="AA126" s="2721"/>
      <c r="AB126" s="2721"/>
      <c r="AC126" s="2721"/>
    </row>
    <row r="127" spans="1:29" s="422" customFormat="1" ht="15.75" thickBot="1">
      <c r="A127" s="502"/>
      <c r="B127" s="492"/>
      <c r="C127" s="509"/>
      <c r="D127" s="485"/>
      <c r="E127" s="485"/>
      <c r="F127" s="485"/>
      <c r="G127" s="509"/>
      <c r="H127" s="511"/>
      <c r="I127" s="511"/>
      <c r="J127" s="511"/>
      <c r="K127" s="511"/>
      <c r="L127" s="511"/>
      <c r="M127" s="512"/>
      <c r="N127" s="2729"/>
      <c r="O127" s="2729"/>
      <c r="P127" s="2719"/>
      <c r="Q127" s="2720"/>
      <c r="R127" s="2721"/>
      <c r="S127" s="2721"/>
      <c r="T127" s="2721"/>
      <c r="U127" s="2721"/>
      <c r="V127" s="2721"/>
      <c r="W127" s="2721"/>
      <c r="X127" s="2721"/>
      <c r="Y127" s="2721"/>
      <c r="Z127" s="2721"/>
      <c r="AA127" s="2721"/>
      <c r="AB127" s="2721"/>
      <c r="AC127" s="2721"/>
    </row>
    <row r="128" spans="1:29" ht="15" thickTop="1">
      <c r="A128" s="548"/>
      <c r="B128" s="487">
        <f>B45</f>
        <v>111</v>
      </c>
      <c r="C128" s="503"/>
      <c r="D128" s="503"/>
      <c r="E128" s="503"/>
      <c r="F128" s="503"/>
      <c r="G128" s="532"/>
      <c r="H128" s="532"/>
      <c r="I128" s="532"/>
      <c r="J128" s="532"/>
      <c r="K128" s="533"/>
      <c r="L128" s="534"/>
      <c r="M128" s="535"/>
      <c r="N128" s="2727"/>
      <c r="O128" s="2727"/>
      <c r="P128" s="2718"/>
      <c r="Q128" s="2713"/>
      <c r="R128" s="2699"/>
      <c r="S128" s="2699"/>
      <c r="T128" s="2699"/>
      <c r="U128" s="2699"/>
      <c r="V128" s="2699"/>
      <c r="W128" s="2699"/>
      <c r="X128" s="2699"/>
      <c r="Y128" s="2699"/>
      <c r="Z128" s="2699"/>
      <c r="AA128" s="2699"/>
      <c r="AB128" s="2699"/>
      <c r="AC128" s="2699"/>
    </row>
    <row r="129" spans="1:29" ht="15.75" thickBot="1">
      <c r="A129" s="483"/>
      <c r="B129" s="492"/>
      <c r="C129" s="509"/>
      <c r="D129" s="485"/>
      <c r="E129" s="485"/>
      <c r="F129" s="485"/>
      <c r="G129" s="485"/>
      <c r="H129" s="485"/>
      <c r="I129" s="485"/>
      <c r="J129" s="485"/>
      <c r="K129" s="485"/>
      <c r="L129" s="485"/>
      <c r="M129" s="486"/>
      <c r="N129" s="2728"/>
      <c r="O129" s="2728"/>
      <c r="P129" s="2718"/>
      <c r="Q129" s="2713"/>
      <c r="R129" s="2699"/>
      <c r="S129" s="2699"/>
      <c r="T129" s="2699"/>
      <c r="U129" s="2699"/>
      <c r="V129" s="2699"/>
      <c r="W129" s="2699"/>
      <c r="X129" s="2699"/>
      <c r="Y129" s="2699"/>
      <c r="Z129" s="2699"/>
      <c r="AA129" s="2699"/>
      <c r="AB129" s="2699"/>
      <c r="AC129" s="2699"/>
    </row>
    <row r="130" spans="1:29" ht="15" thickTop="1">
      <c r="A130" s="548"/>
      <c r="B130" s="495">
        <f>B46</f>
        <v>111</v>
      </c>
      <c r="C130" s="503"/>
      <c r="D130" s="503"/>
      <c r="E130" s="503"/>
      <c r="F130" s="503"/>
      <c r="G130" s="536"/>
      <c r="H130" s="536"/>
      <c r="I130" s="536"/>
      <c r="J130" s="536"/>
      <c r="K130" s="472"/>
      <c r="L130" s="473"/>
      <c r="M130" s="539"/>
      <c r="N130" s="2727"/>
      <c r="O130" s="2727"/>
      <c r="P130" s="2718"/>
      <c r="Q130" s="2713"/>
      <c r="R130" s="2699"/>
      <c r="S130" s="2699"/>
      <c r="T130" s="2699"/>
      <c r="U130" s="2699"/>
      <c r="V130" s="2699"/>
      <c r="W130" s="2699"/>
      <c r="X130" s="2699"/>
      <c r="Y130" s="2699"/>
      <c r="Z130" s="2699"/>
      <c r="AA130" s="2699"/>
      <c r="AB130" s="2699"/>
      <c r="AC130" s="2699"/>
    </row>
    <row r="131" spans="1:29" ht="15.75" thickBot="1">
      <c r="A131" s="1927"/>
      <c r="B131" s="518"/>
      <c r="C131" s="519"/>
      <c r="D131" s="519"/>
      <c r="E131" s="519"/>
      <c r="F131" s="519"/>
      <c r="G131" s="540"/>
      <c r="H131" s="540"/>
      <c r="I131" s="540"/>
      <c r="J131" s="540"/>
      <c r="K131" s="540"/>
      <c r="L131" s="540"/>
      <c r="M131" s="541"/>
      <c r="N131" s="2728"/>
      <c r="O131" s="2728"/>
      <c r="P131" s="2718"/>
      <c r="Q131" s="2713"/>
      <c r="R131" s="2699"/>
      <c r="S131" s="2699"/>
      <c r="T131" s="2699"/>
      <c r="U131" s="2699"/>
      <c r="V131" s="2699"/>
      <c r="W131" s="2699"/>
      <c r="X131" s="2699"/>
      <c r="Y131" s="2699"/>
      <c r="Z131" s="2699"/>
      <c r="AA131" s="2699"/>
      <c r="AB131" s="2699"/>
      <c r="AC131"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1"/>
    <mergeCell ref="Y15:Y31"/>
    <mergeCell ref="P32:P46"/>
    <mergeCell ref="Y32:Y46"/>
    <mergeCell ref="P47:Q47"/>
    <mergeCell ref="R47:S47"/>
    <mergeCell ref="T47:U47"/>
    <mergeCell ref="V47:W47"/>
    <mergeCell ref="P48:Q48"/>
    <mergeCell ref="R48:S48"/>
    <mergeCell ref="T48:U48"/>
    <mergeCell ref="V48:W48"/>
    <mergeCell ref="P49:Q49"/>
    <mergeCell ref="R49:W49"/>
  </mergeCells>
  <phoneticPr fontId="30" type="noConversion"/>
  <conditionalFormatting sqref="F52 H52">
    <cfRule type="containsText" dxfId="143" priority="21" stopIfTrue="1" operator="containsText" text="超过">
      <formula>NOT(ISERROR(SEARCH("超过",F52)))</formula>
    </cfRule>
  </conditionalFormatting>
  <conditionalFormatting sqref="H54">
    <cfRule type="containsText" dxfId="142" priority="19" stopIfTrue="1" operator="containsText" text="超过">
      <formula>NOT(ISERROR(SEARCH("超过",H54)))</formula>
    </cfRule>
  </conditionalFormatting>
  <conditionalFormatting sqref="F54">
    <cfRule type="containsText" dxfId="141" priority="18" stopIfTrue="1" operator="containsText" text="超过">
      <formula>NOT(ISERROR(SEARCH("超过",F54)))</formula>
    </cfRule>
  </conditionalFormatting>
  <conditionalFormatting sqref="F53 H53">
    <cfRule type="containsText" dxfId="140" priority="17" stopIfTrue="1" operator="containsText" text="超过">
      <formula>NOT(ISERROR(SEARCH("超过",F53)))</formula>
    </cfRule>
  </conditionalFormatting>
  <conditionalFormatting sqref="E52">
    <cfRule type="expression" dxfId="139" priority="16" stopIfTrue="1">
      <formula>$F$52="超过30%"</formula>
    </cfRule>
  </conditionalFormatting>
  <conditionalFormatting sqref="E53">
    <cfRule type="expression" dxfId="138" priority="15" stopIfTrue="1">
      <formula>$F$53="超过20%"</formula>
    </cfRule>
  </conditionalFormatting>
  <conditionalFormatting sqref="E54">
    <cfRule type="expression" dxfId="137" priority="14" stopIfTrue="1">
      <formula>$F$54="超过30%"</formula>
    </cfRule>
  </conditionalFormatting>
  <conditionalFormatting sqref="G54">
    <cfRule type="expression" dxfId="136" priority="13" stopIfTrue="1">
      <formula>$H$54="超过30%"</formula>
    </cfRule>
  </conditionalFormatting>
  <conditionalFormatting sqref="G52">
    <cfRule type="expression" dxfId="135" priority="12" stopIfTrue="1">
      <formula>$H$52="超过30%"</formula>
    </cfRule>
  </conditionalFormatting>
  <conditionalFormatting sqref="G53">
    <cfRule type="expression" dxfId="134" priority="11" stopIfTrue="1">
      <formula>$H$53="超过20%"</formula>
    </cfRule>
  </conditionalFormatting>
  <conditionalFormatting sqref="J52">
    <cfRule type="containsText" dxfId="133" priority="10" stopIfTrue="1" operator="containsText" text="超过">
      <formula>NOT(ISERROR(SEARCH("超过",J52)))</formula>
    </cfRule>
  </conditionalFormatting>
  <conditionalFormatting sqref="J54">
    <cfRule type="containsText" dxfId="132" priority="9" stopIfTrue="1" operator="containsText" text="超过">
      <formula>NOT(ISERROR(SEARCH("超过",J54)))</formula>
    </cfRule>
  </conditionalFormatting>
  <conditionalFormatting sqref="J53">
    <cfRule type="containsText" dxfId="131" priority="8" stopIfTrue="1" operator="containsText" text="超过">
      <formula>NOT(ISERROR(SEARCH("超过",J53)))</formula>
    </cfRule>
  </conditionalFormatting>
  <conditionalFormatting sqref="I52">
    <cfRule type="expression" dxfId="130" priority="7" stopIfTrue="1">
      <formula>$J$52="超过30%"</formula>
    </cfRule>
  </conditionalFormatting>
  <conditionalFormatting sqref="I53">
    <cfRule type="expression" dxfId="129" priority="6" stopIfTrue="1">
      <formula>$J$53="超过20%"</formula>
    </cfRule>
  </conditionalFormatting>
  <conditionalFormatting sqref="I54">
    <cfRule type="expression" dxfId="128" priority="5" stopIfTrue="1">
      <formula>$J$54="超过30%"</formula>
    </cfRule>
  </conditionalFormatting>
  <conditionalFormatting sqref="F48">
    <cfRule type="expression" dxfId="127" priority="4">
      <formula>$D$48="简单平均"</formula>
    </cfRule>
  </conditionalFormatting>
  <conditionalFormatting sqref="H48">
    <cfRule type="expression" dxfId="126" priority="3">
      <formula>$D$48="简单平均"</formula>
    </cfRule>
  </conditionalFormatting>
  <conditionalFormatting sqref="J48">
    <cfRule type="expression" dxfId="125" priority="2">
      <formula>$D$48="简单平均"</formula>
    </cfRule>
  </conditionalFormatting>
  <conditionalFormatting sqref="F7:F46 H7:H46 J7:J46">
    <cfRule type="cellIs" dxfId="124" priority="1" operator="notEqual">
      <formula>100</formula>
    </cfRule>
  </conditionalFormatting>
  <dataValidations count="25">
    <dataValidation type="list" allowBlank="1" showInputMessage="1" showErrorMessage="1" sqref="D1">
      <formula1>项目类型</formula1>
    </dataValidation>
    <dataValidation type="list" allowBlank="1" showInputMessage="1" showErrorMessage="1" sqref="C43 E43 G43 I43">
      <formula1>内部装修维护情况</formula1>
    </dataValidation>
    <dataValidation type="list" allowBlank="1" showInputMessage="1" showErrorMessage="1" sqref="E20 I20 G20 C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25 E25 G25 I25">
      <formula1>商业临街状况</formula1>
    </dataValidation>
    <dataValidation type="list" allowBlank="1" showInputMessage="1" showErrorMessage="1" sqref="C27 E27 G27 I27">
      <formula1>商业人流量</formula1>
    </dataValidation>
    <dataValidation type="list" allowBlank="1" showInputMessage="1" showErrorMessage="1" sqref="C28 E28 G28 I28">
      <formula1>商业楼层</formula1>
    </dataValidation>
    <dataValidation type="list" allowBlank="1" showInputMessage="1" showErrorMessage="1" sqref="C32 E32 G32 I32">
      <formula1>商业类型</formula1>
    </dataValidation>
    <dataValidation type="list" allowBlank="1" showInputMessage="1" showErrorMessage="1" sqref="C34 E34 G34 I34">
      <formula1>商业建筑结构</formula1>
    </dataValidation>
    <dataValidation type="list" allowBlank="1" showInputMessage="1" showErrorMessage="1" sqref="C35 E35 G35 I35">
      <formula1>商业公共部分装修</formula1>
    </dataValidation>
    <dataValidation type="list" allowBlank="1" showInputMessage="1" showErrorMessage="1" sqref="C37 E37 G37 I37">
      <formula1>商业基础设施水平</formula1>
    </dataValidation>
    <dataValidation type="list" allowBlank="1" showInputMessage="1" showErrorMessage="1" sqref="C41 E41 G41 I41">
      <formula1>商业进深比</formula1>
    </dataValidation>
    <dataValidation type="list" allowBlank="1" showInputMessage="1" showErrorMessage="1" sqref="C42 E42 G42 I42">
      <formula1>商业内部装修</formula1>
    </dataValidation>
    <dataValidation type="list" allowBlank="1" showInputMessage="1" showErrorMessage="1" sqref="E9 G9 I9">
      <formula1>商业用途</formula1>
    </dataValidation>
    <dataValidation type="list" allowBlank="1" showInputMessage="1" showErrorMessage="1" sqref="C38 E38 G38 I38">
      <formula1>商业业态</formula1>
    </dataValidation>
    <dataValidation type="list" allowBlank="1" showInputMessage="1" showErrorMessage="1" sqref="C39 E39 G39 I39">
      <formula1>商业层高</formula1>
    </dataValidation>
    <dataValidation type="list" allowBlank="1" showInputMessage="1" showErrorMessage="1" sqref="C8 E8 G8 I8">
      <formula1>商业交易情况</formula1>
    </dataValidation>
    <dataValidation type="list" allowBlank="1" showInputMessage="1" showErrorMessage="1" sqref="C16 E16 G16 I16">
      <formula1>商业繁华度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4">
    <tabColor rgb="FF92D050"/>
    <pageSetUpPr fitToPage="1"/>
  </sheetPr>
  <dimension ref="A1:AC132"/>
  <sheetViews>
    <sheetView view="pageBreakPreview" zoomScale="60" zoomScaleNormal="70" workbookViewId="0">
      <selection activeCell="E1" sqref="E1"/>
    </sheetView>
  </sheetViews>
  <sheetFormatPr defaultColWidth="9" defaultRowHeight="14.25"/>
  <cols>
    <col min="1" max="1" width="10.5" style="357" customWidth="1"/>
    <col min="2" max="2" width="15.75" style="357" customWidth="1"/>
    <col min="3" max="3" width="15.62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1792</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IF(E1="项目模式",IF(C2="——",ROUND(C50*D3/10000,0),ROUND(C50*D3/10000,0)-D2),IF(E1="单套模式",IF(C2="——",ROUND(C50*D3/10000,4),ROUND(C50*D3/10000,4)-D2)))</f>
        <v>0</v>
      </c>
      <c r="C2" s="1880"/>
      <c r="D2" s="1115" t="e">
        <f ca="1">IF(E1="项目模式",SUMIF(INDIRECT("'"&amp;F2&amp;"'"&amp;"!A:A"),"承租人权益价值",INDIRECT("'"&amp;F2&amp;"'"&amp;"!c:c")),SUMIF(INDIRECT("'"&amp;F2&amp;"'"&amp;"!A:A"),"承租人权益价值（单套）",INDIRECT("'"&amp;F2&amp;"'"&amp;"!c:c")))</f>
        <v>#REF!</v>
      </c>
      <c r="E2" s="1881" t="s">
        <v>1445</v>
      </c>
      <c r="F2" s="1882"/>
      <c r="G2" s="908"/>
      <c r="H2" s="908"/>
      <c r="I2" s="908"/>
      <c r="J2" s="908"/>
      <c r="K2" s="908"/>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IF(C2="——",C50,ROUND(B2*10000/D3,0))</f>
        <v>0</v>
      </c>
      <c r="C3" s="354" t="s">
        <v>1750</v>
      </c>
      <c r="D3" s="353">
        <f>IF(D1="",'数据-汇总表'!E3,SUMIF('数据-汇总表'!$C19:$C33,D1,'数据-汇总表'!$E19:$E33))</f>
        <v>17559.11</v>
      </c>
      <c r="E3" s="1953"/>
      <c r="F3" s="909"/>
      <c r="G3" s="908"/>
      <c r="H3" s="908"/>
      <c r="I3" s="908"/>
      <c r="J3" s="908"/>
      <c r="K3" s="910"/>
      <c r="L3" s="2708"/>
      <c r="M3" s="2709"/>
      <c r="N3" s="2709"/>
      <c r="O3" s="2709"/>
      <c r="P3" s="699"/>
      <c r="Q3" s="699"/>
      <c r="R3" s="699"/>
      <c r="S3" s="699"/>
      <c r="T3" s="699"/>
      <c r="U3" s="699"/>
      <c r="V3" s="699"/>
      <c r="W3" s="699"/>
      <c r="X3" s="699"/>
      <c r="Y3" s="699"/>
      <c r="Z3" s="699"/>
      <c r="AA3" s="699"/>
      <c r="AB3" s="699"/>
      <c r="AC3" s="700"/>
    </row>
    <row r="4" spans="1:29" ht="15">
      <c r="A4" s="355" t="s">
        <v>1751</v>
      </c>
      <c r="B4" s="356"/>
      <c r="C4" s="3721" t="s">
        <v>1752</v>
      </c>
      <c r="D4" s="3722"/>
      <c r="E4" s="3723" t="s">
        <v>1753</v>
      </c>
      <c r="F4" s="3724"/>
      <c r="G4" s="3721" t="s">
        <v>1754</v>
      </c>
      <c r="H4" s="3722"/>
      <c r="I4" s="3721" t="s">
        <v>1755</v>
      </c>
      <c r="J4" s="3722"/>
      <c r="K4" s="559" t="s">
        <v>1756</v>
      </c>
      <c r="L4" s="2689"/>
      <c r="M4" s="2690"/>
      <c r="N4" s="2690"/>
      <c r="O4" s="2690"/>
      <c r="P4" s="3755" t="s">
        <v>1757</v>
      </c>
      <c r="Q4" s="3756"/>
      <c r="R4" s="3759" t="s">
        <v>1753</v>
      </c>
      <c r="S4" s="3760"/>
      <c r="T4" s="3759" t="s">
        <v>1754</v>
      </c>
      <c r="U4" s="3760"/>
      <c r="V4" s="3761" t="s">
        <v>1755</v>
      </c>
      <c r="W4" s="3761"/>
      <c r="X4" s="1957"/>
      <c r="Y4" s="3759" t="s">
        <v>1757</v>
      </c>
      <c r="Z4" s="3760"/>
      <c r="AA4" s="3763" t="s">
        <v>1753</v>
      </c>
      <c r="AB4" s="3763" t="s">
        <v>1754</v>
      </c>
      <c r="AC4" s="3752" t="s">
        <v>1755</v>
      </c>
    </row>
    <row r="5" spans="1:29" ht="15">
      <c r="A5" s="358"/>
      <c r="B5" s="359"/>
      <c r="C5" s="3740" t="s">
        <v>1655</v>
      </c>
      <c r="D5" s="3741"/>
      <c r="E5" s="3747" t="s">
        <v>1656</v>
      </c>
      <c r="F5" s="3748"/>
      <c r="G5" s="3740" t="s">
        <v>1657</v>
      </c>
      <c r="H5" s="3741"/>
      <c r="I5" s="3740" t="s">
        <v>1658</v>
      </c>
      <c r="J5" s="3741"/>
      <c r="K5" s="559"/>
      <c r="L5" s="2689"/>
      <c r="M5" s="2690"/>
      <c r="N5" s="2690"/>
      <c r="O5" s="2690"/>
      <c r="P5" s="3757"/>
      <c r="Q5" s="3728"/>
      <c r="R5" s="3733"/>
      <c r="S5" s="3734"/>
      <c r="T5" s="3733"/>
      <c r="U5" s="3734"/>
      <c r="V5" s="3737"/>
      <c r="W5" s="3737"/>
      <c r="X5" s="1354"/>
      <c r="Y5" s="3733"/>
      <c r="Z5" s="3734"/>
      <c r="AA5" s="3719"/>
      <c r="AB5" s="3719"/>
      <c r="AC5" s="3753"/>
    </row>
    <row r="6" spans="1:29" ht="15.75" thickBot="1">
      <c r="A6" s="360"/>
      <c r="B6" s="361"/>
      <c r="C6" s="3738" t="s">
        <v>1659</v>
      </c>
      <c r="D6" s="3739"/>
      <c r="E6" s="3745" t="s">
        <v>1659</v>
      </c>
      <c r="F6" s="3746"/>
      <c r="G6" s="3738" t="s">
        <v>1659</v>
      </c>
      <c r="H6" s="3739"/>
      <c r="I6" s="3738" t="s">
        <v>1659</v>
      </c>
      <c r="J6" s="3739"/>
      <c r="K6" s="559" t="s">
        <v>1660</v>
      </c>
      <c r="L6" s="2689"/>
      <c r="M6" s="2690"/>
      <c r="N6" s="2690"/>
      <c r="O6" s="2690"/>
      <c r="P6" s="3758"/>
      <c r="Q6" s="3730"/>
      <c r="R6" s="3733"/>
      <c r="S6" s="3734"/>
      <c r="T6" s="3735"/>
      <c r="U6" s="3736"/>
      <c r="V6" s="3737"/>
      <c r="W6" s="3737"/>
      <c r="X6" s="1354"/>
      <c r="Y6" s="3735"/>
      <c r="Z6" s="3736"/>
      <c r="AA6" s="3720"/>
      <c r="AB6" s="3720"/>
      <c r="AC6" s="3754"/>
    </row>
    <row r="7" spans="1:29" s="108" customFormat="1" ht="15.75" thickBot="1">
      <c r="A7" s="362" t="s">
        <v>1661</v>
      </c>
      <c r="B7" s="363"/>
      <c r="C7" s="364">
        <f>'数据-取费表'!B2</f>
        <v>45400</v>
      </c>
      <c r="D7" s="365">
        <v>100</v>
      </c>
      <c r="E7" s="366"/>
      <c r="F7" s="367">
        <f>SUMIF(59:59,YEAR(E7)&amp;"-"&amp;MONTH(E7),60:60)</f>
        <v>0</v>
      </c>
      <c r="G7" s="366"/>
      <c r="H7" s="365">
        <f>SUMIF(59:59,YEAR(G7)&amp;"-"&amp;MONTH(G7),60:60)</f>
        <v>0</v>
      </c>
      <c r="I7" s="366"/>
      <c r="J7" s="365">
        <f>SUMIF(59:59,YEAR(I7)&amp;"-"&amp;MONTH(I7),60:60)</f>
        <v>0</v>
      </c>
      <c r="K7" s="560"/>
      <c r="L7" s="2691"/>
      <c r="M7" s="2692"/>
      <c r="N7" s="2692"/>
      <c r="O7" s="2692"/>
      <c r="P7" s="3762" t="s">
        <v>1662</v>
      </c>
      <c r="Q7" s="3744"/>
      <c r="R7" s="701" t="s">
        <v>14</v>
      </c>
      <c r="S7" s="702">
        <f t="shared" ref="S7:S15" si="0">F7</f>
        <v>0</v>
      </c>
      <c r="T7" s="701" t="s">
        <v>14</v>
      </c>
      <c r="U7" s="702">
        <f t="shared" ref="U7:U15" si="1">H7</f>
        <v>0</v>
      </c>
      <c r="V7" s="701" t="s">
        <v>14</v>
      </c>
      <c r="W7" s="702">
        <f t="shared" ref="W7:W15" si="2">J7</f>
        <v>0</v>
      </c>
      <c r="X7" s="703"/>
      <c r="Y7" s="3742" t="s">
        <v>1662</v>
      </c>
      <c r="Z7" s="3743"/>
      <c r="AA7" s="704" t="e">
        <f>D7/F7</f>
        <v>#DIV/0!</v>
      </c>
      <c r="AB7" s="704" t="e">
        <f>D7/H7</f>
        <v>#DIV/0!</v>
      </c>
      <c r="AC7" s="1958" t="e">
        <f>D7/J7</f>
        <v>#DIV/0!</v>
      </c>
    </row>
    <row r="8" spans="1:29" s="108" customFormat="1" ht="15.75" thickBot="1">
      <c r="A8" s="362" t="s">
        <v>1663</v>
      </c>
      <c r="B8" s="363"/>
      <c r="C8" s="368"/>
      <c r="D8" s="365">
        <v>100</v>
      </c>
      <c r="E8" s="368"/>
      <c r="F8" s="367">
        <f>SUMIF(62:62,E8,63:63)-SUMIF(62:62,C8,63:63)+100</f>
        <v>100</v>
      </c>
      <c r="G8" s="368"/>
      <c r="H8" s="365">
        <f>SUMIF(62:62,G8,63:63)-SUMIF(62:62,C8,63:63)+100</f>
        <v>100</v>
      </c>
      <c r="I8" s="368"/>
      <c r="J8" s="365">
        <f>SUMIF(62:62,I8,63:63)-SUMIF(62:62,C8,63:63)+100</f>
        <v>100</v>
      </c>
      <c r="K8" s="560"/>
      <c r="L8" s="2691"/>
      <c r="M8" s="2692"/>
      <c r="N8" s="2692"/>
      <c r="O8" s="2692"/>
      <c r="P8" s="3762" t="s">
        <v>1665</v>
      </c>
      <c r="Q8" s="3743"/>
      <c r="R8" s="701" t="s">
        <v>14</v>
      </c>
      <c r="S8" s="702">
        <f t="shared" si="0"/>
        <v>100</v>
      </c>
      <c r="T8" s="701" t="s">
        <v>14</v>
      </c>
      <c r="U8" s="702">
        <f t="shared" si="1"/>
        <v>100</v>
      </c>
      <c r="V8" s="701" t="s">
        <v>14</v>
      </c>
      <c r="W8" s="702">
        <f t="shared" si="2"/>
        <v>100</v>
      </c>
      <c r="X8" s="703"/>
      <c r="Y8" s="3742" t="s">
        <v>1665</v>
      </c>
      <c r="Z8" s="3743"/>
      <c r="AA8" s="704">
        <f t="shared" ref="AA8:AA47" si="3">D8/F8</f>
        <v>1</v>
      </c>
      <c r="AB8" s="704">
        <f t="shared" ref="AB8:AB47" si="4">D8/H8</f>
        <v>1</v>
      </c>
      <c r="AC8" s="1958">
        <f t="shared" ref="AC8:AC47" si="5">D8/J8</f>
        <v>1</v>
      </c>
    </row>
    <row r="9" spans="1:29" s="108" customFormat="1">
      <c r="A9" s="369" t="s">
        <v>1666</v>
      </c>
      <c r="B9" s="63" t="s">
        <v>1667</v>
      </c>
      <c r="C9" s="370"/>
      <c r="D9" s="126">
        <v>100</v>
      </c>
      <c r="E9" s="373"/>
      <c r="F9" s="126">
        <f>SUMIF(64:64,E9,65:65)-SUMIF(64:64,C9,65:65)+100</f>
        <v>100</v>
      </c>
      <c r="G9" s="371"/>
      <c r="H9" s="126">
        <f>SUMIF(64:64,G9,65:65)-SUMIF(64:64,C9,65:65)+100</f>
        <v>100</v>
      </c>
      <c r="I9" s="371"/>
      <c r="J9" s="126">
        <f>SUMIF(64:64,I9,65:65)-SUMIF(64:64,C9,65:65)+100</f>
        <v>100</v>
      </c>
      <c r="K9" s="560"/>
      <c r="L9" s="2691"/>
      <c r="M9" s="2692"/>
      <c r="N9" s="2692"/>
      <c r="O9" s="2692"/>
      <c r="P9" s="3717" t="s">
        <v>1668</v>
      </c>
      <c r="Q9" s="1342" t="str">
        <f t="shared" ref="Q9:Q15" si="6">B9</f>
        <v>用途</v>
      </c>
      <c r="R9" s="701" t="s">
        <v>14</v>
      </c>
      <c r="S9" s="702">
        <f t="shared" si="0"/>
        <v>100</v>
      </c>
      <c r="T9" s="701" t="s">
        <v>14</v>
      </c>
      <c r="U9" s="702">
        <f t="shared" si="1"/>
        <v>100</v>
      </c>
      <c r="V9" s="701" t="s">
        <v>14</v>
      </c>
      <c r="W9" s="702">
        <f t="shared" si="2"/>
        <v>100</v>
      </c>
      <c r="X9" s="703"/>
      <c r="Y9" s="3580" t="s">
        <v>1669</v>
      </c>
      <c r="Z9" s="52" t="str">
        <f t="shared" ref="Z9:Z15" si="7">Q9</f>
        <v>用途</v>
      </c>
      <c r="AA9" s="704">
        <f t="shared" si="3"/>
        <v>1</v>
      </c>
      <c r="AB9" s="704">
        <f t="shared" si="4"/>
        <v>1</v>
      </c>
      <c r="AC9" s="1958">
        <f t="shared" si="5"/>
        <v>1</v>
      </c>
    </row>
    <row r="10" spans="1:29" s="378" customFormat="1" ht="27">
      <c r="A10" s="374"/>
      <c r="B10" s="375" t="s">
        <v>1670</v>
      </c>
      <c r="C10" s="3408"/>
      <c r="D10" s="127">
        <v>100</v>
      </c>
      <c r="E10" s="3408"/>
      <c r="F10" s="127">
        <f>SUMIF(66:66,E10,67:67)-SUMIF(66:66,C10,67:67)+100</f>
        <v>100</v>
      </c>
      <c r="G10" s="3409"/>
      <c r="H10" s="127">
        <f>SUMIF(66:66,G10,67:67)-SUMIF(66:66,C10,67:67)+100</f>
        <v>100</v>
      </c>
      <c r="I10" s="3408"/>
      <c r="J10" s="127">
        <f>SUMIF(66:66,I10,67:67)-SUMIF(66:66,C10,67:67)+100</f>
        <v>100</v>
      </c>
      <c r="K10" s="560"/>
      <c r="L10" s="2693"/>
      <c r="M10" s="2694"/>
      <c r="N10" s="2694"/>
      <c r="O10" s="2694"/>
      <c r="P10" s="3717"/>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1958">
        <f t="shared" si="5"/>
        <v>1</v>
      </c>
    </row>
    <row r="11" spans="1:29" ht="15">
      <c r="A11" s="379"/>
      <c r="B11" s="375" t="s">
        <v>1671</v>
      </c>
      <c r="C11" s="380"/>
      <c r="D11" s="127">
        <v>100</v>
      </c>
      <c r="E11" s="380"/>
      <c r="F11" s="127">
        <f>LOOKUP(E11,69:69,70:70)-LOOKUP(C11,69:69,70:70)+100</f>
        <v>100</v>
      </c>
      <c r="G11" s="381"/>
      <c r="H11" s="127">
        <f>LOOKUP(G11,69:69,70:70)-LOOKUP(C11,69:69,70:70)+100</f>
        <v>100</v>
      </c>
      <c r="I11" s="380"/>
      <c r="J11" s="127">
        <f>LOOKUP(I11,69:69,70:70)-LOOKUP(C11,69:69,70:70)+100</f>
        <v>100</v>
      </c>
      <c r="K11" s="561"/>
      <c r="L11" s="2695"/>
      <c r="M11" s="2690"/>
      <c r="N11" s="2690"/>
      <c r="O11" s="2690"/>
      <c r="P11" s="3717"/>
      <c r="Q11" s="1342" t="str">
        <f t="shared" si="6"/>
        <v>容积率</v>
      </c>
      <c r="R11" s="701" t="s">
        <v>14</v>
      </c>
      <c r="S11" s="702">
        <f t="shared" si="0"/>
        <v>100</v>
      </c>
      <c r="T11" s="701" t="s">
        <v>14</v>
      </c>
      <c r="U11" s="702">
        <f t="shared" si="1"/>
        <v>100</v>
      </c>
      <c r="V11" s="701" t="s">
        <v>14</v>
      </c>
      <c r="W11" s="702">
        <f t="shared" si="2"/>
        <v>100</v>
      </c>
      <c r="X11" s="703"/>
      <c r="Y11" s="3580"/>
      <c r="Z11" s="52" t="str">
        <f t="shared" si="7"/>
        <v>容积率</v>
      </c>
      <c r="AA11" s="704">
        <f t="shared" si="3"/>
        <v>1</v>
      </c>
      <c r="AB11" s="704">
        <f t="shared" si="4"/>
        <v>1</v>
      </c>
      <c r="AC11" s="1958">
        <f t="shared" si="5"/>
        <v>1</v>
      </c>
    </row>
    <row r="12" spans="1:29" s="108" customFormat="1" ht="15">
      <c r="A12" s="382"/>
      <c r="B12" s="1892">
        <v>111</v>
      </c>
      <c r="C12" s="383"/>
      <c r="D12" s="384">
        <v>100</v>
      </c>
      <c r="E12" s="383"/>
      <c r="F12" s="127">
        <f>SUMIF(71:71,E12,72:72)-SUMIF(71:71,C12,72:72)+100</f>
        <v>100</v>
      </c>
      <c r="G12" s="1959"/>
      <c r="H12" s="127">
        <f>SUMIF(71:71,G12,72:72)-SUMIF(71:71,C12,72:72)+100</f>
        <v>100</v>
      </c>
      <c r="I12" s="383"/>
      <c r="J12" s="127">
        <f>SUMIF(71:71,I12,72:72)-SUMIF(71:71,C12,72:72)+100</f>
        <v>100</v>
      </c>
      <c r="K12" s="562"/>
      <c r="L12" s="2691"/>
      <c r="M12" s="2692"/>
      <c r="N12" s="2692"/>
      <c r="O12" s="2692"/>
      <c r="P12" s="3717"/>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1958">
        <f>D12/J12</f>
        <v>1</v>
      </c>
    </row>
    <row r="13" spans="1:29" ht="15">
      <c r="A13" s="379"/>
      <c r="B13" s="1892">
        <v>111</v>
      </c>
      <c r="C13" s="385"/>
      <c r="D13" s="386">
        <v>100</v>
      </c>
      <c r="E13" s="383"/>
      <c r="F13" s="127">
        <f>SUMIF(73:73,E13,74:74)-SUMIF(73:73,C13,74:74)+100</f>
        <v>100</v>
      </c>
      <c r="G13" s="1959"/>
      <c r="H13" s="386">
        <f>SUMIF(73:73,G13,74:74)-SUMIF(73:73,C13,74:74)+100</f>
        <v>100</v>
      </c>
      <c r="I13" s="383"/>
      <c r="J13" s="386">
        <f>SUMIF(73:73,I13,74:74)-SUMIF(73:73,C13,74:74)+100</f>
        <v>100</v>
      </c>
      <c r="K13" s="562"/>
      <c r="L13" s="2696"/>
      <c r="M13" s="2690"/>
      <c r="N13" s="2690"/>
      <c r="O13" s="2690"/>
      <c r="P13" s="3717"/>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1958">
        <f t="shared" si="5"/>
        <v>1</v>
      </c>
    </row>
    <row r="14" spans="1:29" ht="15.75" thickBot="1">
      <c r="A14" s="387"/>
      <c r="B14" s="1894">
        <v>111</v>
      </c>
      <c r="C14" s="388"/>
      <c r="D14" s="389">
        <v>100</v>
      </c>
      <c r="E14" s="576"/>
      <c r="F14" s="389">
        <f>SUMIF(75:75,E14,76:76)-SUMIF(75:75,C14,76:76)+100</f>
        <v>100</v>
      </c>
      <c r="G14" s="1959"/>
      <c r="H14" s="389">
        <f>SUMIF(75:75,G14,76:76)-SUMIF(75:75,C14,76:76)+100</f>
        <v>100</v>
      </c>
      <c r="I14" s="383"/>
      <c r="J14" s="389">
        <f>SUMIF(75:75,I14,76:76)-SUMIF(75:75,C14,76:76)+100</f>
        <v>100</v>
      </c>
      <c r="K14" s="562"/>
      <c r="L14" s="2696"/>
      <c r="M14" s="2690"/>
      <c r="N14" s="2690"/>
      <c r="O14" s="2690"/>
      <c r="P14" s="3717"/>
      <c r="Q14" s="1342">
        <f t="shared" si="6"/>
        <v>111</v>
      </c>
      <c r="R14" s="701" t="s">
        <v>14</v>
      </c>
      <c r="S14" s="702">
        <f t="shared" si="0"/>
        <v>100</v>
      </c>
      <c r="T14" s="701" t="s">
        <v>14</v>
      </c>
      <c r="U14" s="702">
        <f t="shared" si="1"/>
        <v>100</v>
      </c>
      <c r="V14" s="701" t="s">
        <v>14</v>
      </c>
      <c r="W14" s="702">
        <f t="shared" si="2"/>
        <v>100</v>
      </c>
      <c r="X14" s="703"/>
      <c r="Y14" s="3580"/>
      <c r="Z14" s="52">
        <f t="shared" si="7"/>
        <v>111</v>
      </c>
      <c r="AA14" s="704">
        <f t="shared" si="3"/>
        <v>1</v>
      </c>
      <c r="AB14" s="704">
        <f t="shared" si="4"/>
        <v>1</v>
      </c>
      <c r="AC14" s="1958">
        <f t="shared" si="5"/>
        <v>1</v>
      </c>
    </row>
    <row r="15" spans="1:29" ht="15">
      <c r="A15" s="391" t="s">
        <v>1672</v>
      </c>
      <c r="B15" s="577" t="s">
        <v>1793</v>
      </c>
      <c r="C15" s="1960" t="str">
        <f>估价对象房地状况!C5</f>
        <v>较好</v>
      </c>
      <c r="D15" s="392">
        <v>100</v>
      </c>
      <c r="E15" s="395"/>
      <c r="F15" s="392">
        <f>SUMIF(77:77,E16,78:78)-SUMIF(77:77,C16,78:78)+100</f>
        <v>100</v>
      </c>
      <c r="G15" s="393"/>
      <c r="H15" s="392">
        <f>SUMIF(77:77,G16,78:78)-SUMIF(77:77,C16,78:78)+100</f>
        <v>100</v>
      </c>
      <c r="I15" s="393"/>
      <c r="J15" s="392">
        <f>SUMIF(77:77,I16,78:78)-SUMIF(77:77,C16,78:78)+100</f>
        <v>100</v>
      </c>
      <c r="K15" s="563"/>
      <c r="L15" s="2696"/>
      <c r="M15" s="2690"/>
      <c r="N15" s="2690"/>
      <c r="O15" s="2690"/>
      <c r="P15" s="3715" t="s">
        <v>1673</v>
      </c>
      <c r="Q15" s="1351" t="str">
        <f t="shared" si="6"/>
        <v>办公集聚程度</v>
      </c>
      <c r="R15" s="705" t="s">
        <v>14</v>
      </c>
      <c r="S15" s="706">
        <f t="shared" si="0"/>
        <v>100</v>
      </c>
      <c r="T15" s="705" t="s">
        <v>14</v>
      </c>
      <c r="U15" s="706">
        <f t="shared" si="1"/>
        <v>100</v>
      </c>
      <c r="V15" s="705" t="s">
        <v>14</v>
      </c>
      <c r="W15" s="706">
        <f t="shared" si="2"/>
        <v>100</v>
      </c>
      <c r="X15" s="1354"/>
      <c r="Y15" s="3708" t="s">
        <v>1673</v>
      </c>
      <c r="Z15" s="1355" t="str">
        <f t="shared" si="7"/>
        <v>办公集聚程度</v>
      </c>
      <c r="AA15" s="1352">
        <f t="shared" si="3"/>
        <v>1</v>
      </c>
      <c r="AB15" s="1352">
        <f t="shared" si="4"/>
        <v>1</v>
      </c>
      <c r="AC15" s="1961">
        <f t="shared" si="5"/>
        <v>1</v>
      </c>
    </row>
    <row r="16" spans="1:29" ht="15">
      <c r="A16" s="379"/>
      <c r="B16" s="578"/>
      <c r="C16" s="1903"/>
      <c r="D16" s="399"/>
      <c r="E16" s="398"/>
      <c r="F16" s="399"/>
      <c r="G16" s="1903"/>
      <c r="H16" s="401"/>
      <c r="I16" s="398"/>
      <c r="J16" s="399"/>
      <c r="K16" s="564"/>
      <c r="L16" s="2696"/>
      <c r="M16" s="2690"/>
      <c r="N16" s="2690"/>
      <c r="O16" s="2690"/>
      <c r="P16" s="3716"/>
      <c r="Q16" s="1351"/>
      <c r="R16" s="705"/>
      <c r="S16" s="706"/>
      <c r="T16" s="705"/>
      <c r="U16" s="706"/>
      <c r="V16" s="705"/>
      <c r="W16" s="706"/>
      <c r="X16" s="1354"/>
      <c r="Y16" s="3709"/>
      <c r="Z16" s="1355"/>
      <c r="AA16" s="1352">
        <v>1</v>
      </c>
      <c r="AB16" s="1352">
        <v>1</v>
      </c>
      <c r="AC16" s="1961">
        <v>1</v>
      </c>
    </row>
    <row r="17" spans="1:29" ht="71.25">
      <c r="A17" s="379"/>
      <c r="B17" s="579" t="s">
        <v>1257</v>
      </c>
      <c r="C17" s="1962" t="str">
        <f>估价对象房地状况!C6</f>
        <v>估价对象周边道路状况、公共交通通达情况、停车便捷程度，综合评价交通便捷度较好</v>
      </c>
      <c r="D17" s="401">
        <v>100</v>
      </c>
      <c r="E17" s="405"/>
      <c r="F17" s="401">
        <f>SUMIF(79:79,E18,80:80)-SUMIF(79:79,C18,80:80)+100</f>
        <v>100</v>
      </c>
      <c r="G17" s="403"/>
      <c r="H17" s="406">
        <f>SUMIF(79:79,G18,80:80)-SUMIF(79:79,C18,80:80)+100</f>
        <v>100</v>
      </c>
      <c r="I17" s="403"/>
      <c r="J17" s="406">
        <f>SUMIF(79:79,I18,80:80)-SUMIF(79:79,C18,80:80)+100</f>
        <v>100</v>
      </c>
      <c r="K17" s="563"/>
      <c r="L17" s="2696"/>
      <c r="M17" s="2690"/>
      <c r="N17" s="2690"/>
      <c r="O17" s="2690"/>
      <c r="P17" s="3716"/>
      <c r="Q17" s="1351" t="str">
        <f>B17</f>
        <v>交通便捷度</v>
      </c>
      <c r="R17" s="705" t="s">
        <v>14</v>
      </c>
      <c r="S17" s="706">
        <f>F17</f>
        <v>100</v>
      </c>
      <c r="T17" s="705" t="s">
        <v>14</v>
      </c>
      <c r="U17" s="706">
        <f>H17</f>
        <v>100</v>
      </c>
      <c r="V17" s="705" t="s">
        <v>14</v>
      </c>
      <c r="W17" s="706">
        <f>J17</f>
        <v>100</v>
      </c>
      <c r="X17" s="1354"/>
      <c r="Y17" s="3709"/>
      <c r="Z17" s="1355" t="str">
        <f>Q17</f>
        <v>交通便捷度</v>
      </c>
      <c r="AA17" s="1352">
        <f t="shared" si="3"/>
        <v>1</v>
      </c>
      <c r="AB17" s="1352">
        <f t="shared" si="4"/>
        <v>1</v>
      </c>
      <c r="AC17" s="1961">
        <f t="shared" si="5"/>
        <v>1</v>
      </c>
    </row>
    <row r="18" spans="1:29" ht="15">
      <c r="A18" s="379"/>
      <c r="B18" s="580"/>
      <c r="C18" s="1963"/>
      <c r="D18" s="401"/>
      <c r="E18" s="1901"/>
      <c r="F18" s="401"/>
      <c r="G18" s="1902"/>
      <c r="H18" s="399"/>
      <c r="I18" s="1902"/>
      <c r="J18" s="399"/>
      <c r="K18" s="564"/>
      <c r="L18" s="2696"/>
      <c r="M18" s="2690"/>
      <c r="N18" s="2690"/>
      <c r="O18" s="2690"/>
      <c r="P18" s="3716"/>
      <c r="Q18" s="1351"/>
      <c r="R18" s="705"/>
      <c r="S18" s="706"/>
      <c r="T18" s="705"/>
      <c r="U18" s="706"/>
      <c r="V18" s="705"/>
      <c r="W18" s="706"/>
      <c r="X18" s="1354"/>
      <c r="Y18" s="3709"/>
      <c r="Z18" s="1355"/>
      <c r="AA18" s="1352">
        <v>1</v>
      </c>
      <c r="AB18" s="1352">
        <v>1</v>
      </c>
      <c r="AC18" s="1961">
        <v>1</v>
      </c>
    </row>
    <row r="19" spans="1:29" ht="42.75">
      <c r="A19" s="379"/>
      <c r="B19" s="579" t="s">
        <v>1794</v>
      </c>
      <c r="C19" s="1962" t="str">
        <f>估价对象房地状况!C7</f>
        <v>估价对象所在区域公共配套设施齐备情况</v>
      </c>
      <c r="D19" s="406">
        <v>100</v>
      </c>
      <c r="E19" s="410"/>
      <c r="F19" s="406">
        <f>SUMIF(81:81,E20,82:82)-SUMIF(81:81,C20,82:82)+100</f>
        <v>100</v>
      </c>
      <c r="G19" s="408"/>
      <c r="H19" s="401">
        <f>SUMIF(81:81,G20,82:82)-SUMIF(81:81,C20,82:82)+100</f>
        <v>100</v>
      </c>
      <c r="I19" s="408"/>
      <c r="J19" s="401">
        <f>SUMIF(81:81,I20,82:82)-SUMIF(81:81,C20,82:82)+100</f>
        <v>100</v>
      </c>
      <c r="K19" s="563"/>
      <c r="L19" s="2696"/>
      <c r="M19" s="2690"/>
      <c r="N19" s="2690"/>
      <c r="O19" s="2690"/>
      <c r="P19" s="3716"/>
      <c r="Q19" s="1351" t="str">
        <f>B19</f>
        <v>公共配套设施</v>
      </c>
      <c r="R19" s="705" t="s">
        <v>14</v>
      </c>
      <c r="S19" s="706">
        <f>F19</f>
        <v>100</v>
      </c>
      <c r="T19" s="705" t="s">
        <v>14</v>
      </c>
      <c r="U19" s="706">
        <f>H19</f>
        <v>100</v>
      </c>
      <c r="V19" s="705" t="s">
        <v>14</v>
      </c>
      <c r="W19" s="706">
        <f>J19</f>
        <v>100</v>
      </c>
      <c r="X19" s="1354"/>
      <c r="Y19" s="3709"/>
      <c r="Z19" s="1355" t="str">
        <f>Q19</f>
        <v>公共配套设施</v>
      </c>
      <c r="AA19" s="1352">
        <f t="shared" si="3"/>
        <v>1</v>
      </c>
      <c r="AB19" s="1352">
        <f t="shared" si="4"/>
        <v>1</v>
      </c>
      <c r="AC19" s="1961">
        <f t="shared" si="5"/>
        <v>1</v>
      </c>
    </row>
    <row r="20" spans="1:29" ht="15">
      <c r="A20" s="379"/>
      <c r="B20" s="580"/>
      <c r="C20" s="1903"/>
      <c r="D20" s="399"/>
      <c r="E20" s="1896"/>
      <c r="F20" s="399"/>
      <c r="G20" s="1897"/>
      <c r="H20" s="399"/>
      <c r="I20" s="1897"/>
      <c r="J20" s="399"/>
      <c r="K20" s="564"/>
      <c r="L20" s="2696"/>
      <c r="M20" s="2690"/>
      <c r="N20" s="2690"/>
      <c r="O20" s="2690"/>
      <c r="P20" s="3716"/>
      <c r="Q20" s="1351"/>
      <c r="R20" s="705"/>
      <c r="S20" s="706"/>
      <c r="T20" s="705"/>
      <c r="U20" s="706"/>
      <c r="V20" s="705"/>
      <c r="W20" s="706"/>
      <c r="X20" s="1354"/>
      <c r="Y20" s="3709"/>
      <c r="Z20" s="1355"/>
      <c r="AA20" s="1352">
        <v>1</v>
      </c>
      <c r="AB20" s="1352">
        <v>1</v>
      </c>
      <c r="AC20" s="1961">
        <v>1</v>
      </c>
    </row>
    <row r="21" spans="1:29" ht="28.5">
      <c r="A21" s="379"/>
      <c r="B21" s="581" t="s">
        <v>1795</v>
      </c>
      <c r="C21" s="1962" t="str">
        <f>估价对象房地状况!C8</f>
        <v>估价对象所在区域基础设施水平</v>
      </c>
      <c r="D21" s="401">
        <v>100</v>
      </c>
      <c r="E21" s="410"/>
      <c r="F21" s="406">
        <f>SUMIF(83:83,E22,84:84)-SUMIF(83:83,C22,84:84)+100</f>
        <v>100</v>
      </c>
      <c r="G21" s="408"/>
      <c r="H21" s="401">
        <f>SUMIF(83:83,G22,84:84)-SUMIF(83:83,C22,84:84)+100</f>
        <v>100</v>
      </c>
      <c r="I21" s="408"/>
      <c r="J21" s="401">
        <f>SUMIF(83:83,I22,84:84)-SUMIF(83:83,C22,84:84)+100</f>
        <v>100</v>
      </c>
      <c r="K21" s="563"/>
      <c r="L21" s="2696"/>
      <c r="M21" s="2690"/>
      <c r="N21" s="2690"/>
      <c r="O21" s="2690"/>
      <c r="P21" s="3716"/>
      <c r="Q21" s="1351" t="str">
        <f>B21</f>
        <v>基础设施水平</v>
      </c>
      <c r="R21" s="705" t="s">
        <v>14</v>
      </c>
      <c r="S21" s="706">
        <f>F21</f>
        <v>100</v>
      </c>
      <c r="T21" s="705" t="s">
        <v>14</v>
      </c>
      <c r="U21" s="706">
        <f>H21</f>
        <v>100</v>
      </c>
      <c r="V21" s="705" t="s">
        <v>14</v>
      </c>
      <c r="W21" s="706">
        <f>J21</f>
        <v>100</v>
      </c>
      <c r="X21" s="1354"/>
      <c r="Y21" s="3709"/>
      <c r="Z21" s="1355" t="str">
        <f>Q21</f>
        <v>基础设施水平</v>
      </c>
      <c r="AA21" s="1352">
        <f t="shared" ref="AA21" si="8">D21/F21</f>
        <v>1</v>
      </c>
      <c r="AB21" s="1352">
        <f t="shared" ref="AB21" si="9">D21/H21</f>
        <v>1</v>
      </c>
      <c r="AC21" s="1961">
        <f t="shared" ref="AC21" si="10">D21/J21</f>
        <v>1</v>
      </c>
    </row>
    <row r="22" spans="1:29" ht="15">
      <c r="A22" s="379"/>
      <c r="B22" s="581"/>
      <c r="C22" s="1963"/>
      <c r="D22" s="399"/>
      <c r="E22" s="398"/>
      <c r="F22" s="399"/>
      <c r="G22" s="1903"/>
      <c r="H22" s="399"/>
      <c r="I22" s="1903"/>
      <c r="J22" s="399"/>
      <c r="K22" s="1130"/>
      <c r="L22" s="2696"/>
      <c r="M22" s="2690"/>
      <c r="N22" s="2690"/>
      <c r="O22" s="2690"/>
      <c r="P22" s="3716"/>
      <c r="Q22" s="1351"/>
      <c r="R22" s="705"/>
      <c r="S22" s="706"/>
      <c r="T22" s="705"/>
      <c r="U22" s="706"/>
      <c r="V22" s="705"/>
      <c r="W22" s="706"/>
      <c r="X22" s="1354"/>
      <c r="Y22" s="3709"/>
      <c r="Z22" s="1355"/>
      <c r="AA22" s="1352">
        <v>1</v>
      </c>
      <c r="AB22" s="1352">
        <v>1</v>
      </c>
      <c r="AC22" s="1961">
        <v>1</v>
      </c>
    </row>
    <row r="23" spans="1:29" ht="42.75">
      <c r="A23" s="379"/>
      <c r="B23" s="579" t="s">
        <v>1796</v>
      </c>
      <c r="C23" s="1962" t="str">
        <f>估价对象房地状况!C9</f>
        <v>区域自然环境：；人文环境；综合评价环境状况一般</v>
      </c>
      <c r="D23" s="401">
        <v>100</v>
      </c>
      <c r="E23" s="405"/>
      <c r="F23" s="401">
        <f>SUMIF(85:85,E24,86:86)-SUMIF(85:85,C24,86:86)+100</f>
        <v>100</v>
      </c>
      <c r="G23" s="403"/>
      <c r="H23" s="401">
        <f>SUMIF(85:85,G24,86:86)-SUMIF(85:85,C24,86:86)+100</f>
        <v>100</v>
      </c>
      <c r="I23" s="403"/>
      <c r="J23" s="401">
        <f>SUMIF(85:85,I24,86:86)-SUMIF(85:85,C24,86:86)+100</f>
        <v>100</v>
      </c>
      <c r="K23" s="563"/>
      <c r="L23" s="2696"/>
      <c r="M23" s="2690"/>
      <c r="N23" s="2690"/>
      <c r="O23" s="2690"/>
      <c r="P23" s="3716"/>
      <c r="Q23" s="1351" t="str">
        <f>B23</f>
        <v>环境质量</v>
      </c>
      <c r="R23" s="705" t="s">
        <v>14</v>
      </c>
      <c r="S23" s="706">
        <f>F23</f>
        <v>100</v>
      </c>
      <c r="T23" s="705" t="s">
        <v>14</v>
      </c>
      <c r="U23" s="706">
        <f>H23</f>
        <v>100</v>
      </c>
      <c r="V23" s="705" t="s">
        <v>14</v>
      </c>
      <c r="W23" s="706">
        <f>J23</f>
        <v>100</v>
      </c>
      <c r="X23" s="1354"/>
      <c r="Y23" s="3709"/>
      <c r="Z23" s="1355" t="str">
        <f>Q23</f>
        <v>环境质量</v>
      </c>
      <c r="AA23" s="1352">
        <f t="shared" si="3"/>
        <v>1</v>
      </c>
      <c r="AB23" s="1352">
        <f t="shared" si="4"/>
        <v>1</v>
      </c>
      <c r="AC23" s="1961">
        <f t="shared" si="5"/>
        <v>1</v>
      </c>
    </row>
    <row r="24" spans="1:29" ht="15">
      <c r="A24" s="379"/>
      <c r="B24" s="581"/>
      <c r="C24" s="1903"/>
      <c r="D24" s="399"/>
      <c r="E24" s="1896"/>
      <c r="F24" s="399"/>
      <c r="G24" s="1897"/>
      <c r="H24" s="399"/>
      <c r="I24" s="1897"/>
      <c r="J24" s="399"/>
      <c r="K24" s="564"/>
      <c r="L24" s="2696"/>
      <c r="M24" s="2690"/>
      <c r="N24" s="2690"/>
      <c r="O24" s="2690"/>
      <c r="P24" s="3716"/>
      <c r="Q24" s="1351"/>
      <c r="R24" s="705"/>
      <c r="S24" s="706"/>
      <c r="T24" s="705"/>
      <c r="U24" s="706"/>
      <c r="V24" s="705"/>
      <c r="W24" s="706"/>
      <c r="X24" s="1354"/>
      <c r="Y24" s="3709"/>
      <c r="Z24" s="1355"/>
      <c r="AA24" s="1352">
        <v>1</v>
      </c>
      <c r="AB24" s="1352">
        <v>1</v>
      </c>
      <c r="AC24" s="1961">
        <v>1</v>
      </c>
    </row>
    <row r="25" spans="1:29" ht="27">
      <c r="A25" s="358"/>
      <c r="B25" s="579" t="s">
        <v>1797</v>
      </c>
      <c r="C25" s="1907"/>
      <c r="D25" s="386">
        <v>100</v>
      </c>
      <c r="E25" s="385"/>
      <c r="F25" s="386">
        <f>SUMIF(87:87,E26,88:88)-SUMIF(87:87,C26,88:88)+100</f>
        <v>100</v>
      </c>
      <c r="G25" s="1907"/>
      <c r="H25" s="386">
        <f>SUMIF(87:87,G26,88:88)-SUMIF(87:87,C26,88:88)+100</f>
        <v>100</v>
      </c>
      <c r="I25" s="385"/>
      <c r="J25" s="386">
        <f>SUMIF(87:87,I26,88:88)-SUMIF(87:87,C26,88:88)+100</f>
        <v>100</v>
      </c>
      <c r="K25" s="563"/>
      <c r="L25" s="2696"/>
      <c r="M25" s="2690"/>
      <c r="N25" s="2690"/>
      <c r="O25" s="2690"/>
      <c r="P25" s="3716"/>
      <c r="Q25" s="1351" t="str">
        <f>B25</f>
        <v>毗邻道路的类型与等级</v>
      </c>
      <c r="R25" s="705" t="s">
        <v>14</v>
      </c>
      <c r="S25" s="706">
        <f>F25</f>
        <v>100</v>
      </c>
      <c r="T25" s="705" t="s">
        <v>14</v>
      </c>
      <c r="U25" s="706">
        <f>H25</f>
        <v>100</v>
      </c>
      <c r="V25" s="705" t="s">
        <v>14</v>
      </c>
      <c r="W25" s="706">
        <f>J25</f>
        <v>100</v>
      </c>
      <c r="X25" s="1354"/>
      <c r="Y25" s="3709"/>
      <c r="Z25" s="1355" t="str">
        <f>Q25</f>
        <v>毗邻道路的类型与等级</v>
      </c>
      <c r="AA25" s="1352">
        <f t="shared" si="3"/>
        <v>1</v>
      </c>
      <c r="AB25" s="1352">
        <f t="shared" si="4"/>
        <v>1</v>
      </c>
      <c r="AC25" s="1961">
        <f t="shared" si="5"/>
        <v>1</v>
      </c>
    </row>
    <row r="26" spans="1:29" ht="15">
      <c r="A26" s="358"/>
      <c r="B26" s="580"/>
      <c r="C26" s="582"/>
      <c r="D26" s="386"/>
      <c r="E26" s="565"/>
      <c r="F26" s="386"/>
      <c r="G26" s="582"/>
      <c r="H26" s="386"/>
      <c r="I26" s="565"/>
      <c r="J26" s="386"/>
      <c r="K26" s="564"/>
      <c r="L26" s="2696"/>
      <c r="M26" s="2690"/>
      <c r="N26" s="2690"/>
      <c r="O26" s="2690"/>
      <c r="P26" s="3716"/>
      <c r="Q26" s="1351"/>
      <c r="R26" s="705"/>
      <c r="S26" s="706"/>
      <c r="T26" s="705"/>
      <c r="U26" s="706"/>
      <c r="V26" s="705"/>
      <c r="W26" s="706"/>
      <c r="X26" s="1354"/>
      <c r="Y26" s="3709"/>
      <c r="Z26" s="1355"/>
      <c r="AA26" s="1352">
        <v>1</v>
      </c>
      <c r="AB26" s="1352">
        <v>1</v>
      </c>
      <c r="AC26" s="1961">
        <v>1</v>
      </c>
    </row>
    <row r="27" spans="1:29" ht="15">
      <c r="A27" s="379"/>
      <c r="B27" s="580" t="s">
        <v>1765</v>
      </c>
      <c r="C27" s="582"/>
      <c r="D27" s="386">
        <v>100</v>
      </c>
      <c r="E27" s="565"/>
      <c r="F27" s="386">
        <f>SUMIF(89:89,E27,90:90)-SUMIF(89:89,C27,90:90)+100</f>
        <v>100</v>
      </c>
      <c r="G27" s="582"/>
      <c r="H27" s="386">
        <f>SUMIF(89:89,G27,90:90)-SUMIF(89:89,C27,90:90)+100</f>
        <v>100</v>
      </c>
      <c r="I27" s="565"/>
      <c r="J27" s="386">
        <f>SUMIF(89:89,I27,90:90)-SUMIF(89:89,C27,90:90)+100</f>
        <v>100</v>
      </c>
      <c r="K27" s="561"/>
      <c r="L27" s="2696"/>
      <c r="M27" s="2690"/>
      <c r="N27" s="2690"/>
      <c r="O27" s="2690"/>
      <c r="P27" s="3716"/>
      <c r="Q27" s="1351" t="str">
        <f t="shared" ref="Q27:Q47" si="11">B27</f>
        <v>楼层</v>
      </c>
      <c r="R27" s="705" t="s">
        <v>14</v>
      </c>
      <c r="S27" s="706">
        <f>F27</f>
        <v>100</v>
      </c>
      <c r="T27" s="705" t="s">
        <v>14</v>
      </c>
      <c r="U27" s="706">
        <f>H27</f>
        <v>100</v>
      </c>
      <c r="V27" s="705" t="s">
        <v>14</v>
      </c>
      <c r="W27" s="706">
        <f>J27</f>
        <v>100</v>
      </c>
      <c r="X27" s="1354"/>
      <c r="Y27" s="3709"/>
      <c r="Z27" s="1355" t="str">
        <f>Q27</f>
        <v>楼层</v>
      </c>
      <c r="AA27" s="1352">
        <f t="shared" si="3"/>
        <v>1</v>
      </c>
      <c r="AB27" s="1352">
        <f t="shared" si="4"/>
        <v>1</v>
      </c>
      <c r="AC27" s="1961">
        <f t="shared" si="5"/>
        <v>1</v>
      </c>
    </row>
    <row r="28" spans="1:29" s="108" customFormat="1" ht="15">
      <c r="A28" s="382"/>
      <c r="B28" s="579" t="s">
        <v>1798</v>
      </c>
      <c r="C28" s="1964"/>
      <c r="D28" s="413">
        <v>100</v>
      </c>
      <c r="E28" s="1955"/>
      <c r="F28" s="413">
        <f>SUMIF(91:91,E28,92:92)-SUMIF(91:91,C28,92:92)+100</f>
        <v>100</v>
      </c>
      <c r="G28" s="1964"/>
      <c r="H28" s="413">
        <f>SUMIF(91:91,G28,92:92)-SUMIF(91:91,C28,92:92)+100</f>
        <v>100</v>
      </c>
      <c r="I28" s="1955"/>
      <c r="J28" s="413">
        <f>SUMIF(91:91,I28,92:92)-SUMIF(91:91,C28,92:92)+100</f>
        <v>100</v>
      </c>
      <c r="K28" s="561"/>
      <c r="L28" s="2691"/>
      <c r="M28" s="2692"/>
      <c r="N28" s="2692"/>
      <c r="O28" s="2692"/>
      <c r="P28" s="3716"/>
      <c r="Q28" s="1342" t="str">
        <f t="shared" si="11"/>
        <v>朝向</v>
      </c>
      <c r="R28" s="701" t="s">
        <v>14</v>
      </c>
      <c r="S28" s="702">
        <f>F28</f>
        <v>100</v>
      </c>
      <c r="T28" s="701" t="s">
        <v>14</v>
      </c>
      <c r="U28" s="702">
        <f>H28</f>
        <v>100</v>
      </c>
      <c r="V28" s="701" t="s">
        <v>14</v>
      </c>
      <c r="W28" s="702">
        <f>J28</f>
        <v>100</v>
      </c>
      <c r="X28" s="703"/>
      <c r="Y28" s="3709"/>
      <c r="Z28" s="52" t="str">
        <f>Q28</f>
        <v>朝向</v>
      </c>
      <c r="AA28" s="1352">
        <f>D28/F28</f>
        <v>1</v>
      </c>
      <c r="AB28" s="1352">
        <f>D28/H28</f>
        <v>1</v>
      </c>
      <c r="AC28" s="1961">
        <f>D28/J28</f>
        <v>1</v>
      </c>
    </row>
    <row r="29" spans="1:29" ht="15">
      <c r="A29" s="379"/>
      <c r="B29" s="1965">
        <v>111</v>
      </c>
      <c r="C29" s="1907"/>
      <c r="D29" s="386">
        <v>100</v>
      </c>
      <c r="E29" s="383"/>
      <c r="F29" s="386">
        <f>SUMIF(93:93,E29,94:94)-SUMIF(93:93,C29,94:94)+100</f>
        <v>100</v>
      </c>
      <c r="G29" s="1959"/>
      <c r="H29" s="386">
        <f>SUMIF(93:93,G29,94:94)-SUMIF(93:93,C29,94:94)+100</f>
        <v>100</v>
      </c>
      <c r="I29" s="383"/>
      <c r="J29" s="386">
        <f>SUMIF(93:93,I29,94:94)-SUMIF(93:93,C29,94:94)+100</f>
        <v>100</v>
      </c>
      <c r="K29" s="562"/>
      <c r="L29" s="2696"/>
      <c r="M29" s="2690"/>
      <c r="N29" s="2690"/>
      <c r="O29" s="2690"/>
      <c r="P29" s="3716"/>
      <c r="Q29" s="1351">
        <f t="shared" si="11"/>
        <v>111</v>
      </c>
      <c r="R29" s="705" t="s">
        <v>14</v>
      </c>
      <c r="S29" s="706">
        <f t="shared" ref="S29:S47" si="12">F29</f>
        <v>100</v>
      </c>
      <c r="T29" s="705" t="s">
        <v>14</v>
      </c>
      <c r="U29" s="706">
        <f t="shared" ref="U29:U47" si="13">H29</f>
        <v>100</v>
      </c>
      <c r="V29" s="705" t="s">
        <v>14</v>
      </c>
      <c r="W29" s="706">
        <f t="shared" ref="W29:W47" si="14">J29</f>
        <v>100</v>
      </c>
      <c r="X29" s="1354"/>
      <c r="Y29" s="3709"/>
      <c r="Z29" s="1355">
        <f t="shared" ref="Z29:Z47" si="15">Q29</f>
        <v>111</v>
      </c>
      <c r="AA29" s="1352">
        <f t="shared" si="3"/>
        <v>1</v>
      </c>
      <c r="AB29" s="1352">
        <f t="shared" si="4"/>
        <v>1</v>
      </c>
      <c r="AC29" s="1961">
        <f t="shared" si="5"/>
        <v>1</v>
      </c>
    </row>
    <row r="30" spans="1:29" ht="15">
      <c r="A30" s="379"/>
      <c r="B30" s="1965">
        <v>111</v>
      </c>
      <c r="C30" s="1907"/>
      <c r="D30" s="386">
        <v>100</v>
      </c>
      <c r="E30" s="383"/>
      <c r="F30" s="386">
        <f>SUMIF(95:95,E30,96:96)-SUMIF(95:95,C30,96:96)+100</f>
        <v>100</v>
      </c>
      <c r="G30" s="1959"/>
      <c r="H30" s="386">
        <f>SUMIF(95:95,G30,96:96)-SUMIF(95:95,C30,96:96)+100</f>
        <v>100</v>
      </c>
      <c r="I30" s="383"/>
      <c r="J30" s="386">
        <f>SUMIF(95:95,I30,96:96)-SUMIF(95:95,C30,96:96)+100</f>
        <v>100</v>
      </c>
      <c r="K30" s="562"/>
      <c r="L30" s="2696"/>
      <c r="M30" s="2690"/>
      <c r="N30" s="2690"/>
      <c r="O30" s="2690"/>
      <c r="P30" s="3716"/>
      <c r="Q30" s="1351">
        <f t="shared" si="11"/>
        <v>111</v>
      </c>
      <c r="R30" s="705" t="s">
        <v>14</v>
      </c>
      <c r="S30" s="706">
        <f t="shared" si="12"/>
        <v>100</v>
      </c>
      <c r="T30" s="705" t="s">
        <v>14</v>
      </c>
      <c r="U30" s="706">
        <f t="shared" si="13"/>
        <v>100</v>
      </c>
      <c r="V30" s="705" t="s">
        <v>14</v>
      </c>
      <c r="W30" s="706">
        <f t="shared" si="14"/>
        <v>100</v>
      </c>
      <c r="X30" s="1354"/>
      <c r="Y30" s="3709"/>
      <c r="Z30" s="1355">
        <f t="shared" si="15"/>
        <v>111</v>
      </c>
      <c r="AA30" s="1352">
        <f t="shared" si="3"/>
        <v>1</v>
      </c>
      <c r="AB30" s="1352">
        <f t="shared" si="4"/>
        <v>1</v>
      </c>
      <c r="AC30" s="1961">
        <f t="shared" si="5"/>
        <v>1</v>
      </c>
    </row>
    <row r="31" spans="1:29" ht="15">
      <c r="A31" s="379"/>
      <c r="B31" s="1965">
        <v>111</v>
      </c>
      <c r="C31" s="1907"/>
      <c r="D31" s="386">
        <v>100</v>
      </c>
      <c r="E31" s="383"/>
      <c r="F31" s="386">
        <f>SUMIF(97:97,E31,98:98)-SUMIF(97:97,C31,98:98)+100</f>
        <v>100</v>
      </c>
      <c r="G31" s="1959"/>
      <c r="H31" s="386">
        <f>SUMIF(97:97,G31,98:98)-SUMIF(97:97,C31,98:98)+100</f>
        <v>100</v>
      </c>
      <c r="I31" s="383"/>
      <c r="J31" s="386">
        <f>SUMIF(97:97,I31,98:98)-SUMIF(97:97,C31,98:98)+100</f>
        <v>100</v>
      </c>
      <c r="K31" s="562"/>
      <c r="L31" s="2696"/>
      <c r="M31" s="2690"/>
      <c r="N31" s="2690"/>
      <c r="O31" s="2690"/>
      <c r="P31" s="3716"/>
      <c r="Q31" s="1351">
        <f t="shared" si="11"/>
        <v>111</v>
      </c>
      <c r="R31" s="705" t="s">
        <v>14</v>
      </c>
      <c r="S31" s="706">
        <f t="shared" si="12"/>
        <v>100</v>
      </c>
      <c r="T31" s="705" t="s">
        <v>14</v>
      </c>
      <c r="U31" s="706">
        <f t="shared" si="13"/>
        <v>100</v>
      </c>
      <c r="V31" s="705" t="s">
        <v>14</v>
      </c>
      <c r="W31" s="706">
        <f t="shared" si="14"/>
        <v>100</v>
      </c>
      <c r="X31" s="1354"/>
      <c r="Y31" s="3709"/>
      <c r="Z31" s="1355">
        <f t="shared" si="15"/>
        <v>111</v>
      </c>
      <c r="AA31" s="1352">
        <f t="shared" si="3"/>
        <v>1</v>
      </c>
      <c r="AB31" s="1352">
        <f t="shared" si="4"/>
        <v>1</v>
      </c>
      <c r="AC31" s="1961">
        <f t="shared" si="5"/>
        <v>1</v>
      </c>
    </row>
    <row r="32" spans="1:29" ht="15.75" thickBot="1">
      <c r="A32" s="387"/>
      <c r="B32" s="583">
        <v>111</v>
      </c>
      <c r="C32" s="1908"/>
      <c r="D32" s="389">
        <v>100</v>
      </c>
      <c r="E32" s="576"/>
      <c r="F32" s="389">
        <f>SUMIF(99:99,E32,100:100)-SUMIF(99:99,C32,100:100)+100</f>
        <v>100</v>
      </c>
      <c r="G32" s="1959"/>
      <c r="H32" s="389">
        <f>SUMIF(99:99,G32,100:100)-SUMIF(99:99,C32,100:100)+100</f>
        <v>100</v>
      </c>
      <c r="I32" s="383"/>
      <c r="J32" s="389">
        <f>SUMIF(99:99,I32,100:100)-SUMIF(99:99,C32,100:100)+100</f>
        <v>100</v>
      </c>
      <c r="K32" s="562"/>
      <c r="L32" s="2696"/>
      <c r="M32" s="2690"/>
      <c r="N32" s="2690"/>
      <c r="O32" s="2690"/>
      <c r="P32" s="3716"/>
      <c r="Q32" s="1351">
        <f t="shared" si="11"/>
        <v>111</v>
      </c>
      <c r="R32" s="705" t="s">
        <v>14</v>
      </c>
      <c r="S32" s="706">
        <f t="shared" si="12"/>
        <v>100</v>
      </c>
      <c r="T32" s="705" t="s">
        <v>14</v>
      </c>
      <c r="U32" s="706">
        <f t="shared" si="13"/>
        <v>100</v>
      </c>
      <c r="V32" s="705" t="s">
        <v>14</v>
      </c>
      <c r="W32" s="706">
        <f t="shared" si="14"/>
        <v>100</v>
      </c>
      <c r="X32" s="1354"/>
      <c r="Y32" s="3709"/>
      <c r="Z32" s="1355">
        <f t="shared" si="15"/>
        <v>111</v>
      </c>
      <c r="AA32" s="1352">
        <f t="shared" si="3"/>
        <v>1</v>
      </c>
      <c r="AB32" s="1352">
        <f t="shared" si="4"/>
        <v>1</v>
      </c>
      <c r="AC32" s="1961">
        <f t="shared" si="5"/>
        <v>1</v>
      </c>
    </row>
    <row r="33" spans="1:29" ht="15">
      <c r="A33" s="391" t="s">
        <v>1676</v>
      </c>
      <c r="B33" s="63" t="s">
        <v>1799</v>
      </c>
      <c r="C33" s="1966"/>
      <c r="D33" s="418">
        <v>100</v>
      </c>
      <c r="E33" s="1966"/>
      <c r="F33" s="412">
        <f>SUMIF(101:101,E33,102:102)-SUMIF(101:101,C33,102:102)+100</f>
        <v>100</v>
      </c>
      <c r="G33" s="1966"/>
      <c r="H33" s="386">
        <f>SUMIF(101:101,G33,102:102)-SUMIF(101:101,C33,102:102)+100</f>
        <v>100</v>
      </c>
      <c r="I33" s="1966"/>
      <c r="J33" s="418">
        <f>SUMIF(101:101,I33,102:102)-SUMIF(101:101,C33,102:102)+100</f>
        <v>100</v>
      </c>
      <c r="K33" s="561"/>
      <c r="L33" s="2696"/>
      <c r="M33" s="2690"/>
      <c r="N33" s="2690"/>
      <c r="O33" s="2690"/>
      <c r="P33" s="3710" t="s">
        <v>1678</v>
      </c>
      <c r="Q33" s="1351" t="str">
        <f t="shared" si="11"/>
        <v>建筑类型</v>
      </c>
      <c r="R33" s="705" t="s">
        <v>14</v>
      </c>
      <c r="S33" s="706">
        <f t="shared" si="12"/>
        <v>100</v>
      </c>
      <c r="T33" s="705" t="s">
        <v>14</v>
      </c>
      <c r="U33" s="706">
        <f t="shared" si="13"/>
        <v>100</v>
      </c>
      <c r="V33" s="705" t="s">
        <v>14</v>
      </c>
      <c r="W33" s="706">
        <f t="shared" si="14"/>
        <v>100</v>
      </c>
      <c r="X33" s="1354"/>
      <c r="Y33" s="3713" t="s">
        <v>1678</v>
      </c>
      <c r="Z33" s="1355" t="str">
        <f t="shared" si="15"/>
        <v>建筑类型</v>
      </c>
      <c r="AA33" s="1352">
        <f t="shared" si="3"/>
        <v>1</v>
      </c>
      <c r="AB33" s="1352">
        <f t="shared" si="4"/>
        <v>1</v>
      </c>
      <c r="AC33" s="1961">
        <f t="shared" si="5"/>
        <v>1</v>
      </c>
    </row>
    <row r="34" spans="1:29" s="422" customFormat="1" ht="15">
      <c r="A34" s="419"/>
      <c r="B34" s="375" t="s">
        <v>1679</v>
      </c>
      <c r="C34" s="420"/>
      <c r="D34" s="127">
        <v>100</v>
      </c>
      <c r="E34" s="381"/>
      <c r="F34" s="376" t="e">
        <f>LOOKUP(E34,104:104,105:105)-LOOKUP(C34,104:104,105:105)+100</f>
        <v>#N/A</v>
      </c>
      <c r="G34" s="380"/>
      <c r="H34" s="127" t="e">
        <f>LOOKUP(G34,104:104,105:105)-LOOKUP(C34,104:104,105:105)+100</f>
        <v>#N/A</v>
      </c>
      <c r="I34" s="380"/>
      <c r="J34" s="127" t="e">
        <f>LOOKUP(I34,104:104,105:105)-LOOKUP(C34,104:104,105:105)+100</f>
        <v>#N/A</v>
      </c>
      <c r="K34" s="562"/>
      <c r="L34" s="2695"/>
      <c r="M34" s="2697"/>
      <c r="N34" s="2697"/>
      <c r="O34" s="2697"/>
      <c r="P34" s="3711"/>
      <c r="Q34" s="707" t="str">
        <f t="shared" si="11"/>
        <v>项目建筑规模</v>
      </c>
      <c r="R34" s="708" t="s">
        <v>14</v>
      </c>
      <c r="S34" s="709" t="e">
        <f t="shared" si="12"/>
        <v>#N/A</v>
      </c>
      <c r="T34" s="708" t="s">
        <v>14</v>
      </c>
      <c r="U34" s="709" t="e">
        <f t="shared" si="13"/>
        <v>#N/A</v>
      </c>
      <c r="V34" s="708" t="s">
        <v>14</v>
      </c>
      <c r="W34" s="709" t="e">
        <f t="shared" si="14"/>
        <v>#N/A</v>
      </c>
      <c r="X34" s="710"/>
      <c r="Y34" s="3713"/>
      <c r="Z34" s="711" t="str">
        <f t="shared" si="15"/>
        <v>项目建筑规模</v>
      </c>
      <c r="AA34" s="1352" t="e">
        <f t="shared" si="3"/>
        <v>#N/A</v>
      </c>
      <c r="AB34" s="1352" t="e">
        <f t="shared" si="4"/>
        <v>#N/A</v>
      </c>
      <c r="AC34" s="1961" t="e">
        <f t="shared" si="5"/>
        <v>#N/A</v>
      </c>
    </row>
    <row r="35" spans="1:29" ht="15">
      <c r="A35" s="423"/>
      <c r="B35" s="375" t="s">
        <v>1680</v>
      </c>
      <c r="C35" s="411"/>
      <c r="D35" s="386">
        <v>100</v>
      </c>
      <c r="E35" s="411"/>
      <c r="F35" s="412">
        <f>SUMIF(106:106,E35,107:107)-SUMIF(106:106,C35,107:107)+100</f>
        <v>100</v>
      </c>
      <c r="G35" s="411"/>
      <c r="H35" s="386">
        <f>SUMIF(106:106,G35,107:107)-SUMIF(106:106,C35,107:107)+100</f>
        <v>100</v>
      </c>
      <c r="I35" s="411"/>
      <c r="J35" s="386">
        <f>SUMIF(106:106,I35,107:107)-SUMIF(106:106,C35,107:107)+100</f>
        <v>100</v>
      </c>
      <c r="K35" s="561"/>
      <c r="L35" s="2696"/>
      <c r="M35" s="2690"/>
      <c r="N35" s="2690"/>
      <c r="O35" s="2690"/>
      <c r="P35" s="3711"/>
      <c r="Q35" s="1351" t="str">
        <f t="shared" si="11"/>
        <v>建筑结构</v>
      </c>
      <c r="R35" s="705" t="s">
        <v>14</v>
      </c>
      <c r="S35" s="706">
        <f t="shared" si="12"/>
        <v>100</v>
      </c>
      <c r="T35" s="705" t="s">
        <v>14</v>
      </c>
      <c r="U35" s="706">
        <f t="shared" si="13"/>
        <v>100</v>
      </c>
      <c r="V35" s="705" t="s">
        <v>14</v>
      </c>
      <c r="W35" s="706">
        <f t="shared" si="14"/>
        <v>100</v>
      </c>
      <c r="X35" s="1354"/>
      <c r="Y35" s="3713"/>
      <c r="Z35" s="1355" t="str">
        <f t="shared" si="15"/>
        <v>建筑结构</v>
      </c>
      <c r="AA35" s="1352">
        <f t="shared" si="3"/>
        <v>1</v>
      </c>
      <c r="AB35" s="1352">
        <f t="shared" si="4"/>
        <v>1</v>
      </c>
      <c r="AC35" s="1961">
        <f t="shared" si="5"/>
        <v>1</v>
      </c>
    </row>
    <row r="36" spans="1:29" ht="15">
      <c r="A36" s="423"/>
      <c r="B36" s="375" t="s">
        <v>1767</v>
      </c>
      <c r="C36" s="411"/>
      <c r="D36" s="386">
        <v>100</v>
      </c>
      <c r="E36" s="411"/>
      <c r="F36" s="412">
        <f>SUMIF(108:108,E36,109:109)-SUMIF(108:108,C36,109:109)+100</f>
        <v>100</v>
      </c>
      <c r="G36" s="411"/>
      <c r="H36" s="386">
        <f>SUMIF(108:108,G36,109:109)-SUMIF(108:108,C36,109:109)+100</f>
        <v>100</v>
      </c>
      <c r="I36" s="411"/>
      <c r="J36" s="386">
        <f>SUMIF(108:108,I36,109:109)-SUMIF(108:108,C36,109:109)+100</f>
        <v>100</v>
      </c>
      <c r="K36" s="561"/>
      <c r="L36" s="2696"/>
      <c r="M36" s="2690"/>
      <c r="N36" s="2690"/>
      <c r="O36" s="2690"/>
      <c r="P36" s="3711"/>
      <c r="Q36" s="1351" t="str">
        <f t="shared" si="11"/>
        <v>公共部分装修</v>
      </c>
      <c r="R36" s="705" t="s">
        <v>14</v>
      </c>
      <c r="S36" s="706">
        <f t="shared" si="12"/>
        <v>100</v>
      </c>
      <c r="T36" s="705" t="s">
        <v>14</v>
      </c>
      <c r="U36" s="706">
        <f t="shared" si="13"/>
        <v>100</v>
      </c>
      <c r="V36" s="705" t="s">
        <v>14</v>
      </c>
      <c r="W36" s="706">
        <f t="shared" si="14"/>
        <v>100</v>
      </c>
      <c r="X36" s="1354"/>
      <c r="Y36" s="3713"/>
      <c r="Z36" s="1355" t="str">
        <f t="shared" si="15"/>
        <v>公共部分装修</v>
      </c>
      <c r="AA36" s="1352">
        <f t="shared" si="3"/>
        <v>1</v>
      </c>
      <c r="AB36" s="1352">
        <f t="shared" si="4"/>
        <v>1</v>
      </c>
      <c r="AC36" s="1961">
        <f t="shared" si="5"/>
        <v>1</v>
      </c>
    </row>
    <row r="37" spans="1:29" ht="15">
      <c r="A37" s="423"/>
      <c r="B37" s="375" t="s">
        <v>1768</v>
      </c>
      <c r="C37" s="425"/>
      <c r="D37" s="386">
        <v>100</v>
      </c>
      <c r="E37" s="425"/>
      <c r="F37" s="412" t="e">
        <f>LOOKUP(E37,111:111,112:112)-LOOKUP(C37,111:111,112:112)+100</f>
        <v>#N/A</v>
      </c>
      <c r="G37" s="425"/>
      <c r="H37" s="412" t="e">
        <f>LOOKUP(G37,111:111,112:112)-LOOKUP(C37,111:111,112:112)+100</f>
        <v>#N/A</v>
      </c>
      <c r="I37" s="425"/>
      <c r="J37" s="386" t="e">
        <f>LOOKUP(I37,111:111,112:112)-LOOKUP(C37,111:111,112:112)+100</f>
        <v>#N/A</v>
      </c>
      <c r="K37" s="561"/>
      <c r="L37" s="2696"/>
      <c r="M37" s="2690"/>
      <c r="N37" s="2690"/>
      <c r="O37" s="2690"/>
      <c r="P37" s="3711"/>
      <c r="Q37" s="1351" t="str">
        <f t="shared" si="11"/>
        <v>成新度</v>
      </c>
      <c r="R37" s="705" t="s">
        <v>14</v>
      </c>
      <c r="S37" s="706" t="e">
        <f t="shared" si="12"/>
        <v>#N/A</v>
      </c>
      <c r="T37" s="705" t="s">
        <v>14</v>
      </c>
      <c r="U37" s="706" t="e">
        <f t="shared" si="13"/>
        <v>#N/A</v>
      </c>
      <c r="V37" s="705" t="s">
        <v>14</v>
      </c>
      <c r="W37" s="706" t="e">
        <f t="shared" si="14"/>
        <v>#N/A</v>
      </c>
      <c r="X37" s="1354"/>
      <c r="Y37" s="3713"/>
      <c r="Z37" s="1355" t="str">
        <f t="shared" si="15"/>
        <v>成新度</v>
      </c>
      <c r="AA37" s="1352" t="e">
        <f t="shared" si="3"/>
        <v>#N/A</v>
      </c>
      <c r="AB37" s="1352" t="e">
        <f t="shared" si="4"/>
        <v>#N/A</v>
      </c>
      <c r="AC37" s="1961" t="e">
        <f t="shared" si="5"/>
        <v>#N/A</v>
      </c>
    </row>
    <row r="38" spans="1:29" s="108" customFormat="1" ht="15">
      <c r="A38" s="424"/>
      <c r="B38" s="375" t="s">
        <v>1800</v>
      </c>
      <c r="C38" s="411"/>
      <c r="D38" s="127">
        <v>100</v>
      </c>
      <c r="E38" s="411"/>
      <c r="F38" s="412">
        <f>SUMIF(113:113,E38,114:114)-SUMIF(113:113,C38,114:114)+100</f>
        <v>100</v>
      </c>
      <c r="G38" s="411"/>
      <c r="H38" s="386">
        <f>SUMIF(113:113,G38,114:114)-SUMIF(113:113,C38,114:114)+100</f>
        <v>100</v>
      </c>
      <c r="I38" s="411"/>
      <c r="J38" s="386">
        <f>SUMIF(113:113,I38,114:114)-SUMIF(113:113,C38,114:114)+100</f>
        <v>100</v>
      </c>
      <c r="K38" s="561"/>
      <c r="L38" s="2691"/>
      <c r="M38" s="2692"/>
      <c r="N38" s="2692"/>
      <c r="O38" s="2692"/>
      <c r="P38" s="3711"/>
      <c r="Q38" s="1342" t="str">
        <f t="shared" si="11"/>
        <v>写字楼等级</v>
      </c>
      <c r="R38" s="701" t="s">
        <v>14</v>
      </c>
      <c r="S38" s="702">
        <f t="shared" si="12"/>
        <v>100</v>
      </c>
      <c r="T38" s="701" t="s">
        <v>14</v>
      </c>
      <c r="U38" s="702">
        <f t="shared" si="13"/>
        <v>100</v>
      </c>
      <c r="V38" s="701" t="s">
        <v>14</v>
      </c>
      <c r="W38" s="702">
        <f t="shared" si="14"/>
        <v>100</v>
      </c>
      <c r="X38" s="703"/>
      <c r="Y38" s="3713"/>
      <c r="Z38" s="52" t="str">
        <f t="shared" si="15"/>
        <v>写字楼等级</v>
      </c>
      <c r="AA38" s="704">
        <f t="shared" si="3"/>
        <v>1</v>
      </c>
      <c r="AB38" s="704">
        <f t="shared" si="4"/>
        <v>1</v>
      </c>
      <c r="AC38" s="1958">
        <f t="shared" si="5"/>
        <v>1</v>
      </c>
    </row>
    <row r="39" spans="1:29" ht="15">
      <c r="A39" s="423"/>
      <c r="B39" s="375" t="s">
        <v>1801</v>
      </c>
      <c r="C39" s="411"/>
      <c r="D39" s="386">
        <v>100</v>
      </c>
      <c r="E39" s="411"/>
      <c r="F39" s="412">
        <f>SUMIF(115:115,E39,116:116)-SUMIF(115:115,C39,116:116)+100</f>
        <v>100</v>
      </c>
      <c r="G39" s="411"/>
      <c r="H39" s="386">
        <f>SUMIF(115:115,G39,116:116)-SUMIF(115:115,C39,116:116)+100</f>
        <v>100</v>
      </c>
      <c r="I39" s="411"/>
      <c r="J39" s="386">
        <f>SUMIF(115:115,I39,116:116)-SUMIF(115:115,C39,116:116)+100</f>
        <v>100</v>
      </c>
      <c r="K39" s="561"/>
      <c r="L39" s="2696"/>
      <c r="M39" s="2690"/>
      <c r="N39" s="2690"/>
      <c r="O39" s="2690"/>
      <c r="P39" s="3711" t="s">
        <v>1678</v>
      </c>
      <c r="Q39" s="1351" t="str">
        <f t="shared" si="11"/>
        <v>物业管理</v>
      </c>
      <c r="R39" s="705" t="s">
        <v>14</v>
      </c>
      <c r="S39" s="706">
        <f t="shared" si="12"/>
        <v>100</v>
      </c>
      <c r="T39" s="705" t="s">
        <v>14</v>
      </c>
      <c r="U39" s="706">
        <f t="shared" si="13"/>
        <v>100</v>
      </c>
      <c r="V39" s="705" t="s">
        <v>14</v>
      </c>
      <c r="W39" s="706">
        <f t="shared" si="14"/>
        <v>100</v>
      </c>
      <c r="X39" s="1354"/>
      <c r="Y39" s="3713" t="s">
        <v>1678</v>
      </c>
      <c r="Z39" s="1355" t="str">
        <f t="shared" si="15"/>
        <v>物业管理</v>
      </c>
      <c r="AA39" s="1352">
        <f t="shared" si="3"/>
        <v>1</v>
      </c>
      <c r="AB39" s="1352">
        <f t="shared" si="4"/>
        <v>1</v>
      </c>
      <c r="AC39" s="1961">
        <f t="shared" si="5"/>
        <v>1</v>
      </c>
    </row>
    <row r="40" spans="1:29" ht="15">
      <c r="A40" s="423"/>
      <c r="B40" s="375" t="s">
        <v>1769</v>
      </c>
      <c r="C40" s="411"/>
      <c r="D40" s="386">
        <v>100</v>
      </c>
      <c r="E40" s="411"/>
      <c r="F40" s="412">
        <f>SUMIF(117:117,E40,118:118)-SUMIF(117:117,C40,118:118)+100</f>
        <v>100</v>
      </c>
      <c r="G40" s="411"/>
      <c r="H40" s="386">
        <f>SUMIF(117:117,G40,118:118)-SUMIF(117:117,C40,118:118)+100</f>
        <v>100</v>
      </c>
      <c r="I40" s="411"/>
      <c r="J40" s="386">
        <f>SUMIF(117:117,I40,118:118)-SUMIF(117:117,C40,118:118)+100</f>
        <v>100</v>
      </c>
      <c r="K40" s="561"/>
      <c r="L40" s="2696"/>
      <c r="M40" s="2690"/>
      <c r="N40" s="2690"/>
      <c r="O40" s="2690"/>
      <c r="P40" s="3711"/>
      <c r="Q40" s="1351" t="str">
        <f t="shared" si="11"/>
        <v>市政基础设施</v>
      </c>
      <c r="R40" s="705" t="s">
        <v>14</v>
      </c>
      <c r="S40" s="706">
        <f t="shared" si="12"/>
        <v>100</v>
      </c>
      <c r="T40" s="705" t="s">
        <v>14</v>
      </c>
      <c r="U40" s="706">
        <f t="shared" si="13"/>
        <v>100</v>
      </c>
      <c r="V40" s="705" t="s">
        <v>14</v>
      </c>
      <c r="W40" s="706">
        <f t="shared" si="14"/>
        <v>100</v>
      </c>
      <c r="X40" s="1354"/>
      <c r="Y40" s="3713"/>
      <c r="Z40" s="1355" t="str">
        <f t="shared" si="15"/>
        <v>市政基础设施</v>
      </c>
      <c r="AA40" s="1352">
        <f t="shared" si="3"/>
        <v>1</v>
      </c>
      <c r="AB40" s="1352">
        <f t="shared" si="4"/>
        <v>1</v>
      </c>
      <c r="AC40" s="1961">
        <f t="shared" si="5"/>
        <v>1</v>
      </c>
    </row>
    <row r="41" spans="1:29" ht="15">
      <c r="A41" s="423"/>
      <c r="B41" s="375" t="s">
        <v>1771</v>
      </c>
      <c r="C41" s="565"/>
      <c r="D41" s="386">
        <v>100</v>
      </c>
      <c r="E41" s="565"/>
      <c r="F41" s="412">
        <f>SUMIF(119:119,E41,120:120)-SUMIF(119:119,C41,120:120)+100</f>
        <v>100</v>
      </c>
      <c r="G41" s="565"/>
      <c r="H41" s="386">
        <f>SUMIF(119:119,G41,120:120)-SUMIF(119:119,C41,120:120)+100</f>
        <v>100</v>
      </c>
      <c r="I41" s="565"/>
      <c r="J41" s="386">
        <f>SUMIF(119:119,I41,120:120)-SUMIF(119:119,C41,120:120)+100</f>
        <v>100</v>
      </c>
      <c r="K41" s="561"/>
      <c r="L41" s="2696"/>
      <c r="M41" s="2690"/>
      <c r="N41" s="2690"/>
      <c r="O41" s="2690"/>
      <c r="P41" s="3711"/>
      <c r="Q41" s="1351" t="str">
        <f t="shared" si="11"/>
        <v>层高</v>
      </c>
      <c r="R41" s="705" t="s">
        <v>14</v>
      </c>
      <c r="S41" s="706">
        <f t="shared" si="12"/>
        <v>100</v>
      </c>
      <c r="T41" s="705" t="s">
        <v>14</v>
      </c>
      <c r="U41" s="706">
        <f t="shared" si="13"/>
        <v>100</v>
      </c>
      <c r="V41" s="705" t="s">
        <v>14</v>
      </c>
      <c r="W41" s="706">
        <f t="shared" si="14"/>
        <v>100</v>
      </c>
      <c r="X41" s="1354"/>
      <c r="Y41" s="3713"/>
      <c r="Z41" s="1355" t="str">
        <f t="shared" si="15"/>
        <v>层高</v>
      </c>
      <c r="AA41" s="1352">
        <f t="shared" si="3"/>
        <v>1</v>
      </c>
      <c r="AB41" s="1352">
        <f t="shared" si="4"/>
        <v>1</v>
      </c>
      <c r="AC41" s="1961">
        <f t="shared" si="5"/>
        <v>1</v>
      </c>
    </row>
    <row r="42" spans="1:29" s="422" customFormat="1" ht="15">
      <c r="A42" s="419"/>
      <c r="B42" s="1353" t="s">
        <v>1802</v>
      </c>
      <c r="C42" s="385"/>
      <c r="D42" s="386">
        <v>100</v>
      </c>
      <c r="E42" s="385"/>
      <c r="F42" s="412">
        <f>SUMIF(121:121,E42,122:122)-SUMIF(121:121,C42,122:122)+100</f>
        <v>100</v>
      </c>
      <c r="G42" s="385"/>
      <c r="H42" s="386">
        <f>SUMIF(121:121,G42,122:122)-SUMIF(121:121,C42,122:122)+100</f>
        <v>100</v>
      </c>
      <c r="I42" s="385"/>
      <c r="J42" s="386">
        <f>SUMIF(121:121,I42,122:122)-SUMIF(121:121,C42,122:122)+100</f>
        <v>100</v>
      </c>
      <c r="K42" s="562"/>
      <c r="L42" s="2695"/>
      <c r="M42" s="2697"/>
      <c r="N42" s="2697"/>
      <c r="O42" s="2697"/>
      <c r="P42" s="3711"/>
      <c r="Q42" s="707" t="str">
        <f t="shared" si="11"/>
        <v>单套建筑面积</v>
      </c>
      <c r="R42" s="708" t="s">
        <v>14</v>
      </c>
      <c r="S42" s="709">
        <f t="shared" si="12"/>
        <v>100</v>
      </c>
      <c r="T42" s="708" t="s">
        <v>14</v>
      </c>
      <c r="U42" s="709">
        <f t="shared" si="13"/>
        <v>100</v>
      </c>
      <c r="V42" s="708" t="s">
        <v>14</v>
      </c>
      <c r="W42" s="709">
        <f t="shared" si="14"/>
        <v>100</v>
      </c>
      <c r="X42" s="710"/>
      <c r="Y42" s="3713"/>
      <c r="Z42" s="711" t="str">
        <f t="shared" si="15"/>
        <v>单套建筑面积</v>
      </c>
      <c r="AA42" s="1352">
        <f t="shared" si="3"/>
        <v>1</v>
      </c>
      <c r="AB42" s="1352">
        <f t="shared" si="4"/>
        <v>1</v>
      </c>
      <c r="AC42" s="1961">
        <f t="shared" si="5"/>
        <v>1</v>
      </c>
    </row>
    <row r="43" spans="1:29" ht="15">
      <c r="A43" s="423"/>
      <c r="B43" s="375" t="s">
        <v>1774</v>
      </c>
      <c r="C43" s="411"/>
      <c r="D43" s="386">
        <v>100</v>
      </c>
      <c r="E43" s="411"/>
      <c r="F43" s="412">
        <f>SUMIF(123:123,E43,124:124)-SUMIF(123:123,C43,124:124)+100</f>
        <v>100</v>
      </c>
      <c r="G43" s="411"/>
      <c r="H43" s="386">
        <f>SUMIF(123:123,G43,124:124)-SUMIF(123:123,C43,124:124)+100</f>
        <v>100</v>
      </c>
      <c r="I43" s="411"/>
      <c r="J43" s="386">
        <f>SUMIF(123:123,I43,124:124)-SUMIF(123:123,C43,124:124)+100</f>
        <v>100</v>
      </c>
      <c r="K43" s="561"/>
      <c r="L43" s="2696"/>
      <c r="M43" s="2690"/>
      <c r="N43" s="2690"/>
      <c r="O43" s="2690"/>
      <c r="P43" s="3711"/>
      <c r="Q43" s="1351" t="str">
        <f t="shared" si="11"/>
        <v>内部装修</v>
      </c>
      <c r="R43" s="705" t="s">
        <v>14</v>
      </c>
      <c r="S43" s="706">
        <f t="shared" si="12"/>
        <v>100</v>
      </c>
      <c r="T43" s="705" t="s">
        <v>14</v>
      </c>
      <c r="U43" s="706">
        <f t="shared" si="13"/>
        <v>100</v>
      </c>
      <c r="V43" s="705" t="s">
        <v>14</v>
      </c>
      <c r="W43" s="706">
        <f t="shared" si="14"/>
        <v>100</v>
      </c>
      <c r="X43" s="1354"/>
      <c r="Y43" s="3713"/>
      <c r="Z43" s="1355" t="str">
        <f t="shared" si="15"/>
        <v>内部装修</v>
      </c>
      <c r="AA43" s="1352">
        <f t="shared" si="3"/>
        <v>1</v>
      </c>
      <c r="AB43" s="1352">
        <f t="shared" si="4"/>
        <v>1</v>
      </c>
      <c r="AC43" s="1961">
        <f t="shared" si="5"/>
        <v>1</v>
      </c>
    </row>
    <row r="44" spans="1:29" ht="15">
      <c r="A44" s="423"/>
      <c r="B44" s="375" t="s">
        <v>1689</v>
      </c>
      <c r="C44" s="411"/>
      <c r="D44" s="386">
        <v>100</v>
      </c>
      <c r="E44" s="1905"/>
      <c r="F44" s="412">
        <f>SUMIF(125:125,E44,126:126)-SUMIF(125:125,C44,126:126)+100</f>
        <v>100</v>
      </c>
      <c r="G44" s="1905"/>
      <c r="H44" s="386">
        <f>SUMIF(125:125,G44,126:126)-SUMIF(125:125,C44,126:126)+100</f>
        <v>100</v>
      </c>
      <c r="I44" s="1905"/>
      <c r="J44" s="386">
        <f>SUMIF(125:125,I44,126:126)-SUMIF(125:125,C44,126:126)+100</f>
        <v>100</v>
      </c>
      <c r="K44" s="561"/>
      <c r="L44" s="2696"/>
      <c r="M44" s="2690"/>
      <c r="N44" s="2690"/>
      <c r="O44" s="2690"/>
      <c r="P44" s="3711"/>
      <c r="Q44" s="1351" t="str">
        <f t="shared" si="11"/>
        <v>内部装修维护情况</v>
      </c>
      <c r="R44" s="705" t="s">
        <v>14</v>
      </c>
      <c r="S44" s="706">
        <f t="shared" si="12"/>
        <v>100</v>
      </c>
      <c r="T44" s="705" t="s">
        <v>14</v>
      </c>
      <c r="U44" s="706">
        <f t="shared" si="13"/>
        <v>100</v>
      </c>
      <c r="V44" s="705" t="s">
        <v>14</v>
      </c>
      <c r="W44" s="706">
        <f t="shared" si="14"/>
        <v>100</v>
      </c>
      <c r="X44" s="1354"/>
      <c r="Y44" s="3713"/>
      <c r="Z44" s="1355" t="str">
        <f t="shared" si="15"/>
        <v>内部装修维护情况</v>
      </c>
      <c r="AA44" s="1352">
        <f t="shared" si="3"/>
        <v>1</v>
      </c>
      <c r="AB44" s="1352">
        <f t="shared" si="4"/>
        <v>1</v>
      </c>
      <c r="AC44" s="1961">
        <f t="shared" si="5"/>
        <v>1</v>
      </c>
    </row>
    <row r="45" spans="1:29" s="108" customFormat="1" ht="15">
      <c r="A45" s="424"/>
      <c r="B45" s="1133">
        <v>111</v>
      </c>
      <c r="C45" s="420"/>
      <c r="D45" s="127">
        <v>100</v>
      </c>
      <c r="E45" s="383"/>
      <c r="F45" s="376">
        <f>SUMIF(127:127,E45,128:128)-SUMIF(127:127,C45,128:128)+100</f>
        <v>100</v>
      </c>
      <c r="G45" s="383"/>
      <c r="H45" s="127">
        <f>SUMIF(127:127,G45,128:128)-SUMIF(127:127,C45,128:128)+100</f>
        <v>100</v>
      </c>
      <c r="I45" s="383"/>
      <c r="J45" s="127">
        <f>SUMIF(127:127,I45,128:128)-SUMIF(127:127,C45,128:128)+100</f>
        <v>100</v>
      </c>
      <c r="K45" s="562"/>
      <c r="L45" s="2691"/>
      <c r="M45" s="2692"/>
      <c r="N45" s="2692"/>
      <c r="O45" s="2692"/>
      <c r="P45" s="3711"/>
      <c r="Q45" s="1342">
        <f t="shared" si="11"/>
        <v>111</v>
      </c>
      <c r="R45" s="701" t="s">
        <v>14</v>
      </c>
      <c r="S45" s="702">
        <f t="shared" si="12"/>
        <v>100</v>
      </c>
      <c r="T45" s="701" t="s">
        <v>14</v>
      </c>
      <c r="U45" s="702">
        <f t="shared" si="13"/>
        <v>100</v>
      </c>
      <c r="V45" s="701" t="s">
        <v>14</v>
      </c>
      <c r="W45" s="702">
        <f t="shared" si="14"/>
        <v>100</v>
      </c>
      <c r="X45" s="703"/>
      <c r="Y45" s="3713"/>
      <c r="Z45" s="52">
        <f t="shared" si="15"/>
        <v>111</v>
      </c>
      <c r="AA45" s="704">
        <f t="shared" si="3"/>
        <v>1</v>
      </c>
      <c r="AB45" s="704">
        <f t="shared" si="4"/>
        <v>1</v>
      </c>
      <c r="AC45" s="1958">
        <f t="shared" si="5"/>
        <v>1</v>
      </c>
    </row>
    <row r="46" spans="1:29" ht="15">
      <c r="A46" s="423"/>
      <c r="B46" s="1133">
        <v>111</v>
      </c>
      <c r="C46" s="385"/>
      <c r="D46" s="386">
        <v>100</v>
      </c>
      <c r="E46" s="383"/>
      <c r="F46" s="412">
        <f>SUMIF(129:129,E46,130:130)-SUMIF(129:129,C46,130:130)+100</f>
        <v>100</v>
      </c>
      <c r="G46" s="383"/>
      <c r="H46" s="386">
        <f>SUMIF(129:129,G46,130:130)-SUMIF(129:129,C46,130:130)+100</f>
        <v>100</v>
      </c>
      <c r="I46" s="383"/>
      <c r="J46" s="386">
        <f>SUMIF(129:129,I46,130:130)-SUMIF(129:129,C46,130:130)+100</f>
        <v>100</v>
      </c>
      <c r="K46" s="562"/>
      <c r="L46" s="2696"/>
      <c r="M46" s="2690"/>
      <c r="N46" s="2690"/>
      <c r="O46" s="2690"/>
      <c r="P46" s="3711"/>
      <c r="Q46" s="1351">
        <f t="shared" si="11"/>
        <v>111</v>
      </c>
      <c r="R46" s="705" t="s">
        <v>14</v>
      </c>
      <c r="S46" s="706">
        <f t="shared" si="12"/>
        <v>100</v>
      </c>
      <c r="T46" s="705" t="s">
        <v>14</v>
      </c>
      <c r="U46" s="706">
        <f t="shared" si="13"/>
        <v>100</v>
      </c>
      <c r="V46" s="705" t="s">
        <v>14</v>
      </c>
      <c r="W46" s="706">
        <f t="shared" si="14"/>
        <v>100</v>
      </c>
      <c r="X46" s="1354"/>
      <c r="Y46" s="3713"/>
      <c r="Z46" s="1355">
        <f t="shared" si="15"/>
        <v>111</v>
      </c>
      <c r="AA46" s="1352">
        <f t="shared" si="3"/>
        <v>1</v>
      </c>
      <c r="AB46" s="1352">
        <f t="shared" si="4"/>
        <v>1</v>
      </c>
      <c r="AC46" s="1961">
        <f t="shared" si="5"/>
        <v>1</v>
      </c>
    </row>
    <row r="47" spans="1:29" ht="15.75" thickBot="1">
      <c r="A47" s="429"/>
      <c r="B47" s="1894">
        <v>111</v>
      </c>
      <c r="C47" s="388"/>
      <c r="D47" s="389">
        <v>100</v>
      </c>
      <c r="E47" s="383"/>
      <c r="F47" s="390">
        <f>SUMIF(131:131,E47,132:132)-SUMIF(131:131,C47,132:132)+100</f>
        <v>100</v>
      </c>
      <c r="G47" s="383"/>
      <c r="H47" s="389">
        <f>SUMIF(131:131,G47,132:132)-SUMIF(131:131,C47,132:132)+100</f>
        <v>100</v>
      </c>
      <c r="I47" s="383"/>
      <c r="J47" s="389">
        <f>SUMIF(131:131,I47,132:132)-SUMIF(131:131,C47,132:132)+100</f>
        <v>100</v>
      </c>
      <c r="K47" s="562"/>
      <c r="L47" s="2696"/>
      <c r="M47" s="2690"/>
      <c r="N47" s="2690"/>
      <c r="O47" s="2690"/>
      <c r="P47" s="3712"/>
      <c r="Q47" s="1351">
        <f t="shared" si="11"/>
        <v>111</v>
      </c>
      <c r="R47" s="705" t="s">
        <v>14</v>
      </c>
      <c r="S47" s="706">
        <f t="shared" si="12"/>
        <v>100</v>
      </c>
      <c r="T47" s="705" t="s">
        <v>14</v>
      </c>
      <c r="U47" s="706">
        <f t="shared" si="13"/>
        <v>100</v>
      </c>
      <c r="V47" s="705" t="s">
        <v>14</v>
      </c>
      <c r="W47" s="706">
        <f t="shared" si="14"/>
        <v>100</v>
      </c>
      <c r="X47" s="1354"/>
      <c r="Y47" s="3714"/>
      <c r="Z47" s="1355">
        <f t="shared" si="15"/>
        <v>111</v>
      </c>
      <c r="AA47" s="1352">
        <f t="shared" si="3"/>
        <v>1</v>
      </c>
      <c r="AB47" s="1352">
        <f t="shared" si="4"/>
        <v>1</v>
      </c>
      <c r="AC47" s="1961">
        <f t="shared" si="5"/>
        <v>1</v>
      </c>
    </row>
    <row r="48" spans="1:29" ht="15">
      <c r="A48" s="430" t="s">
        <v>1690</v>
      </c>
      <c r="B48" s="431"/>
      <c r="C48" s="1154" t="s">
        <v>0</v>
      </c>
      <c r="D48" s="1155"/>
      <c r="E48" s="1156"/>
      <c r="F48" s="1157"/>
      <c r="G48" s="1158"/>
      <c r="H48" s="1159"/>
      <c r="I48" s="1156"/>
      <c r="J48" s="436"/>
      <c r="K48" s="714"/>
      <c r="L48" s="2698"/>
      <c r="M48" s="2690"/>
      <c r="N48" s="2690"/>
      <c r="O48" s="2690"/>
      <c r="P48" s="3717" t="str">
        <f>A48</f>
        <v>成交单价（元/平方米）</v>
      </c>
      <c r="Q48" s="3706"/>
      <c r="R48" s="3707">
        <f>E48</f>
        <v>0</v>
      </c>
      <c r="S48" s="3707"/>
      <c r="T48" s="3707">
        <f>G48</f>
        <v>0</v>
      </c>
      <c r="U48" s="3707"/>
      <c r="V48" s="3707">
        <f>I48</f>
        <v>0</v>
      </c>
      <c r="W48" s="3707"/>
      <c r="X48" s="397"/>
      <c r="Y48" s="712"/>
      <c r="Z48" s="397"/>
      <c r="AA48" s="397"/>
      <c r="AB48" s="397"/>
      <c r="AC48" s="578"/>
    </row>
    <row r="49" spans="1:29" ht="15.75" thickBot="1">
      <c r="A49" s="437" t="s">
        <v>1775</v>
      </c>
      <c r="B49" s="438"/>
      <c r="C49" s="1160" t="e">
        <f>R50</f>
        <v>#DIV/0!</v>
      </c>
      <c r="D49" s="2316" t="s">
        <v>2119</v>
      </c>
      <c r="E49" s="1161" t="e">
        <f>R49</f>
        <v>#DIV/0!</v>
      </c>
      <c r="F49" s="2317"/>
      <c r="G49" s="1160" t="e">
        <f>T49</f>
        <v>#DIV/0!</v>
      </c>
      <c r="H49" s="2317"/>
      <c r="I49" s="1161" t="e">
        <f>V49</f>
        <v>#DIV/0!</v>
      </c>
      <c r="J49" s="2317"/>
      <c r="K49" s="2319">
        <f>F49+H49+J49</f>
        <v>0</v>
      </c>
      <c r="L49" s="2698"/>
      <c r="M49" s="2690"/>
      <c r="N49" s="2690"/>
      <c r="O49" s="2690"/>
      <c r="P49" s="3717" t="str">
        <f>A49</f>
        <v>比较价值（元/平方米）</v>
      </c>
      <c r="Q49" s="3706"/>
      <c r="R49" s="3707" t="e">
        <f>IF(F1="售价",ROUND(PRODUCT(R48,AA7:AA47),0),ROUND(PRODUCT(R48,AA7:AA47),1))</f>
        <v>#DIV/0!</v>
      </c>
      <c r="S49" s="3707"/>
      <c r="T49" s="3707" t="e">
        <f>IF(F1="售价",ROUND(PRODUCT(T48,AB7:AB47),0),ROUND(PRODUCT(T48,AB7:AB47),1))</f>
        <v>#DIV/0!</v>
      </c>
      <c r="U49" s="3707"/>
      <c r="V49" s="3707" t="e">
        <f>IF(F1="售价",ROUND(PRODUCT(V48,AC7:AC47),0),ROUND(PRODUCT(V48,AC7:AC47),1))</f>
        <v>#DIV/0!</v>
      </c>
      <c r="W49" s="3707"/>
      <c r="X49" s="397"/>
      <c r="Y49" s="397"/>
      <c r="Z49" s="397"/>
      <c r="AA49" s="397"/>
      <c r="AB49" s="397"/>
      <c r="AC49" s="578"/>
    </row>
    <row r="50" spans="1:29" ht="15.75" thickBot="1">
      <c r="A50" s="441" t="s">
        <v>1776</v>
      </c>
      <c r="B50" s="442"/>
      <c r="C50" s="1163" t="e">
        <f>R50</f>
        <v>#DIV/0!</v>
      </c>
      <c r="D50" s="1163"/>
      <c r="E50" s="1163"/>
      <c r="F50" s="1163"/>
      <c r="G50" s="1163"/>
      <c r="H50" s="1163"/>
      <c r="I50" s="1163"/>
      <c r="J50" s="443"/>
      <c r="K50" s="715"/>
      <c r="L50" s="2698"/>
      <c r="M50" s="2690"/>
      <c r="N50" s="2690"/>
      <c r="O50" s="2690"/>
      <c r="P50" s="3749" t="str">
        <f>A50</f>
        <v>估价对象XX用房的比较价值（楼面单价，元/平方米）</v>
      </c>
      <c r="Q50" s="3750"/>
      <c r="R50" s="3751" t="e">
        <f>IF(F1="售价",ROUND(IF(D49="简单平均",AVERAGE(R49:V49),R49*F49+T49*H49+V49*J49),0),ROUND(IF(D49="简单平均",AVERAGE(R49:V49),R49*F49+T49*H49+V49*J49),1))</f>
        <v>#DIV/0!</v>
      </c>
      <c r="S50" s="3751"/>
      <c r="T50" s="3751"/>
      <c r="U50" s="3751"/>
      <c r="V50" s="3751"/>
      <c r="W50" s="3751"/>
      <c r="X50" s="1945"/>
      <c r="Y50" s="1945"/>
      <c r="Z50" s="1945"/>
      <c r="AA50" s="1945"/>
      <c r="AB50" s="1945"/>
      <c r="AC50" s="1946"/>
    </row>
    <row r="51" spans="1:29">
      <c r="A51" s="2699"/>
      <c r="B51" s="2699"/>
      <c r="C51" s="2699"/>
      <c r="D51" s="2699"/>
      <c r="E51" s="2699"/>
      <c r="F51" s="2699"/>
      <c r="G51" s="2703"/>
      <c r="H51" s="2699"/>
      <c r="I51" s="2699"/>
      <c r="J51" s="2699"/>
      <c r="K51" s="2704"/>
      <c r="L51" s="2700"/>
      <c r="M51" s="2699"/>
      <c r="N51" s="2699"/>
      <c r="O51" s="2699"/>
      <c r="P51" s="2730"/>
      <c r="Q51" s="2699"/>
      <c r="R51" s="2699"/>
      <c r="S51" s="2699"/>
      <c r="T51" s="2699"/>
      <c r="U51" s="2699"/>
      <c r="V51" s="2699"/>
      <c r="W51" s="2699"/>
      <c r="X51" s="2699"/>
      <c r="Y51" s="2699"/>
      <c r="Z51" s="2699"/>
      <c r="AA51" s="2699"/>
      <c r="AB51" s="2699"/>
      <c r="AC51" s="2699"/>
    </row>
    <row r="52" spans="1:29">
      <c r="A52" s="2699"/>
      <c r="B52" s="2699"/>
      <c r="C52" s="2699"/>
      <c r="D52" s="2699"/>
      <c r="E52" s="2699"/>
      <c r="F52" s="2699"/>
      <c r="G52" s="2699"/>
      <c r="H52" s="2699"/>
      <c r="I52" s="2699"/>
      <c r="J52" s="2699"/>
      <c r="K52" s="2704"/>
      <c r="L52" s="2700"/>
      <c r="M52" s="2699"/>
      <c r="N52" s="2699"/>
      <c r="O52" s="2699"/>
      <c r="P52" s="2730"/>
      <c r="Q52" s="2699"/>
      <c r="R52" s="2699"/>
      <c r="S52" s="2699"/>
      <c r="T52" s="2699"/>
      <c r="U52" s="2699"/>
      <c r="V52" s="2699"/>
      <c r="W52" s="2699"/>
      <c r="X52" s="2699"/>
      <c r="Y52" s="2699"/>
      <c r="Z52" s="2699"/>
      <c r="AA52" s="2699"/>
      <c r="AB52" s="2699"/>
      <c r="AC52" s="2699"/>
    </row>
    <row r="53" spans="1:29" ht="13.5" customHeight="1">
      <c r="A53" s="2699"/>
      <c r="B53" s="2699"/>
      <c r="C53" s="446" t="s">
        <v>1777</v>
      </c>
      <c r="D53" s="447"/>
      <c r="E53" s="448" t="e">
        <f>IF(E48&lt;E49,E49/E48-1,E48/E49-1)</f>
        <v>#DIV/0!</v>
      </c>
      <c r="F53" s="449" t="e">
        <f>IF(OR(E53&gt;=0.3,E53&lt;=-0.3),"超过30%","")</f>
        <v>#DIV/0!</v>
      </c>
      <c r="G53" s="448" t="e">
        <f>IF(G48&lt;G49,G49/G48-1,G48/G49-1)</f>
        <v>#DIV/0!</v>
      </c>
      <c r="H53" s="449" t="e">
        <f>IF(OR(G53&gt;=0.3,G53&lt;=-0.3),"超过30%","")</f>
        <v>#DIV/0!</v>
      </c>
      <c r="I53" s="448" t="e">
        <f>IF(I48&lt;I49,I49/I48-1,I48/I49-1)</f>
        <v>#DIV/0!</v>
      </c>
      <c r="J53" s="449" t="e">
        <f>IF(OR(I53&gt;=0.3,I53&lt;=-0.3),"超过30%","")</f>
        <v>#DIV/0!</v>
      </c>
      <c r="K53" s="2704"/>
      <c r="L53" s="2700"/>
      <c r="M53" s="2699"/>
      <c r="N53" s="2699"/>
      <c r="O53" s="2699"/>
      <c r="P53" s="2730"/>
      <c r="Q53" s="2699"/>
      <c r="R53" s="2699"/>
      <c r="S53" s="2699"/>
      <c r="T53" s="2699"/>
      <c r="U53" s="2699"/>
      <c r="V53" s="2699"/>
      <c r="W53" s="2699"/>
      <c r="X53" s="2699"/>
      <c r="Y53" s="2699"/>
      <c r="Z53" s="2699"/>
      <c r="AA53" s="2699"/>
      <c r="AB53" s="2699"/>
      <c r="AC53" s="2699"/>
    </row>
    <row r="54" spans="1:29" ht="13.5" customHeight="1">
      <c r="A54" s="2699"/>
      <c r="B54" s="2699"/>
      <c r="C54" s="446" t="s">
        <v>1778</v>
      </c>
      <c r="D54" s="450"/>
      <c r="E54" s="448" t="e">
        <f>IF(E49&lt;G49,G49/E49-1,E49/G49-1)</f>
        <v>#DIV/0!</v>
      </c>
      <c r="F54" s="449" t="e">
        <f>IF(OR(E54&gt;=0.2,E54&lt;=-0.2),"超过20%","")</f>
        <v>#DIV/0!</v>
      </c>
      <c r="G54" s="448" t="e">
        <f>IF(G49&lt;I49,I49/G49-1,G49/I49-1)</f>
        <v>#DIV/0!</v>
      </c>
      <c r="H54" s="449" t="e">
        <f>IF(OR(G54&gt;=0.2,G54&lt;=-0.2),"超过20%","")</f>
        <v>#DIV/0!</v>
      </c>
      <c r="I54" s="448" t="e">
        <f>IF(I49&lt;E49,E49/I49-1,I49/E49-1)</f>
        <v>#DIV/0!</v>
      </c>
      <c r="J54" s="449" t="e">
        <f>IF(OR(I54&gt;=0.2,I54&lt;=-0.2),"超过20%","")</f>
        <v>#DIV/0!</v>
      </c>
      <c r="K54" s="2704"/>
      <c r="L54" s="2700"/>
      <c r="M54" s="2699"/>
      <c r="N54" s="2699"/>
      <c r="O54" s="2699"/>
      <c r="P54" s="2730"/>
      <c r="Q54" s="2699"/>
      <c r="R54" s="2699"/>
      <c r="S54" s="2699"/>
      <c r="T54" s="2699"/>
      <c r="U54" s="2699"/>
      <c r="V54" s="2699"/>
      <c r="W54" s="2699"/>
      <c r="X54" s="2699"/>
      <c r="Y54" s="2699"/>
      <c r="Z54" s="2699"/>
      <c r="AA54" s="2699"/>
      <c r="AB54" s="2699"/>
      <c r="AC54" s="2699"/>
    </row>
    <row r="55" spans="1:29" s="451" customFormat="1" ht="13.5" customHeight="1">
      <c r="A55" s="2702"/>
      <c r="B55" s="2702"/>
      <c r="C55" s="446" t="s">
        <v>1779</v>
      </c>
      <c r="D55" s="450"/>
      <c r="E55" s="448" t="e">
        <f>IF(E48&lt;G48,G48/E48-1,E48/G48-1)</f>
        <v>#DIV/0!</v>
      </c>
      <c r="F55" s="449" t="e">
        <f>IF(OR(E55&gt;=0.3,E55&lt;=-0.3),"超过30%","")</f>
        <v>#DIV/0!</v>
      </c>
      <c r="G55" s="448" t="e">
        <f>IF(G48&lt;I48,I48/G48-1,G48/I48-1)</f>
        <v>#DIV/0!</v>
      </c>
      <c r="H55" s="449" t="e">
        <f>IF(OR(G55&gt;=0.3,G55&lt;=-0.3),"超过30%","")</f>
        <v>#DIV/0!</v>
      </c>
      <c r="I55" s="448" t="e">
        <f>IF(I48&lt;E48,E48/I48-1,I48/E48-1)</f>
        <v>#DIV/0!</v>
      </c>
      <c r="J55" s="449" t="e">
        <f>IF(OR(I55&gt;=0.3,I55&lt;=-0.3),"超过30%","")</f>
        <v>#DIV/0!</v>
      </c>
      <c r="K55" s="2707"/>
      <c r="L55" s="2701"/>
      <c r="M55" s="2702"/>
      <c r="N55" s="2702"/>
      <c r="O55" s="2702"/>
      <c r="P55" s="2731"/>
      <c r="Q55" s="2702"/>
      <c r="R55" s="2702"/>
      <c r="S55" s="2702"/>
      <c r="T55" s="2702"/>
      <c r="U55" s="2702"/>
      <c r="V55" s="2702"/>
      <c r="W55" s="2702"/>
      <c r="X55" s="2702"/>
      <c r="Y55" s="2702"/>
      <c r="Z55" s="2702"/>
      <c r="AA55" s="2702"/>
      <c r="AB55" s="2702"/>
      <c r="AC55" s="2702"/>
    </row>
    <row r="56" spans="1:29" s="451" customFormat="1">
      <c r="A56" s="2702"/>
      <c r="B56" s="2705"/>
      <c r="C56" s="2706"/>
      <c r="D56" s="2702"/>
      <c r="E56" s="2702"/>
      <c r="F56" s="2702"/>
      <c r="G56" s="2702"/>
      <c r="H56" s="2702"/>
      <c r="I56" s="2702"/>
      <c r="J56" s="2702"/>
      <c r="K56" s="2707"/>
      <c r="L56" s="2701"/>
      <c r="M56" s="2702"/>
      <c r="N56" s="2702"/>
      <c r="O56" s="2702"/>
      <c r="P56" s="2731"/>
      <c r="Q56" s="2702"/>
      <c r="R56" s="2702"/>
      <c r="S56" s="2702"/>
      <c r="T56" s="2702"/>
      <c r="U56" s="2702"/>
      <c r="V56" s="2702"/>
      <c r="W56" s="2702"/>
      <c r="X56" s="2702"/>
      <c r="Y56" s="2702"/>
      <c r="Z56" s="2702"/>
      <c r="AA56" s="2702"/>
      <c r="AB56" s="2702"/>
      <c r="AC56" s="2702"/>
    </row>
    <row r="57" spans="1:29">
      <c r="A57" s="2699"/>
      <c r="B57" s="2705"/>
      <c r="C57" s="2706"/>
      <c r="D57" s="2699"/>
      <c r="E57" s="2699"/>
      <c r="F57" s="2699"/>
      <c r="G57" s="2699"/>
      <c r="H57" s="2699"/>
      <c r="I57" s="2699"/>
      <c r="J57" s="2699"/>
      <c r="K57" s="2704"/>
      <c r="L57" s="2700"/>
      <c r="M57" s="2699"/>
      <c r="N57" s="2699"/>
      <c r="O57" s="2699"/>
      <c r="P57" s="2730"/>
      <c r="Q57" s="2699"/>
      <c r="R57" s="2699"/>
      <c r="S57" s="2699"/>
      <c r="T57" s="2699"/>
      <c r="U57" s="2699"/>
      <c r="V57" s="2699"/>
      <c r="W57" s="2699"/>
      <c r="X57" s="2699"/>
      <c r="Y57" s="2699"/>
      <c r="Z57" s="2699"/>
      <c r="AA57" s="2699"/>
      <c r="AB57" s="2699"/>
      <c r="AC57" s="2699"/>
    </row>
    <row r="58" spans="1:29" ht="21.75" thickBot="1">
      <c r="A58" s="694" t="s">
        <v>1780</v>
      </c>
      <c r="B58" s="690"/>
      <c r="C58" s="695"/>
      <c r="D58" s="695"/>
      <c r="E58" s="695"/>
      <c r="F58" s="696"/>
      <c r="G58" s="696"/>
      <c r="H58" s="695"/>
      <c r="I58" s="695"/>
      <c r="J58" s="695"/>
      <c r="K58" s="697"/>
      <c r="L58" s="942"/>
      <c r="M58" s="940"/>
      <c r="N58" s="2743"/>
      <c r="O58" s="2743"/>
      <c r="P58" s="2732"/>
      <c r="Q58" s="2713"/>
      <c r="R58" s="2699"/>
      <c r="S58" s="2699"/>
      <c r="T58" s="2699"/>
      <c r="U58" s="2699"/>
      <c r="V58" s="2699"/>
      <c r="W58" s="2699"/>
      <c r="X58" s="2699"/>
      <c r="Y58" s="2699"/>
      <c r="Z58" s="2699"/>
      <c r="AA58" s="2699"/>
      <c r="AB58" s="2699"/>
      <c r="AC58" s="2699"/>
    </row>
    <row r="59" spans="1:29" s="457" customFormat="1" ht="15">
      <c r="A59" s="454" t="s">
        <v>1661</v>
      </c>
      <c r="B59" s="455"/>
      <c r="C59" s="1183" t="str">
        <f>YEAR(C7)&amp;"-"&amp;MONTH(C7)</f>
        <v>2024-4</v>
      </c>
      <c r="D59" s="1184">
        <f>EDATE(C59,-1)</f>
        <v>45352</v>
      </c>
      <c r="E59" s="1184">
        <f>EDATE(D59,-1)</f>
        <v>45323</v>
      </c>
      <c r="F59" s="1184">
        <f t="shared" ref="F59:O59" si="16">EDATE(E59,-1)</f>
        <v>45292</v>
      </c>
      <c r="G59" s="1184">
        <f t="shared" si="16"/>
        <v>45261</v>
      </c>
      <c r="H59" s="1184">
        <f t="shared" si="16"/>
        <v>45231</v>
      </c>
      <c r="I59" s="1184">
        <f t="shared" si="16"/>
        <v>45200</v>
      </c>
      <c r="J59" s="1184">
        <f t="shared" si="16"/>
        <v>45170</v>
      </c>
      <c r="K59" s="1184">
        <f t="shared" si="16"/>
        <v>45139</v>
      </c>
      <c r="L59" s="1184">
        <f t="shared" si="16"/>
        <v>45108</v>
      </c>
      <c r="M59" s="1184">
        <f t="shared" si="16"/>
        <v>45078</v>
      </c>
      <c r="N59" s="1184">
        <f t="shared" si="16"/>
        <v>45047</v>
      </c>
      <c r="O59" s="1184">
        <f t="shared" si="16"/>
        <v>45017</v>
      </c>
      <c r="P59" s="2733"/>
      <c r="Q59" s="2715"/>
      <c r="R59" s="2715"/>
      <c r="S59" s="2715"/>
      <c r="T59" s="2715"/>
      <c r="U59" s="2715"/>
      <c r="V59" s="2715"/>
      <c r="W59" s="2715"/>
      <c r="X59" s="2715"/>
      <c r="Y59" s="2715"/>
      <c r="Z59" s="2715"/>
      <c r="AA59" s="2715"/>
      <c r="AB59" s="2715"/>
      <c r="AC59" s="2715"/>
    </row>
    <row r="60" spans="1:29" s="108" customFormat="1" ht="15">
      <c r="A60" s="458"/>
      <c r="B60" s="459"/>
      <c r="C60" s="1182">
        <v>100</v>
      </c>
      <c r="D60" s="461"/>
      <c r="E60" s="461"/>
      <c r="F60" s="461"/>
      <c r="G60" s="461"/>
      <c r="H60" s="461"/>
      <c r="I60" s="461"/>
      <c r="J60" s="461"/>
      <c r="K60" s="461"/>
      <c r="L60" s="461"/>
      <c r="M60" s="462"/>
      <c r="N60" s="461"/>
      <c r="O60" s="462"/>
      <c r="P60" s="2734"/>
      <c r="Q60" s="2635"/>
      <c r="R60" s="2635"/>
      <c r="S60" s="2635"/>
      <c r="T60" s="2635"/>
      <c r="U60" s="2635"/>
      <c r="V60" s="2635"/>
      <c r="W60" s="2635"/>
      <c r="X60" s="2635"/>
      <c r="Y60" s="2635"/>
      <c r="Z60" s="2635"/>
      <c r="AA60" s="2635"/>
      <c r="AB60" s="2635"/>
      <c r="AC60" s="2635"/>
    </row>
    <row r="61" spans="1:29" s="108" customFormat="1" ht="15.75" thickBot="1">
      <c r="A61" s="464" t="s">
        <v>1698</v>
      </c>
      <c r="B61" s="465"/>
      <c r="C61" s="466"/>
      <c r="D61" s="467"/>
      <c r="E61" s="467"/>
      <c r="F61" s="467"/>
      <c r="G61" s="467"/>
      <c r="H61" s="467"/>
      <c r="I61" s="467"/>
      <c r="J61" s="467"/>
      <c r="K61" s="467"/>
      <c r="L61" s="467"/>
      <c r="M61" s="468"/>
      <c r="N61" s="467"/>
      <c r="O61" s="468"/>
      <c r="P61" s="2734"/>
      <c r="Q61" s="2713"/>
      <c r="R61" s="2635"/>
      <c r="S61" s="2635"/>
      <c r="T61" s="2635"/>
      <c r="U61" s="2635"/>
      <c r="V61" s="2635"/>
      <c r="W61" s="2635"/>
      <c r="X61" s="2635"/>
      <c r="Y61" s="2635"/>
      <c r="Z61" s="2635"/>
      <c r="AA61" s="2635"/>
      <c r="AB61" s="2635"/>
      <c r="AC61" s="2635"/>
    </row>
    <row r="62" spans="1:29" s="108" customFormat="1" ht="15">
      <c r="A62" s="470" t="s">
        <v>1663</v>
      </c>
      <c r="B62" s="459"/>
      <c r="C62" s="471" t="s">
        <v>1758</v>
      </c>
      <c r="D62" s="472"/>
      <c r="E62" s="472"/>
      <c r="F62" s="472"/>
      <c r="G62" s="472"/>
      <c r="H62" s="472"/>
      <c r="I62" s="472"/>
      <c r="J62" s="472"/>
      <c r="K62" s="472"/>
      <c r="L62" s="473"/>
      <c r="M62" s="474"/>
      <c r="N62" s="2726"/>
      <c r="O62" s="2726"/>
      <c r="P62" s="2735"/>
      <c r="Q62" s="2713"/>
      <c r="R62" s="2635"/>
      <c r="S62" s="2635"/>
      <c r="T62" s="2635"/>
      <c r="U62" s="2635"/>
      <c r="V62" s="2635"/>
      <c r="W62" s="2635"/>
      <c r="X62" s="2635"/>
      <c r="Y62" s="2635"/>
      <c r="Z62" s="2635"/>
      <c r="AA62" s="2635"/>
      <c r="AB62" s="2635"/>
      <c r="AC62" s="2635"/>
    </row>
    <row r="63" spans="1:29" s="108" customFormat="1" ht="15.75" thickBot="1">
      <c r="A63" s="470"/>
      <c r="B63" s="459"/>
      <c r="C63" s="460">
        <v>100</v>
      </c>
      <c r="D63" s="461"/>
      <c r="E63" s="461"/>
      <c r="F63" s="461"/>
      <c r="G63" s="461"/>
      <c r="H63" s="461"/>
      <c r="I63" s="461"/>
      <c r="J63" s="461"/>
      <c r="K63" s="461"/>
      <c r="L63" s="461"/>
      <c r="M63" s="463"/>
      <c r="N63" s="2726"/>
      <c r="O63" s="2726"/>
      <c r="P63" s="2734"/>
      <c r="Q63" s="2713"/>
      <c r="R63" s="2635"/>
      <c r="S63" s="2635"/>
      <c r="T63" s="2635"/>
      <c r="U63" s="2635"/>
      <c r="V63" s="2635"/>
      <c r="W63" s="2635"/>
      <c r="X63" s="2635"/>
      <c r="Y63" s="2635"/>
      <c r="Z63" s="2635"/>
      <c r="AA63" s="2635"/>
      <c r="AB63" s="2635"/>
      <c r="AC63" s="2635"/>
    </row>
    <row r="64" spans="1:29">
      <c r="A64" s="476" t="s">
        <v>1701</v>
      </c>
      <c r="B64" s="477" t="s">
        <v>1667</v>
      </c>
      <c r="C64" s="478">
        <f>C9</f>
        <v>0</v>
      </c>
      <c r="D64" s="479"/>
      <c r="E64" s="479"/>
      <c r="F64" s="479"/>
      <c r="G64" s="479"/>
      <c r="H64" s="479"/>
      <c r="I64" s="479"/>
      <c r="J64" s="479"/>
      <c r="K64" s="480"/>
      <c r="L64" s="481"/>
      <c r="M64" s="482"/>
      <c r="N64" s="2727"/>
      <c r="O64" s="2727"/>
      <c r="P64" s="2736"/>
      <c r="Q64" s="2713"/>
      <c r="R64" s="2699"/>
      <c r="S64" s="2699"/>
      <c r="T64" s="2699"/>
      <c r="U64" s="2699"/>
      <c r="V64" s="2699"/>
      <c r="W64" s="2699"/>
      <c r="X64" s="2699"/>
      <c r="Y64" s="2699"/>
      <c r="Z64" s="2699"/>
      <c r="AA64" s="2699"/>
      <c r="AB64" s="2699"/>
      <c r="AC64" s="2699"/>
    </row>
    <row r="65" spans="1:29" ht="15.75" thickBot="1">
      <c r="A65" s="483"/>
      <c r="B65" s="484"/>
      <c r="C65" s="485">
        <v>100</v>
      </c>
      <c r="D65" s="485"/>
      <c r="E65" s="485"/>
      <c r="F65" s="485"/>
      <c r="G65" s="485"/>
      <c r="H65" s="485"/>
      <c r="I65" s="485"/>
      <c r="J65" s="485"/>
      <c r="K65" s="485"/>
      <c r="L65" s="485"/>
      <c r="M65" s="486"/>
      <c r="N65" s="2728"/>
      <c r="O65" s="2728"/>
      <c r="P65" s="2736"/>
      <c r="Q65" s="2713"/>
      <c r="R65" s="2699"/>
      <c r="S65" s="2699"/>
      <c r="T65" s="2699"/>
      <c r="U65" s="2699"/>
      <c r="V65" s="2699"/>
      <c r="W65" s="2699"/>
      <c r="X65" s="2699"/>
      <c r="Y65" s="2699"/>
      <c r="Z65" s="2699"/>
      <c r="AA65" s="2699"/>
      <c r="AB65" s="2699"/>
      <c r="AC65" s="2699"/>
    </row>
    <row r="66" spans="1:29" ht="27.75" thickTop="1">
      <c r="A66" s="483"/>
      <c r="B66" s="487" t="s">
        <v>1670</v>
      </c>
      <c r="C66" s="532"/>
      <c r="D66" s="532"/>
      <c r="E66" s="532"/>
      <c r="F66" s="532"/>
      <c r="G66" s="532"/>
      <c r="H66" s="532"/>
      <c r="I66" s="532"/>
      <c r="J66" s="532"/>
      <c r="K66" s="533"/>
      <c r="L66" s="534"/>
      <c r="M66" s="535"/>
      <c r="N66" s="2727"/>
      <c r="O66" s="2727"/>
      <c r="P66" s="2736"/>
      <c r="Q66" s="2713"/>
      <c r="R66" s="2699"/>
      <c r="S66" s="2699"/>
      <c r="T66" s="2699"/>
      <c r="U66" s="2699"/>
      <c r="V66" s="2699"/>
      <c r="W66" s="2699"/>
      <c r="X66" s="2699"/>
      <c r="Y66" s="2699"/>
      <c r="Z66" s="2699"/>
      <c r="AA66" s="2699"/>
      <c r="AB66" s="2699"/>
      <c r="AC66" s="2699"/>
    </row>
    <row r="67" spans="1:29" ht="15.75" thickBot="1">
      <c r="A67" s="483"/>
      <c r="B67" s="492"/>
      <c r="C67" s="485"/>
      <c r="D67" s="485"/>
      <c r="E67" s="485"/>
      <c r="F67" s="485"/>
      <c r="G67" s="485"/>
      <c r="H67" s="485"/>
      <c r="I67" s="485"/>
      <c r="J67" s="485"/>
      <c r="K67" s="485"/>
      <c r="L67" s="485"/>
      <c r="M67" s="486"/>
      <c r="N67" s="2728"/>
      <c r="O67" s="2728"/>
      <c r="P67" s="2736"/>
      <c r="Q67" s="2713"/>
      <c r="R67" s="2699"/>
      <c r="S67" s="2699"/>
      <c r="T67" s="2699"/>
      <c r="U67" s="2699"/>
      <c r="V67" s="2699"/>
      <c r="W67" s="2699"/>
      <c r="X67" s="2699"/>
      <c r="Y67" s="2699"/>
      <c r="Z67" s="2699"/>
      <c r="AA67" s="2699"/>
      <c r="AB67" s="2699"/>
      <c r="AC67" s="2699"/>
    </row>
    <row r="68" spans="1:29" ht="15.75" thickTop="1">
      <c r="A68" s="483"/>
      <c r="B68" s="495" t="s">
        <v>1671</v>
      </c>
      <c r="C68" s="496" t="str">
        <f>C69&amp;"（含）"&amp;"-"&amp;D69</f>
        <v>0（含）-3</v>
      </c>
      <c r="D68" s="496" t="str">
        <f t="shared" ref="D68:L68" si="17">D69&amp;"（含）"&amp;"-"&amp;E69</f>
        <v>3（含）-</v>
      </c>
      <c r="E68" s="496" t="str">
        <f t="shared" si="17"/>
        <v>（含）-</v>
      </c>
      <c r="F68" s="496" t="str">
        <f t="shared" si="17"/>
        <v>（含）-</v>
      </c>
      <c r="G68" s="496" t="str">
        <f t="shared" si="17"/>
        <v>（含）-</v>
      </c>
      <c r="H68" s="496" t="str">
        <f t="shared" si="17"/>
        <v>（含）-</v>
      </c>
      <c r="I68" s="496" t="str">
        <f t="shared" si="17"/>
        <v>（含）-</v>
      </c>
      <c r="J68" s="496" t="str">
        <f t="shared" si="17"/>
        <v>（含）-</v>
      </c>
      <c r="K68" s="496" t="str">
        <f t="shared" si="17"/>
        <v>（含）-</v>
      </c>
      <c r="L68" s="496" t="str">
        <f t="shared" si="17"/>
        <v>（含）-</v>
      </c>
      <c r="M68" s="399" t="str">
        <f>M69&amp;"（含）"&amp;"-"&amp;P69</f>
        <v>（含）-</v>
      </c>
      <c r="N68" s="2728"/>
      <c r="O68" s="2728"/>
      <c r="P68" s="2736"/>
      <c r="Q68" s="2713"/>
      <c r="R68" s="2699"/>
      <c r="S68" s="2699"/>
      <c r="T68" s="2699"/>
      <c r="U68" s="2699"/>
      <c r="V68" s="2699"/>
      <c r="W68" s="2699"/>
      <c r="X68" s="2699"/>
      <c r="Y68" s="2699"/>
      <c r="Z68" s="2699"/>
      <c r="AA68" s="2699"/>
      <c r="AB68" s="2699"/>
      <c r="AC68" s="2699"/>
    </row>
    <row r="69" spans="1:29" ht="15">
      <c r="A69" s="483"/>
      <c r="B69" s="497"/>
      <c r="C69" s="498">
        <v>0</v>
      </c>
      <c r="D69" s="498">
        <v>3</v>
      </c>
      <c r="E69" s="498"/>
      <c r="F69" s="498"/>
      <c r="G69" s="498"/>
      <c r="H69" s="498"/>
      <c r="I69" s="498"/>
      <c r="J69" s="498"/>
      <c r="K69" s="499"/>
      <c r="L69" s="500"/>
      <c r="M69" s="501"/>
      <c r="N69" s="2727"/>
      <c r="O69" s="2727"/>
      <c r="P69" s="2736"/>
      <c r="Q69" s="2713"/>
      <c r="R69" s="2699"/>
      <c r="S69" s="2699"/>
      <c r="T69" s="2699"/>
      <c r="U69" s="2699"/>
      <c r="V69" s="2699"/>
      <c r="W69" s="2699"/>
      <c r="X69" s="2699"/>
      <c r="Y69" s="2699"/>
      <c r="Z69" s="2699"/>
      <c r="AA69" s="2699"/>
      <c r="AB69" s="2699"/>
      <c r="AC69" s="2699"/>
    </row>
    <row r="70" spans="1:29" ht="15.75" thickBot="1">
      <c r="A70" s="483"/>
      <c r="B70" s="484"/>
      <c r="C70" s="493">
        <v>100</v>
      </c>
      <c r="D70" s="493">
        <f t="shared" ref="D70:M70" si="18">C70-$K11</f>
        <v>100</v>
      </c>
      <c r="E70" s="493">
        <f t="shared" si="18"/>
        <v>100</v>
      </c>
      <c r="F70" s="493">
        <f t="shared" si="18"/>
        <v>100</v>
      </c>
      <c r="G70" s="493">
        <f t="shared" si="18"/>
        <v>100</v>
      </c>
      <c r="H70" s="493">
        <f t="shared" si="18"/>
        <v>100</v>
      </c>
      <c r="I70" s="493">
        <f t="shared" si="18"/>
        <v>100</v>
      </c>
      <c r="J70" s="493">
        <f t="shared" si="18"/>
        <v>100</v>
      </c>
      <c r="K70" s="493">
        <f t="shared" si="18"/>
        <v>100</v>
      </c>
      <c r="L70" s="493">
        <f t="shared" si="18"/>
        <v>100</v>
      </c>
      <c r="M70" s="494">
        <f t="shared" si="18"/>
        <v>100</v>
      </c>
      <c r="N70" s="2728"/>
      <c r="O70" s="2728"/>
      <c r="P70" s="2736"/>
      <c r="Q70" s="2713"/>
      <c r="R70" s="2699"/>
      <c r="S70" s="2699"/>
      <c r="T70" s="2699"/>
      <c r="U70" s="2699"/>
      <c r="V70" s="2699"/>
      <c r="W70" s="2699"/>
      <c r="X70" s="2699"/>
      <c r="Y70" s="2699"/>
      <c r="Z70" s="2699"/>
      <c r="AA70" s="2699"/>
      <c r="AB70" s="2699"/>
      <c r="AC70" s="2699"/>
    </row>
    <row r="71" spans="1:29" s="422" customFormat="1" ht="15.75" thickTop="1">
      <c r="A71" s="502"/>
      <c r="B71" s="487">
        <f>B12</f>
        <v>111</v>
      </c>
      <c r="C71" s="503"/>
      <c r="D71" s="503"/>
      <c r="E71" s="503"/>
      <c r="F71" s="503"/>
      <c r="G71" s="503"/>
      <c r="H71" s="504"/>
      <c r="I71" s="504"/>
      <c r="J71" s="504"/>
      <c r="K71" s="504"/>
      <c r="L71" s="505"/>
      <c r="M71" s="506"/>
      <c r="N71" s="2729"/>
      <c r="O71" s="2729"/>
      <c r="P71" s="2737"/>
      <c r="Q71" s="2720"/>
      <c r="R71" s="2721"/>
      <c r="S71" s="2721"/>
      <c r="T71" s="2721"/>
      <c r="U71" s="2721"/>
      <c r="V71" s="2721"/>
      <c r="W71" s="2721"/>
      <c r="X71" s="2721"/>
      <c r="Y71" s="2721"/>
      <c r="Z71" s="2721"/>
      <c r="AA71" s="2721"/>
      <c r="AB71" s="2721"/>
      <c r="AC71" s="2721"/>
    </row>
    <row r="72" spans="1:29" s="422" customFormat="1" ht="15.75" thickBot="1">
      <c r="A72" s="502"/>
      <c r="B72" s="492"/>
      <c r="C72" s="509"/>
      <c r="D72" s="485"/>
      <c r="E72" s="485"/>
      <c r="F72" s="485"/>
      <c r="G72" s="485"/>
      <c r="H72" s="485"/>
      <c r="I72" s="485"/>
      <c r="J72" s="485"/>
      <c r="K72" s="485"/>
      <c r="L72" s="485"/>
      <c r="M72" s="486"/>
      <c r="N72" s="2728"/>
      <c r="O72" s="2728"/>
      <c r="P72" s="2737"/>
      <c r="Q72" s="2720"/>
      <c r="R72" s="2721"/>
      <c r="S72" s="2721"/>
      <c r="T72" s="2721"/>
      <c r="U72" s="2721"/>
      <c r="V72" s="2721"/>
      <c r="W72" s="2721"/>
      <c r="X72" s="2721"/>
      <c r="Y72" s="2721"/>
      <c r="Z72" s="2721"/>
      <c r="AA72" s="2721"/>
      <c r="AB72" s="2721"/>
      <c r="AC72" s="2721"/>
    </row>
    <row r="73" spans="1:29" s="422" customFormat="1" ht="15.75" thickTop="1">
      <c r="A73" s="502"/>
      <c r="B73" s="487">
        <f>B13</f>
        <v>111</v>
      </c>
      <c r="C73" s="503"/>
      <c r="D73" s="503"/>
      <c r="E73" s="503"/>
      <c r="F73" s="503"/>
      <c r="G73" s="503"/>
      <c r="H73" s="504"/>
      <c r="I73" s="504"/>
      <c r="J73" s="504"/>
      <c r="K73" s="504"/>
      <c r="L73" s="505"/>
      <c r="M73" s="506"/>
      <c r="N73" s="2729"/>
      <c r="O73" s="2729"/>
      <c r="P73" s="2738"/>
      <c r="Q73" s="2723"/>
      <c r="R73" s="2721"/>
      <c r="S73" s="2721"/>
      <c r="T73" s="2721"/>
      <c r="U73" s="2721"/>
      <c r="V73" s="2721"/>
      <c r="W73" s="2721"/>
      <c r="X73" s="2721"/>
      <c r="Y73" s="2721"/>
      <c r="Z73" s="2721"/>
      <c r="AA73" s="2721"/>
      <c r="AB73" s="2721"/>
      <c r="AC73" s="2721"/>
    </row>
    <row r="74" spans="1:29" s="422" customFormat="1" ht="15.75" thickBot="1">
      <c r="A74" s="502"/>
      <c r="B74" s="492"/>
      <c r="C74" s="509"/>
      <c r="D74" s="509"/>
      <c r="E74" s="509"/>
      <c r="F74" s="509"/>
      <c r="G74" s="509"/>
      <c r="H74" s="511"/>
      <c r="I74" s="511"/>
      <c r="J74" s="511"/>
      <c r="K74" s="511"/>
      <c r="L74" s="511"/>
      <c r="M74" s="512"/>
      <c r="N74" s="2729"/>
      <c r="O74" s="2729"/>
      <c r="P74" s="2737"/>
      <c r="Q74" s="2720"/>
      <c r="R74" s="2721"/>
      <c r="S74" s="2721"/>
      <c r="T74" s="2721"/>
      <c r="U74" s="2721"/>
      <c r="V74" s="2721"/>
      <c r="W74" s="2721"/>
      <c r="X74" s="2721"/>
      <c r="Y74" s="2721"/>
      <c r="Z74" s="2721"/>
      <c r="AA74" s="2721"/>
      <c r="AB74" s="2721"/>
      <c r="AC74" s="2721"/>
    </row>
    <row r="75" spans="1:29" s="422" customFormat="1" ht="15.75" thickTop="1">
      <c r="A75" s="502"/>
      <c r="B75" s="495">
        <f>B14</f>
        <v>111</v>
      </c>
      <c r="C75" s="472"/>
      <c r="D75" s="472"/>
      <c r="E75" s="472"/>
      <c r="F75" s="472"/>
      <c r="G75" s="472"/>
      <c r="H75" s="513"/>
      <c r="I75" s="513"/>
      <c r="J75" s="513"/>
      <c r="K75" s="513"/>
      <c r="L75" s="514"/>
      <c r="M75" s="515"/>
      <c r="N75" s="2729"/>
      <c r="O75" s="2729"/>
      <c r="P75" s="2739"/>
      <c r="Q75" s="2720"/>
      <c r="R75" s="2721"/>
      <c r="S75" s="2721"/>
      <c r="T75" s="2721"/>
      <c r="U75" s="2721"/>
      <c r="V75" s="2721"/>
      <c r="W75" s="2721"/>
      <c r="X75" s="2721"/>
      <c r="Y75" s="2721"/>
      <c r="Z75" s="2721"/>
      <c r="AA75" s="2721"/>
      <c r="AB75" s="2721"/>
      <c r="AC75" s="2721"/>
    </row>
    <row r="76" spans="1:29" s="422" customFormat="1" ht="15.75" thickBot="1">
      <c r="A76" s="517"/>
      <c r="B76" s="518"/>
      <c r="C76" s="519"/>
      <c r="D76" s="519"/>
      <c r="E76" s="519"/>
      <c r="F76" s="519"/>
      <c r="G76" s="519"/>
      <c r="H76" s="520"/>
      <c r="I76" s="520"/>
      <c r="J76" s="520"/>
      <c r="K76" s="520"/>
      <c r="L76" s="520"/>
      <c r="M76" s="521"/>
      <c r="N76" s="2729"/>
      <c r="O76" s="2729"/>
      <c r="P76" s="2737"/>
      <c r="Q76" s="2720"/>
      <c r="R76" s="2721"/>
      <c r="S76" s="2721"/>
      <c r="T76" s="2721"/>
      <c r="U76" s="2721"/>
      <c r="V76" s="2721"/>
      <c r="W76" s="2721"/>
      <c r="X76" s="2721"/>
      <c r="Y76" s="2721"/>
      <c r="Z76" s="2721"/>
      <c r="AA76" s="2721"/>
      <c r="AB76" s="2721"/>
      <c r="AC76" s="2721"/>
    </row>
    <row r="77" spans="1:29">
      <c r="A77" s="476" t="s">
        <v>1672</v>
      </c>
      <c r="B77" s="477" t="s">
        <v>1803</v>
      </c>
      <c r="C77" s="522" t="s">
        <v>1703</v>
      </c>
      <c r="D77" s="522" t="s">
        <v>1704</v>
      </c>
      <c r="E77" s="522" t="s">
        <v>1705</v>
      </c>
      <c r="F77" s="522" t="s">
        <v>1706</v>
      </c>
      <c r="G77" s="522" t="s">
        <v>1707</v>
      </c>
      <c r="H77" s="478"/>
      <c r="I77" s="478"/>
      <c r="J77" s="478"/>
      <c r="K77" s="523"/>
      <c r="L77" s="524"/>
      <c r="M77" s="525"/>
      <c r="N77" s="2727"/>
      <c r="O77" s="2727"/>
      <c r="P77" s="2740"/>
      <c r="Q77" s="2713"/>
      <c r="R77" s="2699"/>
      <c r="S77" s="2699"/>
      <c r="T77" s="2699"/>
      <c r="U77" s="2699"/>
      <c r="V77" s="2699"/>
      <c r="W77" s="2699"/>
      <c r="X77" s="2699"/>
      <c r="Y77" s="2699"/>
      <c r="Z77" s="2699"/>
      <c r="AA77" s="2699"/>
      <c r="AB77" s="2699"/>
      <c r="AC77" s="2699"/>
    </row>
    <row r="78" spans="1:29" ht="15.75" thickBot="1">
      <c r="A78" s="483"/>
      <c r="B78" s="492"/>
      <c r="C78" s="493">
        <v>100</v>
      </c>
      <c r="D78" s="493">
        <f>C78-$K15</f>
        <v>100</v>
      </c>
      <c r="E78" s="493">
        <f>D78-$K15</f>
        <v>100</v>
      </c>
      <c r="F78" s="493">
        <f>E78-$K15</f>
        <v>100</v>
      </c>
      <c r="G78" s="493">
        <f>F78-$K15</f>
        <v>100</v>
      </c>
      <c r="H78" s="493"/>
      <c r="I78" s="493"/>
      <c r="J78" s="493"/>
      <c r="K78" s="493"/>
      <c r="L78" s="493"/>
      <c r="M78" s="494"/>
      <c r="N78" s="2728"/>
      <c r="O78" s="2728"/>
      <c r="P78" s="2736"/>
      <c r="Q78" s="2713"/>
      <c r="R78" s="2699"/>
      <c r="S78" s="2699"/>
      <c r="T78" s="2699"/>
      <c r="U78" s="2699"/>
      <c r="V78" s="2699"/>
      <c r="W78" s="2699"/>
      <c r="X78" s="2699"/>
      <c r="Y78" s="2699"/>
      <c r="Z78" s="2699"/>
      <c r="AA78" s="2699"/>
      <c r="AB78" s="2699"/>
      <c r="AC78" s="2699"/>
    </row>
    <row r="79" spans="1:29" ht="15.75" thickTop="1">
      <c r="A79" s="483"/>
      <c r="B79" s="487" t="s">
        <v>1708</v>
      </c>
      <c r="C79" s="527" t="s">
        <v>1703</v>
      </c>
      <c r="D79" s="527" t="s">
        <v>1704</v>
      </c>
      <c r="E79" s="527" t="s">
        <v>1705</v>
      </c>
      <c r="F79" s="527" t="s">
        <v>1706</v>
      </c>
      <c r="G79" s="527" t="s">
        <v>1707</v>
      </c>
      <c r="H79" s="488"/>
      <c r="I79" s="488"/>
      <c r="J79" s="488"/>
      <c r="K79" s="489"/>
      <c r="L79" s="490"/>
      <c r="M79" s="491"/>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C80-$K17</f>
        <v>100</v>
      </c>
      <c r="E80" s="493">
        <f>D80-$K17</f>
        <v>100</v>
      </c>
      <c r="F80" s="493">
        <f>E80-$K17</f>
        <v>100</v>
      </c>
      <c r="G80" s="493">
        <f>F80-$K17</f>
        <v>100</v>
      </c>
      <c r="H80" s="493"/>
      <c r="I80" s="493"/>
      <c r="J80" s="493"/>
      <c r="K80" s="493"/>
      <c r="L80" s="493"/>
      <c r="M80" s="494"/>
      <c r="N80" s="2728"/>
      <c r="O80" s="2728"/>
      <c r="P80" s="2736"/>
      <c r="Q80" s="2713"/>
      <c r="R80" s="2699"/>
      <c r="S80" s="2699"/>
      <c r="T80" s="2699"/>
      <c r="U80" s="2699"/>
      <c r="V80" s="2699"/>
      <c r="W80" s="2699"/>
      <c r="X80" s="2699"/>
      <c r="Y80" s="2699"/>
      <c r="Z80" s="2699"/>
      <c r="AA80" s="2699"/>
      <c r="AB80" s="2699"/>
      <c r="AC80" s="2699"/>
    </row>
    <row r="81" spans="1:29" ht="15.75" thickTop="1">
      <c r="A81" s="483"/>
      <c r="B81" s="487" t="s">
        <v>1709</v>
      </c>
      <c r="C81" s="527" t="s">
        <v>1703</v>
      </c>
      <c r="D81" s="527" t="s">
        <v>1704</v>
      </c>
      <c r="E81" s="527" t="s">
        <v>1705</v>
      </c>
      <c r="F81" s="527" t="s">
        <v>1706</v>
      </c>
      <c r="G81" s="527" t="s">
        <v>1707</v>
      </c>
      <c r="H81" s="488"/>
      <c r="I81" s="488"/>
      <c r="J81" s="488"/>
      <c r="K81" s="489"/>
      <c r="L81" s="490"/>
      <c r="M81" s="491"/>
      <c r="N81" s="2727"/>
      <c r="O81" s="2727"/>
      <c r="P81" s="2736"/>
      <c r="Q81" s="2713"/>
      <c r="R81" s="2699"/>
      <c r="S81" s="2699"/>
      <c r="T81" s="2699"/>
      <c r="U81" s="2699"/>
      <c r="V81" s="2699"/>
      <c r="W81" s="2699"/>
      <c r="X81" s="2699"/>
      <c r="Y81" s="2699"/>
      <c r="Z81" s="2699"/>
      <c r="AA81" s="2699"/>
      <c r="AB81" s="2699"/>
      <c r="AC81" s="2699"/>
    </row>
    <row r="82" spans="1:29" ht="15.75" thickBot="1">
      <c r="A82" s="483"/>
      <c r="B82" s="492"/>
      <c r="C82" s="493">
        <v>100</v>
      </c>
      <c r="D82" s="493">
        <f>C82-$K19</f>
        <v>100</v>
      </c>
      <c r="E82" s="493">
        <f>D82-$K19</f>
        <v>100</v>
      </c>
      <c r="F82" s="493">
        <f>E82-$K19</f>
        <v>100</v>
      </c>
      <c r="G82" s="493">
        <f>F82-$K19</f>
        <v>100</v>
      </c>
      <c r="H82" s="493"/>
      <c r="I82" s="493"/>
      <c r="J82" s="493"/>
      <c r="K82" s="493"/>
      <c r="L82" s="493"/>
      <c r="M82" s="494"/>
      <c r="N82" s="2728"/>
      <c r="O82" s="2728"/>
      <c r="P82" s="2736"/>
      <c r="Q82" s="2713"/>
      <c r="R82" s="2699"/>
      <c r="S82" s="2699"/>
      <c r="T82" s="2699"/>
      <c r="U82" s="2699"/>
      <c r="V82" s="2699"/>
      <c r="W82" s="2699"/>
      <c r="X82" s="2699"/>
      <c r="Y82" s="2699"/>
      <c r="Z82" s="2699"/>
      <c r="AA82" s="2699"/>
      <c r="AB82" s="2699"/>
      <c r="AC82" s="2699"/>
    </row>
    <row r="83" spans="1:29" ht="15.75" thickTop="1">
      <c r="A83" s="483"/>
      <c r="B83" s="495" t="s">
        <v>1795</v>
      </c>
      <c r="C83" s="608" t="s">
        <v>1781</v>
      </c>
      <c r="D83" s="608" t="s">
        <v>1782</v>
      </c>
      <c r="E83" s="608" t="s">
        <v>1783</v>
      </c>
      <c r="F83" s="608" t="s">
        <v>1784</v>
      </c>
      <c r="G83" s="608" t="s">
        <v>1785</v>
      </c>
      <c r="H83" s="488"/>
      <c r="I83" s="488"/>
      <c r="J83" s="488"/>
      <c r="K83" s="488"/>
      <c r="L83" s="488"/>
      <c r="M83" s="1129"/>
      <c r="N83" s="2728"/>
      <c r="O83" s="2728"/>
      <c r="P83" s="2736"/>
      <c r="Q83" s="2713"/>
      <c r="R83" s="2699"/>
      <c r="S83" s="2699"/>
      <c r="T83" s="2699"/>
      <c r="U83" s="2699"/>
      <c r="V83" s="2699"/>
      <c r="W83" s="2699"/>
      <c r="X83" s="2699"/>
      <c r="Y83" s="2699"/>
      <c r="Z83" s="2699"/>
      <c r="AA83" s="2699"/>
      <c r="AB83" s="2699"/>
      <c r="AC83" s="2699"/>
    </row>
    <row r="84" spans="1:29" ht="15.75" thickBot="1">
      <c r="A84" s="483"/>
      <c r="B84" s="495"/>
      <c r="C84" s="493">
        <v>100</v>
      </c>
      <c r="D84" s="493">
        <f>C84-$K21</f>
        <v>100</v>
      </c>
      <c r="E84" s="493">
        <f>D84-$K21</f>
        <v>100</v>
      </c>
      <c r="F84" s="493">
        <f>E84-$K21</f>
        <v>100</v>
      </c>
      <c r="G84" s="493">
        <f>F84-$K21</f>
        <v>100</v>
      </c>
      <c r="H84" s="608"/>
      <c r="I84" s="608"/>
      <c r="J84" s="608"/>
      <c r="K84" s="608"/>
      <c r="L84" s="608"/>
      <c r="M84" s="401"/>
      <c r="N84" s="2728"/>
      <c r="O84" s="2728"/>
      <c r="P84" s="2736"/>
      <c r="Q84" s="2713"/>
      <c r="R84" s="2699"/>
      <c r="S84" s="2699"/>
      <c r="T84" s="2699"/>
      <c r="U84" s="2699"/>
      <c r="V84" s="2699"/>
      <c r="W84" s="2699"/>
      <c r="X84" s="2699"/>
      <c r="Y84" s="2699"/>
      <c r="Z84" s="2699"/>
      <c r="AA84" s="2699"/>
      <c r="AB84" s="2699"/>
      <c r="AC84" s="2699"/>
    </row>
    <row r="85" spans="1:29" ht="15.75" thickTop="1">
      <c r="A85" s="483"/>
      <c r="B85" s="487" t="s">
        <v>1804</v>
      </c>
      <c r="C85" s="527" t="s">
        <v>1703</v>
      </c>
      <c r="D85" s="527" t="s">
        <v>1704</v>
      </c>
      <c r="E85" s="527" t="s">
        <v>1705</v>
      </c>
      <c r="F85" s="527" t="s">
        <v>1706</v>
      </c>
      <c r="G85" s="527" t="s">
        <v>1707</v>
      </c>
      <c r="H85" s="488"/>
      <c r="I85" s="488"/>
      <c r="J85" s="488"/>
      <c r="K85" s="489"/>
      <c r="L85" s="490"/>
      <c r="M85" s="491"/>
      <c r="N85" s="2727"/>
      <c r="O85" s="2727"/>
      <c r="P85" s="2736"/>
      <c r="Q85" s="2713"/>
      <c r="R85" s="2699"/>
      <c r="S85" s="2699"/>
      <c r="T85" s="2699"/>
      <c r="U85" s="2699"/>
      <c r="V85" s="2699"/>
      <c r="W85" s="2699"/>
      <c r="X85" s="2699"/>
      <c r="Y85" s="2699"/>
      <c r="Z85" s="2699"/>
      <c r="AA85" s="2699"/>
      <c r="AB85" s="2699"/>
      <c r="AC85" s="2699"/>
    </row>
    <row r="86" spans="1:29" ht="15.75" thickBot="1">
      <c r="A86" s="483"/>
      <c r="B86" s="492"/>
      <c r="C86" s="493">
        <v>100</v>
      </c>
      <c r="D86" s="493">
        <f>C86-$K23</f>
        <v>100</v>
      </c>
      <c r="E86" s="493">
        <f>D86-$K23</f>
        <v>100</v>
      </c>
      <c r="F86" s="493">
        <f>E86-$K23</f>
        <v>100</v>
      </c>
      <c r="G86" s="493">
        <f>F86-$K23</f>
        <v>100</v>
      </c>
      <c r="H86" s="493"/>
      <c r="I86" s="493"/>
      <c r="J86" s="493"/>
      <c r="K86" s="493"/>
      <c r="L86" s="493"/>
      <c r="M86" s="494"/>
      <c r="N86" s="2728"/>
      <c r="O86" s="2728"/>
      <c r="P86" s="2736"/>
      <c r="Q86" s="2713"/>
      <c r="R86" s="2699"/>
      <c r="S86" s="2699"/>
      <c r="T86" s="2699"/>
      <c r="U86" s="2699"/>
      <c r="V86" s="2699"/>
      <c r="W86" s="2699"/>
      <c r="X86" s="2699"/>
      <c r="Y86" s="2699"/>
      <c r="Z86" s="2699"/>
      <c r="AA86" s="2699"/>
      <c r="AB86" s="2699"/>
      <c r="AC86" s="2699"/>
    </row>
    <row r="87" spans="1:29" s="108" customFormat="1" ht="27.75" thickTop="1">
      <c r="A87" s="528"/>
      <c r="B87" s="487" t="s">
        <v>1805</v>
      </c>
      <c r="C87" s="503"/>
      <c r="D87" s="503"/>
      <c r="E87" s="503"/>
      <c r="F87" s="503"/>
      <c r="G87" s="503"/>
      <c r="H87" s="503"/>
      <c r="I87" s="503"/>
      <c r="J87" s="503"/>
      <c r="K87" s="503"/>
      <c r="L87" s="529"/>
      <c r="M87" s="530"/>
      <c r="N87" s="2726"/>
      <c r="O87" s="2726"/>
      <c r="P87" s="2736"/>
      <c r="Q87" s="2713"/>
      <c r="R87" s="2635"/>
      <c r="S87" s="2635"/>
      <c r="T87" s="2635"/>
      <c r="U87" s="2635"/>
      <c r="V87" s="2635"/>
      <c r="W87" s="2635"/>
      <c r="X87" s="2635"/>
      <c r="Y87" s="2635"/>
      <c r="Z87" s="2635"/>
      <c r="AA87" s="2635"/>
      <c r="AB87" s="2635"/>
      <c r="AC87" s="2635"/>
    </row>
    <row r="88" spans="1:29" s="108" customFormat="1" ht="15.75" thickBot="1">
      <c r="A88" s="528"/>
      <c r="B88" s="492"/>
      <c r="C88" s="531">
        <v>100</v>
      </c>
      <c r="D88" s="493">
        <f t="shared" ref="D88:M88" si="19">C88-$K25</f>
        <v>100</v>
      </c>
      <c r="E88" s="493">
        <f t="shared" si="19"/>
        <v>100</v>
      </c>
      <c r="F88" s="493">
        <f t="shared" si="19"/>
        <v>100</v>
      </c>
      <c r="G88" s="493">
        <f t="shared" si="19"/>
        <v>100</v>
      </c>
      <c r="H88" s="493">
        <f t="shared" si="19"/>
        <v>100</v>
      </c>
      <c r="I88" s="493">
        <f t="shared" si="19"/>
        <v>100</v>
      </c>
      <c r="J88" s="493">
        <f t="shared" si="19"/>
        <v>100</v>
      </c>
      <c r="K88" s="493">
        <f t="shared" si="19"/>
        <v>100</v>
      </c>
      <c r="L88" s="493">
        <f t="shared" si="19"/>
        <v>100</v>
      </c>
      <c r="M88" s="493">
        <f t="shared" si="19"/>
        <v>100</v>
      </c>
      <c r="N88" s="2728"/>
      <c r="O88" s="2728"/>
      <c r="P88" s="2736"/>
      <c r="Q88" s="2713"/>
      <c r="R88" s="2635"/>
      <c r="S88" s="2635"/>
      <c r="T88" s="2635"/>
      <c r="U88" s="2635"/>
      <c r="V88" s="2635"/>
      <c r="W88" s="2635"/>
      <c r="X88" s="2635"/>
      <c r="Y88" s="2635"/>
      <c r="Z88" s="2635"/>
      <c r="AA88" s="2635"/>
      <c r="AB88" s="2635"/>
      <c r="AC88" s="2635"/>
    </row>
    <row r="89" spans="1:29" s="108" customFormat="1" ht="15.75" thickTop="1">
      <c r="A89" s="528"/>
      <c r="B89" s="487" t="str">
        <f>B27</f>
        <v>楼层</v>
      </c>
      <c r="C89" s="503"/>
      <c r="D89" s="503"/>
      <c r="E89" s="503"/>
      <c r="F89" s="1926"/>
      <c r="G89" s="503"/>
      <c r="H89" s="503"/>
      <c r="I89" s="503"/>
      <c r="J89" s="503"/>
      <c r="K89" s="503"/>
      <c r="L89" s="503"/>
      <c r="M89" s="530"/>
      <c r="N89" s="2726"/>
      <c r="O89" s="2726"/>
      <c r="P89" s="2736"/>
      <c r="Q89" s="2713"/>
      <c r="R89" s="2635"/>
      <c r="S89" s="2635"/>
      <c r="T89" s="2635"/>
      <c r="U89" s="2635"/>
      <c r="V89" s="2635"/>
      <c r="W89" s="2635"/>
      <c r="X89" s="2635"/>
      <c r="Y89" s="2635"/>
      <c r="Z89" s="2635"/>
      <c r="AA89" s="2635"/>
      <c r="AB89" s="2635"/>
      <c r="AC89" s="2635"/>
    </row>
    <row r="90" spans="1:29" s="108" customFormat="1" ht="15.75" thickBot="1">
      <c r="A90" s="528"/>
      <c r="B90" s="492"/>
      <c r="C90" s="531">
        <v>100</v>
      </c>
      <c r="D90" s="493">
        <f>C90-$K27</f>
        <v>100</v>
      </c>
      <c r="E90" s="493">
        <f t="shared" ref="E90:M90" si="20">D90-$K27</f>
        <v>100</v>
      </c>
      <c r="F90" s="493">
        <f t="shared" si="20"/>
        <v>100</v>
      </c>
      <c r="G90" s="493">
        <f t="shared" si="20"/>
        <v>100</v>
      </c>
      <c r="H90" s="493">
        <f t="shared" si="20"/>
        <v>100</v>
      </c>
      <c r="I90" s="493">
        <f t="shared" si="20"/>
        <v>100</v>
      </c>
      <c r="J90" s="493">
        <f t="shared" si="20"/>
        <v>100</v>
      </c>
      <c r="K90" s="493">
        <f t="shared" si="20"/>
        <v>100</v>
      </c>
      <c r="L90" s="493">
        <f t="shared" si="20"/>
        <v>100</v>
      </c>
      <c r="M90" s="493">
        <f t="shared" si="20"/>
        <v>100</v>
      </c>
      <c r="N90" s="2728"/>
      <c r="O90" s="2728"/>
      <c r="P90" s="2736"/>
      <c r="Q90" s="2713"/>
      <c r="R90" s="2635"/>
      <c r="S90" s="2635"/>
      <c r="T90" s="2635"/>
      <c r="U90" s="2635"/>
      <c r="V90" s="2635"/>
      <c r="W90" s="2635"/>
      <c r="X90" s="2635"/>
      <c r="Y90" s="2635"/>
      <c r="Z90" s="2635"/>
      <c r="AA90" s="2635"/>
      <c r="AB90" s="2635"/>
      <c r="AC90" s="2635"/>
    </row>
    <row r="91" spans="1:29" s="422" customFormat="1" ht="15.75" thickTop="1">
      <c r="A91" s="502"/>
      <c r="B91" s="487" t="str">
        <f>B28</f>
        <v>朝向</v>
      </c>
      <c r="C91" s="503"/>
      <c r="D91" s="503"/>
      <c r="E91" s="503"/>
      <c r="F91" s="503"/>
      <c r="G91" s="503"/>
      <c r="H91" s="504"/>
      <c r="I91" s="504"/>
      <c r="J91" s="504"/>
      <c r="K91" s="504"/>
      <c r="L91" s="505"/>
      <c r="M91" s="506"/>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31">
        <v>100</v>
      </c>
      <c r="D92" s="493">
        <f t="shared" ref="D92:M92" si="21">C92-$K28</f>
        <v>100</v>
      </c>
      <c r="E92" s="493">
        <f t="shared" si="21"/>
        <v>100</v>
      </c>
      <c r="F92" s="493">
        <f t="shared" si="21"/>
        <v>100</v>
      </c>
      <c r="G92" s="493">
        <f t="shared" si="21"/>
        <v>100</v>
      </c>
      <c r="H92" s="493">
        <f t="shared" si="21"/>
        <v>100</v>
      </c>
      <c r="I92" s="493">
        <f t="shared" si="21"/>
        <v>100</v>
      </c>
      <c r="J92" s="493">
        <f t="shared" si="21"/>
        <v>100</v>
      </c>
      <c r="K92" s="493">
        <f t="shared" si="21"/>
        <v>100</v>
      </c>
      <c r="L92" s="493">
        <f t="shared" si="21"/>
        <v>100</v>
      </c>
      <c r="M92" s="493">
        <f t="shared" si="21"/>
        <v>100</v>
      </c>
      <c r="N92" s="2729"/>
      <c r="O92" s="2729"/>
      <c r="P92" s="2737"/>
      <c r="Q92" s="2720"/>
      <c r="R92" s="2721"/>
      <c r="S92" s="2721"/>
      <c r="T92" s="2721"/>
      <c r="U92" s="2721"/>
      <c r="V92" s="2721"/>
      <c r="W92" s="2721"/>
      <c r="X92" s="2721"/>
      <c r="Y92" s="2721"/>
      <c r="Z92" s="2721"/>
      <c r="AA92" s="2721"/>
      <c r="AB92" s="2721"/>
      <c r="AC92" s="2721"/>
    </row>
    <row r="93" spans="1:29" ht="15.75" thickTop="1">
      <c r="A93" s="483"/>
      <c r="B93" s="487">
        <f>B29</f>
        <v>111</v>
      </c>
      <c r="C93" s="503"/>
      <c r="D93" s="503"/>
      <c r="E93" s="503"/>
      <c r="F93" s="503"/>
      <c r="G93" s="503"/>
      <c r="H93" s="503"/>
      <c r="I93" s="503"/>
      <c r="J93" s="503"/>
      <c r="K93" s="503"/>
      <c r="L93" s="529"/>
      <c r="M93" s="530"/>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509"/>
      <c r="D94" s="485"/>
      <c r="E94" s="485"/>
      <c r="F94" s="485"/>
      <c r="G94" s="485"/>
      <c r="H94" s="485"/>
      <c r="I94" s="485"/>
      <c r="J94" s="485"/>
      <c r="K94" s="485"/>
      <c r="L94" s="485"/>
      <c r="M94" s="486"/>
      <c r="N94" s="2728"/>
      <c r="O94" s="2728"/>
      <c r="P94" s="2736"/>
      <c r="Q94" s="2713"/>
      <c r="R94" s="2699"/>
      <c r="S94" s="2699"/>
      <c r="T94" s="2699"/>
      <c r="U94" s="2699"/>
      <c r="V94" s="2699"/>
      <c r="W94" s="2699"/>
      <c r="X94" s="2699"/>
      <c r="Y94" s="2699"/>
      <c r="Z94" s="2699"/>
      <c r="AA94" s="2699"/>
      <c r="AB94" s="2699"/>
      <c r="AC94" s="2699"/>
    </row>
    <row r="95" spans="1:29" ht="15.75" thickTop="1">
      <c r="A95" s="483"/>
      <c r="B95" s="487">
        <f>B30</f>
        <v>111</v>
      </c>
      <c r="C95" s="503"/>
      <c r="D95" s="503"/>
      <c r="E95" s="503"/>
      <c r="F95" s="503"/>
      <c r="G95" s="532"/>
      <c r="H95" s="532"/>
      <c r="I95" s="532"/>
      <c r="J95" s="532"/>
      <c r="K95" s="533"/>
      <c r="L95" s="534"/>
      <c r="M95" s="535"/>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509"/>
      <c r="D96" s="509"/>
      <c r="E96" s="509"/>
      <c r="F96" s="509"/>
      <c r="G96" s="485"/>
      <c r="H96" s="485"/>
      <c r="I96" s="485"/>
      <c r="J96" s="485"/>
      <c r="K96" s="485"/>
      <c r="L96" s="485"/>
      <c r="M96" s="486"/>
      <c r="N96" s="2728"/>
      <c r="O96" s="2728"/>
      <c r="P96" s="2736"/>
      <c r="Q96" s="2713"/>
      <c r="R96" s="2699"/>
      <c r="S96" s="2699"/>
      <c r="T96" s="2699"/>
      <c r="U96" s="2699"/>
      <c r="V96" s="2699"/>
      <c r="W96" s="2699"/>
      <c r="X96" s="2699"/>
      <c r="Y96" s="2699"/>
      <c r="Z96" s="2699"/>
      <c r="AA96" s="2699"/>
      <c r="AB96" s="2699"/>
      <c r="AC96" s="2699"/>
    </row>
    <row r="97" spans="1:29" ht="15.75" thickTop="1">
      <c r="A97" s="483"/>
      <c r="B97" s="487">
        <f>B31</f>
        <v>111</v>
      </c>
      <c r="C97" s="503"/>
      <c r="D97" s="503"/>
      <c r="E97" s="503"/>
      <c r="F97" s="503"/>
      <c r="G97" s="532"/>
      <c r="H97" s="532"/>
      <c r="I97" s="532"/>
      <c r="J97" s="532"/>
      <c r="K97" s="533"/>
      <c r="L97" s="534"/>
      <c r="M97" s="535"/>
      <c r="N97" s="2727"/>
      <c r="O97" s="2727"/>
      <c r="P97" s="2736"/>
      <c r="Q97" s="2713"/>
      <c r="R97" s="2699"/>
      <c r="S97" s="2699"/>
      <c r="T97" s="2699"/>
      <c r="U97" s="2699"/>
      <c r="V97" s="2699"/>
      <c r="W97" s="2699"/>
      <c r="X97" s="2699"/>
      <c r="Y97" s="2699"/>
      <c r="Z97" s="2699"/>
      <c r="AA97" s="2699"/>
      <c r="AB97" s="2699"/>
      <c r="AC97" s="2699"/>
    </row>
    <row r="98" spans="1:29" ht="15.75" thickBot="1">
      <c r="A98" s="483"/>
      <c r="B98" s="492"/>
      <c r="C98" s="509"/>
      <c r="D98" s="485"/>
      <c r="E98" s="485"/>
      <c r="F98" s="485"/>
      <c r="G98" s="485"/>
      <c r="H98" s="485"/>
      <c r="I98" s="485"/>
      <c r="J98" s="485"/>
      <c r="K98" s="485"/>
      <c r="L98" s="485"/>
      <c r="M98" s="486"/>
      <c r="N98" s="2728"/>
      <c r="O98" s="2728"/>
      <c r="P98" s="2736"/>
      <c r="Q98" s="2713"/>
      <c r="R98" s="2699"/>
      <c r="S98" s="2699"/>
      <c r="T98" s="2699"/>
      <c r="U98" s="2699"/>
      <c r="V98" s="2699"/>
      <c r="W98" s="2699"/>
      <c r="X98" s="2699"/>
      <c r="Y98" s="2699"/>
      <c r="Z98" s="2699"/>
      <c r="AA98" s="2699"/>
      <c r="AB98" s="2699"/>
      <c r="AC98" s="2699"/>
    </row>
    <row r="99" spans="1:29" ht="15.75" thickTop="1">
      <c r="A99" s="483"/>
      <c r="B99" s="495">
        <f>B32</f>
        <v>111</v>
      </c>
      <c r="C99" s="472"/>
      <c r="D99" s="472"/>
      <c r="E99" s="472"/>
      <c r="F99" s="472"/>
      <c r="G99" s="536"/>
      <c r="H99" s="536"/>
      <c r="I99" s="536"/>
      <c r="J99" s="536"/>
      <c r="K99" s="537"/>
      <c r="L99" s="538"/>
      <c r="M99" s="539"/>
      <c r="N99" s="2727"/>
      <c r="O99" s="2727"/>
      <c r="P99" s="2736"/>
      <c r="Q99" s="2713"/>
      <c r="R99" s="2699"/>
      <c r="S99" s="2699"/>
      <c r="T99" s="2699"/>
      <c r="U99" s="2699"/>
      <c r="V99" s="2699"/>
      <c r="W99" s="2699"/>
      <c r="X99" s="2699"/>
      <c r="Y99" s="2699"/>
      <c r="Z99" s="2699"/>
      <c r="AA99" s="2699"/>
      <c r="AB99" s="2699"/>
      <c r="AC99" s="2699"/>
    </row>
    <row r="100" spans="1:29" ht="15.75" thickBot="1">
      <c r="A100" s="1927"/>
      <c r="B100" s="518"/>
      <c r="C100" s="519"/>
      <c r="D100" s="519"/>
      <c r="E100" s="519"/>
      <c r="F100" s="519"/>
      <c r="G100" s="540"/>
      <c r="H100" s="540"/>
      <c r="I100" s="540"/>
      <c r="J100" s="540"/>
      <c r="K100" s="540"/>
      <c r="L100" s="540"/>
      <c r="M100" s="541"/>
      <c r="N100" s="2728"/>
      <c r="O100" s="2728"/>
      <c r="P100" s="2736"/>
      <c r="Q100" s="2713"/>
      <c r="R100" s="2699"/>
      <c r="S100" s="2699"/>
      <c r="T100" s="2699"/>
      <c r="U100" s="2699"/>
      <c r="V100" s="2699"/>
      <c r="W100" s="2699"/>
      <c r="X100" s="2699"/>
      <c r="Y100" s="2699"/>
      <c r="Z100" s="2699"/>
      <c r="AA100" s="2699"/>
      <c r="AB100" s="2699"/>
      <c r="AC100" s="2699"/>
    </row>
    <row r="101" spans="1:29">
      <c r="A101" s="476" t="s">
        <v>1676</v>
      </c>
      <c r="B101" s="477" t="s">
        <v>1718</v>
      </c>
      <c r="C101" s="479"/>
      <c r="D101" s="479"/>
      <c r="E101" s="479"/>
      <c r="F101" s="479"/>
      <c r="G101" s="479"/>
      <c r="H101" s="479"/>
      <c r="I101" s="479"/>
      <c r="J101" s="479"/>
      <c r="K101" s="480"/>
      <c r="L101" s="481"/>
      <c r="M101" s="482"/>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493">
        <v>100</v>
      </c>
      <c r="D102" s="493">
        <f t="shared" ref="D102:M102" si="22">C102-$K33</f>
        <v>100</v>
      </c>
      <c r="E102" s="493">
        <f t="shared" si="22"/>
        <v>100</v>
      </c>
      <c r="F102" s="493">
        <f t="shared" si="22"/>
        <v>100</v>
      </c>
      <c r="G102" s="493">
        <f t="shared" si="22"/>
        <v>100</v>
      </c>
      <c r="H102" s="493">
        <f t="shared" si="22"/>
        <v>100</v>
      </c>
      <c r="I102" s="493">
        <f t="shared" si="22"/>
        <v>100</v>
      </c>
      <c r="J102" s="493">
        <f t="shared" si="22"/>
        <v>100</v>
      </c>
      <c r="K102" s="493">
        <f t="shared" si="22"/>
        <v>100</v>
      </c>
      <c r="L102" s="493">
        <f t="shared" si="22"/>
        <v>100</v>
      </c>
      <c r="M102" s="494">
        <f t="shared" si="22"/>
        <v>100</v>
      </c>
      <c r="N102" s="2728"/>
      <c r="O102" s="2728"/>
      <c r="P102" s="2736"/>
      <c r="Q102" s="2713"/>
      <c r="R102" s="2699"/>
      <c r="S102" s="2699"/>
      <c r="T102" s="2699"/>
      <c r="U102" s="2699"/>
      <c r="V102" s="2699"/>
      <c r="W102" s="2699"/>
      <c r="X102" s="2699"/>
      <c r="Y102" s="2699"/>
      <c r="Z102" s="2699"/>
      <c r="AA102" s="2699"/>
      <c r="AB102" s="2699"/>
      <c r="AC102" s="2699"/>
    </row>
    <row r="103" spans="1:29" ht="15.75" thickTop="1">
      <c r="A103" s="483"/>
      <c r="B103" s="487" t="s">
        <v>1719</v>
      </c>
      <c r="C103" s="527" t="str">
        <f>C104&amp;"(含)"&amp;"-"&amp;D104</f>
        <v>(含)-</v>
      </c>
      <c r="D103" s="527" t="str">
        <f t="shared" ref="D103:L103" si="23">D104&amp;"(含)"&amp;"-"&amp;E104</f>
        <v>(含)-</v>
      </c>
      <c r="E103" s="527" t="str">
        <f t="shared" si="23"/>
        <v>(含)-</v>
      </c>
      <c r="F103" s="527" t="str">
        <f t="shared" si="23"/>
        <v>(含)-</v>
      </c>
      <c r="G103" s="527" t="str">
        <f t="shared" si="23"/>
        <v>(含)-</v>
      </c>
      <c r="H103" s="527" t="str">
        <f t="shared" si="23"/>
        <v>(含)-</v>
      </c>
      <c r="I103" s="527" t="str">
        <f t="shared" si="23"/>
        <v>(含)-</v>
      </c>
      <c r="J103" s="527" t="str">
        <f t="shared" si="23"/>
        <v>(含)-</v>
      </c>
      <c r="K103" s="527" t="str">
        <f t="shared" si="23"/>
        <v>(含)-</v>
      </c>
      <c r="L103" s="527" t="str">
        <f t="shared" si="23"/>
        <v>(含)-</v>
      </c>
      <c r="M103" s="570" t="str">
        <f>M104&amp;"(含)"&amp;"-"&amp;P104</f>
        <v>(含)-</v>
      </c>
      <c r="N103" s="2726"/>
      <c r="O103" s="2726"/>
      <c r="P103" s="2736"/>
      <c r="Q103" s="2713"/>
      <c r="R103" s="2699"/>
      <c r="S103" s="2699"/>
      <c r="T103" s="2699"/>
      <c r="U103" s="2699"/>
      <c r="V103" s="2699"/>
      <c r="W103" s="2699"/>
      <c r="X103" s="2699"/>
      <c r="Y103" s="2699"/>
      <c r="Z103" s="2699"/>
      <c r="AA103" s="2699"/>
      <c r="AB103" s="2699"/>
      <c r="AC103" s="2699"/>
    </row>
    <row r="104" spans="1:29" s="422" customFormat="1">
      <c r="A104" s="542"/>
      <c r="B104" s="543"/>
      <c r="C104" s="544"/>
      <c r="D104" s="544"/>
      <c r="E104" s="544"/>
      <c r="F104" s="544"/>
      <c r="G104" s="544"/>
      <c r="H104" s="544"/>
      <c r="I104" s="544"/>
      <c r="J104" s="545"/>
      <c r="K104" s="545"/>
      <c r="L104" s="546"/>
      <c r="M104" s="547"/>
      <c r="N104" s="2729"/>
      <c r="O104" s="2729"/>
      <c r="P104" s="2737"/>
      <c r="Q104" s="2720"/>
      <c r="R104" s="2721"/>
      <c r="S104" s="2721"/>
      <c r="T104" s="2721"/>
      <c r="U104" s="2721"/>
      <c r="V104" s="2721"/>
      <c r="W104" s="2721"/>
      <c r="X104" s="2721"/>
      <c r="Y104" s="2721"/>
      <c r="Z104" s="2721"/>
      <c r="AA104" s="2721"/>
      <c r="AB104" s="2721"/>
      <c r="AC104" s="2721"/>
    </row>
    <row r="105" spans="1:29" s="422" customFormat="1" ht="15.75" thickBot="1">
      <c r="A105" s="502"/>
      <c r="B105" s="492"/>
      <c r="C105" s="509"/>
      <c r="D105" s="485"/>
      <c r="E105" s="485"/>
      <c r="F105" s="485"/>
      <c r="G105" s="485"/>
      <c r="H105" s="485"/>
      <c r="I105" s="485"/>
      <c r="J105" s="485"/>
      <c r="K105" s="485"/>
      <c r="L105" s="485"/>
      <c r="M105" s="486"/>
      <c r="N105" s="2728"/>
      <c r="O105" s="2728"/>
      <c r="P105" s="2737"/>
      <c r="Q105" s="2720"/>
      <c r="R105" s="2721"/>
      <c r="S105" s="2721"/>
      <c r="T105" s="2721"/>
      <c r="U105" s="2721"/>
      <c r="V105" s="2721"/>
      <c r="W105" s="2721"/>
      <c r="X105" s="2721"/>
      <c r="Y105" s="2721"/>
      <c r="Z105" s="2721"/>
      <c r="AA105" s="2721"/>
      <c r="AB105" s="2721"/>
      <c r="AC105" s="2721"/>
    </row>
    <row r="106" spans="1:29" ht="15" thickTop="1">
      <c r="A106" s="548"/>
      <c r="B106" s="487" t="s">
        <v>1720</v>
      </c>
      <c r="C106" s="503"/>
      <c r="D106" s="503"/>
      <c r="E106" s="532"/>
      <c r="F106" s="532"/>
      <c r="G106" s="532"/>
      <c r="H106" s="532"/>
      <c r="I106" s="532"/>
      <c r="J106" s="532"/>
      <c r="K106" s="533"/>
      <c r="L106" s="534"/>
      <c r="M106" s="535"/>
      <c r="N106" s="2727"/>
      <c r="O106" s="2727"/>
      <c r="P106" s="2736"/>
      <c r="Q106" s="2713"/>
      <c r="R106" s="2699"/>
      <c r="S106" s="2699"/>
      <c r="T106" s="2699"/>
      <c r="U106" s="2699"/>
      <c r="V106" s="2699"/>
      <c r="W106" s="2699"/>
      <c r="X106" s="2699"/>
      <c r="Y106" s="2699"/>
      <c r="Z106" s="2699"/>
      <c r="AA106" s="2699"/>
      <c r="AB106" s="2699"/>
      <c r="AC106" s="2699"/>
    </row>
    <row r="107" spans="1:29" ht="15.75" thickBot="1">
      <c r="A107" s="483"/>
      <c r="B107" s="492"/>
      <c r="C107" s="493">
        <v>100</v>
      </c>
      <c r="D107" s="493">
        <f t="shared" ref="D107:M107" si="24">C107-$K35</f>
        <v>100</v>
      </c>
      <c r="E107" s="493">
        <f t="shared" si="24"/>
        <v>100</v>
      </c>
      <c r="F107" s="493">
        <f t="shared" si="24"/>
        <v>100</v>
      </c>
      <c r="G107" s="493">
        <f t="shared" si="24"/>
        <v>100</v>
      </c>
      <c r="H107" s="493">
        <f t="shared" si="24"/>
        <v>100</v>
      </c>
      <c r="I107" s="493">
        <f t="shared" si="24"/>
        <v>100</v>
      </c>
      <c r="J107" s="493">
        <f t="shared" si="24"/>
        <v>100</v>
      </c>
      <c r="K107" s="493">
        <f t="shared" si="24"/>
        <v>100</v>
      </c>
      <c r="L107" s="493">
        <f t="shared" si="24"/>
        <v>100</v>
      </c>
      <c r="M107" s="494">
        <f t="shared" si="24"/>
        <v>100</v>
      </c>
      <c r="N107" s="2728"/>
      <c r="O107" s="2728"/>
      <c r="P107" s="2736"/>
      <c r="Q107" s="2713"/>
      <c r="R107" s="2699"/>
      <c r="S107" s="2699"/>
      <c r="T107" s="2699"/>
      <c r="U107" s="2699"/>
      <c r="V107" s="2699"/>
      <c r="W107" s="2699"/>
      <c r="X107" s="2699"/>
      <c r="Y107" s="2699"/>
      <c r="Z107" s="2699"/>
      <c r="AA107" s="2699"/>
      <c r="AB107" s="2699"/>
      <c r="AC107" s="2699"/>
    </row>
    <row r="108" spans="1:29" ht="15" thickTop="1">
      <c r="A108" s="548"/>
      <c r="B108" s="487" t="s">
        <v>1722</v>
      </c>
      <c r="C108" s="503"/>
      <c r="D108" s="503"/>
      <c r="E108" s="503"/>
      <c r="F108" s="532"/>
      <c r="G108" s="532"/>
      <c r="H108" s="532"/>
      <c r="I108" s="532"/>
      <c r="J108" s="532"/>
      <c r="K108" s="533"/>
      <c r="L108" s="534"/>
      <c r="M108" s="535"/>
      <c r="N108" s="2727"/>
      <c r="O108" s="2727"/>
      <c r="P108" s="2736"/>
      <c r="Q108" s="2713"/>
      <c r="R108" s="2699"/>
      <c r="S108" s="2699"/>
      <c r="T108" s="2699"/>
      <c r="U108" s="2699"/>
      <c r="V108" s="2699"/>
      <c r="W108" s="2699"/>
      <c r="X108" s="2699"/>
      <c r="Y108" s="2699"/>
      <c r="Z108" s="2699"/>
      <c r="AA108" s="2699"/>
      <c r="AB108" s="2699"/>
      <c r="AC108" s="2699"/>
    </row>
    <row r="109" spans="1:29" ht="15.75" thickBot="1">
      <c r="A109" s="483"/>
      <c r="B109" s="492"/>
      <c r="C109" s="493">
        <v>100</v>
      </c>
      <c r="D109" s="493">
        <f t="shared" ref="D109:M109" si="25">C109-$K36</f>
        <v>100</v>
      </c>
      <c r="E109" s="493">
        <f t="shared" si="25"/>
        <v>100</v>
      </c>
      <c r="F109" s="493">
        <f t="shared" si="25"/>
        <v>100</v>
      </c>
      <c r="G109" s="493">
        <f t="shared" si="25"/>
        <v>100</v>
      </c>
      <c r="H109" s="493">
        <f t="shared" si="25"/>
        <v>100</v>
      </c>
      <c r="I109" s="493">
        <f t="shared" si="25"/>
        <v>100</v>
      </c>
      <c r="J109" s="493">
        <f t="shared" si="25"/>
        <v>100</v>
      </c>
      <c r="K109" s="493">
        <f t="shared" si="25"/>
        <v>100</v>
      </c>
      <c r="L109" s="493">
        <f t="shared" si="25"/>
        <v>100</v>
      </c>
      <c r="M109" s="494">
        <f t="shared" si="25"/>
        <v>100</v>
      </c>
      <c r="N109" s="2728"/>
      <c r="O109" s="2728"/>
      <c r="P109" s="2736"/>
      <c r="Q109" s="2713"/>
      <c r="R109" s="2699"/>
      <c r="S109" s="2699"/>
      <c r="T109" s="2699"/>
      <c r="U109" s="2699"/>
      <c r="V109" s="2699"/>
      <c r="W109" s="2699"/>
      <c r="X109" s="2699"/>
      <c r="Y109" s="2699"/>
      <c r="Z109" s="2699"/>
      <c r="AA109" s="2699"/>
      <c r="AB109" s="2699"/>
      <c r="AC109" s="2699"/>
    </row>
    <row r="110" spans="1:29" ht="15" thickTop="1">
      <c r="A110" s="548"/>
      <c r="B110" s="487" t="s">
        <v>1188</v>
      </c>
      <c r="C110" s="527" t="str">
        <f>C111&amp;"(含)"&amp;"-"&amp;D111</f>
        <v>0.5(含)-0.6</v>
      </c>
      <c r="D110" s="527" t="str">
        <f>D111&amp;"(含)"&amp;"-"&amp;E111</f>
        <v>0.6(含)-0.7</v>
      </c>
      <c r="E110" s="527" t="str">
        <f>E111&amp;"(含)"&amp;"-"&amp;F111</f>
        <v>0.7(含)-0.8</v>
      </c>
      <c r="F110" s="527" t="str">
        <f>F111&amp;"(含)"&amp;"-"&amp;G111</f>
        <v>0.8(含)-0.9</v>
      </c>
      <c r="G110" s="527" t="str">
        <f>G111&amp;"(含)"&amp;"-"&amp;ROUND(H111,0)&amp;"(含)"</f>
        <v>0.9(含)-1(含)</v>
      </c>
      <c r="H110" s="527"/>
      <c r="I110" s="532"/>
      <c r="J110" s="532"/>
      <c r="K110" s="533"/>
      <c r="L110" s="534"/>
      <c r="M110" s="535"/>
      <c r="N110" s="2727"/>
      <c r="O110" s="2727"/>
      <c r="P110" s="2736"/>
      <c r="Q110" s="2713"/>
      <c r="R110" s="2699"/>
      <c r="S110" s="2699"/>
      <c r="T110" s="2699"/>
      <c r="U110" s="2699"/>
      <c r="V110" s="2699"/>
      <c r="W110" s="2699"/>
      <c r="X110" s="2699"/>
      <c r="Y110" s="2699"/>
      <c r="Z110" s="2699"/>
      <c r="AA110" s="2699"/>
      <c r="AB110" s="2699"/>
      <c r="AC110" s="2699"/>
    </row>
    <row r="111" spans="1:29">
      <c r="A111" s="548"/>
      <c r="B111" s="495"/>
      <c r="C111" s="552">
        <v>0.5</v>
      </c>
      <c r="D111" s="552">
        <v>0.6</v>
      </c>
      <c r="E111" s="552">
        <v>0.7</v>
      </c>
      <c r="F111" s="552">
        <v>0.8</v>
      </c>
      <c r="G111" s="552">
        <v>0.9</v>
      </c>
      <c r="H111" s="552">
        <v>1.0001</v>
      </c>
      <c r="I111" s="571"/>
      <c r="J111" s="571"/>
      <c r="K111" s="572"/>
      <c r="L111" s="573"/>
      <c r="M111" s="574"/>
      <c r="N111" s="2727"/>
      <c r="O111" s="2727"/>
      <c r="P111" s="2736"/>
      <c r="Q111" s="2713"/>
      <c r="R111" s="2699"/>
      <c r="S111" s="2699"/>
      <c r="T111" s="2699"/>
      <c r="U111" s="2699"/>
      <c r="V111" s="2699"/>
      <c r="W111" s="2699"/>
      <c r="X111" s="2699"/>
      <c r="Y111" s="2699"/>
      <c r="Z111" s="2699"/>
      <c r="AA111" s="2699"/>
      <c r="AB111" s="2699"/>
      <c r="AC111" s="2699"/>
    </row>
    <row r="112" spans="1:29" ht="15.75" thickBot="1">
      <c r="A112" s="483"/>
      <c r="B112" s="492"/>
      <c r="C112" s="531">
        <v>100</v>
      </c>
      <c r="D112" s="493">
        <f>C112+$K37</f>
        <v>100</v>
      </c>
      <c r="E112" s="493">
        <f t="shared" ref="E112:M112" si="26">D112+$K37</f>
        <v>100</v>
      </c>
      <c r="F112" s="493">
        <f t="shared" si="26"/>
        <v>100</v>
      </c>
      <c r="G112" s="493">
        <f t="shared" si="26"/>
        <v>100</v>
      </c>
      <c r="H112" s="493">
        <f t="shared" si="26"/>
        <v>100</v>
      </c>
      <c r="I112" s="493">
        <f t="shared" si="26"/>
        <v>100</v>
      </c>
      <c r="J112" s="493">
        <f t="shared" si="26"/>
        <v>100</v>
      </c>
      <c r="K112" s="493">
        <f t="shared" si="26"/>
        <v>100</v>
      </c>
      <c r="L112" s="493">
        <f t="shared" si="26"/>
        <v>100</v>
      </c>
      <c r="M112" s="493">
        <f t="shared" si="26"/>
        <v>100</v>
      </c>
      <c r="N112" s="2728"/>
      <c r="O112" s="2728"/>
      <c r="P112" s="2736"/>
      <c r="Q112" s="2713"/>
      <c r="R112" s="2699"/>
      <c r="S112" s="2699"/>
      <c r="T112" s="2699"/>
      <c r="U112" s="2699"/>
      <c r="V112" s="2699"/>
      <c r="W112" s="2699"/>
      <c r="X112" s="2699"/>
      <c r="Y112" s="2699"/>
      <c r="Z112" s="2699"/>
      <c r="AA112" s="2699"/>
      <c r="AB112" s="2699"/>
      <c r="AC112" s="2699"/>
    </row>
    <row r="113" spans="1:29" s="422" customFormat="1" ht="15" thickTop="1">
      <c r="A113" s="542"/>
      <c r="B113" s="487" t="s">
        <v>1806</v>
      </c>
      <c r="C113" s="503"/>
      <c r="D113" s="503"/>
      <c r="E113" s="503"/>
      <c r="F113" s="503"/>
      <c r="G113" s="503"/>
      <c r="H113" s="532"/>
      <c r="I113" s="532"/>
      <c r="J113" s="532"/>
      <c r="K113" s="533"/>
      <c r="L113" s="534"/>
      <c r="M113" s="535"/>
      <c r="N113" s="2729"/>
      <c r="O113" s="2729"/>
      <c r="P113" s="2737"/>
      <c r="Q113" s="2720"/>
      <c r="R113" s="2721"/>
      <c r="S113" s="2721"/>
      <c r="T113" s="2721"/>
      <c r="U113" s="2721"/>
      <c r="V113" s="2721"/>
      <c r="W113" s="2721"/>
      <c r="X113" s="2721"/>
      <c r="Y113" s="2721"/>
      <c r="Z113" s="2721"/>
      <c r="AA113" s="2721"/>
      <c r="AB113" s="2721"/>
      <c r="AC113" s="2721"/>
    </row>
    <row r="114" spans="1:29" s="422" customFormat="1" ht="15.75" thickBot="1">
      <c r="A114" s="502"/>
      <c r="B114" s="492"/>
      <c r="C114" s="493">
        <v>100</v>
      </c>
      <c r="D114" s="493">
        <f>C114-$K38</f>
        <v>100</v>
      </c>
      <c r="E114" s="493">
        <f t="shared" ref="E114:M114" si="27">D114-$K38</f>
        <v>100</v>
      </c>
      <c r="F114" s="493">
        <f t="shared" si="27"/>
        <v>100</v>
      </c>
      <c r="G114" s="493">
        <f t="shared" si="27"/>
        <v>100</v>
      </c>
      <c r="H114" s="493">
        <f t="shared" si="27"/>
        <v>100</v>
      </c>
      <c r="I114" s="493">
        <f t="shared" si="27"/>
        <v>100</v>
      </c>
      <c r="J114" s="493">
        <f t="shared" si="27"/>
        <v>100</v>
      </c>
      <c r="K114" s="493">
        <f t="shared" si="27"/>
        <v>100</v>
      </c>
      <c r="L114" s="493">
        <f t="shared" si="27"/>
        <v>100</v>
      </c>
      <c r="M114" s="493">
        <f t="shared" si="27"/>
        <v>100</v>
      </c>
      <c r="N114" s="2729"/>
      <c r="O114" s="2729"/>
      <c r="P114" s="2737"/>
      <c r="Q114" s="2720"/>
      <c r="R114" s="2721"/>
      <c r="S114" s="2721"/>
      <c r="T114" s="2721"/>
      <c r="U114" s="2721"/>
      <c r="V114" s="2721"/>
      <c r="W114" s="2721"/>
      <c r="X114" s="2721"/>
      <c r="Y114" s="2721"/>
      <c r="Z114" s="2721"/>
      <c r="AA114" s="2721"/>
      <c r="AB114" s="2721"/>
      <c r="AC114" s="2721"/>
    </row>
    <row r="115" spans="1:29" ht="15" thickTop="1">
      <c r="A115" s="548"/>
      <c r="B115" s="487" t="s">
        <v>1723</v>
      </c>
      <c r="C115" s="503"/>
      <c r="D115" s="503"/>
      <c r="E115" s="532"/>
      <c r="F115" s="532"/>
      <c r="G115" s="532"/>
      <c r="H115" s="532"/>
      <c r="I115" s="532"/>
      <c r="J115" s="532"/>
      <c r="K115" s="533"/>
      <c r="L115" s="534"/>
      <c r="M115" s="535"/>
      <c r="N115" s="2727"/>
      <c r="O115" s="2727"/>
      <c r="P115" s="2736"/>
      <c r="Q115" s="2713"/>
      <c r="R115" s="2699"/>
      <c r="S115" s="2699"/>
      <c r="T115" s="2699"/>
      <c r="U115" s="2699"/>
      <c r="V115" s="2699"/>
      <c r="W115" s="2699"/>
      <c r="X115" s="2699"/>
      <c r="Y115" s="2699"/>
      <c r="Z115" s="2699"/>
      <c r="AA115" s="2699"/>
      <c r="AB115" s="2699"/>
      <c r="AC115" s="2699"/>
    </row>
    <row r="116" spans="1:29" ht="15.75" thickBot="1">
      <c r="A116" s="483"/>
      <c r="B116" s="492"/>
      <c r="C116" s="493">
        <v>100</v>
      </c>
      <c r="D116" s="493">
        <f t="shared" ref="D116:M116" si="28">C116-$K39</f>
        <v>100</v>
      </c>
      <c r="E116" s="493">
        <f t="shared" si="28"/>
        <v>100</v>
      </c>
      <c r="F116" s="493">
        <f t="shared" si="28"/>
        <v>100</v>
      </c>
      <c r="G116" s="493">
        <f t="shared" si="28"/>
        <v>100</v>
      </c>
      <c r="H116" s="493">
        <f t="shared" si="28"/>
        <v>100</v>
      </c>
      <c r="I116" s="493">
        <f t="shared" si="28"/>
        <v>100</v>
      </c>
      <c r="J116" s="493">
        <f t="shared" si="28"/>
        <v>100</v>
      </c>
      <c r="K116" s="493">
        <f t="shared" si="28"/>
        <v>100</v>
      </c>
      <c r="L116" s="493">
        <f t="shared" si="28"/>
        <v>100</v>
      </c>
      <c r="M116" s="494">
        <f t="shared" si="28"/>
        <v>100</v>
      </c>
      <c r="N116" s="2728"/>
      <c r="O116" s="2728"/>
      <c r="P116" s="2736"/>
      <c r="Q116" s="2713"/>
      <c r="R116" s="2699"/>
      <c r="S116" s="2699"/>
      <c r="T116" s="2699"/>
      <c r="U116" s="2699"/>
      <c r="V116" s="2699"/>
      <c r="W116" s="2699"/>
      <c r="X116" s="2699"/>
      <c r="Y116" s="2699"/>
      <c r="Z116" s="2699"/>
      <c r="AA116" s="2699"/>
      <c r="AB116" s="2699"/>
      <c r="AC116" s="2699"/>
    </row>
    <row r="117" spans="1:29" ht="15" thickTop="1">
      <c r="A117" s="548"/>
      <c r="B117" s="487" t="s">
        <v>1724</v>
      </c>
      <c r="C117" s="503"/>
      <c r="D117" s="503"/>
      <c r="E117" s="503"/>
      <c r="F117" s="503"/>
      <c r="G117" s="503"/>
      <c r="H117" s="532"/>
      <c r="I117" s="532"/>
      <c r="J117" s="532"/>
      <c r="K117" s="533"/>
      <c r="L117" s="534"/>
      <c r="M117" s="535"/>
      <c r="N117" s="2727"/>
      <c r="O117" s="2727"/>
      <c r="P117" s="2736"/>
      <c r="Q117" s="2713"/>
      <c r="R117" s="2699"/>
      <c r="S117" s="2699"/>
      <c r="T117" s="2699"/>
      <c r="U117" s="2699"/>
      <c r="V117" s="2699"/>
      <c r="W117" s="2699"/>
      <c r="X117" s="2699"/>
      <c r="Y117" s="2699"/>
      <c r="Z117" s="2699"/>
      <c r="AA117" s="2699"/>
      <c r="AB117" s="2699"/>
      <c r="AC117" s="2699"/>
    </row>
    <row r="118" spans="1:29" ht="15.75" thickBot="1">
      <c r="A118" s="483"/>
      <c r="B118" s="492"/>
      <c r="C118" s="493">
        <v>100</v>
      </c>
      <c r="D118" s="493">
        <f>C118-$K40</f>
        <v>100</v>
      </c>
      <c r="E118" s="493">
        <f>D118-$K40</f>
        <v>100</v>
      </c>
      <c r="F118" s="493">
        <f>E118-$K40</f>
        <v>100</v>
      </c>
      <c r="G118" s="493">
        <f>F118-$K40</f>
        <v>100</v>
      </c>
      <c r="H118" s="493"/>
      <c r="I118" s="493"/>
      <c r="J118" s="493"/>
      <c r="K118" s="493"/>
      <c r="L118" s="493"/>
      <c r="M118" s="494"/>
      <c r="N118" s="2728"/>
      <c r="O118" s="2728"/>
      <c r="P118" s="2736"/>
      <c r="Q118" s="2713"/>
      <c r="R118" s="2699"/>
      <c r="S118" s="2699"/>
      <c r="T118" s="2699"/>
      <c r="U118" s="2699"/>
      <c r="V118" s="2699"/>
      <c r="W118" s="2699"/>
      <c r="X118" s="2699"/>
      <c r="Y118" s="2699"/>
      <c r="Z118" s="2699"/>
      <c r="AA118" s="2699"/>
      <c r="AB118" s="2699"/>
      <c r="AC118" s="2699"/>
    </row>
    <row r="119" spans="1:29" ht="15" thickTop="1">
      <c r="A119" s="548"/>
      <c r="B119" s="584" t="s">
        <v>1807</v>
      </c>
      <c r="C119" s="532"/>
      <c r="D119" s="532"/>
      <c r="E119" s="532"/>
      <c r="F119" s="532"/>
      <c r="G119" s="532"/>
      <c r="H119" s="532"/>
      <c r="I119" s="532"/>
      <c r="J119" s="532"/>
      <c r="K119" s="532"/>
      <c r="L119" s="1967"/>
      <c r="M119" s="1968"/>
      <c r="N119" s="2728"/>
      <c r="O119" s="2728"/>
      <c r="P119" s="2741"/>
      <c r="Q119" s="2742"/>
      <c r="R119" s="2699"/>
      <c r="S119" s="2699"/>
      <c r="T119" s="2699"/>
      <c r="U119" s="2699"/>
      <c r="V119" s="2699"/>
      <c r="W119" s="2699"/>
      <c r="X119" s="2699"/>
      <c r="Y119" s="2699"/>
      <c r="Z119" s="2699"/>
      <c r="AA119" s="2699"/>
      <c r="AB119" s="2699"/>
      <c r="AC119" s="2699"/>
    </row>
    <row r="120" spans="1:29" ht="15.75" thickBot="1">
      <c r="A120" s="483"/>
      <c r="B120" s="492"/>
      <c r="C120" s="531">
        <v>100</v>
      </c>
      <c r="D120" s="493">
        <f>C120-$K41</f>
        <v>100</v>
      </c>
      <c r="E120" s="493">
        <f t="shared" ref="E120:M120" si="29">D120-$K41</f>
        <v>100</v>
      </c>
      <c r="F120" s="493">
        <f t="shared" si="29"/>
        <v>100</v>
      </c>
      <c r="G120" s="493">
        <f t="shared" si="29"/>
        <v>100</v>
      </c>
      <c r="H120" s="493">
        <f t="shared" si="29"/>
        <v>100</v>
      </c>
      <c r="I120" s="493">
        <f t="shared" si="29"/>
        <v>100</v>
      </c>
      <c r="J120" s="493">
        <f t="shared" si="29"/>
        <v>100</v>
      </c>
      <c r="K120" s="493">
        <f t="shared" si="29"/>
        <v>100</v>
      </c>
      <c r="L120" s="493">
        <f t="shared" si="29"/>
        <v>100</v>
      </c>
      <c r="M120" s="493">
        <f t="shared" si="29"/>
        <v>100</v>
      </c>
      <c r="N120" s="2728"/>
      <c r="O120" s="2728"/>
      <c r="P120" s="2736"/>
      <c r="Q120" s="2713"/>
      <c r="R120" s="2699"/>
      <c r="S120" s="2699"/>
      <c r="T120" s="2699"/>
      <c r="U120" s="2699"/>
      <c r="V120" s="2699"/>
      <c r="W120" s="2699"/>
      <c r="X120" s="2699"/>
      <c r="Y120" s="2699"/>
      <c r="Z120" s="2699"/>
      <c r="AA120" s="2699"/>
      <c r="AB120" s="2699"/>
      <c r="AC120" s="2699"/>
    </row>
    <row r="121" spans="1:29" s="422" customFormat="1" ht="15" thickTop="1">
      <c r="A121" s="542"/>
      <c r="B121" s="487" t="s">
        <v>1790</v>
      </c>
      <c r="C121" s="503"/>
      <c r="D121" s="503"/>
      <c r="E121" s="503"/>
      <c r="F121" s="532"/>
      <c r="G121" s="504"/>
      <c r="H121" s="504"/>
      <c r="I121" s="504"/>
      <c r="J121" s="504"/>
      <c r="K121" s="504"/>
      <c r="L121" s="505"/>
      <c r="M121" s="506"/>
      <c r="N121" s="2729"/>
      <c r="O121" s="2729"/>
      <c r="P121" s="2737"/>
      <c r="Q121" s="2720"/>
      <c r="R121" s="2721"/>
      <c r="S121" s="2721"/>
      <c r="T121" s="2721"/>
      <c r="U121" s="2721"/>
      <c r="V121" s="2721"/>
      <c r="W121" s="2721"/>
      <c r="X121" s="2721"/>
      <c r="Y121" s="2721"/>
      <c r="Z121" s="2721"/>
      <c r="AA121" s="2721"/>
      <c r="AB121" s="2721"/>
      <c r="AC121" s="2721"/>
    </row>
    <row r="122" spans="1:29" s="422" customFormat="1" ht="15.75" thickBot="1">
      <c r="A122" s="502"/>
      <c r="B122" s="484"/>
      <c r="C122" s="509"/>
      <c r="D122" s="509"/>
      <c r="E122" s="509"/>
      <c r="F122" s="509"/>
      <c r="G122" s="509"/>
      <c r="H122" s="509"/>
      <c r="I122" s="509"/>
      <c r="J122" s="509"/>
      <c r="K122" s="509"/>
      <c r="L122" s="509"/>
      <c r="M122" s="509"/>
      <c r="N122" s="2729"/>
      <c r="O122" s="2729"/>
      <c r="P122" s="2737"/>
      <c r="Q122" s="2720"/>
      <c r="R122" s="2721"/>
      <c r="S122" s="2721"/>
      <c r="T122" s="2721"/>
      <c r="U122" s="2721"/>
      <c r="V122" s="2721"/>
      <c r="W122" s="2721"/>
      <c r="X122" s="2721"/>
      <c r="Y122" s="2721"/>
      <c r="Z122" s="2721"/>
      <c r="AA122" s="2721"/>
      <c r="AB122" s="2721"/>
      <c r="AC122" s="2721"/>
    </row>
    <row r="123" spans="1:29" ht="15" thickTop="1">
      <c r="A123" s="548"/>
      <c r="B123" s="487" t="s">
        <v>1726</v>
      </c>
      <c r="C123" s="503"/>
      <c r="D123" s="503"/>
      <c r="E123" s="503"/>
      <c r="F123" s="532"/>
      <c r="G123" s="532"/>
      <c r="H123" s="532"/>
      <c r="I123" s="532"/>
      <c r="J123" s="532"/>
      <c r="K123" s="533"/>
      <c r="L123" s="534"/>
      <c r="M123" s="535"/>
      <c r="N123" s="2727"/>
      <c r="O123" s="2727"/>
      <c r="P123" s="2736"/>
      <c r="Q123" s="2713"/>
      <c r="R123" s="2699"/>
      <c r="S123" s="2699"/>
      <c r="T123" s="2699"/>
      <c r="U123" s="2699"/>
      <c r="V123" s="2699"/>
      <c r="W123" s="2699"/>
      <c r="X123" s="2699"/>
      <c r="Y123" s="2699"/>
      <c r="Z123" s="2699"/>
      <c r="AA123" s="2699"/>
      <c r="AB123" s="2699"/>
      <c r="AC123" s="2699"/>
    </row>
    <row r="124" spans="1:29" ht="15.75" thickBot="1">
      <c r="A124" s="483"/>
      <c r="B124" s="492"/>
      <c r="C124" s="493">
        <v>100</v>
      </c>
      <c r="D124" s="493">
        <f t="shared" ref="D124:M124" si="30">C124-$K43</f>
        <v>100</v>
      </c>
      <c r="E124" s="493">
        <f t="shared" si="30"/>
        <v>100</v>
      </c>
      <c r="F124" s="493">
        <f t="shared" si="30"/>
        <v>100</v>
      </c>
      <c r="G124" s="493">
        <f t="shared" si="30"/>
        <v>100</v>
      </c>
      <c r="H124" s="493">
        <f t="shared" si="30"/>
        <v>100</v>
      </c>
      <c r="I124" s="493">
        <f t="shared" si="30"/>
        <v>100</v>
      </c>
      <c r="J124" s="493">
        <f t="shared" si="30"/>
        <v>100</v>
      </c>
      <c r="K124" s="493">
        <f t="shared" si="30"/>
        <v>100</v>
      </c>
      <c r="L124" s="493">
        <f t="shared" si="30"/>
        <v>100</v>
      </c>
      <c r="M124" s="494">
        <f t="shared" si="30"/>
        <v>100</v>
      </c>
      <c r="N124" s="2728"/>
      <c r="O124" s="2728"/>
      <c r="P124" s="2736"/>
      <c r="Q124" s="2713"/>
      <c r="R124" s="2699"/>
      <c r="S124" s="2699"/>
      <c r="T124" s="2699"/>
      <c r="U124" s="2699"/>
      <c r="V124" s="2699"/>
      <c r="W124" s="2699"/>
      <c r="X124" s="2699"/>
      <c r="Y124" s="2699"/>
      <c r="Z124" s="2699"/>
      <c r="AA124" s="2699"/>
      <c r="AB124" s="2699"/>
      <c r="AC124" s="2699"/>
    </row>
    <row r="125" spans="1:29" ht="15" thickTop="1">
      <c r="A125" s="548"/>
      <c r="B125" s="487" t="s">
        <v>1727</v>
      </c>
      <c r="C125" s="527" t="s">
        <v>1703</v>
      </c>
      <c r="D125" s="527" t="s">
        <v>1704</v>
      </c>
      <c r="E125" s="527" t="s">
        <v>1705</v>
      </c>
      <c r="F125" s="527" t="s">
        <v>1706</v>
      </c>
      <c r="G125" s="527" t="s">
        <v>1707</v>
      </c>
      <c r="H125" s="488"/>
      <c r="I125" s="488"/>
      <c r="J125" s="488"/>
      <c r="K125" s="489"/>
      <c r="L125" s="490"/>
      <c r="M125" s="491"/>
      <c r="N125" s="2727"/>
      <c r="O125" s="2727"/>
      <c r="P125" s="2737"/>
      <c r="Q125" s="2713"/>
      <c r="R125" s="2699"/>
      <c r="S125" s="2699"/>
      <c r="T125" s="2699"/>
      <c r="U125" s="2699"/>
      <c r="V125" s="2699"/>
      <c r="W125" s="2699"/>
      <c r="X125" s="2699"/>
      <c r="Y125" s="2699"/>
      <c r="Z125" s="2699"/>
      <c r="AA125" s="2699"/>
      <c r="AB125" s="2699"/>
      <c r="AC125" s="2699"/>
    </row>
    <row r="126" spans="1:29" ht="15.75" thickBot="1">
      <c r="A126" s="483"/>
      <c r="B126" s="492"/>
      <c r="C126" s="493">
        <v>100</v>
      </c>
      <c r="D126" s="493">
        <f>C126-$K44</f>
        <v>100</v>
      </c>
      <c r="E126" s="493">
        <f>D126-$K44</f>
        <v>100</v>
      </c>
      <c r="F126" s="493">
        <f>E126-$K44</f>
        <v>100</v>
      </c>
      <c r="G126" s="493">
        <f>F126-$K44</f>
        <v>100</v>
      </c>
      <c r="H126" s="493"/>
      <c r="I126" s="493"/>
      <c r="J126" s="493"/>
      <c r="K126" s="493"/>
      <c r="L126" s="493"/>
      <c r="M126" s="494"/>
      <c r="N126" s="2728"/>
      <c r="O126" s="2728"/>
      <c r="P126" s="2736"/>
      <c r="Q126" s="2713"/>
      <c r="R126" s="2699"/>
      <c r="S126" s="2699"/>
      <c r="T126" s="2699"/>
      <c r="U126" s="2699"/>
      <c r="V126" s="2699"/>
      <c r="W126" s="2699"/>
      <c r="X126" s="2699"/>
      <c r="Y126" s="2699"/>
      <c r="Z126" s="2699"/>
      <c r="AA126" s="2699"/>
      <c r="AB126" s="2699"/>
      <c r="AC126" s="2699"/>
    </row>
    <row r="127" spans="1:29" s="422" customFormat="1" ht="15" thickTop="1">
      <c r="A127" s="542"/>
      <c r="B127" s="487">
        <f>B45</f>
        <v>111</v>
      </c>
      <c r="C127" s="503"/>
      <c r="D127" s="503"/>
      <c r="E127" s="503"/>
      <c r="F127" s="503"/>
      <c r="G127" s="503"/>
      <c r="H127" s="504"/>
      <c r="I127" s="504"/>
      <c r="J127" s="504"/>
      <c r="K127" s="504"/>
      <c r="L127" s="505"/>
      <c r="M127" s="506"/>
      <c r="N127" s="2729"/>
      <c r="O127" s="2729"/>
      <c r="P127" s="2737"/>
      <c r="Q127" s="2720"/>
      <c r="R127" s="2721"/>
      <c r="S127" s="2721"/>
      <c r="T127" s="2721"/>
      <c r="U127" s="2721"/>
      <c r="V127" s="2721"/>
      <c r="W127" s="2721"/>
      <c r="X127" s="2721"/>
      <c r="Y127" s="2721"/>
      <c r="Z127" s="2721"/>
      <c r="AA127" s="2721"/>
      <c r="AB127" s="2721"/>
      <c r="AC127" s="2721"/>
    </row>
    <row r="128" spans="1:29" s="422" customFormat="1" ht="15.75" thickBot="1">
      <c r="A128" s="502"/>
      <c r="B128" s="492"/>
      <c r="C128" s="509"/>
      <c r="D128" s="485"/>
      <c r="E128" s="485"/>
      <c r="F128" s="485"/>
      <c r="G128" s="509"/>
      <c r="H128" s="511"/>
      <c r="I128" s="511"/>
      <c r="J128" s="511"/>
      <c r="K128" s="511"/>
      <c r="L128" s="511"/>
      <c r="M128" s="512"/>
      <c r="N128" s="2729"/>
      <c r="O128" s="2729"/>
      <c r="P128" s="2737"/>
      <c r="Q128" s="2720"/>
      <c r="R128" s="2721"/>
      <c r="S128" s="2721"/>
      <c r="T128" s="2721"/>
      <c r="U128" s="2721"/>
      <c r="V128" s="2721"/>
      <c r="W128" s="2721"/>
      <c r="X128" s="2721"/>
      <c r="Y128" s="2721"/>
      <c r="Z128" s="2721"/>
      <c r="AA128" s="2721"/>
      <c r="AB128" s="2721"/>
      <c r="AC128" s="2721"/>
    </row>
    <row r="129" spans="1:29" ht="15" thickTop="1">
      <c r="A129" s="548"/>
      <c r="B129" s="487">
        <f>B46</f>
        <v>111</v>
      </c>
      <c r="C129" s="503"/>
      <c r="D129" s="503"/>
      <c r="E129" s="503"/>
      <c r="F129" s="503"/>
      <c r="G129" s="532"/>
      <c r="H129" s="532"/>
      <c r="I129" s="532"/>
      <c r="J129" s="532"/>
      <c r="K129" s="533"/>
      <c r="L129" s="534"/>
      <c r="M129" s="535"/>
      <c r="N129" s="2727"/>
      <c r="O129" s="2727"/>
      <c r="P129" s="2736"/>
      <c r="Q129" s="2713"/>
      <c r="R129" s="2699"/>
      <c r="S129" s="2699"/>
      <c r="T129" s="2699"/>
      <c r="U129" s="2699"/>
      <c r="V129" s="2699"/>
      <c r="W129" s="2699"/>
      <c r="X129" s="2699"/>
      <c r="Y129" s="2699"/>
      <c r="Z129" s="2699"/>
      <c r="AA129" s="2699"/>
      <c r="AB129" s="2699"/>
      <c r="AC129" s="2699"/>
    </row>
    <row r="130" spans="1:29" ht="15.75" thickBot="1">
      <c r="A130" s="483"/>
      <c r="B130" s="492"/>
      <c r="C130" s="509"/>
      <c r="D130" s="509"/>
      <c r="E130" s="509"/>
      <c r="F130" s="509"/>
      <c r="G130" s="485"/>
      <c r="H130" s="485"/>
      <c r="I130" s="485"/>
      <c r="J130" s="485"/>
      <c r="K130" s="485"/>
      <c r="L130" s="485"/>
      <c r="M130" s="486"/>
      <c r="N130" s="2728"/>
      <c r="O130" s="2728"/>
      <c r="P130" s="2736"/>
      <c r="Q130" s="2713"/>
      <c r="R130" s="2699"/>
      <c r="S130" s="2699"/>
      <c r="T130" s="2699"/>
      <c r="U130" s="2699"/>
      <c r="V130" s="2699"/>
      <c r="W130" s="2699"/>
      <c r="X130" s="2699"/>
      <c r="Y130" s="2699"/>
      <c r="Z130" s="2699"/>
      <c r="AA130" s="2699"/>
      <c r="AB130" s="2699"/>
      <c r="AC130" s="2699"/>
    </row>
    <row r="131" spans="1:29" ht="15" thickTop="1">
      <c r="A131" s="548"/>
      <c r="B131" s="495">
        <f>B47</f>
        <v>111</v>
      </c>
      <c r="C131" s="472"/>
      <c r="D131" s="472"/>
      <c r="E131" s="472"/>
      <c r="F131" s="472"/>
      <c r="G131" s="536"/>
      <c r="H131" s="536"/>
      <c r="I131" s="536"/>
      <c r="J131" s="536"/>
      <c r="K131" s="472"/>
      <c r="L131" s="473"/>
      <c r="M131" s="539"/>
      <c r="N131" s="2727"/>
      <c r="O131" s="2727"/>
      <c r="P131" s="2736"/>
      <c r="Q131" s="2713"/>
      <c r="R131" s="2699"/>
      <c r="S131" s="2699"/>
      <c r="T131" s="2699"/>
      <c r="U131" s="2699"/>
      <c r="V131" s="2699"/>
      <c r="W131" s="2699"/>
      <c r="X131" s="2699"/>
      <c r="Y131" s="2699"/>
      <c r="Z131" s="2699"/>
      <c r="AA131" s="2699"/>
      <c r="AB131" s="2699"/>
      <c r="AC131" s="2699"/>
    </row>
    <row r="132" spans="1:29" ht="15.75" thickBot="1">
      <c r="A132" s="1927"/>
      <c r="B132" s="518"/>
      <c r="C132" s="519"/>
      <c r="D132" s="519"/>
      <c r="E132" s="519"/>
      <c r="F132" s="519"/>
      <c r="G132" s="540"/>
      <c r="H132" s="540"/>
      <c r="I132" s="540"/>
      <c r="J132" s="540"/>
      <c r="K132" s="540"/>
      <c r="L132" s="540"/>
      <c r="M132" s="541"/>
      <c r="N132" s="2728"/>
      <c r="O132" s="2728"/>
      <c r="P132" s="2736"/>
      <c r="Q132" s="2713"/>
      <c r="R132" s="2699"/>
      <c r="S132" s="2699"/>
      <c r="T132" s="2699"/>
      <c r="U132" s="2699"/>
      <c r="V132" s="2699"/>
      <c r="W132" s="2699"/>
      <c r="X132" s="2699"/>
      <c r="Y132" s="2699"/>
      <c r="Z132" s="2699"/>
      <c r="AA132" s="2699"/>
      <c r="AB132" s="2699"/>
      <c r="AC132"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2"/>
    <mergeCell ref="Y15:Y32"/>
    <mergeCell ref="P33:P47"/>
    <mergeCell ref="Y33:Y47"/>
    <mergeCell ref="P48:Q48"/>
    <mergeCell ref="R48:S48"/>
    <mergeCell ref="T48:U48"/>
    <mergeCell ref="V48:W48"/>
    <mergeCell ref="P49:Q49"/>
    <mergeCell ref="R49:S49"/>
    <mergeCell ref="T49:U49"/>
    <mergeCell ref="V49:W49"/>
    <mergeCell ref="P50:Q50"/>
    <mergeCell ref="R50:W50"/>
  </mergeCells>
  <phoneticPr fontId="31" type="noConversion"/>
  <conditionalFormatting sqref="F53 H53">
    <cfRule type="containsText" dxfId="123" priority="20" stopIfTrue="1" operator="containsText" text="超过">
      <formula>NOT(ISERROR(SEARCH("超过",F53)))</formula>
    </cfRule>
  </conditionalFormatting>
  <conditionalFormatting sqref="H55">
    <cfRule type="containsText" dxfId="122" priority="19" stopIfTrue="1" operator="containsText" text="超过">
      <formula>NOT(ISERROR(SEARCH("超过",H55)))</formula>
    </cfRule>
  </conditionalFormatting>
  <conditionalFormatting sqref="F55">
    <cfRule type="containsText" dxfId="121" priority="18" stopIfTrue="1" operator="containsText" text="超过">
      <formula>NOT(ISERROR(SEARCH("超过",F55)))</formula>
    </cfRule>
  </conditionalFormatting>
  <conditionalFormatting sqref="F54 H54">
    <cfRule type="containsText" dxfId="120" priority="17" stopIfTrue="1" operator="containsText" text="超过">
      <formula>NOT(ISERROR(SEARCH("超过",F54)))</formula>
    </cfRule>
  </conditionalFormatting>
  <conditionalFormatting sqref="E53">
    <cfRule type="expression" dxfId="119" priority="16" stopIfTrue="1">
      <formula>$F$53="超过30%"</formula>
    </cfRule>
  </conditionalFormatting>
  <conditionalFormatting sqref="E54">
    <cfRule type="expression" dxfId="118" priority="15" stopIfTrue="1">
      <formula>$F$54="超过20%"</formula>
    </cfRule>
  </conditionalFormatting>
  <conditionalFormatting sqref="E55">
    <cfRule type="expression" dxfId="117" priority="14" stopIfTrue="1">
      <formula>$F$55="超过30%"</formula>
    </cfRule>
  </conditionalFormatting>
  <conditionalFormatting sqref="G55">
    <cfRule type="expression" dxfId="116" priority="13" stopIfTrue="1">
      <formula>$H$55="超过30%"</formula>
    </cfRule>
  </conditionalFormatting>
  <conditionalFormatting sqref="G53">
    <cfRule type="expression" dxfId="115" priority="12" stopIfTrue="1">
      <formula>$H$53="超过30%"</formula>
    </cfRule>
  </conditionalFormatting>
  <conditionalFormatting sqref="G54">
    <cfRule type="expression" dxfId="114" priority="11" stopIfTrue="1">
      <formula>$H$54="超过20%"</formula>
    </cfRule>
  </conditionalFormatting>
  <conditionalFormatting sqref="J53">
    <cfRule type="containsText" dxfId="113" priority="10" stopIfTrue="1" operator="containsText" text="超过">
      <formula>NOT(ISERROR(SEARCH("超过",J53)))</formula>
    </cfRule>
  </conditionalFormatting>
  <conditionalFormatting sqref="J55">
    <cfRule type="containsText" dxfId="112" priority="9" stopIfTrue="1" operator="containsText" text="超过">
      <formula>NOT(ISERROR(SEARCH("超过",J55)))</formula>
    </cfRule>
  </conditionalFormatting>
  <conditionalFormatting sqref="J54">
    <cfRule type="containsText" dxfId="111" priority="8" stopIfTrue="1" operator="containsText" text="超过">
      <formula>NOT(ISERROR(SEARCH("超过",J54)))</formula>
    </cfRule>
  </conditionalFormatting>
  <conditionalFormatting sqref="I53">
    <cfRule type="expression" dxfId="110" priority="7" stopIfTrue="1">
      <formula>$J$53="超过30%"</formula>
    </cfRule>
  </conditionalFormatting>
  <conditionalFormatting sqref="I54">
    <cfRule type="expression" dxfId="109" priority="6" stopIfTrue="1">
      <formula>$J$53+$J$54="超过20%"</formula>
    </cfRule>
  </conditionalFormatting>
  <conditionalFormatting sqref="I55">
    <cfRule type="expression" dxfId="108" priority="5" stopIfTrue="1">
      <formula>$J$55="超过30%"</formula>
    </cfRule>
  </conditionalFormatting>
  <conditionalFormatting sqref="F49">
    <cfRule type="expression" dxfId="107" priority="4">
      <formula>$D$49="简单平均"</formula>
    </cfRule>
  </conditionalFormatting>
  <conditionalFormatting sqref="H49">
    <cfRule type="expression" dxfId="106" priority="3">
      <formula>$D$49="简单平均"</formula>
    </cfRule>
  </conditionalFormatting>
  <conditionalFormatting sqref="J49">
    <cfRule type="expression" dxfId="105" priority="2">
      <formula>$D$49="简单平均"</formula>
    </cfRule>
  </conditionalFormatting>
  <conditionalFormatting sqref="F7:F47 H7:H47 J7:J47">
    <cfRule type="cellIs" dxfId="104" priority="1" operator="notEqual">
      <formula>100</formula>
    </cfRule>
  </conditionalFormatting>
  <dataValidations count="25">
    <dataValidation type="list" allowBlank="1" showInputMessage="1" showErrorMessage="1" sqref="C35 E35 G35 I35">
      <formula1>办公建筑结构</formula1>
    </dataValidation>
    <dataValidation type="list" allowBlank="1" showInputMessage="1" showErrorMessage="1" sqref="E24 G24 I24 C24">
      <formula1>环境</formula1>
    </dataValidation>
    <dataValidation type="list" allowBlank="1" showInputMessage="1" showErrorMessage="1" sqref="E18 G18 I18 C18">
      <formula1>交通便捷度</formula1>
    </dataValidation>
    <dataValidation type="list" allowBlank="1" showInputMessage="1" showErrorMessage="1" sqref="E20 I20 G20 C20">
      <formula1>公共配套设施</formula1>
    </dataValidation>
    <dataValidation type="list" allowBlank="1" showInputMessage="1" showErrorMessage="1" sqref="C44 E44 G44 I44">
      <formula1>内部装修维护情况</formula1>
    </dataValidation>
    <dataValidation type="list" allowBlank="1" showInputMessage="1" showErrorMessage="1" sqref="D1">
      <formula1>项目类型</formula1>
    </dataValidation>
    <dataValidation type="list" allowBlank="1" showInputMessage="1" showErrorMessage="1" sqref="E9 G9 I9">
      <formula1>办公用途</formula1>
    </dataValidation>
    <dataValidation type="list" allowBlank="1" showInputMessage="1" showErrorMessage="1" sqref="C16 E16 G16 I16">
      <formula1>办公集聚程度</formula1>
    </dataValidation>
    <dataValidation type="list" allowBlank="1" showInputMessage="1" showErrorMessage="1" sqref="G26 C26 E26 I26">
      <formula1>办公道路级别</formula1>
    </dataValidation>
    <dataValidation type="list" allowBlank="1" showInputMessage="1" showErrorMessage="1" sqref="C28 E28 G28 I28">
      <formula1>办公朝向</formula1>
    </dataValidation>
    <dataValidation type="list" allowBlank="1" showInputMessage="1" showErrorMessage="1" sqref="C27 E27 G27 I27">
      <formula1>办公楼层</formula1>
    </dataValidation>
    <dataValidation type="list" allowBlank="1" showInputMessage="1" showErrorMessage="1" sqref="C33 E33 G33 I33">
      <formula1>办公建筑类型</formula1>
    </dataValidation>
    <dataValidation type="list" allowBlank="1" showInputMessage="1" showErrorMessage="1" sqref="C36 E36 G36 I36">
      <formula1>办公公共部分装修</formula1>
    </dataValidation>
    <dataValidation type="list" allowBlank="1" showInputMessage="1" showErrorMessage="1" sqref="C38 E38 G38 I38">
      <formula1>写字楼等级</formula1>
    </dataValidation>
    <dataValidation type="list" allowBlank="1" showInputMessage="1" showErrorMessage="1" sqref="C39 E39 G39 I39">
      <formula1>办公物业管理</formula1>
    </dataValidation>
    <dataValidation type="list" allowBlank="1" showInputMessage="1" showErrorMessage="1" sqref="C40 E40 G40 I40">
      <formula1>办公基础设施水平</formula1>
    </dataValidation>
    <dataValidation type="list" allowBlank="1" showInputMessage="1" showErrorMessage="1" sqref="C41 E41 G41 I41">
      <formula1>办公层高</formula1>
    </dataValidation>
    <dataValidation type="list" allowBlank="1" showInputMessage="1" showErrorMessage="1" sqref="C43 E43 G43 I43">
      <formula1>办公内部装修</formula1>
    </dataValidation>
    <dataValidation type="list" allowBlank="1" showInputMessage="1" showErrorMessage="1" sqref="C8 E8 G8 I8">
      <formula1>办公交易情况</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9">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29.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7">
    <tabColor rgb="FF92D050"/>
    <pageSetUpPr fitToPage="1"/>
  </sheetPr>
  <dimension ref="A1:AC113"/>
  <sheetViews>
    <sheetView view="pageBreakPreview" zoomScale="60" zoomScaleNormal="60" workbookViewId="0">
      <selection activeCell="E1" sqref="E1"/>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1642</v>
      </c>
      <c r="B1" s="1956" t="s">
        <v>1808</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IF(E1="项目模式",IF(C2="——",ROUND(C43*D3/10000,0),ROUND(C43*D3/10000,0)-D2),IF(E1="单套模式",IF(C2="——",ROUND(C43*D3/10000,4),ROUND(C43*D3/10000,4)-D2)))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08"/>
      <c r="L2" s="911"/>
      <c r="M2" s="912"/>
      <c r="N2" s="912"/>
      <c r="O2" s="912"/>
      <c r="P2" s="699"/>
      <c r="Q2" s="699"/>
      <c r="R2" s="699"/>
      <c r="S2" s="699"/>
      <c r="T2" s="699"/>
      <c r="U2" s="699"/>
      <c r="V2" s="699"/>
      <c r="W2" s="699"/>
      <c r="X2" s="699"/>
      <c r="Y2" s="699"/>
      <c r="Z2" s="699"/>
      <c r="AA2" s="699"/>
      <c r="AB2" s="699"/>
      <c r="AC2" s="713"/>
    </row>
    <row r="3" spans="1:29" s="352" customFormat="1" ht="28.5" customHeight="1" thickBot="1">
      <c r="A3" s="203" t="s">
        <v>1446</v>
      </c>
      <c r="B3" s="558">
        <f>IF(C2="——",C43,ROUND(B2*10000/D3,0))</f>
        <v>0</v>
      </c>
      <c r="C3" s="354" t="s">
        <v>1750</v>
      </c>
      <c r="D3" s="353">
        <f>IF(D1="",'数据-汇总表'!E3,SUMIF('数据-汇总表'!$C19:$C33,D1,'数据-汇总表'!$E19:$E33))</f>
        <v>17559.11</v>
      </c>
      <c r="E3" s="908"/>
      <c r="F3" s="909"/>
      <c r="G3" s="908"/>
      <c r="H3" s="908"/>
      <c r="I3" s="908"/>
      <c r="J3" s="908"/>
      <c r="K3" s="910"/>
      <c r="L3" s="911"/>
      <c r="M3" s="912"/>
      <c r="N3" s="912"/>
      <c r="O3" s="912"/>
      <c r="P3" s="699"/>
      <c r="Q3" s="699"/>
      <c r="R3" s="699"/>
      <c r="S3" s="699"/>
      <c r="T3" s="699"/>
      <c r="U3" s="699"/>
      <c r="V3" s="699"/>
      <c r="W3" s="699"/>
      <c r="X3" s="699"/>
      <c r="Y3" s="699"/>
      <c r="Z3" s="699"/>
      <c r="AA3" s="699"/>
      <c r="AB3" s="716"/>
      <c r="AC3" s="713"/>
    </row>
    <row r="4" spans="1:29" ht="15">
      <c r="A4" s="355" t="s">
        <v>1751</v>
      </c>
      <c r="B4" s="356"/>
      <c r="C4" s="3721" t="s">
        <v>1752</v>
      </c>
      <c r="D4" s="3722"/>
      <c r="E4" s="3723" t="s">
        <v>1753</v>
      </c>
      <c r="F4" s="3724"/>
      <c r="G4" s="3721" t="s">
        <v>1754</v>
      </c>
      <c r="H4" s="3722"/>
      <c r="I4" s="3721" t="s">
        <v>1755</v>
      </c>
      <c r="J4" s="3722"/>
      <c r="K4" s="559" t="s">
        <v>1756</v>
      </c>
      <c r="L4" s="913"/>
      <c r="M4" s="914"/>
      <c r="N4" s="914"/>
      <c r="O4" s="914"/>
      <c r="P4" s="3725" t="s">
        <v>1757</v>
      </c>
      <c r="Q4" s="3726"/>
      <c r="R4" s="3731" t="s">
        <v>1753</v>
      </c>
      <c r="S4" s="3732"/>
      <c r="T4" s="3731" t="s">
        <v>1754</v>
      </c>
      <c r="U4" s="3732"/>
      <c r="V4" s="3737" t="s">
        <v>1755</v>
      </c>
      <c r="W4" s="3737"/>
      <c r="X4" s="1354"/>
      <c r="Y4" s="3731" t="s">
        <v>1757</v>
      </c>
      <c r="Z4" s="3732"/>
      <c r="AA4" s="3718" t="s">
        <v>1753</v>
      </c>
      <c r="AB4" s="3719" t="s">
        <v>1754</v>
      </c>
      <c r="AC4" s="3718" t="s">
        <v>1755</v>
      </c>
    </row>
    <row r="5" spans="1:29" ht="15">
      <c r="A5" s="358"/>
      <c r="B5" s="359"/>
      <c r="C5" s="3740" t="s">
        <v>1655</v>
      </c>
      <c r="D5" s="3741"/>
      <c r="E5" s="3747" t="s">
        <v>1656</v>
      </c>
      <c r="F5" s="3748"/>
      <c r="G5" s="3740" t="s">
        <v>1657</v>
      </c>
      <c r="H5" s="3741"/>
      <c r="I5" s="3740" t="s">
        <v>1658</v>
      </c>
      <c r="J5" s="3741"/>
      <c r="K5" s="559"/>
      <c r="L5" s="913"/>
      <c r="M5" s="914"/>
      <c r="N5" s="914"/>
      <c r="O5" s="914"/>
      <c r="P5" s="3727"/>
      <c r="Q5" s="3728"/>
      <c r="R5" s="3733"/>
      <c r="S5" s="3734"/>
      <c r="T5" s="3733"/>
      <c r="U5" s="3734"/>
      <c r="V5" s="3737"/>
      <c r="W5" s="3737"/>
      <c r="X5" s="1354"/>
      <c r="Y5" s="3733"/>
      <c r="Z5" s="3734"/>
      <c r="AA5" s="3719"/>
      <c r="AB5" s="3719"/>
      <c r="AC5" s="3719"/>
    </row>
    <row r="6" spans="1:29" ht="15.75" thickBot="1">
      <c r="A6" s="360"/>
      <c r="B6" s="361"/>
      <c r="C6" s="3738" t="s">
        <v>1659</v>
      </c>
      <c r="D6" s="3739"/>
      <c r="E6" s="3745" t="s">
        <v>1659</v>
      </c>
      <c r="F6" s="3746"/>
      <c r="G6" s="3738" t="s">
        <v>1659</v>
      </c>
      <c r="H6" s="3739"/>
      <c r="I6" s="3738" t="s">
        <v>1659</v>
      </c>
      <c r="J6" s="3739"/>
      <c r="K6" s="559" t="s">
        <v>1660</v>
      </c>
      <c r="L6" s="913"/>
      <c r="M6" s="914"/>
      <c r="N6" s="914"/>
      <c r="O6" s="914"/>
      <c r="P6" s="3729"/>
      <c r="Q6" s="3730"/>
      <c r="R6" s="3733"/>
      <c r="S6" s="3734"/>
      <c r="T6" s="3735"/>
      <c r="U6" s="3736"/>
      <c r="V6" s="3737"/>
      <c r="W6" s="3737"/>
      <c r="X6" s="1354"/>
      <c r="Y6" s="3735"/>
      <c r="Z6" s="3736"/>
      <c r="AA6" s="3720"/>
      <c r="AB6" s="3720"/>
      <c r="AC6" s="3720"/>
    </row>
    <row r="7" spans="1:29" s="108" customFormat="1" ht="15.75" thickBot="1">
      <c r="A7" s="362" t="s">
        <v>1661</v>
      </c>
      <c r="B7" s="363"/>
      <c r="C7" s="364">
        <f>'数据-取费表'!B2</f>
        <v>45400</v>
      </c>
      <c r="D7" s="365">
        <v>100</v>
      </c>
      <c r="E7" s="366"/>
      <c r="F7" s="367">
        <f>SUMIF(52:52,YEAR(E7)&amp;"-"&amp;MONTH(E7),53:53)</f>
        <v>0</v>
      </c>
      <c r="G7" s="366"/>
      <c r="H7" s="365">
        <f>SUMIF(52:52,YEAR(G7)&amp;"-"&amp;MONTH(G7),53:53)</f>
        <v>0</v>
      </c>
      <c r="I7" s="366"/>
      <c r="J7" s="365">
        <f>SUMIF(52:52,YEAR(I7)&amp;"-"&amp;MONTH(I7),53:53)</f>
        <v>0</v>
      </c>
      <c r="K7" s="560"/>
      <c r="L7" s="915"/>
      <c r="M7" s="916"/>
      <c r="N7" s="916"/>
      <c r="O7" s="916"/>
      <c r="P7" s="3742" t="s">
        <v>1662</v>
      </c>
      <c r="Q7" s="3744"/>
      <c r="R7" s="701" t="s">
        <v>14</v>
      </c>
      <c r="S7" s="702">
        <f t="shared" ref="S7:S15" si="0">F7</f>
        <v>0</v>
      </c>
      <c r="T7" s="701" t="s">
        <v>14</v>
      </c>
      <c r="U7" s="702">
        <f t="shared" ref="U7:U15" si="1">H7</f>
        <v>0</v>
      </c>
      <c r="V7" s="701" t="s">
        <v>14</v>
      </c>
      <c r="W7" s="702">
        <f t="shared" ref="W7:W15" si="2">J7</f>
        <v>0</v>
      </c>
      <c r="X7" s="703"/>
      <c r="Y7" s="3742" t="s">
        <v>1662</v>
      </c>
      <c r="Z7" s="3743"/>
      <c r="AA7" s="704" t="e">
        <f>D7/F7</f>
        <v>#DIV/0!</v>
      </c>
      <c r="AB7" s="704" t="e">
        <f>D7/H7</f>
        <v>#DIV/0!</v>
      </c>
      <c r="AC7" s="704" t="e">
        <f>D7/J7</f>
        <v>#DIV/0!</v>
      </c>
    </row>
    <row r="8" spans="1:29" s="108" customFormat="1" ht="15.75" thickBot="1">
      <c r="A8" s="362" t="s">
        <v>1663</v>
      </c>
      <c r="B8" s="363"/>
      <c r="C8" s="368"/>
      <c r="D8" s="365">
        <v>100</v>
      </c>
      <c r="E8" s="368"/>
      <c r="F8" s="367">
        <f>SUMIF(55:55,E8,56:56)-SUMIF(55:55,C8,56:56)+100</f>
        <v>100</v>
      </c>
      <c r="G8" s="368"/>
      <c r="H8" s="365">
        <f>SUMIF(55:55,G8,56:56)-SUMIF(55:55,C8,56:56)+100</f>
        <v>100</v>
      </c>
      <c r="I8" s="368"/>
      <c r="J8" s="365">
        <f>SUMIF(55:55,I8,56:56)-SUMIF(55:55,C8,56:56)+100</f>
        <v>100</v>
      </c>
      <c r="K8" s="560"/>
      <c r="L8" s="915"/>
      <c r="M8" s="916"/>
      <c r="N8" s="916"/>
      <c r="O8" s="916"/>
      <c r="P8" s="3742" t="s">
        <v>1665</v>
      </c>
      <c r="Q8" s="3743"/>
      <c r="R8" s="701" t="s">
        <v>14</v>
      </c>
      <c r="S8" s="702">
        <f t="shared" si="0"/>
        <v>100</v>
      </c>
      <c r="T8" s="701" t="s">
        <v>14</v>
      </c>
      <c r="U8" s="702">
        <f t="shared" si="1"/>
        <v>100</v>
      </c>
      <c r="V8" s="701" t="s">
        <v>14</v>
      </c>
      <c r="W8" s="702">
        <f t="shared" si="2"/>
        <v>100</v>
      </c>
      <c r="X8" s="703"/>
      <c r="Y8" s="3742" t="s">
        <v>1665</v>
      </c>
      <c r="Z8" s="3743"/>
      <c r="AA8" s="704">
        <f t="shared" ref="AA8:AA40" si="3">D8/F8</f>
        <v>1</v>
      </c>
      <c r="AB8" s="704">
        <f t="shared" ref="AB8:AB40" si="4">D8/H8</f>
        <v>1</v>
      </c>
      <c r="AC8" s="704">
        <f t="shared" ref="AC8:AC40" si="5">D8/J8</f>
        <v>1</v>
      </c>
    </row>
    <row r="9" spans="1:29" s="108" customFormat="1">
      <c r="A9" s="369" t="s">
        <v>1666</v>
      </c>
      <c r="B9" s="63" t="s">
        <v>1667</v>
      </c>
      <c r="C9" s="370"/>
      <c r="D9" s="126">
        <v>100</v>
      </c>
      <c r="E9" s="373"/>
      <c r="F9" s="126">
        <f>SUMIF(57:57,E9,58:58)-SUMIF(57:57,C9,58:58)+100</f>
        <v>100</v>
      </c>
      <c r="G9" s="371"/>
      <c r="H9" s="126">
        <f>SUMIF(57:57,G9,58:58)-SUMIF(57:57,C9,58:58)+100</f>
        <v>100</v>
      </c>
      <c r="I9" s="371"/>
      <c r="J9" s="126">
        <f>SUMIF(57:57,I9,58:58)-SUMIF(57:57,C9,58:58)+100</f>
        <v>100</v>
      </c>
      <c r="K9" s="560"/>
      <c r="L9" s="915"/>
      <c r="M9" s="916"/>
      <c r="N9" s="916"/>
      <c r="O9" s="917"/>
      <c r="P9" s="3706" t="s">
        <v>1668</v>
      </c>
      <c r="Q9" s="1342" t="str">
        <f t="shared" ref="Q9:Q15" si="6">B9</f>
        <v>用途</v>
      </c>
      <c r="R9" s="701" t="s">
        <v>14</v>
      </c>
      <c r="S9" s="702">
        <f t="shared" si="0"/>
        <v>100</v>
      </c>
      <c r="T9" s="701" t="s">
        <v>14</v>
      </c>
      <c r="U9" s="702">
        <f t="shared" si="1"/>
        <v>100</v>
      </c>
      <c r="V9" s="701" t="s">
        <v>14</v>
      </c>
      <c r="W9" s="702">
        <f t="shared" si="2"/>
        <v>100</v>
      </c>
      <c r="X9" s="703"/>
      <c r="Y9" s="3580" t="s">
        <v>1669</v>
      </c>
      <c r="Z9" s="52" t="str">
        <f t="shared" ref="Z9:Z15" si="7">Q9</f>
        <v>用途</v>
      </c>
      <c r="AA9" s="704">
        <f t="shared" si="3"/>
        <v>1</v>
      </c>
      <c r="AB9" s="704">
        <f t="shared" si="4"/>
        <v>1</v>
      </c>
      <c r="AC9" s="704">
        <f t="shared" si="5"/>
        <v>1</v>
      </c>
    </row>
    <row r="10" spans="1:29" s="378" customFormat="1" ht="27">
      <c r="A10" s="374"/>
      <c r="B10" s="375" t="s">
        <v>1670</v>
      </c>
      <c r="C10" s="3408"/>
      <c r="D10" s="127">
        <v>100</v>
      </c>
      <c r="E10" s="3408"/>
      <c r="F10" s="127">
        <f>SUMIF(59:59,E10,60:60)-SUMIF(59:59,C10,60:60)+100</f>
        <v>100</v>
      </c>
      <c r="G10" s="3409"/>
      <c r="H10" s="127">
        <f>SUMIF(59:59,G10,60:60)-SUMIF(59:59,C10,60:60)+100</f>
        <v>100</v>
      </c>
      <c r="I10" s="3408"/>
      <c r="J10" s="127">
        <f>SUMIF(59:59,I10,60:60)-SUMIF(59:59,C10,60:60)+100</f>
        <v>100</v>
      </c>
      <c r="K10" s="560"/>
      <c r="L10" s="918"/>
      <c r="M10" s="919"/>
      <c r="N10" s="919"/>
      <c r="O10" s="920"/>
      <c r="P10" s="3706"/>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704">
        <f t="shared" si="5"/>
        <v>1</v>
      </c>
    </row>
    <row r="11" spans="1:29" ht="15">
      <c r="A11" s="379"/>
      <c r="B11" s="375" t="s">
        <v>1671</v>
      </c>
      <c r="C11" s="380"/>
      <c r="D11" s="127">
        <v>100</v>
      </c>
      <c r="E11" s="380"/>
      <c r="F11" s="127">
        <f>LOOKUP(E11,62:62,63:63)-LOOKUP(C11,62:62,63:63)+100</f>
        <v>100</v>
      </c>
      <c r="G11" s="381"/>
      <c r="H11" s="127">
        <f>LOOKUP(G11,62:62,63:63)-LOOKUP(C11,62:62,63:63)+100</f>
        <v>100</v>
      </c>
      <c r="I11" s="380"/>
      <c r="J11" s="127">
        <f>LOOKUP(I11,62:62,63:63)-LOOKUP(C11,62:62,63:63)+100</f>
        <v>100</v>
      </c>
      <c r="K11" s="561"/>
      <c r="L11" s="921"/>
      <c r="M11" s="914"/>
      <c r="N11" s="914"/>
      <c r="O11" s="922"/>
      <c r="P11" s="3706"/>
      <c r="Q11" s="1342" t="str">
        <f t="shared" si="6"/>
        <v>容积率</v>
      </c>
      <c r="R11" s="701" t="s">
        <v>14</v>
      </c>
      <c r="S11" s="702">
        <f t="shared" si="0"/>
        <v>100</v>
      </c>
      <c r="T11" s="701" t="s">
        <v>14</v>
      </c>
      <c r="U11" s="702">
        <f t="shared" si="1"/>
        <v>100</v>
      </c>
      <c r="V11" s="701" t="s">
        <v>14</v>
      </c>
      <c r="W11" s="702">
        <f t="shared" si="2"/>
        <v>100</v>
      </c>
      <c r="X11" s="703"/>
      <c r="Y11" s="3580"/>
      <c r="Z11" s="52" t="str">
        <f t="shared" si="7"/>
        <v>容积率</v>
      </c>
      <c r="AA11" s="704">
        <f t="shared" si="3"/>
        <v>1</v>
      </c>
      <c r="AB11" s="704">
        <f t="shared" si="4"/>
        <v>1</v>
      </c>
      <c r="AC11" s="704">
        <f t="shared" si="5"/>
        <v>1</v>
      </c>
    </row>
    <row r="12" spans="1:29" s="108" customFormat="1" ht="15">
      <c r="A12" s="382"/>
      <c r="B12" s="1892">
        <v>111</v>
      </c>
      <c r="C12" s="383"/>
      <c r="D12" s="384">
        <v>100</v>
      </c>
      <c r="E12" s="385"/>
      <c r="F12" s="127">
        <f>SUMIF(64:64,E12,65:65)-SUMIF(64:64,C12,65:65)+100</f>
        <v>100</v>
      </c>
      <c r="G12" s="1969"/>
      <c r="H12" s="127">
        <f>SUMIF(64:64,G12,65:65)-SUMIF(64:64,C12,65:65)+100</f>
        <v>100</v>
      </c>
      <c r="I12" s="420"/>
      <c r="J12" s="127">
        <f>SUMIF(64:64,I12,65:65)-SUMIF(64:64,C12,65:65)+100</f>
        <v>100</v>
      </c>
      <c r="K12" s="562"/>
      <c r="L12" s="915"/>
      <c r="M12" s="916"/>
      <c r="N12" s="916"/>
      <c r="O12" s="917"/>
      <c r="P12" s="3706"/>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704">
        <f>D12/J12</f>
        <v>1</v>
      </c>
    </row>
    <row r="13" spans="1:29" ht="15">
      <c r="A13" s="379"/>
      <c r="B13" s="1892">
        <v>111</v>
      </c>
      <c r="C13" s="385"/>
      <c r="D13" s="386">
        <v>100</v>
      </c>
      <c r="E13" s="385"/>
      <c r="F13" s="127">
        <f>SUMIF(66:66,E13,67:67)-SUMIF(66:66,C13,67:67)+100</f>
        <v>100</v>
      </c>
      <c r="G13" s="1969"/>
      <c r="H13" s="386">
        <f>SUMIF(66:66,G13,67:67)-SUMIF(66:66,C13,67:67)+100</f>
        <v>100</v>
      </c>
      <c r="I13" s="420"/>
      <c r="J13" s="386">
        <f>SUMIF(66:66,I13,67:67)-SUMIF(66:66,C13,67:67)+100</f>
        <v>100</v>
      </c>
      <c r="K13" s="562"/>
      <c r="L13" s="923"/>
      <c r="M13" s="914"/>
      <c r="N13" s="914"/>
      <c r="O13" s="922"/>
      <c r="P13" s="3706"/>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704">
        <f t="shared" si="5"/>
        <v>1</v>
      </c>
    </row>
    <row r="14" spans="1:29" ht="15.75" thickBot="1">
      <c r="A14" s="387"/>
      <c r="B14" s="1894">
        <v>111</v>
      </c>
      <c r="C14" s="388"/>
      <c r="D14" s="389">
        <v>100</v>
      </c>
      <c r="E14" s="388"/>
      <c r="F14" s="389">
        <f>SUMIF(68:68,E14,69:69)-SUMIF(68:68,C14,69:69)+100</f>
        <v>100</v>
      </c>
      <c r="G14" s="1969"/>
      <c r="H14" s="389">
        <f>SUMIF(68:68,G14,69:69)-SUMIF(68:68,C14,69:69)+100</f>
        <v>100</v>
      </c>
      <c r="I14" s="420"/>
      <c r="J14" s="389">
        <f>SUMIF(68:68,I14,69:69)-SUMIF(68:68,C14,69:69)+100</f>
        <v>100</v>
      </c>
      <c r="K14" s="562"/>
      <c r="L14" s="923"/>
      <c r="M14" s="914"/>
      <c r="N14" s="914"/>
      <c r="O14" s="922"/>
      <c r="P14" s="3706"/>
      <c r="Q14" s="1342">
        <f t="shared" si="6"/>
        <v>111</v>
      </c>
      <c r="R14" s="701" t="s">
        <v>14</v>
      </c>
      <c r="S14" s="702">
        <f t="shared" si="0"/>
        <v>100</v>
      </c>
      <c r="T14" s="701" t="s">
        <v>14</v>
      </c>
      <c r="U14" s="702">
        <f t="shared" si="1"/>
        <v>100</v>
      </c>
      <c r="V14" s="701" t="s">
        <v>14</v>
      </c>
      <c r="W14" s="702">
        <f t="shared" si="2"/>
        <v>100</v>
      </c>
      <c r="X14" s="703"/>
      <c r="Y14" s="3580"/>
      <c r="Z14" s="52">
        <f t="shared" si="7"/>
        <v>111</v>
      </c>
      <c r="AA14" s="704">
        <f t="shared" si="3"/>
        <v>1</v>
      </c>
      <c r="AB14" s="704">
        <f t="shared" si="4"/>
        <v>1</v>
      </c>
      <c r="AC14" s="704">
        <f t="shared" si="5"/>
        <v>1</v>
      </c>
    </row>
    <row r="15" spans="1:29" ht="15">
      <c r="A15" s="391" t="s">
        <v>1672</v>
      </c>
      <c r="B15" s="61" t="s">
        <v>1809</v>
      </c>
      <c r="C15" s="1970" t="str">
        <f>估价对象房地状况!G3</f>
        <v>较好</v>
      </c>
      <c r="D15" s="392">
        <v>100</v>
      </c>
      <c r="E15" s="393"/>
      <c r="F15" s="394">
        <f>SUMIF(70:70,E16,71:71)-SUMIF(70:70,C16,71:71)+100</f>
        <v>100</v>
      </c>
      <c r="G15" s="395"/>
      <c r="H15" s="392">
        <f>SUMIF(70:70,G16,71:71)-SUMIF(70:70,C16,71:71)+100</f>
        <v>100</v>
      </c>
      <c r="I15" s="393"/>
      <c r="J15" s="392">
        <f>SUMIF(70:70,I16,71:71)-SUMIF(70:70,C16,71:71)+100</f>
        <v>100</v>
      </c>
      <c r="K15" s="563"/>
      <c r="L15" s="923"/>
      <c r="M15" s="914"/>
      <c r="N15" s="914"/>
      <c r="O15" s="922"/>
      <c r="P15" s="3708" t="s">
        <v>1673</v>
      </c>
      <c r="Q15" s="1351" t="str">
        <f t="shared" si="6"/>
        <v>产业集聚程度</v>
      </c>
      <c r="R15" s="705" t="s">
        <v>14</v>
      </c>
      <c r="S15" s="706">
        <f t="shared" si="0"/>
        <v>100</v>
      </c>
      <c r="T15" s="705" t="s">
        <v>14</v>
      </c>
      <c r="U15" s="706">
        <f t="shared" si="1"/>
        <v>100</v>
      </c>
      <c r="V15" s="705" t="s">
        <v>14</v>
      </c>
      <c r="W15" s="706">
        <f t="shared" si="2"/>
        <v>100</v>
      </c>
      <c r="X15" s="1354"/>
      <c r="Y15" s="3708" t="s">
        <v>1673</v>
      </c>
      <c r="Z15" s="1355" t="str">
        <f t="shared" si="7"/>
        <v>产业集聚程度</v>
      </c>
      <c r="AA15" s="1352">
        <f t="shared" si="3"/>
        <v>1</v>
      </c>
      <c r="AB15" s="1352">
        <f t="shared" si="4"/>
        <v>1</v>
      </c>
      <c r="AC15" s="1352">
        <f t="shared" si="5"/>
        <v>1</v>
      </c>
    </row>
    <row r="16" spans="1:29" ht="15">
      <c r="A16" s="379"/>
      <c r="B16" s="397"/>
      <c r="C16" s="398"/>
      <c r="D16" s="399"/>
      <c r="E16" s="398"/>
      <c r="F16" s="400"/>
      <c r="G16" s="398"/>
      <c r="H16" s="401"/>
      <c r="I16" s="398"/>
      <c r="J16" s="399"/>
      <c r="K16" s="564"/>
      <c r="L16" s="923"/>
      <c r="M16" s="914"/>
      <c r="N16" s="914"/>
      <c r="O16" s="922"/>
      <c r="P16" s="3709"/>
      <c r="Q16" s="1351"/>
      <c r="R16" s="705"/>
      <c r="S16" s="706"/>
      <c r="T16" s="705"/>
      <c r="U16" s="706"/>
      <c r="V16" s="705"/>
      <c r="W16" s="706"/>
      <c r="X16" s="1354"/>
      <c r="Y16" s="3709"/>
      <c r="Z16" s="1355"/>
      <c r="AA16" s="1352">
        <v>1</v>
      </c>
      <c r="AB16" s="1352">
        <v>1</v>
      </c>
      <c r="AC16" s="1352">
        <v>1</v>
      </c>
    </row>
    <row r="17" spans="1:29" ht="15">
      <c r="A17" s="379"/>
      <c r="B17" s="402" t="s">
        <v>1257</v>
      </c>
      <c r="C17" s="1899" t="str">
        <f>估价对象房地状况!G4</f>
        <v>较好</v>
      </c>
      <c r="D17" s="401">
        <v>100</v>
      </c>
      <c r="E17" s="403"/>
      <c r="F17" s="404">
        <f>SUMIF(72:72,E18,73:73)-SUMIF(72:72,C18,73:73)+100</f>
        <v>100</v>
      </c>
      <c r="G17" s="405"/>
      <c r="H17" s="406">
        <f>SUMIF(72:72,G18,73:73)-SUMIF(72:72,C18,73:73)+100</f>
        <v>100</v>
      </c>
      <c r="I17" s="403"/>
      <c r="J17" s="406">
        <f>SUMIF(72:72,I18,73:73)-SUMIF(72:72,C18,73:73)+100</f>
        <v>100</v>
      </c>
      <c r="K17" s="563"/>
      <c r="L17" s="923"/>
      <c r="M17" s="914"/>
      <c r="N17" s="914"/>
      <c r="O17" s="922"/>
      <c r="P17" s="3709"/>
      <c r="Q17" s="1351" t="str">
        <f>B17</f>
        <v>交通便捷度</v>
      </c>
      <c r="R17" s="705" t="s">
        <v>14</v>
      </c>
      <c r="S17" s="706">
        <f>F17</f>
        <v>100</v>
      </c>
      <c r="T17" s="705" t="s">
        <v>14</v>
      </c>
      <c r="U17" s="706">
        <f>H17</f>
        <v>100</v>
      </c>
      <c r="V17" s="705" t="s">
        <v>14</v>
      </c>
      <c r="W17" s="706">
        <f>J17</f>
        <v>100</v>
      </c>
      <c r="X17" s="1354"/>
      <c r="Y17" s="3709"/>
      <c r="Z17" s="1355" t="str">
        <f>Q17</f>
        <v>交通便捷度</v>
      </c>
      <c r="AA17" s="1352">
        <f t="shared" si="3"/>
        <v>1</v>
      </c>
      <c r="AB17" s="1352">
        <f t="shared" si="4"/>
        <v>1</v>
      </c>
      <c r="AC17" s="1352">
        <f t="shared" si="5"/>
        <v>1</v>
      </c>
    </row>
    <row r="18" spans="1:29" ht="15">
      <c r="A18" s="379"/>
      <c r="B18" s="407"/>
      <c r="C18" s="1900"/>
      <c r="D18" s="401"/>
      <c r="E18" s="1902"/>
      <c r="F18" s="404"/>
      <c r="G18" s="1901"/>
      <c r="H18" s="399"/>
      <c r="I18" s="1902"/>
      <c r="J18" s="399"/>
      <c r="K18" s="564"/>
      <c r="L18" s="923"/>
      <c r="M18" s="914"/>
      <c r="N18" s="914"/>
      <c r="O18" s="922"/>
      <c r="P18" s="3709"/>
      <c r="Q18" s="1351"/>
      <c r="R18" s="705"/>
      <c r="S18" s="706"/>
      <c r="T18" s="705"/>
      <c r="U18" s="706"/>
      <c r="V18" s="705"/>
      <c r="W18" s="706"/>
      <c r="X18" s="1354"/>
      <c r="Y18" s="3709"/>
      <c r="Z18" s="1355"/>
      <c r="AA18" s="1352">
        <v>1</v>
      </c>
      <c r="AB18" s="1352">
        <v>1</v>
      </c>
      <c r="AC18" s="1352">
        <v>1</v>
      </c>
    </row>
    <row r="19" spans="1:29" ht="15">
      <c r="A19" s="379"/>
      <c r="B19" s="402" t="s">
        <v>1794</v>
      </c>
      <c r="C19" s="1899" t="str">
        <f>估价对象房地状况!G5</f>
        <v>较好</v>
      </c>
      <c r="D19" s="406">
        <v>100</v>
      </c>
      <c r="E19" s="408"/>
      <c r="F19" s="409">
        <f>SUMIF(74:74,E20,75:75)-SUMIF(74:74,C20,75:75)+100</f>
        <v>100</v>
      </c>
      <c r="G19" s="410"/>
      <c r="H19" s="401">
        <f>SUMIF(74:74,G20,75:75)-SUMIF(74:74,C20,75:75)+100</f>
        <v>100</v>
      </c>
      <c r="I19" s="408"/>
      <c r="J19" s="401">
        <f>SUMIF(74:74,I20,75:75)-SUMIF(74:74,C20,75:75)+100</f>
        <v>100</v>
      </c>
      <c r="K19" s="563"/>
      <c r="L19" s="923"/>
      <c r="M19" s="914"/>
      <c r="N19" s="914"/>
      <c r="O19" s="922"/>
      <c r="P19" s="3709"/>
      <c r="Q19" s="1351" t="str">
        <f>B19</f>
        <v>公共配套设施</v>
      </c>
      <c r="R19" s="705" t="s">
        <v>14</v>
      </c>
      <c r="S19" s="706">
        <f>F19</f>
        <v>100</v>
      </c>
      <c r="T19" s="705" t="s">
        <v>14</v>
      </c>
      <c r="U19" s="706">
        <f>H19</f>
        <v>100</v>
      </c>
      <c r="V19" s="705" t="s">
        <v>14</v>
      </c>
      <c r="W19" s="706">
        <f>J19</f>
        <v>100</v>
      </c>
      <c r="X19" s="1354"/>
      <c r="Y19" s="3709"/>
      <c r="Z19" s="1355" t="str">
        <f>Q19</f>
        <v>公共配套设施</v>
      </c>
      <c r="AA19" s="1352">
        <f t="shared" si="3"/>
        <v>1</v>
      </c>
      <c r="AB19" s="1352">
        <f t="shared" si="4"/>
        <v>1</v>
      </c>
      <c r="AC19" s="1352">
        <f t="shared" si="5"/>
        <v>1</v>
      </c>
    </row>
    <row r="20" spans="1:29" ht="15">
      <c r="A20" s="379"/>
      <c r="B20" s="407"/>
      <c r="C20" s="398"/>
      <c r="D20" s="399"/>
      <c r="E20" s="1897"/>
      <c r="F20" s="400"/>
      <c r="G20" s="1896"/>
      <c r="H20" s="399"/>
      <c r="I20" s="1897"/>
      <c r="J20" s="399"/>
      <c r="K20" s="564"/>
      <c r="L20" s="923"/>
      <c r="M20" s="914"/>
      <c r="N20" s="914"/>
      <c r="O20" s="922"/>
      <c r="P20" s="3709"/>
      <c r="Q20" s="1351"/>
      <c r="R20" s="705"/>
      <c r="S20" s="706"/>
      <c r="T20" s="705"/>
      <c r="U20" s="706"/>
      <c r="V20" s="705"/>
      <c r="W20" s="706"/>
      <c r="X20" s="1354"/>
      <c r="Y20" s="3709"/>
      <c r="Z20" s="1355"/>
      <c r="AA20" s="1352">
        <v>1</v>
      </c>
      <c r="AB20" s="1352">
        <v>1</v>
      </c>
      <c r="AC20" s="1352">
        <v>1</v>
      </c>
    </row>
    <row r="21" spans="1:29" ht="15">
      <c r="A21" s="379"/>
      <c r="B21" s="1131" t="s">
        <v>1795</v>
      </c>
      <c r="C21" s="1899" t="str">
        <f>估价对象房地状况!G6</f>
        <v>七通</v>
      </c>
      <c r="D21" s="401">
        <v>100</v>
      </c>
      <c r="E21" s="408"/>
      <c r="F21" s="409">
        <f>SUMIF(76:76,E22,77:77)-SUMIF(76:76,C22,77:77)+100</f>
        <v>100</v>
      </c>
      <c r="G21" s="410"/>
      <c r="H21" s="401">
        <f>SUMIF(76:76,G22,77:77)-SUMIF(76:76,C22,77:77)+100</f>
        <v>100</v>
      </c>
      <c r="I21" s="408"/>
      <c r="J21" s="401">
        <f>SUMIF(76:76,I22,77:77)-SUMIF(76:76,C22,77:77)+100</f>
        <v>100</v>
      </c>
      <c r="K21" s="563"/>
      <c r="L21" s="923"/>
      <c r="M21" s="914"/>
      <c r="N21" s="914"/>
      <c r="O21" s="922"/>
      <c r="P21" s="3709"/>
      <c r="Q21" s="1351" t="str">
        <f>B21</f>
        <v>基础设施水平</v>
      </c>
      <c r="R21" s="705" t="s">
        <v>14</v>
      </c>
      <c r="S21" s="706">
        <f>F21</f>
        <v>100</v>
      </c>
      <c r="T21" s="705" t="s">
        <v>14</v>
      </c>
      <c r="U21" s="706">
        <f>H21</f>
        <v>100</v>
      </c>
      <c r="V21" s="705" t="s">
        <v>14</v>
      </c>
      <c r="W21" s="706">
        <f>J21</f>
        <v>100</v>
      </c>
      <c r="X21" s="1354"/>
      <c r="Y21" s="3709"/>
      <c r="Z21" s="1355" t="str">
        <f>Q21</f>
        <v>基础设施水平</v>
      </c>
      <c r="AA21" s="1352">
        <f t="shared" ref="AA21" si="8">D21/F21</f>
        <v>1</v>
      </c>
      <c r="AB21" s="1352">
        <f t="shared" ref="AB21" si="9">D21/H21</f>
        <v>1</v>
      </c>
      <c r="AC21" s="1352">
        <f t="shared" ref="AC21" si="10">D21/J21</f>
        <v>1</v>
      </c>
    </row>
    <row r="22" spans="1:29" ht="15">
      <c r="A22" s="379"/>
      <c r="B22" s="1131"/>
      <c r="C22" s="1900"/>
      <c r="D22" s="399"/>
      <c r="E22" s="398"/>
      <c r="F22" s="400"/>
      <c r="G22" s="398"/>
      <c r="H22" s="399"/>
      <c r="I22" s="398"/>
      <c r="J22" s="399"/>
      <c r="K22" s="1130"/>
      <c r="L22" s="923"/>
      <c r="M22" s="914"/>
      <c r="N22" s="914"/>
      <c r="O22" s="922"/>
      <c r="P22" s="3709"/>
      <c r="Q22" s="1351"/>
      <c r="R22" s="705"/>
      <c r="S22" s="706"/>
      <c r="T22" s="705"/>
      <c r="U22" s="706"/>
      <c r="V22" s="705"/>
      <c r="W22" s="706"/>
      <c r="X22" s="1354"/>
      <c r="Y22" s="3709"/>
      <c r="Z22" s="1355"/>
      <c r="AA22" s="1352">
        <v>1</v>
      </c>
      <c r="AB22" s="1352">
        <v>1</v>
      </c>
      <c r="AC22" s="1352">
        <v>1</v>
      </c>
    </row>
    <row r="23" spans="1:29" ht="15">
      <c r="A23" s="379"/>
      <c r="B23" s="402" t="s">
        <v>1796</v>
      </c>
      <c r="C23" s="1899" t="str">
        <f>估价对象房地状况!G7</f>
        <v>较好</v>
      </c>
      <c r="D23" s="401">
        <v>100</v>
      </c>
      <c r="E23" s="403"/>
      <c r="F23" s="404">
        <f>SUMIF(78:78,E24,79:79)-SUMIF(78:78,C24,79:79)+100</f>
        <v>100</v>
      </c>
      <c r="G23" s="405"/>
      <c r="H23" s="401">
        <f>SUMIF(78:78,G24,79:79)-SUMIF(78:78,C24,79:79)+100</f>
        <v>100</v>
      </c>
      <c r="I23" s="403"/>
      <c r="J23" s="401">
        <f>SUMIF(78:78,I24,79:79)-SUMIF(78:78,C24,79:79)+100</f>
        <v>100</v>
      </c>
      <c r="K23" s="563"/>
      <c r="L23" s="923"/>
      <c r="M23" s="914"/>
      <c r="N23" s="914"/>
      <c r="O23" s="922"/>
      <c r="P23" s="3709"/>
      <c r="Q23" s="1351" t="str">
        <f>B23</f>
        <v>环境质量</v>
      </c>
      <c r="R23" s="705" t="s">
        <v>14</v>
      </c>
      <c r="S23" s="706">
        <f>F23</f>
        <v>100</v>
      </c>
      <c r="T23" s="705" t="s">
        <v>14</v>
      </c>
      <c r="U23" s="706">
        <f>H23</f>
        <v>100</v>
      </c>
      <c r="V23" s="705" t="s">
        <v>14</v>
      </c>
      <c r="W23" s="706">
        <f>J23</f>
        <v>100</v>
      </c>
      <c r="X23" s="1354"/>
      <c r="Y23" s="3709"/>
      <c r="Z23" s="1355" t="str">
        <f>Q23</f>
        <v>环境质量</v>
      </c>
      <c r="AA23" s="1352">
        <f t="shared" si="3"/>
        <v>1</v>
      </c>
      <c r="AB23" s="1352">
        <f t="shared" si="4"/>
        <v>1</v>
      </c>
      <c r="AC23" s="1352">
        <f t="shared" si="5"/>
        <v>1</v>
      </c>
    </row>
    <row r="24" spans="1:29" ht="15">
      <c r="A24" s="379"/>
      <c r="B24" s="1131"/>
      <c r="C24" s="398"/>
      <c r="D24" s="399"/>
      <c r="E24" s="1897"/>
      <c r="F24" s="400"/>
      <c r="G24" s="1896"/>
      <c r="H24" s="399"/>
      <c r="I24" s="1897"/>
      <c r="J24" s="399"/>
      <c r="K24" s="564"/>
      <c r="L24" s="923"/>
      <c r="M24" s="914"/>
      <c r="N24" s="914"/>
      <c r="O24" s="922"/>
      <c r="P24" s="3709"/>
      <c r="Q24" s="1351"/>
      <c r="R24" s="705"/>
      <c r="S24" s="706"/>
      <c r="T24" s="705"/>
      <c r="U24" s="706"/>
      <c r="V24" s="705"/>
      <c r="W24" s="706"/>
      <c r="X24" s="1354"/>
      <c r="Y24" s="3709"/>
      <c r="Z24" s="1355"/>
      <c r="AA24" s="1352">
        <v>1</v>
      </c>
      <c r="AB24" s="1352">
        <v>1</v>
      </c>
      <c r="AC24" s="1352">
        <v>1</v>
      </c>
    </row>
    <row r="25" spans="1:29" ht="15">
      <c r="A25" s="358"/>
      <c r="B25" s="1133">
        <v>111</v>
      </c>
      <c r="C25" s="385">
        <v>111</v>
      </c>
      <c r="D25" s="386">
        <v>100</v>
      </c>
      <c r="E25" s="385"/>
      <c r="F25" s="412">
        <f>SUMIF(80:80,E25,81:81)-SUMIF(80:80,C25,81:81)+100</f>
        <v>100</v>
      </c>
      <c r="G25" s="385"/>
      <c r="H25" s="386">
        <f>SUMIF(80:80,G25,81:81)-SUMIF(80:80,C25,81:81)+100</f>
        <v>100</v>
      </c>
      <c r="I25" s="385"/>
      <c r="J25" s="386">
        <f>SUMIF(80:80,I25,81:81)-SUMIF(80:80,C25,81:81)+100</f>
        <v>100</v>
      </c>
      <c r="K25" s="562"/>
      <c r="L25" s="923"/>
      <c r="M25" s="914"/>
      <c r="N25" s="914"/>
      <c r="O25" s="922"/>
      <c r="P25" s="3709"/>
      <c r="Q25" s="1351">
        <f>B25</f>
        <v>111</v>
      </c>
      <c r="R25" s="705" t="s">
        <v>14</v>
      </c>
      <c r="S25" s="706">
        <f>F25</f>
        <v>100</v>
      </c>
      <c r="T25" s="705" t="s">
        <v>14</v>
      </c>
      <c r="U25" s="706">
        <f>H25</f>
        <v>100</v>
      </c>
      <c r="V25" s="705" t="s">
        <v>14</v>
      </c>
      <c r="W25" s="706">
        <f>J25</f>
        <v>100</v>
      </c>
      <c r="X25" s="1354"/>
      <c r="Y25" s="3709"/>
      <c r="Z25" s="1355">
        <f>Q25</f>
        <v>111</v>
      </c>
      <c r="AA25" s="1352">
        <f t="shared" si="3"/>
        <v>1</v>
      </c>
      <c r="AB25" s="1352">
        <f t="shared" si="4"/>
        <v>1</v>
      </c>
      <c r="AC25" s="1352">
        <f t="shared" si="5"/>
        <v>1</v>
      </c>
    </row>
    <row r="26" spans="1:29" ht="15">
      <c r="A26" s="379"/>
      <c r="B26" s="1133">
        <v>111</v>
      </c>
      <c r="C26" s="385">
        <v>111</v>
      </c>
      <c r="D26" s="386">
        <v>100</v>
      </c>
      <c r="E26" s="385"/>
      <c r="F26" s="412">
        <f>SUMIF(82:82,E26,83:83)-SUMIF(82:82,C26,83:83)+100</f>
        <v>100</v>
      </c>
      <c r="G26" s="385"/>
      <c r="H26" s="386">
        <f>SUMIF(82:82,G26,83:83)-SUMIF(82:82,C26,83:83)+100</f>
        <v>100</v>
      </c>
      <c r="I26" s="385"/>
      <c r="J26" s="386">
        <f>SUMIF(82:82,I26,83:83)-SUMIF(82:82,C26,83:83)+100</f>
        <v>100</v>
      </c>
      <c r="K26" s="562"/>
      <c r="L26" s="923"/>
      <c r="M26" s="914"/>
      <c r="N26" s="914"/>
      <c r="O26" s="922"/>
      <c r="P26" s="3709"/>
      <c r="Q26" s="1351">
        <f t="shared" ref="Q26:Q40" si="11">B26</f>
        <v>111</v>
      </c>
      <c r="R26" s="705" t="s">
        <v>14</v>
      </c>
      <c r="S26" s="706">
        <f>F26</f>
        <v>100</v>
      </c>
      <c r="T26" s="705" t="s">
        <v>14</v>
      </c>
      <c r="U26" s="706">
        <f>H26</f>
        <v>100</v>
      </c>
      <c r="V26" s="705" t="s">
        <v>14</v>
      </c>
      <c r="W26" s="706">
        <f>J26</f>
        <v>100</v>
      </c>
      <c r="X26" s="1354"/>
      <c r="Y26" s="3709"/>
      <c r="Z26" s="1355">
        <f>Q26</f>
        <v>111</v>
      </c>
      <c r="AA26" s="1352">
        <f t="shared" si="3"/>
        <v>1</v>
      </c>
      <c r="AB26" s="1352">
        <f t="shared" si="4"/>
        <v>1</v>
      </c>
      <c r="AC26" s="1352">
        <f t="shared" si="5"/>
        <v>1</v>
      </c>
    </row>
    <row r="27" spans="1:29" s="108" customFormat="1" ht="15">
      <c r="A27" s="382"/>
      <c r="B27" s="1133">
        <v>111</v>
      </c>
      <c r="C27" s="385">
        <v>111</v>
      </c>
      <c r="D27" s="413">
        <v>100</v>
      </c>
      <c r="E27" s="385"/>
      <c r="F27" s="415">
        <f>SUMIF(84:84,E27,85:85)-SUMIF(84:84,C27,85:85)+100</f>
        <v>100</v>
      </c>
      <c r="G27" s="385"/>
      <c r="H27" s="413">
        <f>SUMIF(84:84,G27,85:85)-SUMIF(84:84,C27,85:85)+100</f>
        <v>100</v>
      </c>
      <c r="I27" s="385"/>
      <c r="J27" s="413">
        <f>SUMIF(84:84,I27,85:85)-SUMIF(84:84,C27,85:85)+100</f>
        <v>100</v>
      </c>
      <c r="K27" s="562"/>
      <c r="L27" s="915"/>
      <c r="M27" s="916"/>
      <c r="N27" s="916"/>
      <c r="O27" s="917"/>
      <c r="P27" s="3709"/>
      <c r="Q27" s="1342">
        <f t="shared" si="11"/>
        <v>111</v>
      </c>
      <c r="R27" s="701" t="s">
        <v>14</v>
      </c>
      <c r="S27" s="702">
        <f>F27</f>
        <v>100</v>
      </c>
      <c r="T27" s="701" t="s">
        <v>14</v>
      </c>
      <c r="U27" s="702">
        <f>H27</f>
        <v>100</v>
      </c>
      <c r="V27" s="701" t="s">
        <v>14</v>
      </c>
      <c r="W27" s="702">
        <f>J27</f>
        <v>100</v>
      </c>
      <c r="X27" s="703"/>
      <c r="Y27" s="3709"/>
      <c r="Z27" s="52">
        <f>Q27</f>
        <v>111</v>
      </c>
      <c r="AA27" s="1352">
        <f>D27/F27</f>
        <v>1</v>
      </c>
      <c r="AB27" s="1352">
        <f>D27/H27</f>
        <v>1</v>
      </c>
      <c r="AC27" s="1352">
        <f>D27/J27</f>
        <v>1</v>
      </c>
    </row>
    <row r="28" spans="1:29" ht="15.75" thickBot="1">
      <c r="A28" s="387"/>
      <c r="B28" s="1133">
        <v>111</v>
      </c>
      <c r="C28" s="388">
        <v>111</v>
      </c>
      <c r="D28" s="389">
        <v>100</v>
      </c>
      <c r="E28" s="385"/>
      <c r="F28" s="390">
        <f>SUMIF(86:86,E28,87:87)-SUMIF(86:86,C28,87:87)+100</f>
        <v>100</v>
      </c>
      <c r="G28" s="420"/>
      <c r="H28" s="389">
        <f>SUMIF(86:86,G28,87:87)-SUMIF(86:86,C28,87:87)+100</f>
        <v>100</v>
      </c>
      <c r="I28" s="420"/>
      <c r="J28" s="389">
        <f>SUMIF(86:86,I28,87:87)-SUMIF(86:86,C28,87:87)+100</f>
        <v>100</v>
      </c>
      <c r="K28" s="562"/>
      <c r="L28" s="923"/>
      <c r="M28" s="914"/>
      <c r="N28" s="914"/>
      <c r="O28" s="922"/>
      <c r="P28" s="3709"/>
      <c r="Q28" s="1351">
        <f t="shared" si="11"/>
        <v>111</v>
      </c>
      <c r="R28" s="705" t="s">
        <v>14</v>
      </c>
      <c r="S28" s="706">
        <f t="shared" ref="S28:S40" si="12">F28</f>
        <v>100</v>
      </c>
      <c r="T28" s="705" t="s">
        <v>14</v>
      </c>
      <c r="U28" s="706">
        <f t="shared" ref="U28:U40" si="13">H28</f>
        <v>100</v>
      </c>
      <c r="V28" s="705" t="s">
        <v>14</v>
      </c>
      <c r="W28" s="706">
        <f t="shared" ref="W28:W40" si="14">J28</f>
        <v>100</v>
      </c>
      <c r="X28" s="1354"/>
      <c r="Y28" s="3709"/>
      <c r="Z28" s="1355">
        <f t="shared" ref="Z28:Z40" si="15">Q28</f>
        <v>111</v>
      </c>
      <c r="AA28" s="1352">
        <f t="shared" si="3"/>
        <v>1</v>
      </c>
      <c r="AB28" s="1352">
        <f t="shared" si="4"/>
        <v>1</v>
      </c>
      <c r="AC28" s="1352">
        <f t="shared" si="5"/>
        <v>1</v>
      </c>
    </row>
    <row r="29" spans="1:29" ht="28.5">
      <c r="A29" s="417" t="s">
        <v>1676</v>
      </c>
      <c r="B29" s="63" t="s">
        <v>1799</v>
      </c>
      <c r="C29" s="1966"/>
      <c r="D29" s="418">
        <v>100</v>
      </c>
      <c r="E29" s="1966"/>
      <c r="F29" s="412">
        <f>SUMIF(88:88,E29,89:89)-SUMIF(88:88,C29,89:89)+100</f>
        <v>100</v>
      </c>
      <c r="G29" s="1966"/>
      <c r="H29" s="386">
        <f>SUMIF(88:88,G29,89:89)-SUMIF(88:88,C29,89:89)+100</f>
        <v>100</v>
      </c>
      <c r="I29" s="1966"/>
      <c r="J29" s="418">
        <f>SUMIF(88:88,I29,89:89)-SUMIF(88:88,C29,89:89)+100</f>
        <v>100</v>
      </c>
      <c r="K29" s="561"/>
      <c r="L29" s="923"/>
      <c r="M29" s="914"/>
      <c r="N29" s="914"/>
      <c r="O29" s="922"/>
      <c r="P29" s="3764" t="s">
        <v>1678</v>
      </c>
      <c r="Q29" s="1351" t="str">
        <f t="shared" si="11"/>
        <v>建筑类型</v>
      </c>
      <c r="R29" s="705" t="s">
        <v>14</v>
      </c>
      <c r="S29" s="706">
        <f t="shared" si="12"/>
        <v>100</v>
      </c>
      <c r="T29" s="705" t="s">
        <v>14</v>
      </c>
      <c r="U29" s="706">
        <f t="shared" si="13"/>
        <v>100</v>
      </c>
      <c r="V29" s="705" t="s">
        <v>14</v>
      </c>
      <c r="W29" s="706">
        <f t="shared" si="14"/>
        <v>100</v>
      </c>
      <c r="X29" s="1354"/>
      <c r="Y29" s="3713" t="s">
        <v>1678</v>
      </c>
      <c r="Z29" s="1355" t="str">
        <f t="shared" si="15"/>
        <v>建筑类型</v>
      </c>
      <c r="AA29" s="1352">
        <f t="shared" si="3"/>
        <v>1</v>
      </c>
      <c r="AB29" s="1352">
        <f t="shared" si="4"/>
        <v>1</v>
      </c>
      <c r="AC29" s="1352">
        <f t="shared" si="5"/>
        <v>1</v>
      </c>
    </row>
    <row r="30" spans="1:29" s="422" customFormat="1" ht="15">
      <c r="A30" s="419"/>
      <c r="B30" s="375" t="s">
        <v>1679</v>
      </c>
      <c r="C30" s="420"/>
      <c r="D30" s="127">
        <v>100</v>
      </c>
      <c r="E30" s="381"/>
      <c r="F30" s="376" t="e">
        <f>LOOKUP(E30,91:91,92:92)-LOOKUP(C30,91:91,92:92)+100</f>
        <v>#N/A</v>
      </c>
      <c r="G30" s="380"/>
      <c r="H30" s="127" t="e">
        <f>LOOKUP(G30,91:91,92:92)-LOOKUP(C30,91:91,92:92)+100</f>
        <v>#N/A</v>
      </c>
      <c r="I30" s="380"/>
      <c r="J30" s="127" t="e">
        <f>LOOKUP(I30,91:91,92:92)-LOOKUP(C30,91:91,92:92)+100</f>
        <v>#N/A</v>
      </c>
      <c r="K30" s="562"/>
      <c r="L30" s="921"/>
      <c r="M30" s="924"/>
      <c r="N30" s="924"/>
      <c r="O30" s="925"/>
      <c r="P30" s="3713"/>
      <c r="Q30" s="707" t="str">
        <f t="shared" si="11"/>
        <v>项目建筑规模</v>
      </c>
      <c r="R30" s="708" t="s">
        <v>14</v>
      </c>
      <c r="S30" s="709" t="e">
        <f t="shared" si="12"/>
        <v>#N/A</v>
      </c>
      <c r="T30" s="708" t="s">
        <v>14</v>
      </c>
      <c r="U30" s="709" t="e">
        <f t="shared" si="13"/>
        <v>#N/A</v>
      </c>
      <c r="V30" s="708" t="s">
        <v>14</v>
      </c>
      <c r="W30" s="709" t="e">
        <f t="shared" si="14"/>
        <v>#N/A</v>
      </c>
      <c r="X30" s="710"/>
      <c r="Y30" s="3713"/>
      <c r="Z30" s="711" t="str">
        <f t="shared" si="15"/>
        <v>项目建筑规模</v>
      </c>
      <c r="AA30" s="1352" t="e">
        <f t="shared" si="3"/>
        <v>#N/A</v>
      </c>
      <c r="AB30" s="1352" t="e">
        <f t="shared" si="4"/>
        <v>#N/A</v>
      </c>
      <c r="AC30" s="1352" t="e">
        <f t="shared" si="5"/>
        <v>#N/A</v>
      </c>
    </row>
    <row r="31" spans="1:29" ht="15">
      <c r="A31" s="423"/>
      <c r="B31" s="375" t="s">
        <v>1680</v>
      </c>
      <c r="C31" s="411"/>
      <c r="D31" s="386">
        <v>100</v>
      </c>
      <c r="E31" s="411"/>
      <c r="F31" s="412">
        <f>SUMIF(93:93,E31,94:94)-SUMIF(93:93,C31,94:94)+100</f>
        <v>100</v>
      </c>
      <c r="G31" s="411"/>
      <c r="H31" s="386">
        <f>SUMIF(93:93,G31,94:94)-SUMIF(93:93,C31,94:94)+100</f>
        <v>100</v>
      </c>
      <c r="I31" s="411"/>
      <c r="J31" s="386">
        <f>SUMIF(93:93,I31,94:94)-SUMIF(93:93,C31,94:94)+100</f>
        <v>100</v>
      </c>
      <c r="K31" s="561"/>
      <c r="L31" s="923"/>
      <c r="M31" s="914"/>
      <c r="N31" s="914"/>
      <c r="O31" s="922"/>
      <c r="P31" s="3713"/>
      <c r="Q31" s="1351" t="str">
        <f t="shared" si="11"/>
        <v>建筑结构</v>
      </c>
      <c r="R31" s="705" t="s">
        <v>14</v>
      </c>
      <c r="S31" s="706">
        <f t="shared" si="12"/>
        <v>100</v>
      </c>
      <c r="T31" s="705" t="s">
        <v>14</v>
      </c>
      <c r="U31" s="706">
        <f t="shared" si="13"/>
        <v>100</v>
      </c>
      <c r="V31" s="705" t="s">
        <v>14</v>
      </c>
      <c r="W31" s="706">
        <f t="shared" si="14"/>
        <v>100</v>
      </c>
      <c r="X31" s="1354"/>
      <c r="Y31" s="3713"/>
      <c r="Z31" s="1355" t="str">
        <f t="shared" si="15"/>
        <v>建筑结构</v>
      </c>
      <c r="AA31" s="1352">
        <f t="shared" si="3"/>
        <v>1</v>
      </c>
      <c r="AB31" s="1352">
        <f t="shared" si="4"/>
        <v>1</v>
      </c>
      <c r="AC31" s="1352">
        <f t="shared" si="5"/>
        <v>1</v>
      </c>
    </row>
    <row r="32" spans="1:29" ht="15">
      <c r="A32" s="423"/>
      <c r="B32" s="375" t="s">
        <v>1767</v>
      </c>
      <c r="C32" s="411"/>
      <c r="D32" s="386">
        <v>100</v>
      </c>
      <c r="E32" s="411"/>
      <c r="F32" s="412">
        <f>SUMIF(95:95,E32,96:96)-SUMIF(95:95,C32,96:96)+100</f>
        <v>100</v>
      </c>
      <c r="G32" s="411"/>
      <c r="H32" s="386">
        <f>SUMIF(95:95,G32,96:96)-SUMIF(95:95,C32,96:96)+100</f>
        <v>100</v>
      </c>
      <c r="I32" s="411"/>
      <c r="J32" s="386">
        <f>SUMIF(95:95,I32,96:96)-SUMIF(95:95,C32,96:96)+100</f>
        <v>100</v>
      </c>
      <c r="K32" s="561"/>
      <c r="L32" s="923"/>
      <c r="M32" s="914"/>
      <c r="N32" s="914"/>
      <c r="O32" s="922"/>
      <c r="P32" s="3713"/>
      <c r="Q32" s="1351" t="str">
        <f t="shared" si="11"/>
        <v>公共部分装修</v>
      </c>
      <c r="R32" s="705" t="s">
        <v>14</v>
      </c>
      <c r="S32" s="706">
        <f t="shared" si="12"/>
        <v>100</v>
      </c>
      <c r="T32" s="705" t="s">
        <v>14</v>
      </c>
      <c r="U32" s="706">
        <f t="shared" si="13"/>
        <v>100</v>
      </c>
      <c r="V32" s="705" t="s">
        <v>14</v>
      </c>
      <c r="W32" s="706">
        <f t="shared" si="14"/>
        <v>100</v>
      </c>
      <c r="X32" s="1354"/>
      <c r="Y32" s="3713"/>
      <c r="Z32" s="1355" t="str">
        <f t="shared" si="15"/>
        <v>公共部分装修</v>
      </c>
      <c r="AA32" s="1352">
        <f t="shared" si="3"/>
        <v>1</v>
      </c>
      <c r="AB32" s="1352">
        <f t="shared" si="4"/>
        <v>1</v>
      </c>
      <c r="AC32" s="1352">
        <f t="shared" si="5"/>
        <v>1</v>
      </c>
    </row>
    <row r="33" spans="1:29" ht="15">
      <c r="A33" s="423"/>
      <c r="B33" s="375" t="s">
        <v>1768</v>
      </c>
      <c r="C33" s="420"/>
      <c r="D33" s="386">
        <v>100</v>
      </c>
      <c r="E33" s="425"/>
      <c r="F33" s="412" t="e">
        <f>LOOKUP(E33,98:98,99:99)-LOOKUP(C33,98:98,99:99)+100</f>
        <v>#N/A</v>
      </c>
      <c r="G33" s="425"/>
      <c r="H33" s="412" t="e">
        <f>LOOKUP(G33,98:98,99:99)-LOOKUP(C33,98:98,99:99)+100</f>
        <v>#N/A</v>
      </c>
      <c r="I33" s="425"/>
      <c r="J33" s="386" t="e">
        <f>LOOKUP(I33,98:98,99:99)-LOOKUP(C33,98:98,99:99)+100</f>
        <v>#N/A</v>
      </c>
      <c r="K33" s="561"/>
      <c r="L33" s="923"/>
      <c r="M33" s="914"/>
      <c r="N33" s="914"/>
      <c r="O33" s="922"/>
      <c r="P33" s="3713"/>
      <c r="Q33" s="1351" t="str">
        <f t="shared" si="11"/>
        <v>成新度</v>
      </c>
      <c r="R33" s="705" t="s">
        <v>14</v>
      </c>
      <c r="S33" s="706" t="e">
        <f t="shared" si="12"/>
        <v>#N/A</v>
      </c>
      <c r="T33" s="705" t="s">
        <v>14</v>
      </c>
      <c r="U33" s="706" t="e">
        <f t="shared" si="13"/>
        <v>#N/A</v>
      </c>
      <c r="V33" s="705" t="s">
        <v>14</v>
      </c>
      <c r="W33" s="706" t="e">
        <f t="shared" si="14"/>
        <v>#N/A</v>
      </c>
      <c r="X33" s="1354"/>
      <c r="Y33" s="3713"/>
      <c r="Z33" s="1355" t="str">
        <f t="shared" si="15"/>
        <v>成新度</v>
      </c>
      <c r="AA33" s="1352" t="e">
        <f t="shared" si="3"/>
        <v>#N/A</v>
      </c>
      <c r="AB33" s="1352" t="e">
        <f t="shared" si="4"/>
        <v>#N/A</v>
      </c>
      <c r="AC33" s="1352" t="e">
        <f t="shared" si="5"/>
        <v>#N/A</v>
      </c>
    </row>
    <row r="34" spans="1:29" s="108" customFormat="1" ht="15">
      <c r="A34" s="424"/>
      <c r="B34" s="375" t="s">
        <v>1801</v>
      </c>
      <c r="C34" s="411"/>
      <c r="D34" s="127">
        <v>100</v>
      </c>
      <c r="E34" s="411"/>
      <c r="F34" s="412">
        <f>SUMIF(100:100,E34,101:101)-SUMIF(100:100,C34,101:101)+100</f>
        <v>100</v>
      </c>
      <c r="G34" s="411"/>
      <c r="H34" s="386">
        <f>SUMIF(100:100,G34,101:101)-SUMIF(100:100,C34,101:101)+100</f>
        <v>100</v>
      </c>
      <c r="I34" s="411"/>
      <c r="J34" s="386">
        <f>SUMIF(100:100,I34,101:101)-SUMIF(100:100,C34,101:101)+100</f>
        <v>100</v>
      </c>
      <c r="K34" s="561"/>
      <c r="L34" s="915"/>
      <c r="M34" s="916"/>
      <c r="N34" s="916"/>
      <c r="O34" s="917"/>
      <c r="P34" s="3713"/>
      <c r="Q34" s="1342" t="str">
        <f t="shared" si="11"/>
        <v>物业管理</v>
      </c>
      <c r="R34" s="701" t="s">
        <v>14</v>
      </c>
      <c r="S34" s="702">
        <f t="shared" si="12"/>
        <v>100</v>
      </c>
      <c r="T34" s="701" t="s">
        <v>14</v>
      </c>
      <c r="U34" s="702">
        <f t="shared" si="13"/>
        <v>100</v>
      </c>
      <c r="V34" s="701" t="s">
        <v>14</v>
      </c>
      <c r="W34" s="702">
        <f t="shared" si="14"/>
        <v>100</v>
      </c>
      <c r="X34" s="703"/>
      <c r="Y34" s="3713"/>
      <c r="Z34" s="52" t="str">
        <f t="shared" si="15"/>
        <v>物业管理</v>
      </c>
      <c r="AA34" s="704">
        <f t="shared" si="3"/>
        <v>1</v>
      </c>
      <c r="AB34" s="704">
        <f t="shared" si="4"/>
        <v>1</v>
      </c>
      <c r="AC34" s="704">
        <f t="shared" si="5"/>
        <v>1</v>
      </c>
    </row>
    <row r="35" spans="1:29" ht="15">
      <c r="A35" s="423"/>
      <c r="B35" s="375" t="s">
        <v>1769</v>
      </c>
      <c r="C35" s="411"/>
      <c r="D35" s="386">
        <v>100</v>
      </c>
      <c r="E35" s="411"/>
      <c r="F35" s="412">
        <f>SUMIF(102:102,E35,103:103)-SUMIF(102:102,C35,103:103)+100</f>
        <v>100</v>
      </c>
      <c r="G35" s="411"/>
      <c r="H35" s="386">
        <f>SUMIF(102:102,G35,103:103)-SUMIF(102:102,C35,103:103)+100</f>
        <v>100</v>
      </c>
      <c r="I35" s="411"/>
      <c r="J35" s="386">
        <f>SUMIF(102:102,I35,103:103)-SUMIF(102:102,C35,103:103)+100</f>
        <v>100</v>
      </c>
      <c r="K35" s="561"/>
      <c r="L35" s="923"/>
      <c r="M35" s="914"/>
      <c r="N35" s="914"/>
      <c r="O35" s="922"/>
      <c r="P35" s="3713" t="s">
        <v>1678</v>
      </c>
      <c r="Q35" s="1351" t="str">
        <f t="shared" si="11"/>
        <v>市政基础设施</v>
      </c>
      <c r="R35" s="705" t="s">
        <v>14</v>
      </c>
      <c r="S35" s="706">
        <f t="shared" si="12"/>
        <v>100</v>
      </c>
      <c r="T35" s="705" t="s">
        <v>14</v>
      </c>
      <c r="U35" s="706">
        <f t="shared" si="13"/>
        <v>100</v>
      </c>
      <c r="V35" s="705" t="s">
        <v>14</v>
      </c>
      <c r="W35" s="706">
        <f t="shared" si="14"/>
        <v>100</v>
      </c>
      <c r="X35" s="1354"/>
      <c r="Y35" s="3713" t="s">
        <v>1678</v>
      </c>
      <c r="Z35" s="1355" t="str">
        <f t="shared" si="15"/>
        <v>市政基础设施</v>
      </c>
      <c r="AA35" s="1352">
        <f t="shared" si="3"/>
        <v>1</v>
      </c>
      <c r="AB35" s="1352">
        <f t="shared" si="4"/>
        <v>1</v>
      </c>
      <c r="AC35" s="1352">
        <f t="shared" si="5"/>
        <v>1</v>
      </c>
    </row>
    <row r="36" spans="1:29" ht="15">
      <c r="A36" s="423"/>
      <c r="B36" s="375" t="s">
        <v>1774</v>
      </c>
      <c r="C36" s="411"/>
      <c r="D36" s="386">
        <v>100</v>
      </c>
      <c r="E36" s="411"/>
      <c r="F36" s="412">
        <f>SUMIF(104:104,E36,105:105)-SUMIF(104:104,C36,105:105)+100</f>
        <v>100</v>
      </c>
      <c r="G36" s="411"/>
      <c r="H36" s="386">
        <f>SUMIF(104:104,G36,105:105)-SUMIF(104:104,C36,105:105)+100</f>
        <v>100</v>
      </c>
      <c r="I36" s="411"/>
      <c r="J36" s="386">
        <f>SUMIF(104:104,I36,105:105)-SUMIF(104:104,C36,105:105)+100</f>
        <v>100</v>
      </c>
      <c r="K36" s="561"/>
      <c r="L36" s="923"/>
      <c r="M36" s="914"/>
      <c r="N36" s="914"/>
      <c r="O36" s="922"/>
      <c r="P36" s="3713"/>
      <c r="Q36" s="1351" t="str">
        <f t="shared" si="11"/>
        <v>内部装修</v>
      </c>
      <c r="R36" s="705" t="s">
        <v>14</v>
      </c>
      <c r="S36" s="706">
        <f t="shared" si="12"/>
        <v>100</v>
      </c>
      <c r="T36" s="705" t="s">
        <v>14</v>
      </c>
      <c r="U36" s="706">
        <f t="shared" si="13"/>
        <v>100</v>
      </c>
      <c r="V36" s="705" t="s">
        <v>14</v>
      </c>
      <c r="W36" s="706">
        <f t="shared" si="14"/>
        <v>100</v>
      </c>
      <c r="X36" s="1354"/>
      <c r="Y36" s="3713"/>
      <c r="Z36" s="1355" t="str">
        <f t="shared" si="15"/>
        <v>内部装修</v>
      </c>
      <c r="AA36" s="1352">
        <f t="shared" si="3"/>
        <v>1</v>
      </c>
      <c r="AB36" s="1352">
        <f t="shared" si="4"/>
        <v>1</v>
      </c>
      <c r="AC36" s="1352">
        <f t="shared" si="5"/>
        <v>1</v>
      </c>
    </row>
    <row r="37" spans="1:29" ht="15">
      <c r="A37" s="423"/>
      <c r="B37" s="375" t="s">
        <v>1810</v>
      </c>
      <c r="C37" s="565"/>
      <c r="D37" s="386">
        <v>100</v>
      </c>
      <c r="E37" s="565"/>
      <c r="F37" s="412">
        <f>SUMIF(106:106,E37,107:107)-SUMIF(106:106,C37,107:107)+100</f>
        <v>100</v>
      </c>
      <c r="G37" s="565"/>
      <c r="H37" s="386">
        <f>SUMIF(106:106,G37,107:107)-SUMIF(106:106,C37,107:107)+100</f>
        <v>100</v>
      </c>
      <c r="I37" s="565"/>
      <c r="J37" s="386">
        <f>SUMIF(106:106,I37,107:107)-SUMIF(106:106,C37,107:107)+100</f>
        <v>100</v>
      </c>
      <c r="K37" s="561"/>
      <c r="L37" s="923"/>
      <c r="M37" s="914"/>
      <c r="N37" s="914"/>
      <c r="O37" s="922"/>
      <c r="P37" s="3713"/>
      <c r="Q37" s="1351" t="str">
        <f t="shared" si="11"/>
        <v>内部装修状况</v>
      </c>
      <c r="R37" s="705" t="s">
        <v>14</v>
      </c>
      <c r="S37" s="706">
        <f t="shared" si="12"/>
        <v>100</v>
      </c>
      <c r="T37" s="705" t="s">
        <v>14</v>
      </c>
      <c r="U37" s="706">
        <f t="shared" si="13"/>
        <v>100</v>
      </c>
      <c r="V37" s="705" t="s">
        <v>14</v>
      </c>
      <c r="W37" s="706">
        <f t="shared" si="14"/>
        <v>100</v>
      </c>
      <c r="X37" s="1354"/>
      <c r="Y37" s="3713"/>
      <c r="Z37" s="1355" t="str">
        <f t="shared" si="15"/>
        <v>内部装修状况</v>
      </c>
      <c r="AA37" s="1352">
        <f t="shared" si="3"/>
        <v>1</v>
      </c>
      <c r="AB37" s="1352">
        <f t="shared" si="4"/>
        <v>1</v>
      </c>
      <c r="AC37" s="1352">
        <f t="shared" si="5"/>
        <v>1</v>
      </c>
    </row>
    <row r="38" spans="1:29" s="422" customFormat="1" ht="15">
      <c r="A38" s="419"/>
      <c r="B38" s="1133">
        <v>111</v>
      </c>
      <c r="C38" s="420"/>
      <c r="D38" s="386">
        <v>100</v>
      </c>
      <c r="E38" s="385"/>
      <c r="F38" s="412">
        <f>SUMIF(108:108,E38,109:109)-SUMIF(108:108,C38,109:109)+100</f>
        <v>100</v>
      </c>
      <c r="G38" s="420"/>
      <c r="H38" s="386">
        <f>SUMIF(108:108,G38,109:109)-SUMIF(108:108,C38,109:109)+100</f>
        <v>100</v>
      </c>
      <c r="I38" s="420"/>
      <c r="J38" s="386">
        <f>SUMIF(108:108,I38,109:1038)-SUMIF(108:108,C38,109:109)+100</f>
        <v>100</v>
      </c>
      <c r="K38" s="562"/>
      <c r="L38" s="921"/>
      <c r="M38" s="924"/>
      <c r="N38" s="924"/>
      <c r="O38" s="925"/>
      <c r="P38" s="3713"/>
      <c r="Q38" s="707">
        <f t="shared" si="11"/>
        <v>111</v>
      </c>
      <c r="R38" s="708" t="s">
        <v>14</v>
      </c>
      <c r="S38" s="709">
        <f t="shared" si="12"/>
        <v>100</v>
      </c>
      <c r="T38" s="708" t="s">
        <v>14</v>
      </c>
      <c r="U38" s="709">
        <f t="shared" si="13"/>
        <v>100</v>
      </c>
      <c r="V38" s="708" t="s">
        <v>14</v>
      </c>
      <c r="W38" s="709">
        <f t="shared" si="14"/>
        <v>100</v>
      </c>
      <c r="X38" s="710"/>
      <c r="Y38" s="3713"/>
      <c r="Z38" s="711">
        <f t="shared" si="15"/>
        <v>111</v>
      </c>
      <c r="AA38" s="1352">
        <f t="shared" si="3"/>
        <v>1</v>
      </c>
      <c r="AB38" s="1352">
        <f t="shared" si="4"/>
        <v>1</v>
      </c>
      <c r="AC38" s="1352">
        <f t="shared" si="5"/>
        <v>1</v>
      </c>
    </row>
    <row r="39" spans="1:29" ht="15">
      <c r="A39" s="423"/>
      <c r="B39" s="1133">
        <v>111</v>
      </c>
      <c r="C39" s="420"/>
      <c r="D39" s="386">
        <v>100</v>
      </c>
      <c r="E39" s="385"/>
      <c r="F39" s="412">
        <f>SUMIF(110:110,E39,111:111)-SUMIF(110:110,C39,111:111)+100</f>
        <v>100</v>
      </c>
      <c r="G39" s="420"/>
      <c r="H39" s="386">
        <f>SUMIF(110:110,G39,111:111)-SUMIF(110:110,C39,111:111)+100</f>
        <v>100</v>
      </c>
      <c r="I39" s="420"/>
      <c r="J39" s="386">
        <f>SUMIF(110:110,I39,111:111)-SUMIF(110:110,C39,111:111)+100</f>
        <v>100</v>
      </c>
      <c r="K39" s="562"/>
      <c r="L39" s="923"/>
      <c r="M39" s="914"/>
      <c r="N39" s="914"/>
      <c r="O39" s="922"/>
      <c r="P39" s="3713"/>
      <c r="Q39" s="1351">
        <f t="shared" si="11"/>
        <v>111</v>
      </c>
      <c r="R39" s="705" t="s">
        <v>14</v>
      </c>
      <c r="S39" s="706">
        <f t="shared" si="12"/>
        <v>100</v>
      </c>
      <c r="T39" s="705" t="s">
        <v>14</v>
      </c>
      <c r="U39" s="706">
        <f t="shared" si="13"/>
        <v>100</v>
      </c>
      <c r="V39" s="705" t="s">
        <v>14</v>
      </c>
      <c r="W39" s="706">
        <f t="shared" si="14"/>
        <v>100</v>
      </c>
      <c r="X39" s="1354"/>
      <c r="Y39" s="3713"/>
      <c r="Z39" s="1355">
        <f t="shared" si="15"/>
        <v>111</v>
      </c>
      <c r="AA39" s="1352">
        <f t="shared" si="3"/>
        <v>1</v>
      </c>
      <c r="AB39" s="1352">
        <f t="shared" si="4"/>
        <v>1</v>
      </c>
      <c r="AC39" s="1352">
        <f t="shared" si="5"/>
        <v>1</v>
      </c>
    </row>
    <row r="40" spans="1:29" ht="15.75" thickBot="1">
      <c r="A40" s="429"/>
      <c r="B40" s="1894">
        <v>111</v>
      </c>
      <c r="C40" s="388"/>
      <c r="D40" s="389">
        <v>100</v>
      </c>
      <c r="E40" s="385"/>
      <c r="F40" s="390">
        <f>SUMIF(112:112,E40,113:113)-SUMIF(112:112,C40,113:113)+100</f>
        <v>100</v>
      </c>
      <c r="G40" s="420"/>
      <c r="H40" s="389">
        <f>SUMIF(112:112,G40,113:113)-SUMIF(112:112,C40,113:113)+100</f>
        <v>100</v>
      </c>
      <c r="I40" s="420"/>
      <c r="J40" s="389">
        <f>SUMIF(112:112,I40,113:113)-SUMIF(112:112,C40,113:113)+100</f>
        <v>100</v>
      </c>
      <c r="K40" s="562"/>
      <c r="L40" s="923"/>
      <c r="M40" s="914"/>
      <c r="N40" s="914"/>
      <c r="O40" s="922"/>
      <c r="P40" s="3714"/>
      <c r="Q40" s="1351">
        <f t="shared" si="11"/>
        <v>111</v>
      </c>
      <c r="R40" s="705" t="s">
        <v>14</v>
      </c>
      <c r="S40" s="706">
        <f t="shared" si="12"/>
        <v>100</v>
      </c>
      <c r="T40" s="705" t="s">
        <v>14</v>
      </c>
      <c r="U40" s="706">
        <f t="shared" si="13"/>
        <v>100</v>
      </c>
      <c r="V40" s="705" t="s">
        <v>14</v>
      </c>
      <c r="W40" s="706">
        <f t="shared" si="14"/>
        <v>100</v>
      </c>
      <c r="X40" s="1354"/>
      <c r="Y40" s="3714"/>
      <c r="Z40" s="1355">
        <f t="shared" si="15"/>
        <v>111</v>
      </c>
      <c r="AA40" s="1352">
        <f t="shared" si="3"/>
        <v>1</v>
      </c>
      <c r="AB40" s="1352">
        <f t="shared" si="4"/>
        <v>1</v>
      </c>
      <c r="AC40" s="1352">
        <f t="shared" si="5"/>
        <v>1</v>
      </c>
    </row>
    <row r="41" spans="1:29" ht="15">
      <c r="A41" s="430" t="s">
        <v>1690</v>
      </c>
      <c r="B41" s="431"/>
      <c r="C41" s="1154" t="s">
        <v>0</v>
      </c>
      <c r="D41" s="1155"/>
      <c r="E41" s="1156"/>
      <c r="F41" s="1157"/>
      <c r="G41" s="1158"/>
      <c r="H41" s="1159"/>
      <c r="I41" s="1156"/>
      <c r="J41" s="1159"/>
      <c r="K41" s="714"/>
      <c r="L41" s="926"/>
      <c r="M41" s="927"/>
      <c r="N41" s="914"/>
      <c r="O41" s="927"/>
      <c r="P41" s="3706" t="str">
        <f>A41</f>
        <v>成交单价（元/平方米）</v>
      </c>
      <c r="Q41" s="3706"/>
      <c r="R41" s="3707">
        <f>E41</f>
        <v>0</v>
      </c>
      <c r="S41" s="3707"/>
      <c r="T41" s="3707">
        <f>G41</f>
        <v>0</v>
      </c>
      <c r="U41" s="3707"/>
      <c r="V41" s="3707">
        <f>I41</f>
        <v>0</v>
      </c>
      <c r="W41" s="3707"/>
      <c r="X41" s="690"/>
      <c r="Y41" s="712"/>
      <c r="Z41" s="690"/>
      <c r="AA41" s="690"/>
      <c r="AB41" s="690"/>
      <c r="AC41" s="690"/>
    </row>
    <row r="42" spans="1:29" ht="15.75" thickBot="1">
      <c r="A42" s="437" t="s">
        <v>1775</v>
      </c>
      <c r="B42" s="438"/>
      <c r="C42" s="1160" t="e">
        <f>R43</f>
        <v>#DIV/0!</v>
      </c>
      <c r="D42" s="2316" t="s">
        <v>2119</v>
      </c>
      <c r="E42" s="1161" t="e">
        <f>R42</f>
        <v>#DIV/0!</v>
      </c>
      <c r="F42" s="2317"/>
      <c r="G42" s="1160" t="e">
        <f>T42</f>
        <v>#DIV/0!</v>
      </c>
      <c r="H42" s="2317"/>
      <c r="I42" s="1161" t="e">
        <f>V42</f>
        <v>#DIV/0!</v>
      </c>
      <c r="J42" s="2317"/>
      <c r="K42" s="2319">
        <f>F42+H42+J42</f>
        <v>0</v>
      </c>
      <c r="L42" s="926"/>
      <c r="M42" s="927"/>
      <c r="N42" s="914"/>
      <c r="O42" s="927"/>
      <c r="P42" s="3706" t="str">
        <f>A42</f>
        <v>比较价值（元/平方米）</v>
      </c>
      <c r="Q42" s="3706"/>
      <c r="R42" s="3707" t="e">
        <f>IF(F1="售价",ROUND(PRODUCT(R41,AA7:AA40),0),ROUND(PRODUCT(R41,AA7:AA40),1))</f>
        <v>#DIV/0!</v>
      </c>
      <c r="S42" s="3707"/>
      <c r="T42" s="3707" t="e">
        <f>IF(F1="售价",ROUND(PRODUCT(T41,AB7:AB40),0),ROUND(PRODUCT(T41,AB7:AB40),1))</f>
        <v>#DIV/0!</v>
      </c>
      <c r="U42" s="3707"/>
      <c r="V42" s="3707" t="e">
        <f>IF(F1="售价",ROUND(PRODUCT(V41,AC7:AC40),0),ROUND(PRODUCT(V41,AC7:AC40),1))</f>
        <v>#DIV/0!</v>
      </c>
      <c r="W42" s="3707"/>
      <c r="X42" s="690"/>
      <c r="Y42" s="690"/>
      <c r="Z42" s="690"/>
      <c r="AA42" s="690"/>
      <c r="AB42" s="690"/>
      <c r="AC42" s="690"/>
    </row>
    <row r="43" spans="1:29" ht="15.75" thickBot="1">
      <c r="A43" s="441" t="s">
        <v>1776</v>
      </c>
      <c r="B43" s="442"/>
      <c r="C43" s="1163" t="e">
        <f>R43</f>
        <v>#DIV/0!</v>
      </c>
      <c r="D43" s="1163"/>
      <c r="E43" s="1163"/>
      <c r="F43" s="1163"/>
      <c r="G43" s="1163"/>
      <c r="H43" s="1163"/>
      <c r="I43" s="1163"/>
      <c r="J43" s="1163"/>
      <c r="K43" s="715"/>
      <c r="L43" s="926"/>
      <c r="M43" s="927"/>
      <c r="N43" s="927"/>
      <c r="O43" s="927"/>
      <c r="P43" s="3703" t="str">
        <f>A43</f>
        <v>估价对象XX用房的比较价值（楼面单价，元/平方米）</v>
      </c>
      <c r="Q43" s="3704"/>
      <c r="R43" s="3705" t="e">
        <f>IF(F1="售价",ROUND(IF(D42="简单平均",AVERAGE(R42:V42),R42*F42+T42*H42+V42*J42),0),ROUND(IF(D42="简单平均",AVERAGE(R42:V42),R42*F42+T42*H42+V42*J42),1))</f>
        <v>#DIV/0!</v>
      </c>
      <c r="S43" s="3705"/>
      <c r="T43" s="3705"/>
      <c r="U43" s="3705"/>
      <c r="V43" s="3705"/>
      <c r="W43" s="3705"/>
      <c r="X43" s="690"/>
      <c r="Y43" s="690"/>
      <c r="Z43" s="690"/>
      <c r="AA43" s="690"/>
      <c r="AB43" s="690"/>
      <c r="AC43" s="690"/>
    </row>
    <row r="44" spans="1:29">
      <c r="A44" s="2699"/>
      <c r="B44" s="2699"/>
      <c r="C44" s="2699"/>
      <c r="D44" s="2699"/>
      <c r="E44" s="2699"/>
      <c r="F44" s="2699"/>
      <c r="G44" s="2703"/>
      <c r="H44" s="2699"/>
      <c r="I44" s="2699"/>
      <c r="J44" s="2699"/>
      <c r="K44" s="2704"/>
      <c r="L44" s="889"/>
      <c r="M44" s="927"/>
      <c r="N44" s="927"/>
      <c r="O44" s="927"/>
    </row>
    <row r="45" spans="1:29">
      <c r="A45" s="2699"/>
      <c r="B45" s="2699"/>
      <c r="C45" s="2699"/>
      <c r="D45" s="2699"/>
      <c r="E45" s="2699"/>
      <c r="F45" s="2699"/>
      <c r="G45" s="2699"/>
      <c r="H45" s="2699"/>
      <c r="I45" s="2699"/>
      <c r="J45" s="2699"/>
      <c r="K45" s="2704"/>
      <c r="L45" s="889"/>
      <c r="M45" s="927"/>
      <c r="N45" s="927"/>
      <c r="O45" s="927"/>
    </row>
    <row r="46" spans="1:29" ht="13.5" customHeight="1">
      <c r="A46" s="2699"/>
      <c r="B46" s="2699"/>
      <c r="C46" s="446" t="s">
        <v>1777</v>
      </c>
      <c r="D46" s="447"/>
      <c r="E46" s="448" t="e">
        <f>IF(E41&lt;E42,E42/E41-1,E41/E42-1)</f>
        <v>#DIV/0!</v>
      </c>
      <c r="F46" s="449" t="e">
        <f>IF(OR(E46&gt;=0.3,E46&lt;=-0.3),"超过30%","")</f>
        <v>#DIV/0!</v>
      </c>
      <c r="G46" s="448" t="e">
        <f>IF(G41&lt;G42,G42/G41-1,G41/G42-1)</f>
        <v>#DIV/0!</v>
      </c>
      <c r="H46" s="449" t="e">
        <f>IF(OR(G46&gt;=0.3,G46&lt;=-0.3),"超过30%","")</f>
        <v>#DIV/0!</v>
      </c>
      <c r="I46" s="448" t="e">
        <f>IF(I41&lt;I42,I42/I41-1,I41/I42-1)</f>
        <v>#DIV/0!</v>
      </c>
      <c r="J46" s="449" t="e">
        <f>IF(OR(I46&gt;=0.3,I46&lt;=-0.3),"超过30%","")</f>
        <v>#DIV/0!</v>
      </c>
      <c r="K46" s="2704"/>
      <c r="L46" s="889"/>
      <c r="M46" s="927"/>
      <c r="N46" s="927"/>
      <c r="O46" s="927"/>
    </row>
    <row r="47" spans="1:29" ht="13.5" customHeight="1">
      <c r="A47" s="2699"/>
      <c r="B47" s="2699"/>
      <c r="C47" s="446" t="s">
        <v>1778</v>
      </c>
      <c r="D47" s="450"/>
      <c r="E47" s="448" t="e">
        <f>IF(E42&lt;G42,G42/E42-1,E42/G42-1)</f>
        <v>#DIV/0!</v>
      </c>
      <c r="F47" s="449" t="e">
        <f>IF(OR(E47&gt;=0.2,E47&lt;=-0.2),"超过20%","")</f>
        <v>#DIV/0!</v>
      </c>
      <c r="G47" s="448" t="e">
        <f>IF(G42&lt;I42,I42/G42-1,G42/I42-1)</f>
        <v>#DIV/0!</v>
      </c>
      <c r="H47" s="449" t="e">
        <f>IF(OR(G47&gt;=0.2,G47&lt;=-0.2),"超过20%","")</f>
        <v>#DIV/0!</v>
      </c>
      <c r="I47" s="448" t="e">
        <f>IF(I42&lt;E42,E42/I42-1,I42/E42-1)</f>
        <v>#DIV/0!</v>
      </c>
      <c r="J47" s="449" t="e">
        <f>IF(OR(I47&gt;=0.2,I47&lt;=-0.2),"超过20%","")</f>
        <v>#DIV/0!</v>
      </c>
      <c r="K47" s="2704"/>
      <c r="L47" s="889"/>
      <c r="M47" s="927"/>
      <c r="N47" s="927"/>
      <c r="O47" s="927"/>
    </row>
    <row r="48" spans="1:29" s="451" customFormat="1" ht="13.5" customHeight="1">
      <c r="A48" s="2702"/>
      <c r="B48" s="2702"/>
      <c r="C48" s="446" t="s">
        <v>1779</v>
      </c>
      <c r="D48" s="450"/>
      <c r="E48" s="448" t="e">
        <f>IF(E41&lt;G41,G41/E41-1,E41/G41-1)</f>
        <v>#DIV/0!</v>
      </c>
      <c r="F48" s="449" t="e">
        <f>IF(OR(E48&gt;=0.3,E48&lt;=-0.3),"超过30%","")</f>
        <v>#DIV/0!</v>
      </c>
      <c r="G48" s="448" t="e">
        <f>IF(G41&lt;I41,I41/G41-1,G41/I41-1)</f>
        <v>#DIV/0!</v>
      </c>
      <c r="H48" s="449" t="e">
        <f>IF(OR(G48&gt;=0.3,G48&lt;=-0.3),"超过30%","")</f>
        <v>#DIV/0!</v>
      </c>
      <c r="I48" s="448" t="e">
        <f>IF(I41&lt;E41,E41/I41-1,I41/E41-1)</f>
        <v>#DIV/0!</v>
      </c>
      <c r="J48" s="449" t="e">
        <f>IF(OR(I48&gt;=0.3,I48&lt;=-0.3),"超过30%","")</f>
        <v>#DIV/0!</v>
      </c>
      <c r="K48" s="2707"/>
      <c r="L48" s="930"/>
      <c r="M48" s="928"/>
      <c r="N48" s="928"/>
      <c r="O48" s="928"/>
    </row>
    <row r="49" spans="1:17" s="451" customFormat="1">
      <c r="A49" s="2702"/>
      <c r="B49" s="2705"/>
      <c r="C49" s="2706"/>
      <c r="D49" s="2702"/>
      <c r="E49" s="2702"/>
      <c r="F49" s="2702"/>
      <c r="G49" s="2702"/>
      <c r="H49" s="2702"/>
      <c r="I49" s="2702"/>
      <c r="J49" s="2702"/>
      <c r="K49" s="2707"/>
      <c r="L49" s="930"/>
      <c r="M49" s="928"/>
      <c r="N49" s="928"/>
      <c r="O49" s="928"/>
    </row>
    <row r="50" spans="1:17">
      <c r="A50" s="2699"/>
      <c r="B50" s="2705"/>
      <c r="C50" s="2706"/>
      <c r="D50" s="2699"/>
      <c r="E50" s="2699"/>
      <c r="F50" s="2699"/>
      <c r="G50" s="2699"/>
      <c r="H50" s="2699"/>
      <c r="I50" s="2699"/>
      <c r="J50" s="2699"/>
      <c r="K50" s="2704"/>
      <c r="L50" s="889"/>
      <c r="M50" s="927"/>
      <c r="N50" s="927"/>
      <c r="O50" s="927"/>
    </row>
    <row r="51" spans="1:17" ht="21.75" thickBot="1">
      <c r="A51" s="694" t="s">
        <v>1780</v>
      </c>
      <c r="B51" s="690"/>
      <c r="C51" s="695"/>
      <c r="D51" s="695"/>
      <c r="E51" s="695"/>
      <c r="F51" s="696"/>
      <c r="G51" s="696"/>
      <c r="H51" s="695"/>
      <c r="I51" s="695"/>
      <c r="J51" s="695"/>
      <c r="K51" s="941"/>
      <c r="L51" s="942"/>
      <c r="M51" s="940"/>
      <c r="N51" s="940"/>
      <c r="O51" s="940"/>
      <c r="P51" s="452"/>
      <c r="Q51" s="453"/>
    </row>
    <row r="52" spans="1:17" s="457" customFormat="1" ht="15">
      <c r="A52" s="454" t="s">
        <v>1661</v>
      </c>
      <c r="B52" s="455"/>
      <c r="C52" s="1183" t="str">
        <f>YEAR(C7)&amp;"-"&amp;MONTH(C7)</f>
        <v>2024-4</v>
      </c>
      <c r="D52" s="1184">
        <f>EDATE(C52,-1)</f>
        <v>45352</v>
      </c>
      <c r="E52" s="1184">
        <f t="shared" ref="E52:O52" si="16">EDATE(D52,-1)</f>
        <v>45323</v>
      </c>
      <c r="F52" s="1184">
        <f t="shared" si="16"/>
        <v>45292</v>
      </c>
      <c r="G52" s="1184">
        <f t="shared" si="16"/>
        <v>45261</v>
      </c>
      <c r="H52" s="1184">
        <f t="shared" si="16"/>
        <v>45231</v>
      </c>
      <c r="I52" s="1184">
        <f t="shared" si="16"/>
        <v>45200</v>
      </c>
      <c r="J52" s="1184">
        <f t="shared" si="16"/>
        <v>45170</v>
      </c>
      <c r="K52" s="1184">
        <f t="shared" si="16"/>
        <v>45139</v>
      </c>
      <c r="L52" s="1184">
        <f t="shared" si="16"/>
        <v>45108</v>
      </c>
      <c r="M52" s="1184">
        <f t="shared" si="16"/>
        <v>45078</v>
      </c>
      <c r="N52" s="1184">
        <f t="shared" si="16"/>
        <v>45047</v>
      </c>
      <c r="O52" s="1184">
        <f t="shared" si="16"/>
        <v>45017</v>
      </c>
      <c r="P52" s="456"/>
    </row>
    <row r="53" spans="1:17" s="108" customFormat="1" ht="15">
      <c r="A53" s="458"/>
      <c r="B53" s="459"/>
      <c r="C53" s="1182">
        <v>100</v>
      </c>
      <c r="D53" s="461"/>
      <c r="E53" s="461"/>
      <c r="F53" s="461"/>
      <c r="G53" s="461"/>
      <c r="H53" s="461"/>
      <c r="I53" s="461"/>
      <c r="J53" s="461"/>
      <c r="K53" s="461"/>
      <c r="L53" s="461"/>
      <c r="M53" s="462"/>
      <c r="N53" s="461"/>
      <c r="O53" s="463"/>
      <c r="P53" s="453"/>
    </row>
    <row r="54" spans="1:17" s="108" customFormat="1" ht="15.75" thickBot="1">
      <c r="A54" s="464" t="s">
        <v>1698</v>
      </c>
      <c r="B54" s="465"/>
      <c r="C54" s="466"/>
      <c r="D54" s="467"/>
      <c r="E54" s="467"/>
      <c r="F54" s="467"/>
      <c r="G54" s="467"/>
      <c r="H54" s="467"/>
      <c r="I54" s="467"/>
      <c r="J54" s="467"/>
      <c r="K54" s="467"/>
      <c r="L54" s="467"/>
      <c r="M54" s="468"/>
      <c r="N54" s="2744"/>
      <c r="O54" s="2745"/>
      <c r="P54" s="453"/>
      <c r="Q54" s="453"/>
    </row>
    <row r="55" spans="1:17" s="108" customFormat="1" ht="15">
      <c r="A55" s="470" t="s">
        <v>1663</v>
      </c>
      <c r="B55" s="459"/>
      <c r="C55" s="471" t="s">
        <v>1758</v>
      </c>
      <c r="D55" s="472"/>
      <c r="E55" s="472"/>
      <c r="F55" s="472"/>
      <c r="G55" s="472"/>
      <c r="H55" s="472"/>
      <c r="I55" s="472"/>
      <c r="J55" s="472"/>
      <c r="K55" s="472"/>
      <c r="L55" s="473"/>
      <c r="M55" s="474"/>
      <c r="N55" s="932"/>
      <c r="O55" s="932"/>
      <c r="P55" s="475"/>
      <c r="Q55" s="453"/>
    </row>
    <row r="56" spans="1:17" s="108" customFormat="1" ht="15.75" thickBot="1">
      <c r="A56" s="470"/>
      <c r="B56" s="459"/>
      <c r="C56" s="587">
        <v>100</v>
      </c>
      <c r="D56" s="461"/>
      <c r="E56" s="461"/>
      <c r="F56" s="461"/>
      <c r="G56" s="461"/>
      <c r="H56" s="461"/>
      <c r="I56" s="461"/>
      <c r="J56" s="461"/>
      <c r="K56" s="461"/>
      <c r="L56" s="461"/>
      <c r="M56" s="463"/>
      <c r="N56" s="932"/>
      <c r="O56" s="932"/>
      <c r="P56" s="453"/>
      <c r="Q56" s="453"/>
    </row>
    <row r="57" spans="1:17">
      <c r="A57" s="476" t="s">
        <v>1701</v>
      </c>
      <c r="B57" s="477" t="s">
        <v>1667</v>
      </c>
      <c r="C57" s="478">
        <f>C9</f>
        <v>0</v>
      </c>
      <c r="D57" s="479"/>
      <c r="E57" s="479"/>
      <c r="F57" s="479"/>
      <c r="G57" s="479"/>
      <c r="H57" s="479"/>
      <c r="I57" s="479"/>
      <c r="J57" s="479"/>
      <c r="K57" s="480"/>
      <c r="L57" s="481"/>
      <c r="M57" s="482"/>
      <c r="N57" s="933"/>
      <c r="O57" s="933"/>
      <c r="P57" s="42"/>
      <c r="Q57" s="453"/>
    </row>
    <row r="58" spans="1:17" ht="15.75" thickBot="1">
      <c r="A58" s="483"/>
      <c r="B58" s="484"/>
      <c r="C58" s="485">
        <v>100</v>
      </c>
      <c r="D58" s="485"/>
      <c r="E58" s="485"/>
      <c r="F58" s="485"/>
      <c r="G58" s="485"/>
      <c r="H58" s="485"/>
      <c r="I58" s="485"/>
      <c r="J58" s="485"/>
      <c r="K58" s="485"/>
      <c r="L58" s="485"/>
      <c r="M58" s="486"/>
      <c r="N58" s="934"/>
      <c r="O58" s="934"/>
      <c r="P58" s="42"/>
      <c r="Q58" s="453"/>
    </row>
    <row r="59" spans="1:17" ht="27.75" thickTop="1">
      <c r="A59" s="483"/>
      <c r="B59" s="487" t="s">
        <v>1670</v>
      </c>
      <c r="C59" s="532"/>
      <c r="D59" s="532"/>
      <c r="E59" s="532"/>
      <c r="F59" s="532"/>
      <c r="G59" s="532"/>
      <c r="H59" s="532"/>
      <c r="I59" s="532"/>
      <c r="J59" s="532"/>
      <c r="K59" s="533"/>
      <c r="L59" s="534"/>
      <c r="M59" s="535"/>
      <c r="N59" s="933"/>
      <c r="O59" s="933"/>
      <c r="P59" s="42"/>
      <c r="Q59" s="453"/>
    </row>
    <row r="60" spans="1:17" ht="15.75" thickBot="1">
      <c r="A60" s="483"/>
      <c r="B60" s="492"/>
      <c r="C60" s="485"/>
      <c r="D60" s="485"/>
      <c r="E60" s="485"/>
      <c r="F60" s="485"/>
      <c r="G60" s="485"/>
      <c r="H60" s="485"/>
      <c r="I60" s="485"/>
      <c r="J60" s="485"/>
      <c r="K60" s="485"/>
      <c r="L60" s="485"/>
      <c r="M60" s="486"/>
      <c r="N60" s="934"/>
      <c r="O60" s="934"/>
      <c r="P60" s="42"/>
      <c r="Q60" s="453"/>
    </row>
    <row r="61" spans="1:17" ht="15.75" thickTop="1">
      <c r="A61" s="483"/>
      <c r="B61" s="495" t="s">
        <v>1671</v>
      </c>
      <c r="C61" s="496" t="str">
        <f>C62&amp;"（含）"&amp;"-"&amp;D62</f>
        <v>0（含）-2</v>
      </c>
      <c r="D61" s="496" t="str">
        <f t="shared" ref="D61:L61" si="17">D62&amp;"（含）"&amp;"-"&amp;E62</f>
        <v>2（含）-</v>
      </c>
      <c r="E61" s="496" t="str">
        <f t="shared" si="17"/>
        <v>（含）-</v>
      </c>
      <c r="F61" s="496" t="str">
        <f t="shared" si="17"/>
        <v>（含）-</v>
      </c>
      <c r="G61" s="496" t="str">
        <f t="shared" si="17"/>
        <v>（含）-</v>
      </c>
      <c r="H61" s="496" t="str">
        <f t="shared" si="17"/>
        <v>（含）-</v>
      </c>
      <c r="I61" s="496" t="str">
        <f t="shared" si="17"/>
        <v>（含）-</v>
      </c>
      <c r="J61" s="496" t="str">
        <f t="shared" si="17"/>
        <v>（含）-</v>
      </c>
      <c r="K61" s="496" t="str">
        <f t="shared" si="17"/>
        <v>（含）-</v>
      </c>
      <c r="L61" s="496" t="str">
        <f t="shared" si="17"/>
        <v>（含）-</v>
      </c>
      <c r="M61" s="399" t="str">
        <f>M62&amp;"（含）"&amp;"-"&amp;P62</f>
        <v>（含）-</v>
      </c>
      <c r="N61" s="934"/>
      <c r="O61" s="934"/>
      <c r="P61" s="42"/>
      <c r="Q61" s="453"/>
    </row>
    <row r="62" spans="1:17" ht="15">
      <c r="A62" s="483"/>
      <c r="B62" s="497"/>
      <c r="C62" s="498">
        <v>0</v>
      </c>
      <c r="D62" s="498">
        <v>2</v>
      </c>
      <c r="E62" s="498"/>
      <c r="F62" s="498"/>
      <c r="G62" s="498"/>
      <c r="H62" s="498"/>
      <c r="I62" s="498"/>
      <c r="J62" s="498"/>
      <c r="K62" s="499"/>
      <c r="L62" s="500"/>
      <c r="M62" s="501"/>
      <c r="N62" s="933"/>
      <c r="O62" s="933"/>
      <c r="P62" s="42"/>
      <c r="Q62" s="453"/>
    </row>
    <row r="63" spans="1:17" ht="15.75" thickBot="1">
      <c r="A63" s="483"/>
      <c r="B63" s="484"/>
      <c r="C63" s="493">
        <v>100</v>
      </c>
      <c r="D63" s="493">
        <f t="shared" ref="D63:M63" si="18">C63-$K11</f>
        <v>100</v>
      </c>
      <c r="E63" s="493">
        <f t="shared" si="18"/>
        <v>100</v>
      </c>
      <c r="F63" s="493">
        <f t="shared" si="18"/>
        <v>100</v>
      </c>
      <c r="G63" s="493">
        <f t="shared" si="18"/>
        <v>100</v>
      </c>
      <c r="H63" s="493">
        <f t="shared" si="18"/>
        <v>100</v>
      </c>
      <c r="I63" s="493">
        <f t="shared" si="18"/>
        <v>100</v>
      </c>
      <c r="J63" s="493">
        <f t="shared" si="18"/>
        <v>100</v>
      </c>
      <c r="K63" s="493">
        <f t="shared" si="18"/>
        <v>100</v>
      </c>
      <c r="L63" s="493">
        <f t="shared" si="18"/>
        <v>100</v>
      </c>
      <c r="M63" s="494">
        <f t="shared" si="18"/>
        <v>100</v>
      </c>
      <c r="N63" s="934"/>
      <c r="O63" s="934"/>
      <c r="P63" s="42"/>
      <c r="Q63" s="453"/>
    </row>
    <row r="64" spans="1:17" s="422" customFormat="1" ht="15.75" thickTop="1">
      <c r="A64" s="502"/>
      <c r="B64" s="487">
        <f>B12</f>
        <v>111</v>
      </c>
      <c r="C64" s="503"/>
      <c r="D64" s="503"/>
      <c r="E64" s="503"/>
      <c r="F64" s="503"/>
      <c r="G64" s="503"/>
      <c r="H64" s="504"/>
      <c r="I64" s="504"/>
      <c r="J64" s="504"/>
      <c r="K64" s="504"/>
      <c r="L64" s="505"/>
      <c r="M64" s="506"/>
      <c r="N64" s="935"/>
      <c r="O64" s="935"/>
      <c r="P64" s="507"/>
      <c r="Q64" s="508"/>
    </row>
    <row r="65" spans="1:17" s="422" customFormat="1" ht="15.75" thickBot="1">
      <c r="A65" s="502"/>
      <c r="B65" s="492"/>
      <c r="C65" s="509"/>
      <c r="D65" s="485"/>
      <c r="E65" s="485"/>
      <c r="F65" s="485"/>
      <c r="G65" s="485"/>
      <c r="H65" s="485"/>
      <c r="I65" s="485"/>
      <c r="J65" s="485"/>
      <c r="K65" s="485"/>
      <c r="L65" s="485"/>
      <c r="M65" s="486"/>
      <c r="N65" s="934"/>
      <c r="O65" s="934"/>
      <c r="P65" s="507"/>
      <c r="Q65" s="508"/>
    </row>
    <row r="66" spans="1:17" s="422" customFormat="1" ht="15.75" thickTop="1">
      <c r="A66" s="502"/>
      <c r="B66" s="487">
        <f>B13</f>
        <v>111</v>
      </c>
      <c r="C66" s="503"/>
      <c r="D66" s="503"/>
      <c r="E66" s="503"/>
      <c r="F66" s="503"/>
      <c r="G66" s="503"/>
      <c r="H66" s="504"/>
      <c r="I66" s="504"/>
      <c r="J66" s="504"/>
      <c r="K66" s="504"/>
      <c r="L66" s="505"/>
      <c r="M66" s="506"/>
      <c r="N66" s="935"/>
      <c r="O66" s="935"/>
      <c r="P66" s="421"/>
      <c r="Q66" s="510"/>
    </row>
    <row r="67" spans="1:17" s="422" customFormat="1" ht="15.75" thickBot="1">
      <c r="A67" s="502"/>
      <c r="B67" s="492"/>
      <c r="C67" s="509"/>
      <c r="D67" s="485"/>
      <c r="E67" s="485"/>
      <c r="F67" s="485"/>
      <c r="G67" s="509"/>
      <c r="H67" s="511"/>
      <c r="I67" s="511"/>
      <c r="J67" s="511"/>
      <c r="K67" s="511"/>
      <c r="L67" s="511"/>
      <c r="M67" s="512"/>
      <c r="N67" s="935"/>
      <c r="O67" s="935"/>
      <c r="P67" s="507"/>
      <c r="Q67" s="508"/>
    </row>
    <row r="68" spans="1:17" s="422" customFormat="1" ht="15.75" thickTop="1">
      <c r="A68" s="502"/>
      <c r="B68" s="495">
        <f>B14</f>
        <v>111</v>
      </c>
      <c r="C68" s="472"/>
      <c r="D68" s="472"/>
      <c r="E68" s="472"/>
      <c r="F68" s="472"/>
      <c r="G68" s="472"/>
      <c r="H68" s="513"/>
      <c r="I68" s="513"/>
      <c r="J68" s="513"/>
      <c r="K68" s="513"/>
      <c r="L68" s="514"/>
      <c r="M68" s="515"/>
      <c r="N68" s="935"/>
      <c r="O68" s="935"/>
      <c r="P68" s="516"/>
      <c r="Q68" s="508"/>
    </row>
    <row r="69" spans="1:17" s="422" customFormat="1" ht="15.75" thickBot="1">
      <c r="A69" s="517"/>
      <c r="B69" s="518"/>
      <c r="C69" s="519"/>
      <c r="D69" s="519"/>
      <c r="E69" s="519"/>
      <c r="F69" s="519"/>
      <c r="G69" s="519"/>
      <c r="H69" s="520"/>
      <c r="I69" s="520"/>
      <c r="J69" s="520"/>
      <c r="K69" s="520"/>
      <c r="L69" s="520"/>
      <c r="M69" s="521"/>
      <c r="N69" s="935"/>
      <c r="O69" s="935"/>
      <c r="P69" s="507"/>
      <c r="Q69" s="508"/>
    </row>
    <row r="70" spans="1:17">
      <c r="A70" s="476" t="s">
        <v>1672</v>
      </c>
      <c r="B70" s="477" t="s">
        <v>1811</v>
      </c>
      <c r="C70" s="522" t="s">
        <v>1703</v>
      </c>
      <c r="D70" s="522" t="s">
        <v>1704</v>
      </c>
      <c r="E70" s="522" t="s">
        <v>1705</v>
      </c>
      <c r="F70" s="522" t="s">
        <v>1706</v>
      </c>
      <c r="G70" s="522" t="s">
        <v>1707</v>
      </c>
      <c r="H70" s="478"/>
      <c r="I70" s="478"/>
      <c r="J70" s="478"/>
      <c r="K70" s="523"/>
      <c r="L70" s="524"/>
      <c r="M70" s="525"/>
      <c r="N70" s="933"/>
      <c r="O70" s="933"/>
      <c r="P70" s="526"/>
      <c r="Q70" s="453"/>
    </row>
    <row r="71" spans="1:17" ht="15.75" thickBot="1">
      <c r="A71" s="483"/>
      <c r="B71" s="492"/>
      <c r="C71" s="493">
        <v>100</v>
      </c>
      <c r="D71" s="493">
        <f>C71-$K15</f>
        <v>100</v>
      </c>
      <c r="E71" s="493">
        <f>D71-$K15</f>
        <v>100</v>
      </c>
      <c r="F71" s="493">
        <f>E71-$K15</f>
        <v>100</v>
      </c>
      <c r="G71" s="493">
        <f>F71-$K15</f>
        <v>100</v>
      </c>
      <c r="H71" s="493"/>
      <c r="I71" s="493"/>
      <c r="J71" s="493"/>
      <c r="K71" s="493"/>
      <c r="L71" s="493"/>
      <c r="M71" s="494"/>
      <c r="N71" s="934"/>
      <c r="O71" s="934"/>
      <c r="P71" s="42"/>
      <c r="Q71" s="453"/>
    </row>
    <row r="72" spans="1:17" ht="15.75" thickTop="1">
      <c r="A72" s="483"/>
      <c r="B72" s="487" t="s">
        <v>1708</v>
      </c>
      <c r="C72" s="527" t="s">
        <v>1703</v>
      </c>
      <c r="D72" s="527" t="s">
        <v>1704</v>
      </c>
      <c r="E72" s="527" t="s">
        <v>1705</v>
      </c>
      <c r="F72" s="527" t="s">
        <v>1706</v>
      </c>
      <c r="G72" s="527" t="s">
        <v>1707</v>
      </c>
      <c r="H72" s="488"/>
      <c r="I72" s="488"/>
      <c r="J72" s="488"/>
      <c r="K72" s="489"/>
      <c r="L72" s="490"/>
      <c r="M72" s="491"/>
      <c r="N72" s="933"/>
      <c r="O72" s="933"/>
      <c r="P72" s="42"/>
      <c r="Q72" s="453"/>
    </row>
    <row r="73" spans="1:17" ht="15.75" thickBot="1">
      <c r="A73" s="483"/>
      <c r="B73" s="492"/>
      <c r="C73" s="493">
        <v>100</v>
      </c>
      <c r="D73" s="493">
        <f>C73-$K17</f>
        <v>100</v>
      </c>
      <c r="E73" s="493">
        <f>D73-$K17</f>
        <v>100</v>
      </c>
      <c r="F73" s="493">
        <f>E73-$K17</f>
        <v>100</v>
      </c>
      <c r="G73" s="493">
        <f>F73-$K17</f>
        <v>100</v>
      </c>
      <c r="H73" s="493"/>
      <c r="I73" s="493"/>
      <c r="J73" s="493"/>
      <c r="K73" s="493"/>
      <c r="L73" s="493"/>
      <c r="M73" s="494"/>
      <c r="N73" s="934"/>
      <c r="O73" s="934"/>
      <c r="P73" s="42"/>
      <c r="Q73" s="453"/>
    </row>
    <row r="74" spans="1:17" ht="15.75" thickTop="1">
      <c r="A74" s="483"/>
      <c r="B74" s="487" t="s">
        <v>1709</v>
      </c>
      <c r="C74" s="527" t="s">
        <v>1703</v>
      </c>
      <c r="D74" s="527" t="s">
        <v>1704</v>
      </c>
      <c r="E74" s="527" t="s">
        <v>1705</v>
      </c>
      <c r="F74" s="527" t="s">
        <v>1706</v>
      </c>
      <c r="G74" s="527" t="s">
        <v>1707</v>
      </c>
      <c r="H74" s="488"/>
      <c r="I74" s="488"/>
      <c r="J74" s="488"/>
      <c r="K74" s="489"/>
      <c r="L74" s="490"/>
      <c r="M74" s="491"/>
      <c r="N74" s="933"/>
      <c r="O74" s="933"/>
      <c r="P74" s="42"/>
      <c r="Q74" s="453"/>
    </row>
    <row r="75" spans="1:17" ht="15.75" thickBot="1">
      <c r="A75" s="483"/>
      <c r="B75" s="492"/>
      <c r="C75" s="493">
        <v>100</v>
      </c>
      <c r="D75" s="493">
        <f>C75-$K19</f>
        <v>100</v>
      </c>
      <c r="E75" s="493">
        <f>D75-$K19</f>
        <v>100</v>
      </c>
      <c r="F75" s="493">
        <f>E75-$K19</f>
        <v>100</v>
      </c>
      <c r="G75" s="493">
        <f>F75-$K19</f>
        <v>100</v>
      </c>
      <c r="H75" s="493"/>
      <c r="I75" s="493"/>
      <c r="J75" s="493"/>
      <c r="K75" s="493"/>
      <c r="L75" s="493"/>
      <c r="M75" s="494"/>
      <c r="N75" s="934"/>
      <c r="O75" s="934"/>
      <c r="P75" s="42"/>
      <c r="Q75" s="453"/>
    </row>
    <row r="76" spans="1:17" ht="15.75" thickTop="1">
      <c r="A76" s="483"/>
      <c r="B76" s="495" t="s">
        <v>1795</v>
      </c>
      <c r="C76" s="608" t="s">
        <v>1781</v>
      </c>
      <c r="D76" s="608" t="s">
        <v>1782</v>
      </c>
      <c r="E76" s="608" t="s">
        <v>1783</v>
      </c>
      <c r="F76" s="608" t="s">
        <v>1784</v>
      </c>
      <c r="G76" s="608" t="s">
        <v>1785</v>
      </c>
      <c r="H76" s="488"/>
      <c r="I76" s="488"/>
      <c r="J76" s="488"/>
      <c r="K76" s="488"/>
      <c r="L76" s="488"/>
      <c r="M76" s="1129"/>
      <c r="N76" s="934"/>
      <c r="O76" s="934"/>
      <c r="P76" s="42"/>
      <c r="Q76" s="453"/>
    </row>
    <row r="77" spans="1:17" ht="15.75" thickBot="1">
      <c r="A77" s="483"/>
      <c r="B77" s="495"/>
      <c r="C77" s="493">
        <v>100</v>
      </c>
      <c r="D77" s="493">
        <f>C77-$K21</f>
        <v>100</v>
      </c>
      <c r="E77" s="493">
        <f>D77-$K21</f>
        <v>100</v>
      </c>
      <c r="F77" s="493">
        <f>E77-$K21</f>
        <v>100</v>
      </c>
      <c r="G77" s="493">
        <f>F77-$K21</f>
        <v>100</v>
      </c>
      <c r="H77" s="608"/>
      <c r="I77" s="608"/>
      <c r="J77" s="608"/>
      <c r="K77" s="608"/>
      <c r="L77" s="608"/>
      <c r="M77" s="401"/>
      <c r="N77" s="934"/>
      <c r="O77" s="934"/>
      <c r="P77" s="42"/>
      <c r="Q77" s="453"/>
    </row>
    <row r="78" spans="1:17" ht="15.75" thickTop="1">
      <c r="A78" s="483"/>
      <c r="B78" s="487" t="s">
        <v>1804</v>
      </c>
      <c r="C78" s="527" t="s">
        <v>1703</v>
      </c>
      <c r="D78" s="527" t="s">
        <v>1704</v>
      </c>
      <c r="E78" s="527" t="s">
        <v>1705</v>
      </c>
      <c r="F78" s="527" t="s">
        <v>1706</v>
      </c>
      <c r="G78" s="527" t="s">
        <v>1707</v>
      </c>
      <c r="H78" s="488"/>
      <c r="I78" s="488"/>
      <c r="J78" s="488"/>
      <c r="K78" s="489"/>
      <c r="L78" s="490"/>
      <c r="M78" s="491"/>
      <c r="N78" s="933"/>
      <c r="O78" s="933"/>
      <c r="P78" s="42"/>
      <c r="Q78" s="453"/>
    </row>
    <row r="79" spans="1:17" ht="15.75" thickBot="1">
      <c r="A79" s="483"/>
      <c r="B79" s="492"/>
      <c r="C79" s="493">
        <v>100</v>
      </c>
      <c r="D79" s="493">
        <f>C79-$K23</f>
        <v>100</v>
      </c>
      <c r="E79" s="493">
        <f>D79-$K23</f>
        <v>100</v>
      </c>
      <c r="F79" s="493">
        <f>E79-$K23</f>
        <v>100</v>
      </c>
      <c r="G79" s="493">
        <f>F79-$K23</f>
        <v>100</v>
      </c>
      <c r="H79" s="493"/>
      <c r="I79" s="493"/>
      <c r="J79" s="493"/>
      <c r="K79" s="493"/>
      <c r="L79" s="493"/>
      <c r="M79" s="494"/>
      <c r="N79" s="934"/>
      <c r="O79" s="934"/>
      <c r="P79" s="42"/>
      <c r="Q79" s="453"/>
    </row>
    <row r="80" spans="1:17" s="108" customFormat="1" ht="15.75" thickTop="1">
      <c r="A80" s="528"/>
      <c r="B80" s="487">
        <f>B25</f>
        <v>111</v>
      </c>
      <c r="C80" s="503"/>
      <c r="D80" s="503"/>
      <c r="E80" s="503"/>
      <c r="F80" s="503"/>
      <c r="G80" s="503"/>
      <c r="H80" s="503"/>
      <c r="I80" s="503"/>
      <c r="J80" s="503"/>
      <c r="K80" s="503"/>
      <c r="L80" s="529"/>
      <c r="M80" s="530"/>
      <c r="N80" s="932"/>
      <c r="O80" s="932"/>
      <c r="P80" s="42"/>
      <c r="Q80" s="453"/>
    </row>
    <row r="81" spans="1:17" s="108" customFormat="1" ht="15.75" thickBot="1">
      <c r="A81" s="528"/>
      <c r="B81" s="492"/>
      <c r="C81" s="509"/>
      <c r="D81" s="485"/>
      <c r="E81" s="485"/>
      <c r="F81" s="485"/>
      <c r="G81" s="485"/>
      <c r="H81" s="485"/>
      <c r="I81" s="485"/>
      <c r="J81" s="485"/>
      <c r="K81" s="485"/>
      <c r="L81" s="485"/>
      <c r="M81" s="486"/>
      <c r="N81" s="934"/>
      <c r="O81" s="934"/>
      <c r="P81" s="42"/>
      <c r="Q81" s="453"/>
    </row>
    <row r="82" spans="1:17" s="108" customFormat="1" ht="15.75" thickTop="1">
      <c r="A82" s="528"/>
      <c r="B82" s="487">
        <f>B26</f>
        <v>111</v>
      </c>
      <c r="C82" s="503"/>
      <c r="D82" s="503"/>
      <c r="E82" s="503"/>
      <c r="F82" s="503"/>
      <c r="G82" s="503"/>
      <c r="H82" s="503"/>
      <c r="I82" s="503"/>
      <c r="J82" s="503"/>
      <c r="K82" s="503"/>
      <c r="L82" s="529"/>
      <c r="M82" s="530"/>
      <c r="N82" s="932"/>
      <c r="O82" s="932"/>
      <c r="P82" s="42"/>
      <c r="Q82" s="453"/>
    </row>
    <row r="83" spans="1:17" s="108" customFormat="1" ht="15.75" thickBot="1">
      <c r="A83" s="528"/>
      <c r="B83" s="492"/>
      <c r="C83" s="509"/>
      <c r="D83" s="485"/>
      <c r="E83" s="485"/>
      <c r="F83" s="485"/>
      <c r="G83" s="485"/>
      <c r="H83" s="485"/>
      <c r="I83" s="485"/>
      <c r="J83" s="485"/>
      <c r="K83" s="485"/>
      <c r="L83" s="485"/>
      <c r="M83" s="486"/>
      <c r="N83" s="934"/>
      <c r="O83" s="934"/>
      <c r="P83" s="42"/>
      <c r="Q83" s="453"/>
    </row>
    <row r="84" spans="1:17" s="422" customFormat="1" ht="15.75" thickTop="1">
      <c r="A84" s="502"/>
      <c r="B84" s="487">
        <f>B27</f>
        <v>111</v>
      </c>
      <c r="C84" s="503"/>
      <c r="D84" s="503"/>
      <c r="E84" s="503"/>
      <c r="F84" s="503"/>
      <c r="G84" s="503"/>
      <c r="H84" s="503"/>
      <c r="I84" s="503"/>
      <c r="J84" s="503"/>
      <c r="K84" s="503"/>
      <c r="L84" s="529"/>
      <c r="M84" s="530"/>
      <c r="N84" s="935"/>
      <c r="O84" s="935"/>
      <c r="P84" s="507"/>
      <c r="Q84" s="508"/>
    </row>
    <row r="85" spans="1:17" s="422" customFormat="1" ht="15.75" thickBot="1">
      <c r="A85" s="502"/>
      <c r="B85" s="492"/>
      <c r="C85" s="509"/>
      <c r="D85" s="485"/>
      <c r="E85" s="485"/>
      <c r="F85" s="485"/>
      <c r="G85" s="485"/>
      <c r="H85" s="485"/>
      <c r="I85" s="485"/>
      <c r="J85" s="485"/>
      <c r="K85" s="485"/>
      <c r="L85" s="485"/>
      <c r="M85" s="486"/>
      <c r="N85" s="935"/>
      <c r="O85" s="935"/>
      <c r="P85" s="507"/>
      <c r="Q85" s="508"/>
    </row>
    <row r="86" spans="1:17" ht="15.75" thickTop="1">
      <c r="A86" s="483"/>
      <c r="B86" s="495">
        <f>B28</f>
        <v>111</v>
      </c>
      <c r="C86" s="472"/>
      <c r="D86" s="472"/>
      <c r="E86" s="472"/>
      <c r="F86" s="472"/>
      <c r="G86" s="536"/>
      <c r="H86" s="536"/>
      <c r="I86" s="536"/>
      <c r="J86" s="536"/>
      <c r="K86" s="537"/>
      <c r="L86" s="538"/>
      <c r="M86" s="539"/>
      <c r="N86" s="933"/>
      <c r="O86" s="933"/>
      <c r="P86" s="42"/>
      <c r="Q86" s="453"/>
    </row>
    <row r="87" spans="1:17" ht="15.75" thickBot="1">
      <c r="A87" s="1927"/>
      <c r="B87" s="518"/>
      <c r="C87" s="519"/>
      <c r="D87" s="519"/>
      <c r="E87" s="519"/>
      <c r="F87" s="519"/>
      <c r="G87" s="540"/>
      <c r="H87" s="540"/>
      <c r="I87" s="540"/>
      <c r="J87" s="540"/>
      <c r="K87" s="540"/>
      <c r="L87" s="540"/>
      <c r="M87" s="541"/>
      <c r="N87" s="934"/>
      <c r="O87" s="934"/>
      <c r="P87" s="42"/>
      <c r="Q87" s="453"/>
    </row>
    <row r="88" spans="1:17">
      <c r="A88" s="476" t="s">
        <v>1676</v>
      </c>
      <c r="B88" s="477" t="s">
        <v>1718</v>
      </c>
      <c r="C88" s="479"/>
      <c r="D88" s="479"/>
      <c r="E88" s="479"/>
      <c r="F88" s="479"/>
      <c r="G88" s="479"/>
      <c r="H88" s="479"/>
      <c r="I88" s="479"/>
      <c r="J88" s="479"/>
      <c r="K88" s="480"/>
      <c r="L88" s="481"/>
      <c r="M88" s="482"/>
      <c r="N88" s="933"/>
      <c r="O88" s="933"/>
      <c r="P88" s="42"/>
      <c r="Q88" s="453"/>
    </row>
    <row r="89" spans="1:17" ht="15.75" thickBot="1">
      <c r="A89" s="483"/>
      <c r="B89" s="492"/>
      <c r="C89" s="493">
        <v>100</v>
      </c>
      <c r="D89" s="493">
        <f t="shared" ref="D89:M89" si="19">C89-$K29</f>
        <v>100</v>
      </c>
      <c r="E89" s="493">
        <f t="shared" si="19"/>
        <v>100</v>
      </c>
      <c r="F89" s="493">
        <f t="shared" si="19"/>
        <v>100</v>
      </c>
      <c r="G89" s="493">
        <f t="shared" si="19"/>
        <v>100</v>
      </c>
      <c r="H89" s="493">
        <f t="shared" si="19"/>
        <v>100</v>
      </c>
      <c r="I89" s="493">
        <f t="shared" si="19"/>
        <v>100</v>
      </c>
      <c r="J89" s="493">
        <f t="shared" si="19"/>
        <v>100</v>
      </c>
      <c r="K89" s="493">
        <f t="shared" si="19"/>
        <v>100</v>
      </c>
      <c r="L89" s="493">
        <f t="shared" si="19"/>
        <v>100</v>
      </c>
      <c r="M89" s="494">
        <f t="shared" si="19"/>
        <v>100</v>
      </c>
      <c r="N89" s="934"/>
      <c r="O89" s="934"/>
      <c r="P89" s="42"/>
      <c r="Q89" s="453"/>
    </row>
    <row r="90" spans="1:17" ht="15.75" thickTop="1">
      <c r="A90" s="483"/>
      <c r="B90" s="487" t="s">
        <v>1719</v>
      </c>
      <c r="C90" s="527" t="str">
        <f>C91&amp;"(含)"&amp;"-"&amp;D91</f>
        <v>(含)-</v>
      </c>
      <c r="D90" s="527" t="str">
        <f t="shared" ref="D90:L90" si="20">D91&amp;"(含)"&amp;"-"&amp;E91</f>
        <v>(含)-</v>
      </c>
      <c r="E90" s="527" t="str">
        <f t="shared" si="20"/>
        <v>(含)-</v>
      </c>
      <c r="F90" s="527" t="str">
        <f t="shared" si="20"/>
        <v>(含)-</v>
      </c>
      <c r="G90" s="527" t="str">
        <f t="shared" si="20"/>
        <v>(含)-</v>
      </c>
      <c r="H90" s="527" t="str">
        <f t="shared" si="20"/>
        <v>(含)-</v>
      </c>
      <c r="I90" s="527" t="str">
        <f t="shared" si="20"/>
        <v>(含)-</v>
      </c>
      <c r="J90" s="527" t="str">
        <f t="shared" si="20"/>
        <v>(含)-</v>
      </c>
      <c r="K90" s="527" t="str">
        <f t="shared" si="20"/>
        <v>(含)-</v>
      </c>
      <c r="L90" s="527" t="str">
        <f t="shared" si="20"/>
        <v>(含)-</v>
      </c>
      <c r="M90" s="570" t="str">
        <f>M91&amp;"(含)"&amp;"-"&amp;P91</f>
        <v>(含)-</v>
      </c>
      <c r="N90" s="932"/>
      <c r="O90" s="932"/>
      <c r="P90" s="42"/>
      <c r="Q90" s="453"/>
    </row>
    <row r="91" spans="1:17" s="422" customFormat="1">
      <c r="A91" s="542"/>
      <c r="B91" s="543"/>
      <c r="C91" s="544"/>
      <c r="D91" s="544"/>
      <c r="E91" s="544"/>
      <c r="F91" s="544"/>
      <c r="G91" s="544"/>
      <c r="H91" s="544"/>
      <c r="I91" s="544"/>
      <c r="J91" s="545"/>
      <c r="K91" s="545"/>
      <c r="L91" s="546"/>
      <c r="M91" s="547"/>
      <c r="N91" s="935"/>
      <c r="O91" s="935"/>
      <c r="P91" s="507"/>
      <c r="Q91" s="508"/>
    </row>
    <row r="92" spans="1:17" s="422" customFormat="1" ht="15.75" thickBot="1">
      <c r="A92" s="502"/>
      <c r="B92" s="492"/>
      <c r="C92" s="509"/>
      <c r="D92" s="485"/>
      <c r="E92" s="485"/>
      <c r="F92" s="485"/>
      <c r="G92" s="485"/>
      <c r="H92" s="485"/>
      <c r="I92" s="485"/>
      <c r="J92" s="485"/>
      <c r="K92" s="485"/>
      <c r="L92" s="485"/>
      <c r="M92" s="486"/>
      <c r="N92" s="934"/>
      <c r="O92" s="934"/>
      <c r="P92" s="507"/>
      <c r="Q92" s="508"/>
    </row>
    <row r="93" spans="1:17" ht="15" thickTop="1">
      <c r="A93" s="548"/>
      <c r="B93" s="487" t="s">
        <v>1720</v>
      </c>
      <c r="C93" s="503"/>
      <c r="D93" s="503"/>
      <c r="E93" s="532"/>
      <c r="F93" s="532"/>
      <c r="G93" s="532"/>
      <c r="H93" s="532"/>
      <c r="I93" s="532"/>
      <c r="J93" s="532"/>
      <c r="K93" s="533"/>
      <c r="L93" s="534"/>
      <c r="M93" s="535"/>
      <c r="N93" s="933"/>
      <c r="O93" s="933"/>
      <c r="P93" s="42"/>
      <c r="Q93" s="453"/>
    </row>
    <row r="94" spans="1:17" ht="15.75" thickBot="1">
      <c r="A94" s="483"/>
      <c r="B94" s="492"/>
      <c r="C94" s="493">
        <v>100</v>
      </c>
      <c r="D94" s="493">
        <f t="shared" ref="D94:M94" si="21">C94-$K31</f>
        <v>100</v>
      </c>
      <c r="E94" s="493">
        <f t="shared" si="21"/>
        <v>100</v>
      </c>
      <c r="F94" s="493">
        <f t="shared" si="21"/>
        <v>100</v>
      </c>
      <c r="G94" s="493">
        <f t="shared" si="21"/>
        <v>100</v>
      </c>
      <c r="H94" s="493">
        <f t="shared" si="21"/>
        <v>100</v>
      </c>
      <c r="I94" s="493">
        <f t="shared" si="21"/>
        <v>100</v>
      </c>
      <c r="J94" s="493">
        <f t="shared" si="21"/>
        <v>100</v>
      </c>
      <c r="K94" s="493">
        <f t="shared" si="21"/>
        <v>100</v>
      </c>
      <c r="L94" s="493">
        <f t="shared" si="21"/>
        <v>100</v>
      </c>
      <c r="M94" s="494">
        <f t="shared" si="21"/>
        <v>100</v>
      </c>
      <c r="N94" s="934"/>
      <c r="O94" s="934"/>
      <c r="P94" s="42"/>
      <c r="Q94" s="453"/>
    </row>
    <row r="95" spans="1:17" ht="15" thickTop="1">
      <c r="A95" s="548"/>
      <c r="B95" s="487" t="s">
        <v>1722</v>
      </c>
      <c r="C95" s="503"/>
      <c r="D95" s="503"/>
      <c r="E95" s="503"/>
      <c r="F95" s="532"/>
      <c r="G95" s="532"/>
      <c r="H95" s="532"/>
      <c r="I95" s="532"/>
      <c r="J95" s="532"/>
      <c r="K95" s="533"/>
      <c r="L95" s="534"/>
      <c r="M95" s="535"/>
      <c r="N95" s="933"/>
      <c r="O95" s="933"/>
      <c r="P95" s="42"/>
      <c r="Q95" s="453"/>
    </row>
    <row r="96" spans="1:17" ht="15.75" thickBot="1">
      <c r="A96" s="483"/>
      <c r="B96" s="492"/>
      <c r="C96" s="493">
        <v>100</v>
      </c>
      <c r="D96" s="493">
        <f t="shared" ref="D96:M96" si="22">C96-$K32</f>
        <v>100</v>
      </c>
      <c r="E96" s="493">
        <f t="shared" si="22"/>
        <v>100</v>
      </c>
      <c r="F96" s="493">
        <f t="shared" si="22"/>
        <v>100</v>
      </c>
      <c r="G96" s="493">
        <f t="shared" si="22"/>
        <v>100</v>
      </c>
      <c r="H96" s="493">
        <f t="shared" si="22"/>
        <v>100</v>
      </c>
      <c r="I96" s="493">
        <f t="shared" si="22"/>
        <v>100</v>
      </c>
      <c r="J96" s="493">
        <f t="shared" si="22"/>
        <v>100</v>
      </c>
      <c r="K96" s="493">
        <f t="shared" si="22"/>
        <v>100</v>
      </c>
      <c r="L96" s="493">
        <f t="shared" si="22"/>
        <v>100</v>
      </c>
      <c r="M96" s="494">
        <f t="shared" si="22"/>
        <v>100</v>
      </c>
      <c r="N96" s="934"/>
      <c r="O96" s="934"/>
      <c r="P96" s="42"/>
      <c r="Q96" s="453"/>
    </row>
    <row r="97" spans="1:17" ht="15" thickTop="1">
      <c r="A97" s="548"/>
      <c r="B97" s="487" t="s">
        <v>1188</v>
      </c>
      <c r="C97" s="527" t="str">
        <f>C98&amp;"(含)"&amp;"-"&amp;D98</f>
        <v>0.5(含)-0.6</v>
      </c>
      <c r="D97" s="527" t="str">
        <f>D98&amp;"(含)"&amp;"-"&amp;E98</f>
        <v>0.6(含)-0.7</v>
      </c>
      <c r="E97" s="527" t="str">
        <f>E98&amp;"(含)"&amp;"-"&amp;F98</f>
        <v>0.7(含)-0.8</v>
      </c>
      <c r="F97" s="527" t="str">
        <f>F98&amp;"(含)"&amp;"-"&amp;G98</f>
        <v>0.8(含)-0.9</v>
      </c>
      <c r="G97" s="527" t="str">
        <f>G98&amp;"(含)"&amp;"-"&amp;ROUND(H98,0)&amp;"(含)"</f>
        <v>0.9(含)-1(含)</v>
      </c>
      <c r="H97" s="527"/>
      <c r="I97" s="532"/>
      <c r="J97" s="532"/>
      <c r="K97" s="533"/>
      <c r="L97" s="534"/>
      <c r="M97" s="535"/>
      <c r="N97" s="933"/>
      <c r="O97" s="933"/>
      <c r="P97" s="42"/>
      <c r="Q97" s="453"/>
    </row>
    <row r="98" spans="1:17">
      <c r="A98" s="548"/>
      <c r="B98" s="495"/>
      <c r="C98" s="552">
        <v>0.5</v>
      </c>
      <c r="D98" s="552">
        <v>0.6</v>
      </c>
      <c r="E98" s="552">
        <v>0.7</v>
      </c>
      <c r="F98" s="552">
        <v>0.8</v>
      </c>
      <c r="G98" s="552">
        <v>0.9</v>
      </c>
      <c r="H98" s="552">
        <v>1.0001</v>
      </c>
      <c r="I98" s="571"/>
      <c r="J98" s="571"/>
      <c r="K98" s="572"/>
      <c r="L98" s="573"/>
      <c r="M98" s="574"/>
      <c r="N98" s="933"/>
      <c r="O98" s="933"/>
      <c r="P98" s="42"/>
      <c r="Q98" s="453"/>
    </row>
    <row r="99" spans="1:17" ht="15.75" thickBot="1">
      <c r="A99" s="483"/>
      <c r="B99" s="492"/>
      <c r="C99" s="531">
        <v>100</v>
      </c>
      <c r="D99" s="493">
        <f>C99+$K33</f>
        <v>100</v>
      </c>
      <c r="E99" s="493">
        <f t="shared" ref="E99:M99" si="23">D99+$K33</f>
        <v>100</v>
      </c>
      <c r="F99" s="493">
        <f t="shared" si="23"/>
        <v>100</v>
      </c>
      <c r="G99" s="493">
        <f t="shared" si="23"/>
        <v>100</v>
      </c>
      <c r="H99" s="493">
        <f t="shared" si="23"/>
        <v>100</v>
      </c>
      <c r="I99" s="493">
        <f t="shared" si="23"/>
        <v>100</v>
      </c>
      <c r="J99" s="493">
        <f t="shared" si="23"/>
        <v>100</v>
      </c>
      <c r="K99" s="493">
        <f t="shared" si="23"/>
        <v>100</v>
      </c>
      <c r="L99" s="493">
        <f t="shared" si="23"/>
        <v>100</v>
      </c>
      <c r="M99" s="493">
        <f t="shared" si="23"/>
        <v>100</v>
      </c>
      <c r="N99" s="934"/>
      <c r="O99" s="934"/>
      <c r="P99" s="42"/>
      <c r="Q99" s="453"/>
    </row>
    <row r="100" spans="1:17" s="422" customFormat="1" ht="15" thickTop="1">
      <c r="A100" s="542"/>
      <c r="B100" s="487" t="s">
        <v>1723</v>
      </c>
      <c r="C100" s="503"/>
      <c r="D100" s="503"/>
      <c r="E100" s="503"/>
      <c r="F100" s="503"/>
      <c r="G100" s="503"/>
      <c r="H100" s="532"/>
      <c r="I100" s="532"/>
      <c r="J100" s="532"/>
      <c r="K100" s="533"/>
      <c r="L100" s="534"/>
      <c r="M100" s="535"/>
      <c r="N100" s="935"/>
      <c r="O100" s="935"/>
      <c r="P100" s="507"/>
      <c r="Q100" s="508"/>
    </row>
    <row r="101" spans="1:17" s="422" customFormat="1" ht="15.75" thickBot="1">
      <c r="A101" s="502"/>
      <c r="B101" s="492"/>
      <c r="C101" s="493">
        <v>100</v>
      </c>
      <c r="D101" s="493">
        <f>C101-$K34</f>
        <v>100</v>
      </c>
      <c r="E101" s="493">
        <f t="shared" ref="E101:M101" si="24">D101-$K34</f>
        <v>100</v>
      </c>
      <c r="F101" s="493">
        <f t="shared" si="24"/>
        <v>100</v>
      </c>
      <c r="G101" s="493">
        <f t="shared" si="24"/>
        <v>100</v>
      </c>
      <c r="H101" s="493">
        <f t="shared" si="24"/>
        <v>100</v>
      </c>
      <c r="I101" s="493">
        <f t="shared" si="24"/>
        <v>100</v>
      </c>
      <c r="J101" s="493">
        <f t="shared" si="24"/>
        <v>100</v>
      </c>
      <c r="K101" s="493">
        <f t="shared" si="24"/>
        <v>100</v>
      </c>
      <c r="L101" s="493">
        <f t="shared" si="24"/>
        <v>100</v>
      </c>
      <c r="M101" s="493">
        <f t="shared" si="24"/>
        <v>100</v>
      </c>
      <c r="N101" s="935"/>
      <c r="O101" s="935"/>
      <c r="P101" s="507"/>
      <c r="Q101" s="508"/>
    </row>
    <row r="102" spans="1:17" ht="15" thickTop="1">
      <c r="A102" s="548"/>
      <c r="B102" s="487" t="s">
        <v>1724</v>
      </c>
      <c r="C102" s="503"/>
      <c r="D102" s="503"/>
      <c r="E102" s="503"/>
      <c r="F102" s="503"/>
      <c r="G102" s="503"/>
      <c r="H102" s="532"/>
      <c r="I102" s="532"/>
      <c r="J102" s="532"/>
      <c r="K102" s="533"/>
      <c r="L102" s="534"/>
      <c r="M102" s="535"/>
      <c r="N102" s="933"/>
      <c r="O102" s="933"/>
      <c r="P102" s="42"/>
      <c r="Q102" s="453"/>
    </row>
    <row r="103" spans="1:17" ht="15.75" thickBot="1">
      <c r="A103" s="483"/>
      <c r="B103" s="492"/>
      <c r="C103" s="493">
        <v>100</v>
      </c>
      <c r="D103" s="493">
        <f t="shared" ref="D103:M103" si="25">C103-$K35</f>
        <v>100</v>
      </c>
      <c r="E103" s="493">
        <f t="shared" si="25"/>
        <v>100</v>
      </c>
      <c r="F103" s="493">
        <f t="shared" si="25"/>
        <v>100</v>
      </c>
      <c r="G103" s="493">
        <f t="shared" si="25"/>
        <v>100</v>
      </c>
      <c r="H103" s="493">
        <f t="shared" si="25"/>
        <v>100</v>
      </c>
      <c r="I103" s="493">
        <f t="shared" si="25"/>
        <v>100</v>
      </c>
      <c r="J103" s="493">
        <f t="shared" si="25"/>
        <v>100</v>
      </c>
      <c r="K103" s="493">
        <f t="shared" si="25"/>
        <v>100</v>
      </c>
      <c r="L103" s="493">
        <f t="shared" si="25"/>
        <v>100</v>
      </c>
      <c r="M103" s="494">
        <f t="shared" si="25"/>
        <v>100</v>
      </c>
      <c r="N103" s="934"/>
      <c r="O103" s="934"/>
      <c r="P103" s="42"/>
      <c r="Q103" s="453"/>
    </row>
    <row r="104" spans="1:17" ht="15" thickTop="1">
      <c r="A104" s="548"/>
      <c r="B104" s="487" t="s">
        <v>1726</v>
      </c>
      <c r="C104" s="503"/>
      <c r="D104" s="503"/>
      <c r="E104" s="503"/>
      <c r="F104" s="503"/>
      <c r="G104" s="503"/>
      <c r="H104" s="532"/>
      <c r="I104" s="532"/>
      <c r="J104" s="532"/>
      <c r="K104" s="533"/>
      <c r="L104" s="534"/>
      <c r="M104" s="535"/>
      <c r="N104" s="933"/>
      <c r="O104" s="933"/>
      <c r="P104" s="42"/>
      <c r="Q104" s="453"/>
    </row>
    <row r="105" spans="1:17" ht="15.75" thickBot="1">
      <c r="A105" s="483"/>
      <c r="B105" s="492"/>
      <c r="C105" s="493">
        <v>100</v>
      </c>
      <c r="D105" s="493">
        <f>C105-$K36</f>
        <v>100</v>
      </c>
      <c r="E105" s="493">
        <f>D105-$K36</f>
        <v>100</v>
      </c>
      <c r="F105" s="493">
        <f>E105-$K36</f>
        <v>100</v>
      </c>
      <c r="G105" s="493">
        <f>F105-$K36</f>
        <v>100</v>
      </c>
      <c r="H105" s="493"/>
      <c r="I105" s="493"/>
      <c r="J105" s="493"/>
      <c r="K105" s="493"/>
      <c r="L105" s="493"/>
      <c r="M105" s="494"/>
      <c r="N105" s="934"/>
      <c r="O105" s="934"/>
      <c r="P105" s="42"/>
      <c r="Q105" s="453"/>
    </row>
    <row r="106" spans="1:17" ht="15" thickTop="1">
      <c r="A106" s="548"/>
      <c r="B106" s="584" t="s">
        <v>1812</v>
      </c>
      <c r="C106" s="527" t="s">
        <v>1703</v>
      </c>
      <c r="D106" s="527" t="s">
        <v>1704</v>
      </c>
      <c r="E106" s="527" t="s">
        <v>1705</v>
      </c>
      <c r="F106" s="527" t="s">
        <v>1706</v>
      </c>
      <c r="G106" s="527" t="s">
        <v>1707</v>
      </c>
      <c r="H106" s="488"/>
      <c r="I106" s="488"/>
      <c r="J106" s="488"/>
      <c r="K106" s="489"/>
      <c r="L106" s="490"/>
      <c r="M106" s="491"/>
      <c r="N106" s="934"/>
      <c r="O106" s="934"/>
      <c r="P106" s="585"/>
      <c r="Q106" s="586"/>
    </row>
    <row r="107" spans="1:17" ht="15.75" thickBot="1">
      <c r="A107" s="483"/>
      <c r="B107" s="492"/>
      <c r="C107" s="531">
        <v>100</v>
      </c>
      <c r="D107" s="493">
        <f t="shared" ref="D107:M107" si="26">C107-$K37</f>
        <v>100</v>
      </c>
      <c r="E107" s="493">
        <f t="shared" si="26"/>
        <v>100</v>
      </c>
      <c r="F107" s="493">
        <f t="shared" si="26"/>
        <v>100</v>
      </c>
      <c r="G107" s="493">
        <f t="shared" si="26"/>
        <v>100</v>
      </c>
      <c r="H107" s="493">
        <f t="shared" si="26"/>
        <v>100</v>
      </c>
      <c r="I107" s="493">
        <f t="shared" si="26"/>
        <v>100</v>
      </c>
      <c r="J107" s="493">
        <f t="shared" si="26"/>
        <v>100</v>
      </c>
      <c r="K107" s="493">
        <f t="shared" si="26"/>
        <v>100</v>
      </c>
      <c r="L107" s="493">
        <f t="shared" si="26"/>
        <v>100</v>
      </c>
      <c r="M107" s="493">
        <f t="shared" si="26"/>
        <v>100</v>
      </c>
      <c r="N107" s="934"/>
      <c r="O107" s="934"/>
      <c r="P107" s="42"/>
      <c r="Q107" s="453"/>
    </row>
    <row r="108" spans="1:17" s="422" customFormat="1" ht="15" thickTop="1">
      <c r="A108" s="542"/>
      <c r="B108" s="487">
        <f>B38</f>
        <v>111</v>
      </c>
      <c r="C108" s="503"/>
      <c r="D108" s="503"/>
      <c r="E108" s="503"/>
      <c r="F108" s="503"/>
      <c r="G108" s="503"/>
      <c r="H108" s="504"/>
      <c r="I108" s="504"/>
      <c r="J108" s="504"/>
      <c r="K108" s="504"/>
      <c r="L108" s="505"/>
      <c r="M108" s="506"/>
      <c r="N108" s="935"/>
      <c r="O108" s="935"/>
      <c r="P108" s="507"/>
      <c r="Q108" s="508"/>
    </row>
    <row r="109" spans="1:17" s="422" customFormat="1" ht="15.75" thickBot="1">
      <c r="A109" s="502"/>
      <c r="B109" s="484"/>
      <c r="C109" s="509"/>
      <c r="D109" s="485"/>
      <c r="E109" s="485"/>
      <c r="F109" s="485"/>
      <c r="G109" s="509"/>
      <c r="H109" s="511"/>
      <c r="I109" s="511"/>
      <c r="J109" s="511"/>
      <c r="K109" s="511"/>
      <c r="L109" s="511"/>
      <c r="M109" s="512"/>
      <c r="N109" s="935"/>
      <c r="O109" s="935"/>
      <c r="P109" s="507"/>
      <c r="Q109" s="508"/>
    </row>
    <row r="110" spans="1:17" ht="15" thickTop="1">
      <c r="A110" s="548"/>
      <c r="B110" s="487">
        <f>B39</f>
        <v>111</v>
      </c>
      <c r="C110" s="503"/>
      <c r="D110" s="503"/>
      <c r="E110" s="503"/>
      <c r="F110" s="503"/>
      <c r="G110" s="503"/>
      <c r="H110" s="504"/>
      <c r="I110" s="504"/>
      <c r="J110" s="504"/>
      <c r="K110" s="504"/>
      <c r="L110" s="505"/>
      <c r="M110" s="506"/>
      <c r="N110" s="933"/>
      <c r="O110" s="933"/>
      <c r="P110" s="42"/>
      <c r="Q110" s="453"/>
    </row>
    <row r="111" spans="1:17" ht="15.75" thickBot="1">
      <c r="A111" s="483"/>
      <c r="B111" s="492"/>
      <c r="C111" s="509"/>
      <c r="D111" s="485"/>
      <c r="E111" s="485"/>
      <c r="F111" s="485"/>
      <c r="G111" s="509"/>
      <c r="H111" s="511"/>
      <c r="I111" s="511"/>
      <c r="J111" s="511"/>
      <c r="K111" s="511"/>
      <c r="L111" s="511"/>
      <c r="M111" s="512"/>
      <c r="N111" s="934"/>
      <c r="O111" s="934"/>
      <c r="P111" s="42"/>
      <c r="Q111" s="453"/>
    </row>
    <row r="112" spans="1:17" ht="15" thickTop="1">
      <c r="A112" s="548"/>
      <c r="B112" s="495">
        <f>B40</f>
        <v>111</v>
      </c>
      <c r="C112" s="472"/>
      <c r="D112" s="472"/>
      <c r="E112" s="472"/>
      <c r="F112" s="472"/>
      <c r="G112" s="536"/>
      <c r="H112" s="536"/>
      <c r="I112" s="536"/>
      <c r="J112" s="536"/>
      <c r="K112" s="472"/>
      <c r="L112" s="473"/>
      <c r="M112" s="539"/>
      <c r="N112" s="933"/>
      <c r="O112" s="933"/>
      <c r="P112" s="42"/>
      <c r="Q112" s="453"/>
    </row>
    <row r="113" spans="1:17" ht="15.75" thickBot="1">
      <c r="A113" s="1927"/>
      <c r="B113" s="518"/>
      <c r="C113" s="519"/>
      <c r="D113" s="519"/>
      <c r="E113" s="519"/>
      <c r="F113" s="519"/>
      <c r="G113" s="540"/>
      <c r="H113" s="540"/>
      <c r="I113" s="540"/>
      <c r="J113" s="540"/>
      <c r="K113" s="540"/>
      <c r="L113" s="540"/>
      <c r="M113" s="541"/>
      <c r="N113" s="934"/>
      <c r="O113" s="934"/>
      <c r="P113" s="42"/>
      <c r="Q113" s="453"/>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28"/>
    <mergeCell ref="Y15:Y28"/>
    <mergeCell ref="P29:P40"/>
    <mergeCell ref="Y29:Y40"/>
    <mergeCell ref="P41:Q41"/>
    <mergeCell ref="R41:S41"/>
    <mergeCell ref="T41:U41"/>
    <mergeCell ref="V41:W41"/>
    <mergeCell ref="P42:Q42"/>
    <mergeCell ref="R42:S42"/>
    <mergeCell ref="T42:U42"/>
    <mergeCell ref="V42:W42"/>
    <mergeCell ref="P43:Q43"/>
    <mergeCell ref="R43:W43"/>
  </mergeCells>
  <phoneticPr fontId="31" type="noConversion"/>
  <conditionalFormatting sqref="F46 H46">
    <cfRule type="containsText" dxfId="103" priority="20" stopIfTrue="1" operator="containsText" text="超过">
      <formula>NOT(ISERROR(SEARCH("超过",F46)))</formula>
    </cfRule>
  </conditionalFormatting>
  <conditionalFormatting sqref="H48">
    <cfRule type="containsText" dxfId="102" priority="19" stopIfTrue="1" operator="containsText" text="超过">
      <formula>NOT(ISERROR(SEARCH("超过",H48)))</formula>
    </cfRule>
  </conditionalFormatting>
  <conditionalFormatting sqref="F48">
    <cfRule type="containsText" dxfId="101" priority="18" stopIfTrue="1" operator="containsText" text="超过">
      <formula>NOT(ISERROR(SEARCH("超过",F48)))</formula>
    </cfRule>
  </conditionalFormatting>
  <conditionalFormatting sqref="F47 H47">
    <cfRule type="containsText" dxfId="100" priority="17" stopIfTrue="1" operator="containsText" text="超过">
      <formula>NOT(ISERROR(SEARCH("超过",F47)))</formula>
    </cfRule>
  </conditionalFormatting>
  <conditionalFormatting sqref="E46">
    <cfRule type="expression" dxfId="99" priority="16" stopIfTrue="1">
      <formula>$F$46="超过30%"</formula>
    </cfRule>
  </conditionalFormatting>
  <conditionalFormatting sqref="E47">
    <cfRule type="expression" dxfId="98" priority="15" stopIfTrue="1">
      <formula>$F$47="超过20%"</formula>
    </cfRule>
  </conditionalFormatting>
  <conditionalFormatting sqref="E48">
    <cfRule type="expression" dxfId="97" priority="14" stopIfTrue="1">
      <formula>$F$48="超过30%"</formula>
    </cfRule>
  </conditionalFormatting>
  <conditionalFormatting sqref="G48">
    <cfRule type="expression" dxfId="96" priority="13" stopIfTrue="1">
      <formula>$H$48="超过30%"</formula>
    </cfRule>
  </conditionalFormatting>
  <conditionalFormatting sqref="G46">
    <cfRule type="expression" dxfId="95" priority="12" stopIfTrue="1">
      <formula>$H$46="超过30%"</formula>
    </cfRule>
  </conditionalFormatting>
  <conditionalFormatting sqref="G47">
    <cfRule type="expression" dxfId="94" priority="11" stopIfTrue="1">
      <formula>$H$47="超过20%"</formula>
    </cfRule>
  </conditionalFormatting>
  <conditionalFormatting sqref="J46">
    <cfRule type="containsText" dxfId="93" priority="10" stopIfTrue="1" operator="containsText" text="超过">
      <formula>NOT(ISERROR(SEARCH("超过",J46)))</formula>
    </cfRule>
  </conditionalFormatting>
  <conditionalFormatting sqref="J48">
    <cfRule type="containsText" dxfId="92" priority="9" stopIfTrue="1" operator="containsText" text="超过">
      <formula>NOT(ISERROR(SEARCH("超过",J48)))</formula>
    </cfRule>
  </conditionalFormatting>
  <conditionalFormatting sqref="J47">
    <cfRule type="containsText" dxfId="91" priority="8" stopIfTrue="1" operator="containsText" text="超过">
      <formula>NOT(ISERROR(SEARCH("超过",J47)))</formula>
    </cfRule>
  </conditionalFormatting>
  <conditionalFormatting sqref="I46">
    <cfRule type="expression" dxfId="90" priority="7" stopIfTrue="1">
      <formula>$J$46="超过30%"</formula>
    </cfRule>
  </conditionalFormatting>
  <conditionalFormatting sqref="I47">
    <cfRule type="expression" dxfId="89" priority="6" stopIfTrue="1">
      <formula>$J$47="超过20%"</formula>
    </cfRule>
  </conditionalFormatting>
  <conditionalFormatting sqref="I48">
    <cfRule type="expression" dxfId="88" priority="5" stopIfTrue="1">
      <formula>$J$48="超过30%"</formula>
    </cfRule>
  </conditionalFormatting>
  <conditionalFormatting sqref="F42">
    <cfRule type="expression" dxfId="87" priority="4">
      <formula>$D$42="简单平均"</formula>
    </cfRule>
  </conditionalFormatting>
  <conditionalFormatting sqref="H42">
    <cfRule type="expression" dxfId="86" priority="3">
      <formula>$D$42="简单平均"</formula>
    </cfRule>
  </conditionalFormatting>
  <conditionalFormatting sqref="J42">
    <cfRule type="expression" dxfId="85" priority="2">
      <formula>$D$42="简单平均"</formula>
    </cfRule>
  </conditionalFormatting>
  <conditionalFormatting sqref="F7:F40 H7:H40 J7:J40">
    <cfRule type="cellIs" dxfId="84"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C20 G20 E20 I20">
      <formula1>公共配套设施</formula1>
    </dataValidation>
    <dataValidation type="list" allowBlank="1" showInputMessage="1" showErrorMessage="1" sqref="E18 G18 I18 C18">
      <formula1>交通便捷度</formula1>
    </dataValidation>
    <dataValidation type="list" allowBlank="1" showInputMessage="1" showErrorMessage="1" sqref="E24 G24 I24 C24">
      <formula1>环境</formula1>
    </dataValidation>
    <dataValidation type="list" allowBlank="1" showInputMessage="1" showErrorMessage="1" sqref="C8 E8 G8 I8">
      <formula1>工业交易情况</formula1>
    </dataValidation>
    <dataValidation type="list" allowBlank="1" showInputMessage="1" showErrorMessage="1" sqref="E9 G9 I9">
      <formula1>工业用途</formula1>
    </dataValidation>
    <dataValidation type="list" allowBlank="1" showInputMessage="1" showErrorMessage="1" sqref="C29 E29 G29 I29">
      <formula1>工业建筑类型</formula1>
    </dataValidation>
    <dataValidation type="list" allowBlank="1" showInputMessage="1" showErrorMessage="1" sqref="C31 E31 G31 I31">
      <formula1>工业建筑结构</formula1>
    </dataValidation>
    <dataValidation type="list" allowBlank="1" showInputMessage="1" showErrorMessage="1" sqref="C32 E32 G32 I32">
      <formula1>工业公共部分装修</formula1>
    </dataValidation>
    <dataValidation type="list" allowBlank="1" showInputMessage="1" showErrorMessage="1" sqref="C34 E34 G34 I34">
      <formula1>工业物业管理</formula1>
    </dataValidation>
    <dataValidation type="list" allowBlank="1" showInputMessage="1" showErrorMessage="1" sqref="C35 E35 G35 I35">
      <formula1>工业基础设施水平</formula1>
    </dataValidation>
    <dataValidation type="list" allowBlank="1" showInputMessage="1" showErrorMessage="1" sqref="C36 E36 G36 I36">
      <formula1>工业内部装修</formula1>
    </dataValidation>
    <dataValidation type="list" allowBlank="1" showInputMessage="1" showErrorMessage="1" sqref="C37 E37 G37 I37">
      <formula1>内部装修维护情况</formula1>
    </dataValidation>
    <dataValidation type="list" allowBlank="1" showInputMessage="1" showErrorMessage="1" sqref="C16 E16 G16 I16">
      <formula1>产业集聚程度</formula1>
    </dataValidation>
    <dataValidation type="list" allowBlank="1" showInputMessage="1" showErrorMessage="1" sqref="C22 E22 G22 I22">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42">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0.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5">
    <tabColor rgb="FF92D050"/>
    <pageSetUpPr fitToPage="1"/>
  </sheetPr>
  <dimension ref="A1:AC103"/>
  <sheetViews>
    <sheetView view="pageBreakPreview" zoomScale="60" zoomScaleNormal="60" workbookViewId="0">
      <selection activeCell="N18" sqref="N18"/>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5.5" style="357" customWidth="1"/>
    <col min="10" max="10" width="12.25" style="357" customWidth="1"/>
    <col min="11" max="11" width="12.25" style="444" customWidth="1"/>
    <col min="12" max="12" width="12.25" style="445" customWidth="1"/>
    <col min="13" max="15" width="12.25" style="357" customWidth="1"/>
    <col min="16" max="16" width="4.75" style="906"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3308</v>
      </c>
      <c r="C1" s="1223" t="s">
        <v>1644</v>
      </c>
      <c r="D1" s="1224"/>
      <c r="E1" s="3407"/>
      <c r="F1" s="1878"/>
      <c r="G1" s="1226" t="s">
        <v>1749</v>
      </c>
      <c r="H1" s="1225"/>
      <c r="I1" s="1225"/>
      <c r="J1" s="1225"/>
      <c r="K1" s="1227"/>
      <c r="L1" s="1228"/>
      <c r="M1" s="1229"/>
      <c r="N1" s="1229"/>
      <c r="O1" s="1229"/>
      <c r="P1" s="1230"/>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IF(B37="元/平方米",ROUND(C39*D3/10000,0),ROUND(F3*C39/10000,0)),IF(B37="元/平方米",ROUND(C39*D3/10000,0),ROUND(F3*C39/10000,0))-D2),IF(E1="单套模式",IF(C2="——",IF(B37="元/平方米",ROUND(C39*D3/10000,0),ROUND(F3*C39/10000,0)),IF(B37="元/平方米",ROUND(C39*D3/10000,0),ROUND(F3*C39/10000,0))-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1165"/>
      <c r="Q2" s="699"/>
      <c r="R2" s="699"/>
      <c r="S2" s="699"/>
      <c r="T2" s="699"/>
      <c r="U2" s="699"/>
      <c r="V2" s="699"/>
      <c r="W2" s="699"/>
      <c r="X2" s="699"/>
      <c r="Y2" s="699"/>
      <c r="Z2" s="699"/>
      <c r="AA2" s="699"/>
      <c r="AB2" s="699"/>
      <c r="AC2" s="700"/>
    </row>
    <row r="3" spans="1:29" s="352" customFormat="1" ht="28.5" customHeight="1" thickBot="1">
      <c r="A3" s="203" t="s">
        <v>1446</v>
      </c>
      <c r="B3" s="558" t="e">
        <f>IF(AND(C2="——",B37="元/平方米"),C39,ROUND(B2*10000/D3,0))</f>
        <v>#DIV/0!</v>
      </c>
      <c r="C3" s="354" t="s">
        <v>1750</v>
      </c>
      <c r="D3" s="353">
        <f>SUMIF('数据-汇总表'!$C19:$C33,D1,'数据-汇总表'!$E19:$E33)</f>
        <v>0</v>
      </c>
      <c r="E3" s="354" t="s">
        <v>1814</v>
      </c>
      <c r="F3" s="353">
        <f>SUMIF('数据-取费表'!A5:A15,D1,'数据-取费表'!AH5:AH15)</f>
        <v>0</v>
      </c>
      <c r="G3" s="908"/>
      <c r="H3" s="908"/>
      <c r="I3" s="908"/>
      <c r="J3" s="908"/>
      <c r="K3" s="910"/>
      <c r="L3" s="2708"/>
      <c r="M3" s="2709" t="e">
        <f ca="1">IF(C2="——",IF(B37="元/平方米",ROUND(C39*D3/10000,0),ROUND(F3*C39/10000,0)),IF(B37="元/平方米",ROUND(C39*D3/10000,0),ROUND(F3*C39/10000,0))-D2)</f>
        <v>#DIV/0!</v>
      </c>
      <c r="N3" s="2709"/>
      <c r="O3" s="2709"/>
      <c r="P3" s="1165"/>
      <c r="Q3" s="699"/>
      <c r="R3" s="699"/>
      <c r="S3" s="699"/>
      <c r="T3" s="699"/>
      <c r="U3" s="699"/>
      <c r="V3" s="699"/>
      <c r="W3" s="699"/>
      <c r="X3" s="699"/>
      <c r="Y3" s="699"/>
      <c r="Z3" s="699"/>
      <c r="AA3" s="699"/>
      <c r="AB3" s="716"/>
      <c r="AC3" s="713"/>
    </row>
    <row r="4" spans="1:29" ht="15">
      <c r="A4" s="355" t="s">
        <v>1751</v>
      </c>
      <c r="B4" s="356"/>
      <c r="C4" s="3721" t="s">
        <v>1752</v>
      </c>
      <c r="D4" s="3722"/>
      <c r="E4" s="3723" t="s">
        <v>1753</v>
      </c>
      <c r="F4" s="3724"/>
      <c r="G4" s="3721" t="s">
        <v>1754</v>
      </c>
      <c r="H4" s="3722"/>
      <c r="I4" s="3721" t="s">
        <v>1755</v>
      </c>
      <c r="J4" s="3722"/>
      <c r="K4" s="559" t="s">
        <v>1756</v>
      </c>
      <c r="L4" s="2689"/>
      <c r="M4" s="2690"/>
      <c r="N4" s="2690"/>
      <c r="O4" s="2690"/>
      <c r="P4" s="3725" t="s">
        <v>1757</v>
      </c>
      <c r="Q4" s="3726"/>
      <c r="R4" s="3731" t="s">
        <v>1753</v>
      </c>
      <c r="S4" s="3732"/>
      <c r="T4" s="3731" t="s">
        <v>1754</v>
      </c>
      <c r="U4" s="3732"/>
      <c r="V4" s="3737" t="s">
        <v>1755</v>
      </c>
      <c r="W4" s="3737"/>
      <c r="X4" s="1354"/>
      <c r="Y4" s="3731" t="s">
        <v>1757</v>
      </c>
      <c r="Z4" s="3732"/>
      <c r="AA4" s="3718" t="s">
        <v>1753</v>
      </c>
      <c r="AB4" s="3719" t="s">
        <v>1754</v>
      </c>
      <c r="AC4" s="3718" t="s">
        <v>1755</v>
      </c>
    </row>
    <row r="5" spans="1:29" ht="15">
      <c r="A5" s="358"/>
      <c r="B5" s="359"/>
      <c r="C5" s="3740" t="s">
        <v>1655</v>
      </c>
      <c r="D5" s="3741"/>
      <c r="E5" s="3747" t="s">
        <v>1656</v>
      </c>
      <c r="F5" s="3748"/>
      <c r="G5" s="3740" t="s">
        <v>1657</v>
      </c>
      <c r="H5" s="3741"/>
      <c r="I5" s="3740" t="s">
        <v>1658</v>
      </c>
      <c r="J5" s="3741"/>
      <c r="K5" s="559"/>
      <c r="L5" s="2689"/>
      <c r="M5" s="2690"/>
      <c r="N5" s="2690"/>
      <c r="O5" s="2690"/>
      <c r="P5" s="3727"/>
      <c r="Q5" s="3728"/>
      <c r="R5" s="3733"/>
      <c r="S5" s="3734"/>
      <c r="T5" s="3733"/>
      <c r="U5" s="3734"/>
      <c r="V5" s="3737"/>
      <c r="W5" s="3737"/>
      <c r="X5" s="1354"/>
      <c r="Y5" s="3733"/>
      <c r="Z5" s="3734"/>
      <c r="AA5" s="3719"/>
      <c r="AB5" s="3719"/>
      <c r="AC5" s="3719"/>
    </row>
    <row r="6" spans="1:29" ht="15.75" thickBot="1">
      <c r="A6" s="360"/>
      <c r="B6" s="361"/>
      <c r="C6" s="3738" t="s">
        <v>1659</v>
      </c>
      <c r="D6" s="3739"/>
      <c r="E6" s="3745" t="s">
        <v>1659</v>
      </c>
      <c r="F6" s="3746"/>
      <c r="G6" s="3738" t="s">
        <v>1659</v>
      </c>
      <c r="H6" s="3739"/>
      <c r="I6" s="3738" t="s">
        <v>1659</v>
      </c>
      <c r="J6" s="3739"/>
      <c r="K6" s="559" t="s">
        <v>1660</v>
      </c>
      <c r="L6" s="2689"/>
      <c r="M6" s="2690"/>
      <c r="N6" s="2690"/>
      <c r="O6" s="2690"/>
      <c r="P6" s="3729"/>
      <c r="Q6" s="3730"/>
      <c r="R6" s="3733"/>
      <c r="S6" s="3734"/>
      <c r="T6" s="3735"/>
      <c r="U6" s="3736"/>
      <c r="V6" s="3737"/>
      <c r="W6" s="3737"/>
      <c r="X6" s="1354"/>
      <c r="Y6" s="3735"/>
      <c r="Z6" s="3736"/>
      <c r="AA6" s="3720"/>
      <c r="AB6" s="3720"/>
      <c r="AC6" s="3720"/>
    </row>
    <row r="7" spans="1:29" s="108" customFormat="1" ht="15.75" thickBot="1">
      <c r="A7" s="362" t="s">
        <v>1661</v>
      </c>
      <c r="B7" s="363"/>
      <c r="C7" s="364">
        <f>'数据-取费表'!B2</f>
        <v>45400</v>
      </c>
      <c r="D7" s="365">
        <v>100</v>
      </c>
      <c r="E7" s="366"/>
      <c r="F7" s="367">
        <f>SUMIF(48:48,YEAR(E7)&amp;"-"&amp;MONTH(E7),49:49)</f>
        <v>0</v>
      </c>
      <c r="G7" s="366"/>
      <c r="H7" s="365">
        <f>SUMIF(48:48,YEAR(G7)&amp;"-"&amp;MONTH(G7),49:49)</f>
        <v>0</v>
      </c>
      <c r="I7" s="366"/>
      <c r="J7" s="365">
        <f>SUMIF(48:48,YEAR(I7)&amp;"-"&amp;MONTH(I7),49:49)</f>
        <v>0</v>
      </c>
      <c r="K7" s="560"/>
      <c r="L7" s="2691"/>
      <c r="M7" s="2692"/>
      <c r="N7" s="2692"/>
      <c r="O7" s="2692"/>
      <c r="P7" s="3742" t="s">
        <v>1662</v>
      </c>
      <c r="Q7" s="3744"/>
      <c r="R7" s="701" t="s">
        <v>14</v>
      </c>
      <c r="S7" s="702">
        <f t="shared" ref="S7:S14" si="0">F7</f>
        <v>0</v>
      </c>
      <c r="T7" s="701" t="s">
        <v>14</v>
      </c>
      <c r="U7" s="702">
        <f t="shared" ref="U7:U14" si="1">H7</f>
        <v>0</v>
      </c>
      <c r="V7" s="701" t="s">
        <v>14</v>
      </c>
      <c r="W7" s="702">
        <f t="shared" ref="W7:W14" si="2">J7</f>
        <v>0</v>
      </c>
      <c r="X7" s="703"/>
      <c r="Y7" s="3742" t="s">
        <v>1662</v>
      </c>
      <c r="Z7" s="3743"/>
      <c r="AA7" s="704" t="e">
        <f>D7/F7</f>
        <v>#DIV/0!</v>
      </c>
      <c r="AB7" s="704" t="e">
        <f>D7/H7</f>
        <v>#DIV/0!</v>
      </c>
      <c r="AC7" s="704" t="e">
        <f>D7/J7</f>
        <v>#DIV/0!</v>
      </c>
    </row>
    <row r="8" spans="1:29" s="108" customFormat="1" ht="15.75" thickBot="1">
      <c r="A8" s="362" t="s">
        <v>1663</v>
      </c>
      <c r="B8" s="363"/>
      <c r="C8" s="368"/>
      <c r="D8" s="365">
        <v>100</v>
      </c>
      <c r="E8" s="368"/>
      <c r="F8" s="367">
        <f>SUMIF(51:51,E8,52:52)-SUMIF(51:51,C8,52:52)+100</f>
        <v>100</v>
      </c>
      <c r="G8" s="368"/>
      <c r="H8" s="365">
        <f>SUMIF(51:51,G8,52:52)-SUMIF(51:51,C8,52:52)+100</f>
        <v>100</v>
      </c>
      <c r="I8" s="368"/>
      <c r="J8" s="365">
        <f>SUMIF(51:51,I8,52:52)-SUMIF(51:51,C8,52:52)+100</f>
        <v>100</v>
      </c>
      <c r="K8" s="560"/>
      <c r="L8" s="2691"/>
      <c r="M8" s="2692"/>
      <c r="N8" s="2692"/>
      <c r="O8" s="2692"/>
      <c r="P8" s="3742" t="s">
        <v>1665</v>
      </c>
      <c r="Q8" s="3743"/>
      <c r="R8" s="701" t="s">
        <v>14</v>
      </c>
      <c r="S8" s="702">
        <f t="shared" si="0"/>
        <v>100</v>
      </c>
      <c r="T8" s="701" t="s">
        <v>14</v>
      </c>
      <c r="U8" s="702">
        <f t="shared" si="1"/>
        <v>100</v>
      </c>
      <c r="V8" s="701" t="s">
        <v>14</v>
      </c>
      <c r="W8" s="702">
        <f t="shared" si="2"/>
        <v>100</v>
      </c>
      <c r="X8" s="703"/>
      <c r="Y8" s="3742" t="s">
        <v>1665</v>
      </c>
      <c r="Z8" s="3743"/>
      <c r="AA8" s="704">
        <f t="shared" ref="AA8:AA36" si="3">D8/F8</f>
        <v>1</v>
      </c>
      <c r="AB8" s="704">
        <f t="shared" ref="AB8:AB36" si="4">D8/H8</f>
        <v>1</v>
      </c>
      <c r="AC8" s="704">
        <f t="shared" ref="AC8:AC36" si="5">D8/J8</f>
        <v>1</v>
      </c>
    </row>
    <row r="9" spans="1:29" s="108" customFormat="1">
      <c r="A9" s="60" t="s">
        <v>1666</v>
      </c>
      <c r="B9" s="588" t="s">
        <v>1667</v>
      </c>
      <c r="C9" s="370"/>
      <c r="D9" s="126">
        <v>100</v>
      </c>
      <c r="E9" s="373"/>
      <c r="F9" s="126">
        <f>SUMIF(53:53,E9,54:54)-SUMIF(53:53,C9,54:54)+100</f>
        <v>100</v>
      </c>
      <c r="G9" s="371"/>
      <c r="H9" s="126">
        <f>SUMIF(53:53,G9,54:54)-SUMIF(53:53,C9,54:54)+100</f>
        <v>100</v>
      </c>
      <c r="I9" s="371"/>
      <c r="J9" s="126">
        <f>SUMIF(53:53,I9,54:54)-SUMIF(53:53,C9,54:54)+100</f>
        <v>100</v>
      </c>
      <c r="K9" s="560"/>
      <c r="L9" s="2691"/>
      <c r="M9" s="2692"/>
      <c r="N9" s="2692"/>
      <c r="O9" s="2692"/>
      <c r="P9" s="3706" t="s">
        <v>1668</v>
      </c>
      <c r="Q9" s="1342" t="str">
        <f t="shared" ref="Q9:Q14" si="6">B9</f>
        <v>用途</v>
      </c>
      <c r="R9" s="701" t="s">
        <v>14</v>
      </c>
      <c r="S9" s="702">
        <f t="shared" si="0"/>
        <v>100</v>
      </c>
      <c r="T9" s="701" t="s">
        <v>14</v>
      </c>
      <c r="U9" s="702">
        <f t="shared" si="1"/>
        <v>100</v>
      </c>
      <c r="V9" s="701" t="s">
        <v>14</v>
      </c>
      <c r="W9" s="702">
        <f t="shared" si="2"/>
        <v>100</v>
      </c>
      <c r="X9" s="703"/>
      <c r="Y9" s="3580" t="s">
        <v>1669</v>
      </c>
      <c r="Z9" s="52" t="str">
        <f t="shared" ref="Z9:Z14" si="7">Q9</f>
        <v>用途</v>
      </c>
      <c r="AA9" s="704">
        <f t="shared" si="3"/>
        <v>1</v>
      </c>
      <c r="AB9" s="704">
        <f t="shared" si="4"/>
        <v>1</v>
      </c>
      <c r="AC9" s="704">
        <f t="shared" si="5"/>
        <v>1</v>
      </c>
    </row>
    <row r="10" spans="1:29" s="378" customFormat="1" ht="27">
      <c r="A10" s="589"/>
      <c r="B10" s="590" t="s">
        <v>1670</v>
      </c>
      <c r="C10" s="3408"/>
      <c r="D10" s="127">
        <v>100</v>
      </c>
      <c r="E10" s="3408"/>
      <c r="F10" s="127">
        <f>SUMIF(55:55,E10,56:56)-SUMIF(55:55,C10,56:56)+100</f>
        <v>100</v>
      </c>
      <c r="G10" s="3409"/>
      <c r="H10" s="127">
        <f>SUMIF(55:55,G10,56:56)-SUMIF(55:55,C10,56:56)+100</f>
        <v>100</v>
      </c>
      <c r="I10" s="3408"/>
      <c r="J10" s="127">
        <f>SUMIF(55:55,I10,56:56)-SUMIF(55:55,C10,56:56)+100</f>
        <v>100</v>
      </c>
      <c r="K10" s="560"/>
      <c r="L10" s="2693"/>
      <c r="M10" s="2694"/>
      <c r="N10" s="2694"/>
      <c r="O10" s="2694"/>
      <c r="P10" s="3706"/>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704">
        <f t="shared" si="5"/>
        <v>1</v>
      </c>
    </row>
    <row r="11" spans="1:29" ht="15">
      <c r="A11" s="591"/>
      <c r="B11" s="592">
        <v>111</v>
      </c>
      <c r="C11" s="383"/>
      <c r="D11" s="127">
        <v>100</v>
      </c>
      <c r="E11" s="383"/>
      <c r="F11" s="127">
        <f>SUMIF(57:57,E11,58:58)-SUMIF(57:57,C11,58:58)+100</f>
        <v>100</v>
      </c>
      <c r="G11" s="383"/>
      <c r="H11" s="127">
        <f>SUMIF(57:57,G11,58:58)-SUMIF(57:57,C11,58:58)+100</f>
        <v>100</v>
      </c>
      <c r="I11" s="383"/>
      <c r="J11" s="127">
        <f>SUMIF(57:57,I11,58:58)-SUMIF(57:57,C11,58:58)+100</f>
        <v>100</v>
      </c>
      <c r="K11" s="562"/>
      <c r="L11" s="2695"/>
      <c r="M11" s="2690"/>
      <c r="N11" s="2690"/>
      <c r="O11" s="2690"/>
      <c r="P11" s="3706"/>
      <c r="Q11" s="1342">
        <f t="shared" si="6"/>
        <v>111</v>
      </c>
      <c r="R11" s="701" t="s">
        <v>14</v>
      </c>
      <c r="S11" s="702">
        <f t="shared" si="0"/>
        <v>100</v>
      </c>
      <c r="T11" s="701" t="s">
        <v>14</v>
      </c>
      <c r="U11" s="702">
        <f t="shared" si="1"/>
        <v>100</v>
      </c>
      <c r="V11" s="701" t="s">
        <v>14</v>
      </c>
      <c r="W11" s="702">
        <f t="shared" si="2"/>
        <v>100</v>
      </c>
      <c r="X11" s="703"/>
      <c r="Y11" s="3580"/>
      <c r="Z11" s="52">
        <f t="shared" si="7"/>
        <v>111</v>
      </c>
      <c r="AA11" s="704">
        <f t="shared" si="3"/>
        <v>1</v>
      </c>
      <c r="AB11" s="704">
        <f t="shared" si="4"/>
        <v>1</v>
      </c>
      <c r="AC11" s="704">
        <f t="shared" si="5"/>
        <v>1</v>
      </c>
    </row>
    <row r="12" spans="1:29" s="108" customFormat="1" ht="15">
      <c r="A12" s="593"/>
      <c r="B12" s="592">
        <v>111</v>
      </c>
      <c r="C12" s="383"/>
      <c r="D12" s="384">
        <v>100</v>
      </c>
      <c r="E12" s="383"/>
      <c r="F12" s="127">
        <f>SUMIF(59:59,E12,60:60)-SUMIF(59:59,C12,60:60)+100</f>
        <v>100</v>
      </c>
      <c r="G12" s="383"/>
      <c r="H12" s="127">
        <f>SUMIF(59:59,G12,60:60)-SUMIF(59:59,C12,60:60)+100</f>
        <v>100</v>
      </c>
      <c r="I12" s="383"/>
      <c r="J12" s="127">
        <f>SUMIF(59:59,I12,60:60)-SUMIF(59:59,C12,60:60)+100</f>
        <v>100</v>
      </c>
      <c r="K12" s="562"/>
      <c r="L12" s="2691"/>
      <c r="M12" s="2692"/>
      <c r="N12" s="2692"/>
      <c r="O12" s="2692"/>
      <c r="P12" s="3706"/>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704">
        <f>D12/J12</f>
        <v>1</v>
      </c>
    </row>
    <row r="13" spans="1:29" ht="15.75" thickBot="1">
      <c r="A13" s="594"/>
      <c r="B13" s="592">
        <v>111</v>
      </c>
      <c r="C13" s="385"/>
      <c r="D13" s="386">
        <v>100</v>
      </c>
      <c r="E13" s="383"/>
      <c r="F13" s="127">
        <f>SUMIF(61:61,E13,62:62)-SUMIF(61:61,C13,62:62)+100</f>
        <v>100</v>
      </c>
      <c r="G13" s="383"/>
      <c r="H13" s="386">
        <f>SUMIF(61:61,G13,62:62)-SUMIF(61:61,C13,62:62)+100</f>
        <v>100</v>
      </c>
      <c r="I13" s="383"/>
      <c r="J13" s="386">
        <f>SUMIF(61:61,I13,62:62)-SUMIF(61:61,C13,62:62)+100</f>
        <v>100</v>
      </c>
      <c r="K13" s="562"/>
      <c r="L13" s="2696"/>
      <c r="M13" s="2690"/>
      <c r="N13" s="2690"/>
      <c r="O13" s="2690"/>
      <c r="P13" s="3706"/>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704">
        <f t="shared" si="5"/>
        <v>1</v>
      </c>
    </row>
    <row r="14" spans="1:29" ht="85.5">
      <c r="A14" s="355" t="s">
        <v>1672</v>
      </c>
      <c r="B14" s="577" t="s">
        <v>1815</v>
      </c>
      <c r="C14" s="1970" t="str">
        <f>IF(B1="工业",估价对象房地状况!G4,估价对象房地状况!C6)</f>
        <v>估价对象周边道路状况、公共交通通达情况、停车便捷程度，综合评价交通便捷度较好</v>
      </c>
      <c r="D14" s="392">
        <v>100</v>
      </c>
      <c r="E14" s="393"/>
      <c r="F14" s="394">
        <f>SUMIF(63:63,E15,64:64)-SUMIF(63:63,C15,64:64)+100</f>
        <v>100</v>
      </c>
      <c r="G14" s="395"/>
      <c r="H14" s="392">
        <f>SUMIF(63:63,G15,64:64)-SUMIF(63:63,C15,64:64)+100</f>
        <v>100</v>
      </c>
      <c r="I14" s="393"/>
      <c r="J14" s="392">
        <f>SUMIF(63:63,I15,64:64)-SUMIF(63:63,C15,64:64)+100</f>
        <v>100</v>
      </c>
      <c r="K14" s="563"/>
      <c r="L14" s="2696"/>
      <c r="M14" s="2690"/>
      <c r="N14" s="2690"/>
      <c r="O14" s="2690"/>
      <c r="P14" s="3708" t="s">
        <v>1673</v>
      </c>
      <c r="Q14" s="1351" t="str">
        <f t="shared" si="6"/>
        <v>交通便捷度</v>
      </c>
      <c r="R14" s="705" t="s">
        <v>14</v>
      </c>
      <c r="S14" s="706">
        <f t="shared" si="0"/>
        <v>100</v>
      </c>
      <c r="T14" s="705" t="s">
        <v>14</v>
      </c>
      <c r="U14" s="706">
        <f t="shared" si="1"/>
        <v>100</v>
      </c>
      <c r="V14" s="705" t="s">
        <v>14</v>
      </c>
      <c r="W14" s="706">
        <f t="shared" si="2"/>
        <v>100</v>
      </c>
      <c r="X14" s="1354"/>
      <c r="Y14" s="3708" t="s">
        <v>1673</v>
      </c>
      <c r="Z14" s="1355" t="str">
        <f t="shared" si="7"/>
        <v>交通便捷度</v>
      </c>
      <c r="AA14" s="1352">
        <f t="shared" si="3"/>
        <v>1</v>
      </c>
      <c r="AB14" s="1352">
        <f t="shared" si="4"/>
        <v>1</v>
      </c>
      <c r="AC14" s="1352">
        <f t="shared" si="5"/>
        <v>1</v>
      </c>
    </row>
    <row r="15" spans="1:29" ht="15">
      <c r="A15" s="358"/>
      <c r="B15" s="595"/>
      <c r="C15" s="398"/>
      <c r="D15" s="399"/>
      <c r="E15" s="398"/>
      <c r="F15" s="400"/>
      <c r="G15" s="398"/>
      <c r="H15" s="401"/>
      <c r="I15" s="398"/>
      <c r="J15" s="399"/>
      <c r="K15" s="564"/>
      <c r="L15" s="2696"/>
      <c r="M15" s="2690"/>
      <c r="N15" s="2690"/>
      <c r="O15" s="2690"/>
      <c r="P15" s="3709"/>
      <c r="Q15" s="1351"/>
      <c r="R15" s="705"/>
      <c r="S15" s="706"/>
      <c r="T15" s="705"/>
      <c r="U15" s="706"/>
      <c r="V15" s="705"/>
      <c r="W15" s="706"/>
      <c r="X15" s="1354"/>
      <c r="Y15" s="3709"/>
      <c r="Z15" s="1355"/>
      <c r="AA15" s="1352">
        <v>1</v>
      </c>
      <c r="AB15" s="1352">
        <v>1</v>
      </c>
      <c r="AC15" s="1352">
        <v>1</v>
      </c>
    </row>
    <row r="16" spans="1:29" ht="42.75">
      <c r="A16" s="358"/>
      <c r="B16" s="579" t="s">
        <v>1794</v>
      </c>
      <c r="C16" s="1899" t="str">
        <f>IF(B1="工业",估价对象房地状况!G5,估价对象房地状况!C7)</f>
        <v>估价对象所在区域公共配套设施齐备情况</v>
      </c>
      <c r="D16" s="406">
        <v>100</v>
      </c>
      <c r="E16" s="408"/>
      <c r="F16" s="409">
        <f>SUMIF(65:65,E17,66:66)-SUMIF(65:65,C17,66:66)+100</f>
        <v>100</v>
      </c>
      <c r="G16" s="410"/>
      <c r="H16" s="406">
        <f>SUMIF(65:65,G17,66:66)-SUMIF(65:65,C17,66:66)+100</f>
        <v>100</v>
      </c>
      <c r="I16" s="408"/>
      <c r="J16" s="406">
        <f>SUMIF(65:65,I17,66:66)-SUMIF(65:65,C17,66:66)+100</f>
        <v>100</v>
      </c>
      <c r="K16" s="563"/>
      <c r="L16" s="2696"/>
      <c r="M16" s="2690"/>
      <c r="N16" s="2690"/>
      <c r="O16" s="2690"/>
      <c r="P16" s="3709"/>
      <c r="Q16" s="1351" t="str">
        <f>B16</f>
        <v>公共配套设施</v>
      </c>
      <c r="R16" s="705" t="s">
        <v>14</v>
      </c>
      <c r="S16" s="706">
        <f>F16</f>
        <v>100</v>
      </c>
      <c r="T16" s="705" t="s">
        <v>14</v>
      </c>
      <c r="U16" s="706">
        <f>H16</f>
        <v>100</v>
      </c>
      <c r="V16" s="705" t="s">
        <v>14</v>
      </c>
      <c r="W16" s="706">
        <f>J16</f>
        <v>100</v>
      </c>
      <c r="X16" s="1354"/>
      <c r="Y16" s="3709"/>
      <c r="Z16" s="1355" t="str">
        <f>Q16</f>
        <v>公共配套设施</v>
      </c>
      <c r="AA16" s="1352">
        <f t="shared" si="3"/>
        <v>1</v>
      </c>
      <c r="AB16" s="1352">
        <f t="shared" si="4"/>
        <v>1</v>
      </c>
      <c r="AC16" s="1352">
        <f t="shared" si="5"/>
        <v>1</v>
      </c>
    </row>
    <row r="17" spans="1:29" ht="15">
      <c r="A17" s="358"/>
      <c r="B17" s="580"/>
      <c r="C17" s="1900"/>
      <c r="D17" s="399"/>
      <c r="E17" s="398"/>
      <c r="F17" s="400"/>
      <c r="G17" s="398"/>
      <c r="H17" s="399"/>
      <c r="I17" s="398"/>
      <c r="J17" s="399"/>
      <c r="K17" s="564"/>
      <c r="L17" s="2696"/>
      <c r="M17" s="2690"/>
      <c r="N17" s="2690"/>
      <c r="O17" s="2690"/>
      <c r="P17" s="3709"/>
      <c r="Q17" s="1351"/>
      <c r="R17" s="705"/>
      <c r="S17" s="706"/>
      <c r="T17" s="705"/>
      <c r="U17" s="706"/>
      <c r="V17" s="705"/>
      <c r="W17" s="706"/>
      <c r="X17" s="1354"/>
      <c r="Y17" s="3709"/>
      <c r="Z17" s="1355"/>
      <c r="AA17" s="1352">
        <v>1</v>
      </c>
      <c r="AB17" s="1352">
        <v>1</v>
      </c>
      <c r="AC17" s="1352">
        <v>1</v>
      </c>
    </row>
    <row r="18" spans="1:29" ht="28.5">
      <c r="A18" s="358"/>
      <c r="B18" s="581" t="s">
        <v>1795</v>
      </c>
      <c r="C18" s="1899" t="str">
        <f>IF(B1="工业",估价对象房地状况!G6,估价对象房地状况!C8)</f>
        <v>估价对象所在区域基础设施水平</v>
      </c>
      <c r="D18" s="401">
        <v>100</v>
      </c>
      <c r="E18" s="403"/>
      <c r="F18" s="409">
        <f>SUMIF(67:67,E19,68:68)-SUMIF(67:67,C19,68:68)+100</f>
        <v>100</v>
      </c>
      <c r="G18" s="405"/>
      <c r="H18" s="406">
        <f>SUMIF(67:67,G19,68:68)-SUMIF(67:67,C19,68:68)+100</f>
        <v>100</v>
      </c>
      <c r="I18" s="403"/>
      <c r="J18" s="406">
        <f>SUMIF(67:67,I19,68:68)-SUMIF(67:67,C19,68:68)+100</f>
        <v>100</v>
      </c>
      <c r="K18" s="563"/>
      <c r="L18" s="2696"/>
      <c r="M18" s="2690"/>
      <c r="N18" s="2690"/>
      <c r="O18" s="2690"/>
      <c r="P18" s="3709"/>
      <c r="Q18" s="1351" t="str">
        <f>B18</f>
        <v>基础设施水平</v>
      </c>
      <c r="R18" s="705" t="s">
        <v>14</v>
      </c>
      <c r="S18" s="706">
        <f>F18</f>
        <v>100</v>
      </c>
      <c r="T18" s="705" t="s">
        <v>14</v>
      </c>
      <c r="U18" s="706">
        <f>H18</f>
        <v>100</v>
      </c>
      <c r="V18" s="705" t="s">
        <v>14</v>
      </c>
      <c r="W18" s="706">
        <f>J18</f>
        <v>100</v>
      </c>
      <c r="X18" s="1354"/>
      <c r="Y18" s="3709"/>
      <c r="Z18" s="1355" t="str">
        <f>Q18</f>
        <v>基础设施水平</v>
      </c>
      <c r="AA18" s="1352">
        <f t="shared" ref="AA18" si="8">D18/F18</f>
        <v>1</v>
      </c>
      <c r="AB18" s="1352">
        <f t="shared" ref="AB18" si="9">D18/H18</f>
        <v>1</v>
      </c>
      <c r="AC18" s="1352">
        <f t="shared" ref="AC18" si="10">D18/J18</f>
        <v>1</v>
      </c>
    </row>
    <row r="19" spans="1:29" ht="15">
      <c r="A19" s="358"/>
      <c r="B19" s="581"/>
      <c r="C19" s="1900"/>
      <c r="D19" s="401"/>
      <c r="E19" s="1900"/>
      <c r="F19" s="404"/>
      <c r="G19" s="1900"/>
      <c r="H19" s="399"/>
      <c r="I19" s="398"/>
      <c r="J19" s="399"/>
      <c r="K19" s="1130"/>
      <c r="L19" s="2696"/>
      <c r="M19" s="2690"/>
      <c r="N19" s="2690"/>
      <c r="O19" s="2690"/>
      <c r="P19" s="3709"/>
      <c r="Q19" s="1351"/>
      <c r="R19" s="705"/>
      <c r="S19" s="706"/>
      <c r="T19" s="705"/>
      <c r="U19" s="706"/>
      <c r="V19" s="705"/>
      <c r="W19" s="706"/>
      <c r="X19" s="1354"/>
      <c r="Y19" s="3709"/>
      <c r="Z19" s="1355"/>
      <c r="AA19" s="1352">
        <v>1</v>
      </c>
      <c r="AB19" s="1352">
        <v>1</v>
      </c>
      <c r="AC19" s="1352">
        <v>1</v>
      </c>
    </row>
    <row r="20" spans="1:29" ht="57">
      <c r="A20" s="358"/>
      <c r="B20" s="579" t="s">
        <v>1816</v>
      </c>
      <c r="C20" s="1899" t="str">
        <f>IF(B1="工业",估价对象房地状况!G7,估价对象房地状况!C9)</f>
        <v>区域自然环境：；人文环境；综合评价环境状况一般</v>
      </c>
      <c r="D20" s="406">
        <v>100</v>
      </c>
      <c r="E20" s="408"/>
      <c r="F20" s="409">
        <f>SUMIF(69:69,E21,70:70)-SUMIF(69:69,C21,70:70)+100</f>
        <v>100</v>
      </c>
      <c r="G20" s="410"/>
      <c r="H20" s="401">
        <f>SUMIF(69:69,G21,70:70)-SUMIF(69:69,C21,70:70)+100</f>
        <v>100</v>
      </c>
      <c r="I20" s="403"/>
      <c r="J20" s="401">
        <f>SUMIF(69:69,I21,70:70)-SUMIF(69:69,C21,70:70)+100</f>
        <v>100</v>
      </c>
      <c r="K20" s="563"/>
      <c r="L20" s="2696"/>
      <c r="M20" s="2690"/>
      <c r="N20" s="2690"/>
      <c r="O20" s="2690"/>
      <c r="P20" s="3709"/>
      <c r="Q20" s="1351" t="str">
        <f>B20</f>
        <v>自然及人文环境</v>
      </c>
      <c r="R20" s="705" t="s">
        <v>14</v>
      </c>
      <c r="S20" s="706">
        <f>F20</f>
        <v>100</v>
      </c>
      <c r="T20" s="705" t="s">
        <v>14</v>
      </c>
      <c r="U20" s="706">
        <f>H20</f>
        <v>100</v>
      </c>
      <c r="V20" s="705" t="s">
        <v>14</v>
      </c>
      <c r="W20" s="706">
        <f>J20</f>
        <v>100</v>
      </c>
      <c r="X20" s="1354"/>
      <c r="Y20" s="3709"/>
      <c r="Z20" s="1355" t="str">
        <f>Q20</f>
        <v>自然及人文环境</v>
      </c>
      <c r="AA20" s="1352">
        <f t="shared" si="3"/>
        <v>1</v>
      </c>
      <c r="AB20" s="1352">
        <f t="shared" si="4"/>
        <v>1</v>
      </c>
      <c r="AC20" s="1352">
        <f t="shared" si="5"/>
        <v>1</v>
      </c>
    </row>
    <row r="21" spans="1:29" ht="15">
      <c r="A21" s="358"/>
      <c r="B21" s="580"/>
      <c r="C21" s="398"/>
      <c r="D21" s="399"/>
      <c r="E21" s="398"/>
      <c r="F21" s="400"/>
      <c r="G21" s="398"/>
      <c r="H21" s="399"/>
      <c r="I21" s="398"/>
      <c r="J21" s="399"/>
      <c r="K21" s="564"/>
      <c r="L21" s="2696"/>
      <c r="M21" s="2690"/>
      <c r="N21" s="2690"/>
      <c r="O21" s="2690"/>
      <c r="P21" s="3709"/>
      <c r="Q21" s="1351"/>
      <c r="R21" s="705"/>
      <c r="S21" s="706"/>
      <c r="T21" s="705"/>
      <c r="U21" s="706"/>
      <c r="V21" s="705"/>
      <c r="W21" s="706"/>
      <c r="X21" s="1354"/>
      <c r="Y21" s="3709"/>
      <c r="Z21" s="1355"/>
      <c r="AA21" s="1352">
        <v>1</v>
      </c>
      <c r="AB21" s="1352">
        <v>1</v>
      </c>
      <c r="AC21" s="1352">
        <v>1</v>
      </c>
    </row>
    <row r="22" spans="1:29" ht="15">
      <c r="A22" s="358"/>
      <c r="B22" s="579" t="s">
        <v>1817</v>
      </c>
      <c r="C22" s="565"/>
      <c r="D22" s="401">
        <v>100</v>
      </c>
      <c r="E22" s="565"/>
      <c r="F22" s="412">
        <f>SUMIF(71:71,E22,72:72)-SUMIF(71:71,C22,72:72)+100</f>
        <v>100</v>
      </c>
      <c r="G22" s="565"/>
      <c r="H22" s="386">
        <f>SUMIF(71:71,G22,72:72)-SUMIF(71:71,C22,72:72)+100</f>
        <v>100</v>
      </c>
      <c r="I22" s="565"/>
      <c r="J22" s="386">
        <f>SUMIF(71:71,I22,72:72)-SUMIF(71:71,C22,72:72)+100</f>
        <v>100</v>
      </c>
      <c r="K22" s="561"/>
      <c r="L22" s="2696"/>
      <c r="M22" s="2690"/>
      <c r="N22" s="2690"/>
      <c r="O22" s="2690"/>
      <c r="P22" s="3709"/>
      <c r="Q22" s="1351" t="str">
        <f>B22</f>
        <v>楼层</v>
      </c>
      <c r="R22" s="705" t="s">
        <v>14</v>
      </c>
      <c r="S22" s="706">
        <f>F22</f>
        <v>100</v>
      </c>
      <c r="T22" s="705" t="s">
        <v>14</v>
      </c>
      <c r="U22" s="706">
        <f>H22</f>
        <v>100</v>
      </c>
      <c r="V22" s="705" t="s">
        <v>14</v>
      </c>
      <c r="W22" s="706">
        <f>J22</f>
        <v>100</v>
      </c>
      <c r="X22" s="1354"/>
      <c r="Y22" s="3709"/>
      <c r="Z22" s="1355" t="str">
        <f>Q22</f>
        <v>楼层</v>
      </c>
      <c r="AA22" s="1352">
        <f t="shared" si="3"/>
        <v>1</v>
      </c>
      <c r="AB22" s="1352">
        <f t="shared" si="4"/>
        <v>1</v>
      </c>
      <c r="AC22" s="1352">
        <f t="shared" si="5"/>
        <v>1</v>
      </c>
    </row>
    <row r="23" spans="1:29" ht="15">
      <c r="A23" s="358"/>
      <c r="B23" s="596">
        <v>111</v>
      </c>
      <c r="C23" s="383"/>
      <c r="D23" s="386">
        <v>100</v>
      </c>
      <c r="E23" s="383"/>
      <c r="F23" s="412">
        <f>SUMIF(73:73,E23,74:74)-SUMIF(73:73,C23,74:74)+100</f>
        <v>100</v>
      </c>
      <c r="G23" s="383"/>
      <c r="H23" s="386">
        <f>SUMIF(73:73,G23,74:74)-SUMIF(73:73,C23,74:74)+100</f>
        <v>100</v>
      </c>
      <c r="I23" s="383"/>
      <c r="J23" s="386">
        <f>SUMIF(73:73,I23,74:74)-SUMIF(73:73,C23,74:74)+100</f>
        <v>100</v>
      </c>
      <c r="K23" s="562"/>
      <c r="L23" s="2696"/>
      <c r="M23" s="2690"/>
      <c r="N23" s="2690"/>
      <c r="O23" s="2690"/>
      <c r="P23" s="3709"/>
      <c r="Q23" s="1351">
        <f>B23</f>
        <v>111</v>
      </c>
      <c r="R23" s="705" t="s">
        <v>14</v>
      </c>
      <c r="S23" s="706">
        <f>F23</f>
        <v>100</v>
      </c>
      <c r="T23" s="705" t="s">
        <v>14</v>
      </c>
      <c r="U23" s="706">
        <f>H23</f>
        <v>100</v>
      </c>
      <c r="V23" s="705" t="s">
        <v>14</v>
      </c>
      <c r="W23" s="706">
        <f>J23</f>
        <v>100</v>
      </c>
      <c r="X23" s="1354"/>
      <c r="Y23" s="3709"/>
      <c r="Z23" s="1355">
        <f>Q23</f>
        <v>111</v>
      </c>
      <c r="AA23" s="1352">
        <f t="shared" si="3"/>
        <v>1</v>
      </c>
      <c r="AB23" s="1352">
        <f t="shared" si="4"/>
        <v>1</v>
      </c>
      <c r="AC23" s="1352">
        <f t="shared" si="5"/>
        <v>1</v>
      </c>
    </row>
    <row r="24" spans="1:29" ht="15">
      <c r="A24" s="358"/>
      <c r="B24" s="596">
        <v>111</v>
      </c>
      <c r="C24" s="383"/>
      <c r="D24" s="386">
        <v>100</v>
      </c>
      <c r="E24" s="383"/>
      <c r="F24" s="412">
        <f>SUMIF(75:75,E24,76:76)-SUMIF(75:75,C24,76:76)+100</f>
        <v>100</v>
      </c>
      <c r="G24" s="383"/>
      <c r="H24" s="386">
        <f>SUMIF(75:75,G24,76:76)-SUMIF(75:75,C24,76:76)+100</f>
        <v>100</v>
      </c>
      <c r="I24" s="383"/>
      <c r="J24" s="386">
        <f>SUMIF(75:75,I24,76:76)-SUMIF(75:75,C24,76:76)+100</f>
        <v>100</v>
      </c>
      <c r="K24" s="562"/>
      <c r="L24" s="2696"/>
      <c r="M24" s="2690"/>
      <c r="N24" s="2690"/>
      <c r="O24" s="2690"/>
      <c r="P24" s="3709"/>
      <c r="Q24" s="1351">
        <f t="shared" ref="Q24:Q36" si="11">B24</f>
        <v>111</v>
      </c>
      <c r="R24" s="705" t="s">
        <v>14</v>
      </c>
      <c r="S24" s="706">
        <f>F24</f>
        <v>100</v>
      </c>
      <c r="T24" s="705" t="s">
        <v>14</v>
      </c>
      <c r="U24" s="706">
        <f>H24</f>
        <v>100</v>
      </c>
      <c r="V24" s="705" t="s">
        <v>14</v>
      </c>
      <c r="W24" s="706">
        <f>J24</f>
        <v>100</v>
      </c>
      <c r="X24" s="1354"/>
      <c r="Y24" s="3709"/>
      <c r="Z24" s="1355">
        <f>Q24</f>
        <v>111</v>
      </c>
      <c r="AA24" s="1352">
        <f t="shared" si="3"/>
        <v>1</v>
      </c>
      <c r="AB24" s="1352">
        <f t="shared" si="4"/>
        <v>1</v>
      </c>
      <c r="AC24" s="1352">
        <f t="shared" si="5"/>
        <v>1</v>
      </c>
    </row>
    <row r="25" spans="1:29" s="108" customFormat="1" ht="15.75" thickBot="1">
      <c r="A25" s="597"/>
      <c r="B25" s="583">
        <v>111</v>
      </c>
      <c r="C25" s="388"/>
      <c r="D25" s="598">
        <v>100</v>
      </c>
      <c r="E25" s="576"/>
      <c r="F25" s="599">
        <f>SUMIF(77:77,E25,78:78)-SUMIF(77:77,C25,78:78)+100</f>
        <v>100</v>
      </c>
      <c r="G25" s="576"/>
      <c r="H25" s="598">
        <f>SUMIF(77:77,G25,78:78)-SUMIF(77:77,C25,78:78)+100</f>
        <v>100</v>
      </c>
      <c r="I25" s="576"/>
      <c r="J25" s="598">
        <f>SUMIF(77:77,I25,78:78)-SUMIF(77:77,C25,78:78)+100</f>
        <v>100</v>
      </c>
      <c r="K25" s="562"/>
      <c r="L25" s="2691"/>
      <c r="M25" s="2692"/>
      <c r="N25" s="2692"/>
      <c r="O25" s="2692"/>
      <c r="P25" s="3709"/>
      <c r="Q25" s="1342">
        <f t="shared" si="11"/>
        <v>111</v>
      </c>
      <c r="R25" s="701" t="s">
        <v>14</v>
      </c>
      <c r="S25" s="702">
        <f>F25</f>
        <v>100</v>
      </c>
      <c r="T25" s="701" t="s">
        <v>14</v>
      </c>
      <c r="U25" s="702">
        <f>H25</f>
        <v>100</v>
      </c>
      <c r="V25" s="701" t="s">
        <v>14</v>
      </c>
      <c r="W25" s="702">
        <f>J25</f>
        <v>100</v>
      </c>
      <c r="X25" s="703"/>
      <c r="Y25" s="3709"/>
      <c r="Z25" s="52">
        <f>Q25</f>
        <v>111</v>
      </c>
      <c r="AA25" s="1352">
        <f>D25/F25</f>
        <v>1</v>
      </c>
      <c r="AB25" s="1352">
        <f>D25/H25</f>
        <v>1</v>
      </c>
      <c r="AC25" s="1352">
        <f>D25/J25</f>
        <v>1</v>
      </c>
    </row>
    <row r="26" spans="1:29" ht="28.5">
      <c r="A26" s="600" t="s">
        <v>1676</v>
      </c>
      <c r="B26" s="62" t="s">
        <v>1818</v>
      </c>
      <c r="C26" s="1971" t="str">
        <f>B1</f>
        <v>车库</v>
      </c>
      <c r="D26" s="399">
        <v>100</v>
      </c>
      <c r="E26" s="398"/>
      <c r="F26" s="400">
        <f>SUMIF(79:79,E26,80:80)-SUMIF(79:79,C26,80:80)+100</f>
        <v>0</v>
      </c>
      <c r="G26" s="398"/>
      <c r="H26" s="399">
        <f>SUMIF(79:79,G26,80:80)-SUMIF(79:79,C26,80:80)+100</f>
        <v>0</v>
      </c>
      <c r="I26" s="398"/>
      <c r="J26" s="399">
        <f>SUMIF(79:79,I26,80:80)-SUMIF(79:79,C26,80:80)+100</f>
        <v>0</v>
      </c>
      <c r="K26" s="561"/>
      <c r="L26" s="2696"/>
      <c r="M26" s="2690"/>
      <c r="N26" s="2690"/>
      <c r="O26" s="2690"/>
      <c r="P26" s="3764" t="s">
        <v>1678</v>
      </c>
      <c r="Q26" s="1351" t="str">
        <f t="shared" si="11"/>
        <v>配套类型</v>
      </c>
      <c r="R26" s="705" t="s">
        <v>14</v>
      </c>
      <c r="S26" s="706">
        <f t="shared" ref="S26:S36" si="12">F26</f>
        <v>0</v>
      </c>
      <c r="T26" s="705" t="s">
        <v>14</v>
      </c>
      <c r="U26" s="706">
        <f t="shared" ref="U26:U36" si="13">H26</f>
        <v>0</v>
      </c>
      <c r="V26" s="705" t="s">
        <v>14</v>
      </c>
      <c r="W26" s="706">
        <f t="shared" ref="W26:W36" si="14">J26</f>
        <v>0</v>
      </c>
      <c r="X26" s="1354"/>
      <c r="Y26" s="3713" t="s">
        <v>1678</v>
      </c>
      <c r="Z26" s="1355" t="str">
        <f t="shared" ref="Z26:Z36" si="15">Q26</f>
        <v>配套类型</v>
      </c>
      <c r="AA26" s="1352" t="e">
        <f t="shared" si="3"/>
        <v>#DIV/0!</v>
      </c>
      <c r="AB26" s="1352" t="e">
        <f t="shared" si="4"/>
        <v>#DIV/0!</v>
      </c>
      <c r="AC26" s="1352" t="e">
        <f t="shared" si="5"/>
        <v>#DIV/0!</v>
      </c>
    </row>
    <row r="27" spans="1:29" s="422" customFormat="1" ht="15">
      <c r="A27" s="601"/>
      <c r="B27" s="602" t="s">
        <v>1819</v>
      </c>
      <c r="C27" s="603"/>
      <c r="D27" s="127">
        <v>100</v>
      </c>
      <c r="E27" s="603"/>
      <c r="F27" s="412">
        <f>SUMIF(81:81,E27,82:82)-SUMIF(81:81,C27,82:82)+100</f>
        <v>100</v>
      </c>
      <c r="G27" s="603"/>
      <c r="H27" s="386">
        <f>SUMIF(81:81,G27,82:82)-SUMIF(81:81,C27,82:82)+100</f>
        <v>100</v>
      </c>
      <c r="I27" s="603"/>
      <c r="J27" s="386">
        <f>SUMIF(81:81,I27,82:82)-SUMIF(81:81,C27,82:82)+100</f>
        <v>100</v>
      </c>
      <c r="K27" s="562"/>
      <c r="L27" s="2695"/>
      <c r="M27" s="2697"/>
      <c r="N27" s="2697"/>
      <c r="O27" s="2697"/>
      <c r="P27" s="3713"/>
      <c r="Q27" s="707" t="str">
        <f t="shared" si="11"/>
        <v>项目停车位配比</v>
      </c>
      <c r="R27" s="708" t="s">
        <v>14</v>
      </c>
      <c r="S27" s="709">
        <f t="shared" si="12"/>
        <v>100</v>
      </c>
      <c r="T27" s="708" t="s">
        <v>14</v>
      </c>
      <c r="U27" s="709">
        <f t="shared" si="13"/>
        <v>100</v>
      </c>
      <c r="V27" s="708" t="s">
        <v>14</v>
      </c>
      <c r="W27" s="709">
        <f t="shared" si="14"/>
        <v>100</v>
      </c>
      <c r="X27" s="710"/>
      <c r="Y27" s="3713"/>
      <c r="Z27" s="711" t="str">
        <f t="shared" si="15"/>
        <v>项目停车位配比</v>
      </c>
      <c r="AA27" s="1352">
        <f t="shared" si="3"/>
        <v>1</v>
      </c>
      <c r="AB27" s="1352">
        <f t="shared" si="4"/>
        <v>1</v>
      </c>
      <c r="AC27" s="1352">
        <f t="shared" si="5"/>
        <v>1</v>
      </c>
    </row>
    <row r="28" spans="1:29" ht="15">
      <c r="A28" s="604"/>
      <c r="B28" s="602" t="s">
        <v>1820</v>
      </c>
      <c r="C28" s="411"/>
      <c r="D28" s="386">
        <v>100</v>
      </c>
      <c r="E28" s="411"/>
      <c r="F28" s="412">
        <f>SUMIF(83:83,E28,84:84)-SUMIF(83:83,C28,84:84)+100</f>
        <v>100</v>
      </c>
      <c r="G28" s="411"/>
      <c r="H28" s="386">
        <f>SUMIF(83:83,G28,84:84)-SUMIF(83:83,C28,84:84)+100</f>
        <v>100</v>
      </c>
      <c r="I28" s="411"/>
      <c r="J28" s="386">
        <f>SUMIF(83:83,I28,84:84)-SUMIF(83:83,C28,84:84)+100</f>
        <v>100</v>
      </c>
      <c r="K28" s="561"/>
      <c r="L28" s="2696"/>
      <c r="M28" s="2690"/>
      <c r="N28" s="2690"/>
      <c r="O28" s="2690"/>
      <c r="P28" s="3713"/>
      <c r="Q28" s="1351" t="str">
        <f t="shared" si="11"/>
        <v>公共部分装修</v>
      </c>
      <c r="R28" s="705" t="s">
        <v>14</v>
      </c>
      <c r="S28" s="706">
        <f t="shared" si="12"/>
        <v>100</v>
      </c>
      <c r="T28" s="705" t="s">
        <v>14</v>
      </c>
      <c r="U28" s="706">
        <f t="shared" si="13"/>
        <v>100</v>
      </c>
      <c r="V28" s="705" t="s">
        <v>14</v>
      </c>
      <c r="W28" s="706">
        <f t="shared" si="14"/>
        <v>100</v>
      </c>
      <c r="X28" s="1354"/>
      <c r="Y28" s="3713"/>
      <c r="Z28" s="1355" t="str">
        <f t="shared" si="15"/>
        <v>公共部分装修</v>
      </c>
      <c r="AA28" s="1352">
        <f t="shared" si="3"/>
        <v>1</v>
      </c>
      <c r="AB28" s="1352">
        <f t="shared" si="4"/>
        <v>1</v>
      </c>
      <c r="AC28" s="1352">
        <f t="shared" si="5"/>
        <v>1</v>
      </c>
    </row>
    <row r="29" spans="1:29" ht="15">
      <c r="A29" s="604"/>
      <c r="B29" s="602" t="s">
        <v>1821</v>
      </c>
      <c r="C29" s="425"/>
      <c r="D29" s="386">
        <v>100</v>
      </c>
      <c r="E29" s="425"/>
      <c r="F29" s="412" t="e">
        <f>LOOKUP(E29,86:86,87:87)-LOOKUP(C29,86:86,87:87)+100</f>
        <v>#N/A</v>
      </c>
      <c r="G29" s="425"/>
      <c r="H29" s="412" t="e">
        <f>LOOKUP(G29,86:86,87:87)-LOOKUP(C29,86:86,87:87)+100</f>
        <v>#N/A</v>
      </c>
      <c r="I29" s="425"/>
      <c r="J29" s="386" t="e">
        <f>LOOKUP(I29,86:86,87:87)-LOOKUP(C29,86:86,87:87)+100</f>
        <v>#N/A</v>
      </c>
      <c r="K29" s="561"/>
      <c r="L29" s="2696"/>
      <c r="M29" s="2690"/>
      <c r="N29" s="2690"/>
      <c r="O29" s="2690"/>
      <c r="P29" s="3713"/>
      <c r="Q29" s="1351" t="str">
        <f t="shared" si="11"/>
        <v>成新率</v>
      </c>
      <c r="R29" s="705" t="s">
        <v>14</v>
      </c>
      <c r="S29" s="706" t="e">
        <f t="shared" si="12"/>
        <v>#N/A</v>
      </c>
      <c r="T29" s="705" t="s">
        <v>14</v>
      </c>
      <c r="U29" s="706" t="e">
        <f t="shared" si="13"/>
        <v>#N/A</v>
      </c>
      <c r="V29" s="705" t="s">
        <v>14</v>
      </c>
      <c r="W29" s="706" t="e">
        <f t="shared" si="14"/>
        <v>#N/A</v>
      </c>
      <c r="X29" s="1354"/>
      <c r="Y29" s="3713"/>
      <c r="Z29" s="1355" t="str">
        <f t="shared" si="15"/>
        <v>成新率</v>
      </c>
      <c r="AA29" s="1352" t="e">
        <f t="shared" si="3"/>
        <v>#N/A</v>
      </c>
      <c r="AB29" s="1352" t="e">
        <f t="shared" si="4"/>
        <v>#N/A</v>
      </c>
      <c r="AC29" s="1352" t="e">
        <f t="shared" si="5"/>
        <v>#N/A</v>
      </c>
    </row>
    <row r="30" spans="1:29" ht="15">
      <c r="A30" s="604"/>
      <c r="B30" s="602" t="s">
        <v>1822</v>
      </c>
      <c r="C30" s="605"/>
      <c r="D30" s="386">
        <v>100</v>
      </c>
      <c r="E30" s="605"/>
      <c r="F30" s="412">
        <f>SUMIF(88:88,E30,89:89)-SUMIF(88:88,C30,89:89)+100</f>
        <v>100</v>
      </c>
      <c r="G30" s="605"/>
      <c r="H30" s="386">
        <f>SUMIF(88:88,E30,89:89)-SUMIF(88:88,C30,89:89)+100</f>
        <v>100</v>
      </c>
      <c r="I30" s="605"/>
      <c r="J30" s="386">
        <f>SUMIF(88:88,E30,89:89)-SUMIF(88:88,C30,89:89)+100</f>
        <v>100</v>
      </c>
      <c r="K30" s="561"/>
      <c r="L30" s="2696"/>
      <c r="M30" s="2690"/>
      <c r="N30" s="2690"/>
      <c r="O30" s="2690"/>
      <c r="P30" s="3713"/>
      <c r="Q30" s="1351" t="str">
        <f t="shared" si="11"/>
        <v>物业等级</v>
      </c>
      <c r="R30" s="705" t="s">
        <v>14</v>
      </c>
      <c r="S30" s="706">
        <f t="shared" si="12"/>
        <v>100</v>
      </c>
      <c r="T30" s="705" t="s">
        <v>14</v>
      </c>
      <c r="U30" s="706">
        <f t="shared" si="13"/>
        <v>100</v>
      </c>
      <c r="V30" s="705" t="s">
        <v>14</v>
      </c>
      <c r="W30" s="706">
        <f t="shared" si="14"/>
        <v>100</v>
      </c>
      <c r="X30" s="1354"/>
      <c r="Y30" s="3713"/>
      <c r="Z30" s="1355" t="str">
        <f t="shared" si="15"/>
        <v>物业等级</v>
      </c>
      <c r="AA30" s="1352">
        <f t="shared" si="3"/>
        <v>1</v>
      </c>
      <c r="AB30" s="1352">
        <f t="shared" si="4"/>
        <v>1</v>
      </c>
      <c r="AC30" s="1352">
        <f t="shared" si="5"/>
        <v>1</v>
      </c>
    </row>
    <row r="31" spans="1:29" s="108" customFormat="1" ht="15">
      <c r="A31" s="606"/>
      <c r="B31" s="602" t="s">
        <v>1823</v>
      </c>
      <c r="C31" s="420"/>
      <c r="D31" s="127">
        <v>100</v>
      </c>
      <c r="E31" s="420"/>
      <c r="F31" s="412" t="e">
        <f>LOOKUP(E31,91:91,92:92)-LOOKUP(C31,91:91,92:92)+100</f>
        <v>#N/A</v>
      </c>
      <c r="G31" s="420"/>
      <c r="H31" s="386" t="e">
        <f>LOOKUP(G31,91:91,92:92)-LOOKUP(C31,91:91,92:92)+100</f>
        <v>#N/A</v>
      </c>
      <c r="I31" s="420"/>
      <c r="J31" s="386" t="e">
        <f>LOOKUP(I31,91:91,92:92)-LOOKUP(C31,91:91,92:92)+100</f>
        <v>#N/A</v>
      </c>
      <c r="K31" s="561"/>
      <c r="L31" s="2691"/>
      <c r="M31" s="2692"/>
      <c r="N31" s="2692"/>
      <c r="O31" s="2692"/>
      <c r="P31" s="3713"/>
      <c r="Q31" s="1342" t="str">
        <f t="shared" si="11"/>
        <v>停车位面积</v>
      </c>
      <c r="R31" s="701" t="s">
        <v>14</v>
      </c>
      <c r="S31" s="702" t="e">
        <f t="shared" si="12"/>
        <v>#N/A</v>
      </c>
      <c r="T31" s="701" t="s">
        <v>14</v>
      </c>
      <c r="U31" s="702" t="e">
        <f t="shared" si="13"/>
        <v>#N/A</v>
      </c>
      <c r="V31" s="701" t="s">
        <v>14</v>
      </c>
      <c r="W31" s="702" t="e">
        <f t="shared" si="14"/>
        <v>#N/A</v>
      </c>
      <c r="X31" s="703"/>
      <c r="Y31" s="3713"/>
      <c r="Z31" s="52" t="str">
        <f t="shared" si="15"/>
        <v>停车位面积</v>
      </c>
      <c r="AA31" s="704" t="e">
        <f t="shared" si="3"/>
        <v>#N/A</v>
      </c>
      <c r="AB31" s="704" t="e">
        <f t="shared" si="4"/>
        <v>#N/A</v>
      </c>
      <c r="AC31" s="704" t="e">
        <f t="shared" si="5"/>
        <v>#N/A</v>
      </c>
    </row>
    <row r="32" spans="1:29" ht="15">
      <c r="A32" s="604"/>
      <c r="B32" s="602" t="s">
        <v>1824</v>
      </c>
      <c r="C32" s="411"/>
      <c r="D32" s="386">
        <v>100</v>
      </c>
      <c r="E32" s="411"/>
      <c r="F32" s="412">
        <f>SUMIF(93:93,E32,94:94)-SUMIF(93:93,C32,94:94)+100</f>
        <v>100</v>
      </c>
      <c r="G32" s="411"/>
      <c r="H32" s="386">
        <f>SUMIF(93:93,G32,94:94)-SUMIF(93:93,C32,94:94)+100</f>
        <v>100</v>
      </c>
      <c r="I32" s="411"/>
      <c r="J32" s="386">
        <f>SUMIF(93:93,I32,94:94)-SUMIF(93:93,C32,94:94)+100</f>
        <v>100</v>
      </c>
      <c r="K32" s="561"/>
      <c r="L32" s="2696"/>
      <c r="M32" s="2690"/>
      <c r="N32" s="2690"/>
      <c r="O32" s="2690"/>
      <c r="P32" s="3713" t="s">
        <v>1678</v>
      </c>
      <c r="Q32" s="1351" t="str">
        <f t="shared" si="11"/>
        <v>车位类型</v>
      </c>
      <c r="R32" s="705" t="s">
        <v>14</v>
      </c>
      <c r="S32" s="706">
        <f t="shared" si="12"/>
        <v>100</v>
      </c>
      <c r="T32" s="705" t="s">
        <v>14</v>
      </c>
      <c r="U32" s="706">
        <f t="shared" si="13"/>
        <v>100</v>
      </c>
      <c r="V32" s="705" t="s">
        <v>14</v>
      </c>
      <c r="W32" s="706">
        <f t="shared" si="14"/>
        <v>100</v>
      </c>
      <c r="X32" s="1354"/>
      <c r="Y32" s="3713" t="s">
        <v>1678</v>
      </c>
      <c r="Z32" s="1355" t="str">
        <f t="shared" si="15"/>
        <v>车位类型</v>
      </c>
      <c r="AA32" s="1352">
        <f t="shared" si="3"/>
        <v>1</v>
      </c>
      <c r="AB32" s="1352">
        <f t="shared" si="4"/>
        <v>1</v>
      </c>
      <c r="AC32" s="1352">
        <f t="shared" si="5"/>
        <v>1</v>
      </c>
    </row>
    <row r="33" spans="1:29" ht="15">
      <c r="A33" s="604"/>
      <c r="B33" s="602" t="s">
        <v>1825</v>
      </c>
      <c r="C33" s="411"/>
      <c r="D33" s="386">
        <v>100</v>
      </c>
      <c r="E33" s="411"/>
      <c r="F33" s="412">
        <f>SUMIF(95:95,E33,96:96)-SUMIF(95:95,C33,96:96)+100</f>
        <v>100</v>
      </c>
      <c r="G33" s="411"/>
      <c r="H33" s="386">
        <f>SUMIF(95:95,G33,96:96)-SUMIF(95:95,C33,96:96)+100</f>
        <v>100</v>
      </c>
      <c r="I33" s="411"/>
      <c r="J33" s="386">
        <f>SUMIF(95:95,I33,96:96)-SUMIF(95:95,C33,96:96)+100</f>
        <v>100</v>
      </c>
      <c r="K33" s="561"/>
      <c r="L33" s="2696"/>
      <c r="M33" s="2690"/>
      <c r="N33" s="2690"/>
      <c r="O33" s="2690"/>
      <c r="P33" s="3713"/>
      <c r="Q33" s="1351" t="str">
        <f t="shared" si="11"/>
        <v>是否直接入户</v>
      </c>
      <c r="R33" s="705" t="s">
        <v>14</v>
      </c>
      <c r="S33" s="706">
        <f t="shared" si="12"/>
        <v>100</v>
      </c>
      <c r="T33" s="705" t="s">
        <v>14</v>
      </c>
      <c r="U33" s="706">
        <f t="shared" si="13"/>
        <v>100</v>
      </c>
      <c r="V33" s="705" t="s">
        <v>14</v>
      </c>
      <c r="W33" s="706">
        <f t="shared" si="14"/>
        <v>100</v>
      </c>
      <c r="X33" s="1354"/>
      <c r="Y33" s="3713"/>
      <c r="Z33" s="1355" t="str">
        <f t="shared" si="15"/>
        <v>是否直接入户</v>
      </c>
      <c r="AA33" s="1352">
        <f t="shared" si="3"/>
        <v>1</v>
      </c>
      <c r="AB33" s="1352">
        <f t="shared" si="4"/>
        <v>1</v>
      </c>
      <c r="AC33" s="1352">
        <f t="shared" si="5"/>
        <v>1</v>
      </c>
    </row>
    <row r="34" spans="1:29" ht="15">
      <c r="A34" s="604"/>
      <c r="B34" s="596">
        <v>111</v>
      </c>
      <c r="C34" s="383"/>
      <c r="D34" s="386">
        <v>100</v>
      </c>
      <c r="E34" s="383"/>
      <c r="F34" s="412">
        <f>SUMIF(97:97,E34,98:98)-SUMIF(97:97,C34,98:98)+100</f>
        <v>100</v>
      </c>
      <c r="G34" s="383"/>
      <c r="H34" s="386">
        <f>SUMIF(97:97,G34,98:98)-SUMIF(97:97,C34,98:98)+100</f>
        <v>100</v>
      </c>
      <c r="I34" s="383"/>
      <c r="J34" s="386">
        <f>SUMIF(97:97,I34,98:98)-SUMIF(97:97,C34,98:98)+100</f>
        <v>100</v>
      </c>
      <c r="K34" s="562"/>
      <c r="L34" s="2696"/>
      <c r="M34" s="2690"/>
      <c r="N34" s="2690"/>
      <c r="O34" s="2690"/>
      <c r="P34" s="3713"/>
      <c r="Q34" s="1351">
        <f t="shared" si="11"/>
        <v>111</v>
      </c>
      <c r="R34" s="705" t="s">
        <v>14</v>
      </c>
      <c r="S34" s="706">
        <f t="shared" si="12"/>
        <v>100</v>
      </c>
      <c r="T34" s="705" t="s">
        <v>14</v>
      </c>
      <c r="U34" s="706">
        <f t="shared" si="13"/>
        <v>100</v>
      </c>
      <c r="V34" s="705" t="s">
        <v>14</v>
      </c>
      <c r="W34" s="706">
        <f t="shared" si="14"/>
        <v>100</v>
      </c>
      <c r="X34" s="1354"/>
      <c r="Y34" s="3713"/>
      <c r="Z34" s="1355">
        <f t="shared" si="15"/>
        <v>111</v>
      </c>
      <c r="AA34" s="1352">
        <f t="shared" si="3"/>
        <v>1</v>
      </c>
      <c r="AB34" s="1352">
        <f t="shared" si="4"/>
        <v>1</v>
      </c>
      <c r="AC34" s="1352">
        <f t="shared" si="5"/>
        <v>1</v>
      </c>
    </row>
    <row r="35" spans="1:29" s="422" customFormat="1" ht="15">
      <c r="A35" s="601"/>
      <c r="B35" s="596">
        <v>111</v>
      </c>
      <c r="C35" s="383"/>
      <c r="D35" s="386">
        <v>100</v>
      </c>
      <c r="E35" s="383"/>
      <c r="F35" s="412">
        <f>SUMIF(99:99,E35,100:100)-SUMIF(99:99,C35,100:100)+100</f>
        <v>100</v>
      </c>
      <c r="G35" s="383"/>
      <c r="H35" s="386">
        <f>SUMIF(99:99,G35,100:100)-SUMIF(99:99,C35,100:100)+100</f>
        <v>100</v>
      </c>
      <c r="I35" s="383"/>
      <c r="J35" s="386">
        <f>SUMIF(99:99,I35,100:100)-SUMIF(99:99,C35,100:100)+100</f>
        <v>100</v>
      </c>
      <c r="K35" s="562"/>
      <c r="L35" s="2695"/>
      <c r="M35" s="2697"/>
      <c r="N35" s="2697"/>
      <c r="O35" s="2697"/>
      <c r="P35" s="3713"/>
      <c r="Q35" s="707">
        <f t="shared" si="11"/>
        <v>111</v>
      </c>
      <c r="R35" s="708" t="s">
        <v>14</v>
      </c>
      <c r="S35" s="709">
        <f t="shared" si="12"/>
        <v>100</v>
      </c>
      <c r="T35" s="708" t="s">
        <v>14</v>
      </c>
      <c r="U35" s="709">
        <f t="shared" si="13"/>
        <v>100</v>
      </c>
      <c r="V35" s="708" t="s">
        <v>14</v>
      </c>
      <c r="W35" s="709">
        <f t="shared" si="14"/>
        <v>100</v>
      </c>
      <c r="X35" s="710"/>
      <c r="Y35" s="3713"/>
      <c r="Z35" s="711">
        <f t="shared" si="15"/>
        <v>111</v>
      </c>
      <c r="AA35" s="1352">
        <f t="shared" si="3"/>
        <v>1</v>
      </c>
      <c r="AB35" s="1352">
        <f t="shared" si="4"/>
        <v>1</v>
      </c>
      <c r="AC35" s="1352">
        <f t="shared" si="5"/>
        <v>1</v>
      </c>
    </row>
    <row r="36" spans="1:29" ht="15.75" thickBot="1">
      <c r="A36" s="607"/>
      <c r="B36" s="583">
        <v>111</v>
      </c>
      <c r="C36" s="385"/>
      <c r="D36" s="386">
        <v>100</v>
      </c>
      <c r="E36" s="383"/>
      <c r="F36" s="412">
        <f>SUMIF(101:101,E36,102:102)-SUMIF(101:101,C36,102:102)+100</f>
        <v>100</v>
      </c>
      <c r="G36" s="383"/>
      <c r="H36" s="386">
        <f>SUMIF(101:101,G36,102:102)-SUMIF(101:101,C36,102:102)+100</f>
        <v>100</v>
      </c>
      <c r="I36" s="383"/>
      <c r="J36" s="386">
        <f>SUMIF(101:101,I36,102:102)-SUMIF(101:101,C36,102:102)+100</f>
        <v>100</v>
      </c>
      <c r="K36" s="562"/>
      <c r="L36" s="2696"/>
      <c r="M36" s="2690"/>
      <c r="N36" s="2690"/>
      <c r="O36" s="2690"/>
      <c r="P36" s="3713"/>
      <c r="Q36" s="1351">
        <f t="shared" si="11"/>
        <v>111</v>
      </c>
      <c r="R36" s="705" t="s">
        <v>14</v>
      </c>
      <c r="S36" s="706">
        <f t="shared" si="12"/>
        <v>100</v>
      </c>
      <c r="T36" s="705" t="s">
        <v>14</v>
      </c>
      <c r="U36" s="706">
        <f t="shared" si="13"/>
        <v>100</v>
      </c>
      <c r="V36" s="705" t="s">
        <v>14</v>
      </c>
      <c r="W36" s="706">
        <f t="shared" si="14"/>
        <v>100</v>
      </c>
      <c r="X36" s="1354"/>
      <c r="Y36" s="3713"/>
      <c r="Z36" s="1355">
        <f t="shared" si="15"/>
        <v>111</v>
      </c>
      <c r="AA36" s="1352">
        <f t="shared" si="3"/>
        <v>1</v>
      </c>
      <c r="AB36" s="1352">
        <f t="shared" si="4"/>
        <v>1</v>
      </c>
      <c r="AC36" s="1352">
        <f t="shared" si="5"/>
        <v>1</v>
      </c>
    </row>
    <row r="37" spans="1:29" ht="15">
      <c r="A37" s="430" t="s">
        <v>1826</v>
      </c>
      <c r="B37" s="1972" t="s">
        <v>3329</v>
      </c>
      <c r="C37" s="1154" t="s">
        <v>0</v>
      </c>
      <c r="D37" s="1155"/>
      <c r="E37" s="1156"/>
      <c r="F37" s="1157"/>
      <c r="G37" s="1158"/>
      <c r="H37" s="1159"/>
      <c r="I37" s="1156"/>
      <c r="J37" s="1159"/>
      <c r="K37" s="568"/>
      <c r="L37" s="2698"/>
      <c r="M37" s="2699"/>
      <c r="N37" s="2690"/>
      <c r="O37" s="2699"/>
      <c r="P37" s="3706" t="str">
        <f>A37</f>
        <v>成交单价</v>
      </c>
      <c r="Q37" s="3706"/>
      <c r="R37" s="3707">
        <f>E37</f>
        <v>0</v>
      </c>
      <c r="S37" s="3707"/>
      <c r="T37" s="3707">
        <f>G37</f>
        <v>0</v>
      </c>
      <c r="U37" s="3707"/>
      <c r="V37" s="3707">
        <f>I37</f>
        <v>0</v>
      </c>
      <c r="W37" s="3707"/>
      <c r="X37" s="690"/>
      <c r="Y37" s="712"/>
      <c r="Z37" s="690"/>
      <c r="AA37" s="690"/>
      <c r="AB37" s="690"/>
      <c r="AC37" s="690"/>
    </row>
    <row r="38" spans="1:29" ht="15.75" thickBot="1">
      <c r="A38" s="437" t="s">
        <v>1827</v>
      </c>
      <c r="B38" s="438" t="str">
        <f>B37</f>
        <v>元/平方米</v>
      </c>
      <c r="C38" s="1160" t="e">
        <f>R39</f>
        <v>#DIV/0!</v>
      </c>
      <c r="D38" s="2316" t="s">
        <v>2119</v>
      </c>
      <c r="E38" s="1161" t="e">
        <f>R38</f>
        <v>#DIV/0!</v>
      </c>
      <c r="F38" s="2317"/>
      <c r="G38" s="1160" t="e">
        <f>T38</f>
        <v>#DIV/0!</v>
      </c>
      <c r="H38" s="2317"/>
      <c r="I38" s="1161" t="e">
        <f>V38</f>
        <v>#DIV/0!</v>
      </c>
      <c r="J38" s="2317"/>
      <c r="K38" s="2319">
        <f>F38+H38+J38</f>
        <v>0</v>
      </c>
      <c r="L38" s="2698"/>
      <c r="M38" s="2699"/>
      <c r="N38" s="2699"/>
      <c r="O38" s="2699"/>
      <c r="P38" s="3706" t="str">
        <f>A38</f>
        <v>比较价值（元/平方米）</v>
      </c>
      <c r="Q38" s="3706"/>
      <c r="R38" s="3707" t="e">
        <f>IF(F1="售价",ROUND(PRODUCT(R37,AA7:AA36),0),ROUND(PRODUCT(R37,AA7:AA36),1))</f>
        <v>#DIV/0!</v>
      </c>
      <c r="S38" s="3707"/>
      <c r="T38" s="3707" t="e">
        <f>IF(F1="售价",ROUND(PRODUCT(T37,AB7:AB36),0),ROUND(PRODUCT(T37,AB7:AB36),1))</f>
        <v>#DIV/0!</v>
      </c>
      <c r="U38" s="3707"/>
      <c r="V38" s="3707" t="e">
        <f>IF(F1="售价",ROUND(PRODUCT(V37,AC7:AC36),0),ROUND(PRODUCT(V37,AC7:AC36),1))</f>
        <v>#DIV/0!</v>
      </c>
      <c r="W38" s="3707"/>
      <c r="X38" s="690"/>
      <c r="Y38" s="690"/>
      <c r="Z38" s="690"/>
      <c r="AA38" s="690"/>
      <c r="AB38" s="690"/>
      <c r="AC38" s="690"/>
    </row>
    <row r="39" spans="1:29" ht="15.75" thickBot="1">
      <c r="A39" s="441" t="s">
        <v>1828</v>
      </c>
      <c r="B39" s="442"/>
      <c r="C39" s="1163" t="e">
        <f>R39</f>
        <v>#DIV/0!</v>
      </c>
      <c r="D39" s="1163"/>
      <c r="E39" s="1163"/>
      <c r="F39" s="1163"/>
      <c r="G39" s="1163"/>
      <c r="H39" s="1163"/>
      <c r="I39" s="1163"/>
      <c r="J39" s="1163"/>
      <c r="K39" s="569"/>
      <c r="L39" s="2698"/>
      <c r="M39" s="2699"/>
      <c r="N39" s="2699"/>
      <c r="O39" s="2699"/>
      <c r="P39" s="3703" t="str">
        <f>A39</f>
        <v>估价对象XX用房的比较价值（楼面单价，元/平方米）</v>
      </c>
      <c r="Q39" s="3704"/>
      <c r="R39" s="3765" t="e">
        <f>IF(F1="售价",ROUND(IF(D38="简单平均",AVERAGE(R38:W38),R38*F38+T38*H38+V38*J38),0),ROUND(IF(D38="简单平均",AVERAGE(R38:V38),R38*F38+T38*H38+V38*J38),1))</f>
        <v>#DIV/0!</v>
      </c>
      <c r="S39" s="3765"/>
      <c r="T39" s="3765"/>
      <c r="U39" s="3765"/>
      <c r="V39" s="3765"/>
      <c r="W39" s="3765"/>
      <c r="X39" s="690"/>
      <c r="Y39" s="690"/>
      <c r="Z39" s="690"/>
      <c r="AA39" s="690"/>
      <c r="AB39" s="690"/>
      <c r="AC39" s="690"/>
    </row>
    <row r="40" spans="1:29">
      <c r="A40" s="2699"/>
      <c r="B40" s="2699"/>
      <c r="C40" s="2699"/>
      <c r="D40" s="2699"/>
      <c r="E40" s="2699"/>
      <c r="F40" s="2699"/>
      <c r="G40" s="2703"/>
      <c r="H40" s="2699"/>
      <c r="I40" s="2699"/>
      <c r="J40" s="2699"/>
      <c r="K40" s="2704"/>
      <c r="L40" s="2700"/>
      <c r="M40" s="2699"/>
      <c r="N40" s="2699"/>
      <c r="O40" s="2699"/>
      <c r="P40" s="2730"/>
      <c r="Q40" s="2699"/>
      <c r="R40" s="2699"/>
      <c r="S40" s="2699"/>
      <c r="T40" s="2699"/>
      <c r="U40" s="2699"/>
      <c r="V40" s="2699"/>
      <c r="W40" s="2699"/>
      <c r="X40" s="2699"/>
      <c r="Y40" s="2699"/>
      <c r="Z40" s="2699"/>
      <c r="AA40" s="2699"/>
      <c r="AB40" s="2699"/>
      <c r="AC40" s="2699"/>
    </row>
    <row r="41" spans="1:29">
      <c r="A41" s="2699"/>
      <c r="B41" s="2699"/>
      <c r="C41" s="2699"/>
      <c r="D41" s="2699"/>
      <c r="E41" s="2699"/>
      <c r="F41" s="2699"/>
      <c r="G41" s="2699"/>
      <c r="H41" s="2699"/>
      <c r="I41" s="2699"/>
      <c r="J41" s="2699"/>
      <c r="K41" s="2704"/>
      <c r="L41" s="2700"/>
      <c r="M41" s="2699"/>
      <c r="N41" s="2699"/>
      <c r="O41" s="2699"/>
      <c r="P41" s="2730"/>
      <c r="Q41" s="2699"/>
      <c r="R41" s="2699"/>
      <c r="S41" s="2699"/>
      <c r="T41" s="2699"/>
      <c r="U41" s="2699"/>
      <c r="V41" s="2699"/>
      <c r="W41" s="2699"/>
      <c r="X41" s="2699"/>
      <c r="Y41" s="2699"/>
      <c r="Z41" s="2699"/>
      <c r="AA41" s="2699"/>
      <c r="AB41" s="2699"/>
      <c r="AC41" s="2699"/>
    </row>
    <row r="42" spans="1:29" ht="13.5" customHeight="1">
      <c r="A42" s="2699"/>
      <c r="B42" s="2699"/>
      <c r="C42" s="446" t="s">
        <v>1829</v>
      </c>
      <c r="D42" s="447"/>
      <c r="E42" s="448" t="e">
        <f>IF(E37&lt;E38,E38/E37-1,E37/E38-1)</f>
        <v>#DIV/0!</v>
      </c>
      <c r="F42" s="449" t="e">
        <f>IF(OR(E42&gt;=0.3,E42&lt;=-0.3),"超过30%","")</f>
        <v>#DIV/0!</v>
      </c>
      <c r="G42" s="448" t="e">
        <f>IF(G37&lt;G38,G38/G37-1,G37/G38-1)</f>
        <v>#DIV/0!</v>
      </c>
      <c r="H42" s="449" t="e">
        <f>IF(OR(G42&gt;=0.3,G42&lt;=-0.3),"超过30%","")</f>
        <v>#DIV/0!</v>
      </c>
      <c r="I42" s="448" t="e">
        <f>IF(I37&lt;I38,I38/I37-1,I37/I38-1)</f>
        <v>#DIV/0!</v>
      </c>
      <c r="J42" s="449" t="e">
        <f>IF(OR(I42&gt;=0.3,I42&lt;=-0.3),"超过30%","")</f>
        <v>#DIV/0!</v>
      </c>
      <c r="K42" s="2704"/>
      <c r="L42" s="2700"/>
      <c r="M42" s="2699"/>
      <c r="N42" s="2699"/>
      <c r="O42" s="2699"/>
      <c r="P42" s="2730"/>
      <c r="Q42" s="2699"/>
      <c r="R42" s="2699"/>
      <c r="S42" s="2699"/>
      <c r="T42" s="2699"/>
      <c r="U42" s="2699"/>
      <c r="V42" s="2699"/>
      <c r="W42" s="2699"/>
      <c r="X42" s="2699"/>
      <c r="Y42" s="2699"/>
      <c r="Z42" s="2699"/>
      <c r="AA42" s="2699"/>
      <c r="AB42" s="2699"/>
      <c r="AC42" s="2699"/>
    </row>
    <row r="43" spans="1:29" ht="13.5" customHeight="1">
      <c r="A43" s="2699"/>
      <c r="B43" s="2699"/>
      <c r="C43" s="446" t="s">
        <v>1830</v>
      </c>
      <c r="D43" s="450"/>
      <c r="E43" s="448" t="e">
        <f>IF(E38&lt;G38,G38/E38-1,E38/G38-1)</f>
        <v>#DIV/0!</v>
      </c>
      <c r="F43" s="449" t="e">
        <f>IF(OR(E43&gt;=0.2,E43&lt;=-0.2),"超过20%","")</f>
        <v>#DIV/0!</v>
      </c>
      <c r="G43" s="448" t="e">
        <f>IF(G38&lt;I38,I38/G38-1,G38/I38-1)</f>
        <v>#DIV/0!</v>
      </c>
      <c r="H43" s="449" t="e">
        <f>IF(OR(G43&gt;=0.2,G43&lt;=-0.2),"超过20%","")</f>
        <v>#DIV/0!</v>
      </c>
      <c r="I43" s="448" t="e">
        <f>IF(I38&lt;E38,E38/I38-1,I38/E38-1)</f>
        <v>#DIV/0!</v>
      </c>
      <c r="J43" s="449" t="e">
        <f>IF(OR(I43&gt;=0.2,I43&lt;=-0.2),"超过20%","")</f>
        <v>#DIV/0!</v>
      </c>
      <c r="K43" s="2704"/>
      <c r="L43" s="2700"/>
      <c r="M43" s="2699"/>
      <c r="N43" s="2699"/>
      <c r="O43" s="2699"/>
      <c r="P43" s="2730"/>
      <c r="Q43" s="2699"/>
      <c r="R43" s="2699"/>
      <c r="S43" s="2699"/>
      <c r="T43" s="2699"/>
      <c r="U43" s="2699"/>
      <c r="V43" s="2699"/>
      <c r="W43" s="2699"/>
      <c r="X43" s="2699"/>
      <c r="Y43" s="2699"/>
      <c r="Z43" s="2699"/>
      <c r="AA43" s="2699"/>
      <c r="AB43" s="2699"/>
      <c r="AC43" s="2699"/>
    </row>
    <row r="44" spans="1:29" s="451" customFormat="1" ht="13.5" customHeight="1">
      <c r="A44" s="2702"/>
      <c r="B44" s="2702"/>
      <c r="C44" s="446" t="s">
        <v>1831</v>
      </c>
      <c r="D44" s="450"/>
      <c r="E44" s="448" t="e">
        <f>IF(E37&lt;G37,G37/E37-1,E37/G37-1)</f>
        <v>#DIV/0!</v>
      </c>
      <c r="F44" s="449" t="e">
        <f>IF(OR(E44&gt;=0.3,E44&lt;=-0.3),"超过30%","")</f>
        <v>#DIV/0!</v>
      </c>
      <c r="G44" s="448" t="e">
        <f>IF(G37&lt;I37,I37/G37-1,G37/I37-1)</f>
        <v>#DIV/0!</v>
      </c>
      <c r="H44" s="449" t="e">
        <f>IF(OR(G44&gt;=0.3,G44&lt;=-0.3),"超过30%","")</f>
        <v>#DIV/0!</v>
      </c>
      <c r="I44" s="448" t="e">
        <f>IF(I37&lt;E37,E37/I37-1,I37/E37-1)</f>
        <v>#DIV/0!</v>
      </c>
      <c r="J44" s="449" t="e">
        <f>IF(OR(I44&gt;=0.3,I44&lt;=-0.3),"超过30%","")</f>
        <v>#DIV/0!</v>
      </c>
      <c r="K44" s="2707"/>
      <c r="L44" s="2701"/>
      <c r="M44" s="2702"/>
      <c r="N44" s="2702"/>
      <c r="O44" s="2702"/>
      <c r="P44" s="2731"/>
      <c r="Q44" s="2702"/>
      <c r="R44" s="2702"/>
      <c r="S44" s="2702"/>
      <c r="T44" s="2702"/>
      <c r="U44" s="2702"/>
      <c r="V44" s="2702"/>
      <c r="W44" s="2702"/>
      <c r="X44" s="2702"/>
      <c r="Y44" s="2702"/>
      <c r="Z44" s="2702"/>
      <c r="AA44" s="2702"/>
      <c r="AB44" s="2702"/>
      <c r="AC44" s="2702"/>
    </row>
    <row r="45" spans="1:29" s="451" customFormat="1">
      <c r="A45" s="2702"/>
      <c r="B45" s="2705"/>
      <c r="C45" s="2706"/>
      <c r="D45" s="2702"/>
      <c r="E45" s="2702"/>
      <c r="F45" s="2702"/>
      <c r="G45" s="2702"/>
      <c r="H45" s="2702"/>
      <c r="I45" s="2702"/>
      <c r="J45" s="2702"/>
      <c r="K45" s="2707"/>
      <c r="L45" s="2701"/>
      <c r="M45" s="2702"/>
      <c r="N45" s="2702"/>
      <c r="O45" s="2702"/>
      <c r="P45" s="2731"/>
      <c r="Q45" s="2702"/>
      <c r="R45" s="2702"/>
      <c r="S45" s="2702"/>
      <c r="T45" s="2702"/>
      <c r="U45" s="2702"/>
      <c r="V45" s="2702"/>
      <c r="W45" s="2702"/>
      <c r="X45" s="2702"/>
      <c r="Y45" s="2702"/>
      <c r="Z45" s="2702"/>
      <c r="AA45" s="2702"/>
      <c r="AB45" s="2702"/>
      <c r="AC45" s="2702"/>
    </row>
    <row r="46" spans="1:29">
      <c r="A46" s="2699"/>
      <c r="B46" s="2705"/>
      <c r="C46" s="2706"/>
      <c r="D46" s="2699"/>
      <c r="E46" s="2699"/>
      <c r="F46" s="2699"/>
      <c r="G46" s="2699"/>
      <c r="H46" s="2699"/>
      <c r="I46" s="2699"/>
      <c r="J46" s="2699"/>
      <c r="K46" s="2704"/>
      <c r="L46" s="2700"/>
      <c r="M46" s="2699"/>
      <c r="N46" s="2699"/>
      <c r="O46" s="2699"/>
      <c r="P46" s="2730"/>
      <c r="Q46" s="2699"/>
      <c r="R46" s="2699"/>
      <c r="S46" s="2699"/>
      <c r="T46" s="2699"/>
      <c r="U46" s="2699"/>
      <c r="V46" s="2699"/>
      <c r="W46" s="2699"/>
      <c r="X46" s="2699"/>
      <c r="Y46" s="2699"/>
      <c r="Z46" s="2699"/>
      <c r="AA46" s="2699"/>
      <c r="AB46" s="2699"/>
      <c r="AC46" s="2699"/>
    </row>
    <row r="47" spans="1:29" ht="21.75" thickBot="1">
      <c r="A47" s="1166" t="s">
        <v>1832</v>
      </c>
      <c r="B47" s="927"/>
      <c r="C47" s="940"/>
      <c r="D47" s="940"/>
      <c r="E47" s="940"/>
      <c r="F47" s="1167"/>
      <c r="G47" s="1167"/>
      <c r="H47" s="940"/>
      <c r="I47" s="940"/>
      <c r="J47" s="940"/>
      <c r="K47" s="941"/>
      <c r="L47" s="942"/>
      <c r="M47" s="940"/>
      <c r="N47" s="2743"/>
      <c r="O47" s="2743"/>
      <c r="P47" s="2732"/>
      <c r="Q47" s="2713"/>
      <c r="R47" s="2699"/>
      <c r="S47" s="2699"/>
      <c r="T47" s="2699"/>
      <c r="U47" s="2699"/>
      <c r="V47" s="2699"/>
      <c r="W47" s="2699"/>
      <c r="X47" s="2699"/>
      <c r="Y47" s="2699"/>
      <c r="Z47" s="2699"/>
      <c r="AA47" s="2699"/>
      <c r="AB47" s="2699"/>
      <c r="AC47" s="2699"/>
    </row>
    <row r="48" spans="1:29" s="457" customFormat="1" ht="15">
      <c r="A48" s="454" t="s">
        <v>1833</v>
      </c>
      <c r="B48" s="455"/>
      <c r="C48" s="1183" t="str">
        <f>YEAR(C7)&amp;"-"&amp;MONTH(C7)</f>
        <v>2024-4</v>
      </c>
      <c r="D48" s="1184">
        <f>EDATE(C48,-1)</f>
        <v>45352</v>
      </c>
      <c r="E48" s="1184">
        <f t="shared" ref="E48:O48" si="16">EDATE(D48,-1)</f>
        <v>45323</v>
      </c>
      <c r="F48" s="1184">
        <f t="shared" si="16"/>
        <v>45292</v>
      </c>
      <c r="G48" s="1184">
        <f t="shared" si="16"/>
        <v>45261</v>
      </c>
      <c r="H48" s="1184">
        <f t="shared" si="16"/>
        <v>45231</v>
      </c>
      <c r="I48" s="1184">
        <f t="shared" si="16"/>
        <v>45200</v>
      </c>
      <c r="J48" s="1184">
        <f t="shared" si="16"/>
        <v>45170</v>
      </c>
      <c r="K48" s="1184">
        <f t="shared" si="16"/>
        <v>45139</v>
      </c>
      <c r="L48" s="1184">
        <f t="shared" si="16"/>
        <v>45108</v>
      </c>
      <c r="M48" s="1184">
        <f t="shared" si="16"/>
        <v>45078</v>
      </c>
      <c r="N48" s="1184">
        <f t="shared" si="16"/>
        <v>45047</v>
      </c>
      <c r="O48" s="1184">
        <f t="shared" si="16"/>
        <v>45017</v>
      </c>
      <c r="P48" s="2733"/>
      <c r="Q48" s="2715"/>
      <c r="R48" s="2715"/>
      <c r="S48" s="2715"/>
      <c r="T48" s="2715"/>
      <c r="U48" s="2715"/>
      <c r="V48" s="2715"/>
      <c r="W48" s="2715"/>
      <c r="X48" s="2715"/>
      <c r="Y48" s="2715"/>
      <c r="Z48" s="2715"/>
      <c r="AA48" s="2715"/>
      <c r="AB48" s="2715"/>
      <c r="AC48" s="2715"/>
    </row>
    <row r="49" spans="1:29" s="108" customFormat="1" ht="15">
      <c r="A49" s="458"/>
      <c r="B49" s="459"/>
      <c r="C49" s="1177">
        <v>100</v>
      </c>
      <c r="D49" s="461"/>
      <c r="E49" s="461"/>
      <c r="F49" s="461"/>
      <c r="G49" s="461"/>
      <c r="H49" s="461"/>
      <c r="I49" s="461"/>
      <c r="J49" s="461"/>
      <c r="K49" s="461"/>
      <c r="L49" s="461"/>
      <c r="M49" s="462"/>
      <c r="N49" s="461"/>
      <c r="O49" s="462"/>
      <c r="P49" s="2734"/>
      <c r="Q49" s="2635"/>
      <c r="R49" s="2635"/>
      <c r="S49" s="2635"/>
      <c r="T49" s="2635"/>
      <c r="U49" s="2635"/>
      <c r="V49" s="2635"/>
      <c r="W49" s="2635"/>
      <c r="X49" s="2635"/>
      <c r="Y49" s="2635"/>
      <c r="Z49" s="2635"/>
      <c r="AA49" s="2635"/>
      <c r="AB49" s="2635"/>
      <c r="AC49" s="2635"/>
    </row>
    <row r="50" spans="1:29" s="108" customFormat="1" ht="15.75" thickBot="1">
      <c r="A50" s="464" t="s">
        <v>1698</v>
      </c>
      <c r="B50" s="465"/>
      <c r="C50" s="466"/>
      <c r="D50" s="467"/>
      <c r="E50" s="467"/>
      <c r="F50" s="467"/>
      <c r="G50" s="467"/>
      <c r="H50" s="467"/>
      <c r="I50" s="467"/>
      <c r="J50" s="467"/>
      <c r="K50" s="467"/>
      <c r="L50" s="467"/>
      <c r="M50" s="468"/>
      <c r="N50" s="467"/>
      <c r="O50" s="468"/>
      <c r="P50" s="2734"/>
      <c r="Q50" s="2713"/>
      <c r="R50" s="2635"/>
      <c r="S50" s="2635"/>
      <c r="T50" s="2635"/>
      <c r="U50" s="2635"/>
      <c r="V50" s="2635"/>
      <c r="W50" s="2635"/>
      <c r="X50" s="2635"/>
      <c r="Y50" s="2635"/>
      <c r="Z50" s="2635"/>
      <c r="AA50" s="2635"/>
      <c r="AB50" s="2635"/>
      <c r="AC50" s="2635"/>
    </row>
    <row r="51" spans="1:29" s="108" customFormat="1" ht="15">
      <c r="A51" s="470" t="s">
        <v>1663</v>
      </c>
      <c r="B51" s="459"/>
      <c r="C51" s="471" t="s">
        <v>1758</v>
      </c>
      <c r="D51" s="472"/>
      <c r="E51" s="472"/>
      <c r="F51" s="472"/>
      <c r="G51" s="472"/>
      <c r="H51" s="472"/>
      <c r="I51" s="472"/>
      <c r="J51" s="472"/>
      <c r="K51" s="472"/>
      <c r="L51" s="473"/>
      <c r="M51" s="474"/>
      <c r="N51" s="2726"/>
      <c r="O51" s="2726"/>
      <c r="P51" s="2735"/>
      <c r="Q51" s="2713"/>
      <c r="R51" s="2635"/>
      <c r="S51" s="2635"/>
      <c r="T51" s="2635"/>
      <c r="U51" s="2635"/>
      <c r="V51" s="2635"/>
      <c r="W51" s="2635"/>
      <c r="X51" s="2635"/>
      <c r="Y51" s="2635"/>
      <c r="Z51" s="2635"/>
      <c r="AA51" s="2635"/>
      <c r="AB51" s="2635"/>
      <c r="AC51" s="2635"/>
    </row>
    <row r="52" spans="1:29" s="108" customFormat="1" ht="15.75" thickBot="1">
      <c r="A52" s="470"/>
      <c r="B52" s="459"/>
      <c r="C52" s="587">
        <v>100</v>
      </c>
      <c r="D52" s="461"/>
      <c r="E52" s="461"/>
      <c r="F52" s="461"/>
      <c r="G52" s="461"/>
      <c r="H52" s="461"/>
      <c r="I52" s="461"/>
      <c r="J52" s="461"/>
      <c r="K52" s="461"/>
      <c r="L52" s="461"/>
      <c r="M52" s="463"/>
      <c r="N52" s="2726"/>
      <c r="O52" s="2726"/>
      <c r="P52" s="2734"/>
      <c r="Q52" s="2713"/>
      <c r="R52" s="2635"/>
      <c r="S52" s="2635"/>
      <c r="T52" s="2635"/>
      <c r="U52" s="2635"/>
      <c r="V52" s="2635"/>
      <c r="W52" s="2635"/>
      <c r="X52" s="2635"/>
      <c r="Y52" s="2635"/>
      <c r="Z52" s="2635"/>
      <c r="AA52" s="2635"/>
      <c r="AB52" s="2635"/>
      <c r="AC52" s="2635"/>
    </row>
    <row r="53" spans="1:29">
      <c r="A53" s="476" t="s">
        <v>1701</v>
      </c>
      <c r="B53" s="477" t="s">
        <v>1667</v>
      </c>
      <c r="C53" s="478">
        <f>C9</f>
        <v>0</v>
      </c>
      <c r="D53" s="479"/>
      <c r="E53" s="479"/>
      <c r="F53" s="479"/>
      <c r="G53" s="479"/>
      <c r="H53" s="479"/>
      <c r="I53" s="479"/>
      <c r="J53" s="479"/>
      <c r="K53" s="480"/>
      <c r="L53" s="481"/>
      <c r="M53" s="482"/>
      <c r="N53" s="2727"/>
      <c r="O53" s="2727"/>
      <c r="P53" s="2736"/>
      <c r="Q53" s="2713"/>
      <c r="R53" s="2699"/>
      <c r="S53" s="2699"/>
      <c r="T53" s="2699"/>
      <c r="U53" s="2699"/>
      <c r="V53" s="2699"/>
      <c r="W53" s="2699"/>
      <c r="X53" s="2699"/>
      <c r="Y53" s="2699"/>
      <c r="Z53" s="2699"/>
      <c r="AA53" s="2699"/>
      <c r="AB53" s="2699"/>
      <c r="AC53" s="2699"/>
    </row>
    <row r="54" spans="1:29" ht="15.75" thickBot="1">
      <c r="A54" s="483"/>
      <c r="B54" s="484"/>
      <c r="C54" s="485">
        <v>100</v>
      </c>
      <c r="D54" s="485"/>
      <c r="E54" s="485"/>
      <c r="F54" s="485"/>
      <c r="G54" s="485"/>
      <c r="H54" s="485"/>
      <c r="I54" s="485"/>
      <c r="J54" s="485"/>
      <c r="K54" s="485"/>
      <c r="L54" s="485"/>
      <c r="M54" s="486"/>
      <c r="N54" s="2728"/>
      <c r="O54" s="2728"/>
      <c r="P54" s="2736"/>
      <c r="Q54" s="2713"/>
      <c r="R54" s="2699"/>
      <c r="S54" s="2699"/>
      <c r="T54" s="2699"/>
      <c r="U54" s="2699"/>
      <c r="V54" s="2699"/>
      <c r="W54" s="2699"/>
      <c r="X54" s="2699"/>
      <c r="Y54" s="2699"/>
      <c r="Z54" s="2699"/>
      <c r="AA54" s="2699"/>
      <c r="AB54" s="2699"/>
      <c r="AC54" s="2699"/>
    </row>
    <row r="55" spans="1:29" ht="27.75" thickTop="1">
      <c r="A55" s="483"/>
      <c r="B55" s="487" t="s">
        <v>1670</v>
      </c>
      <c r="C55" s="532"/>
      <c r="D55" s="532"/>
      <c r="E55" s="532"/>
      <c r="F55" s="532"/>
      <c r="G55" s="532"/>
      <c r="H55" s="532"/>
      <c r="I55" s="532"/>
      <c r="J55" s="532"/>
      <c r="K55" s="533"/>
      <c r="L55" s="534"/>
      <c r="M55" s="535"/>
      <c r="N55" s="2727"/>
      <c r="O55" s="2727"/>
      <c r="P55" s="2736"/>
      <c r="Q55" s="2713"/>
      <c r="R55" s="2699"/>
      <c r="S55" s="2699"/>
      <c r="T55" s="2699"/>
      <c r="U55" s="2699"/>
      <c r="V55" s="2699"/>
      <c r="W55" s="2699"/>
      <c r="X55" s="2699"/>
      <c r="Y55" s="2699"/>
      <c r="Z55" s="2699"/>
      <c r="AA55" s="2699"/>
      <c r="AB55" s="2699"/>
      <c r="AC55" s="2699"/>
    </row>
    <row r="56" spans="1:29" ht="15.75" thickBot="1">
      <c r="A56" s="483"/>
      <c r="B56" s="492"/>
      <c r="C56" s="485"/>
      <c r="D56" s="485"/>
      <c r="E56" s="485"/>
      <c r="F56" s="485"/>
      <c r="G56" s="485"/>
      <c r="H56" s="485"/>
      <c r="I56" s="485"/>
      <c r="J56" s="485"/>
      <c r="K56" s="485"/>
      <c r="L56" s="485"/>
      <c r="M56" s="486"/>
      <c r="N56" s="2728"/>
      <c r="O56" s="2728"/>
      <c r="P56" s="2736"/>
      <c r="Q56" s="2713"/>
      <c r="R56" s="2699"/>
      <c r="S56" s="2699"/>
      <c r="T56" s="2699"/>
      <c r="U56" s="2699"/>
      <c r="V56" s="2699"/>
      <c r="W56" s="2699"/>
      <c r="X56" s="2699"/>
      <c r="Y56" s="2699"/>
      <c r="Z56" s="2699"/>
      <c r="AA56" s="2699"/>
      <c r="AB56" s="2699"/>
      <c r="AC56" s="2699"/>
    </row>
    <row r="57" spans="1:29" ht="15.75" thickTop="1">
      <c r="A57" s="483"/>
      <c r="B57" s="608">
        <f>B11</f>
        <v>111</v>
      </c>
      <c r="C57" s="498"/>
      <c r="D57" s="498"/>
      <c r="E57" s="498"/>
      <c r="F57" s="498"/>
      <c r="G57" s="498"/>
      <c r="H57" s="498"/>
      <c r="I57" s="498"/>
      <c r="J57" s="498"/>
      <c r="K57" s="499"/>
      <c r="L57" s="500"/>
      <c r="M57" s="501"/>
      <c r="N57" s="2727"/>
      <c r="O57" s="2727"/>
      <c r="P57" s="2736"/>
      <c r="Q57" s="2713"/>
      <c r="R57" s="2699"/>
      <c r="S57" s="2699"/>
      <c r="T57" s="2699"/>
      <c r="U57" s="2699"/>
      <c r="V57" s="2699"/>
      <c r="W57" s="2699"/>
      <c r="X57" s="2699"/>
      <c r="Y57" s="2699"/>
      <c r="Z57" s="2699"/>
      <c r="AA57" s="2699"/>
      <c r="AB57" s="2699"/>
      <c r="AC57" s="2699"/>
    </row>
    <row r="58" spans="1:29" ht="15.75" thickBot="1">
      <c r="A58" s="483"/>
      <c r="B58" s="484"/>
      <c r="C58" s="509"/>
      <c r="D58" s="485"/>
      <c r="E58" s="485"/>
      <c r="F58" s="485"/>
      <c r="G58" s="485"/>
      <c r="H58" s="485"/>
      <c r="I58" s="485"/>
      <c r="J58" s="485"/>
      <c r="K58" s="485"/>
      <c r="L58" s="485"/>
      <c r="M58" s="486"/>
      <c r="N58" s="2728"/>
      <c r="O58" s="2728"/>
      <c r="P58" s="2736"/>
      <c r="Q58" s="2713"/>
      <c r="R58" s="2699"/>
      <c r="S58" s="2699"/>
      <c r="T58" s="2699"/>
      <c r="U58" s="2699"/>
      <c r="V58" s="2699"/>
      <c r="W58" s="2699"/>
      <c r="X58" s="2699"/>
      <c r="Y58" s="2699"/>
      <c r="Z58" s="2699"/>
      <c r="AA58" s="2699"/>
      <c r="AB58" s="2699"/>
      <c r="AC58" s="2699"/>
    </row>
    <row r="59" spans="1:29" s="422" customFormat="1" ht="15.75" thickTop="1">
      <c r="A59" s="502"/>
      <c r="B59" s="487">
        <f>B12</f>
        <v>111</v>
      </c>
      <c r="C59" s="498"/>
      <c r="D59" s="498"/>
      <c r="E59" s="498"/>
      <c r="F59" s="498"/>
      <c r="G59" s="503"/>
      <c r="H59" s="504"/>
      <c r="I59" s="504"/>
      <c r="J59" s="504"/>
      <c r="K59" s="504"/>
      <c r="L59" s="505"/>
      <c r="M59" s="506"/>
      <c r="N59" s="2729"/>
      <c r="O59" s="2729"/>
      <c r="P59" s="2737"/>
      <c r="Q59" s="2720"/>
      <c r="R59" s="2721"/>
      <c r="S59" s="2721"/>
      <c r="T59" s="2721"/>
      <c r="U59" s="2721"/>
      <c r="V59" s="2721"/>
      <c r="W59" s="2721"/>
      <c r="X59" s="2721"/>
      <c r="Y59" s="2721"/>
      <c r="Z59" s="2721"/>
      <c r="AA59" s="2721"/>
      <c r="AB59" s="2721"/>
      <c r="AC59" s="2721"/>
    </row>
    <row r="60" spans="1:29" s="422" customFormat="1" ht="15.75" thickBot="1">
      <c r="A60" s="502"/>
      <c r="B60" s="492"/>
      <c r="C60" s="509"/>
      <c r="D60" s="485"/>
      <c r="E60" s="485"/>
      <c r="F60" s="485"/>
      <c r="G60" s="485"/>
      <c r="H60" s="485"/>
      <c r="I60" s="485"/>
      <c r="J60" s="485"/>
      <c r="K60" s="485"/>
      <c r="L60" s="485"/>
      <c r="M60" s="486"/>
      <c r="N60" s="2728"/>
      <c r="O60" s="2728"/>
      <c r="P60" s="2737"/>
      <c r="Q60" s="2720"/>
      <c r="R60" s="2721"/>
      <c r="S60" s="2721"/>
      <c r="T60" s="2721"/>
      <c r="U60" s="2721"/>
      <c r="V60" s="2721"/>
      <c r="W60" s="2721"/>
      <c r="X60" s="2721"/>
      <c r="Y60" s="2721"/>
      <c r="Z60" s="2721"/>
      <c r="AA60" s="2721"/>
      <c r="AB60" s="2721"/>
      <c r="AC60" s="2721"/>
    </row>
    <row r="61" spans="1:29" s="422" customFormat="1" ht="15.75" thickTop="1">
      <c r="A61" s="502"/>
      <c r="B61" s="487">
        <f>B13</f>
        <v>111</v>
      </c>
      <c r="C61" s="503"/>
      <c r="D61" s="503"/>
      <c r="E61" s="503"/>
      <c r="F61" s="503"/>
      <c r="G61" s="503"/>
      <c r="H61" s="504"/>
      <c r="I61" s="504"/>
      <c r="J61" s="504"/>
      <c r="K61" s="504"/>
      <c r="L61" s="505"/>
      <c r="M61" s="506"/>
      <c r="N61" s="2729"/>
      <c r="O61" s="2729"/>
      <c r="P61" s="2738"/>
      <c r="Q61" s="2723"/>
      <c r="R61" s="2721"/>
      <c r="S61" s="2721"/>
      <c r="T61" s="2721"/>
      <c r="U61" s="2721"/>
      <c r="V61" s="2721"/>
      <c r="W61" s="2721"/>
      <c r="X61" s="2721"/>
      <c r="Y61" s="2721"/>
      <c r="Z61" s="2721"/>
      <c r="AA61" s="2721"/>
      <c r="AB61" s="2721"/>
      <c r="AC61" s="2721"/>
    </row>
    <row r="62" spans="1:29" s="422" customFormat="1" ht="15.75" thickBot="1">
      <c r="A62" s="502"/>
      <c r="B62" s="492"/>
      <c r="C62" s="509"/>
      <c r="D62" s="509"/>
      <c r="E62" s="509"/>
      <c r="F62" s="509"/>
      <c r="G62" s="509"/>
      <c r="H62" s="511"/>
      <c r="I62" s="511"/>
      <c r="J62" s="511"/>
      <c r="K62" s="511"/>
      <c r="L62" s="511"/>
      <c r="M62" s="512"/>
      <c r="N62" s="2729"/>
      <c r="O62" s="2729"/>
      <c r="P62" s="2737"/>
      <c r="Q62" s="2720"/>
      <c r="R62" s="2721"/>
      <c r="S62" s="2721"/>
      <c r="T62" s="2721"/>
      <c r="U62" s="2721"/>
      <c r="V62" s="2721"/>
      <c r="W62" s="2721"/>
      <c r="X62" s="2721"/>
      <c r="Y62" s="2721"/>
      <c r="Z62" s="2721"/>
      <c r="AA62" s="2721"/>
      <c r="AB62" s="2721"/>
      <c r="AC62" s="2721"/>
    </row>
    <row r="63" spans="1:29" ht="15" thickTop="1">
      <c r="A63" s="476" t="s">
        <v>1672</v>
      </c>
      <c r="B63" s="477" t="s">
        <v>1708</v>
      </c>
      <c r="C63" s="522" t="s">
        <v>1703</v>
      </c>
      <c r="D63" s="522" t="s">
        <v>1704</v>
      </c>
      <c r="E63" s="522" t="s">
        <v>1705</v>
      </c>
      <c r="F63" s="522" t="s">
        <v>1706</v>
      </c>
      <c r="G63" s="522" t="s">
        <v>1707</v>
      </c>
      <c r="H63" s="478"/>
      <c r="I63" s="478"/>
      <c r="J63" s="478"/>
      <c r="K63" s="523"/>
      <c r="L63" s="524"/>
      <c r="M63" s="525"/>
      <c r="N63" s="2727"/>
      <c r="O63" s="2727"/>
      <c r="P63" s="2740"/>
      <c r="Q63" s="2713"/>
      <c r="R63" s="2699"/>
      <c r="S63" s="2699"/>
      <c r="T63" s="2699"/>
      <c r="U63" s="2699"/>
      <c r="V63" s="2699"/>
      <c r="W63" s="2699"/>
      <c r="X63" s="2699"/>
      <c r="Y63" s="2699"/>
      <c r="Z63" s="2699"/>
      <c r="AA63" s="2699"/>
      <c r="AB63" s="2699"/>
      <c r="AC63" s="2699"/>
    </row>
    <row r="64" spans="1:29" ht="15.75" thickBot="1">
      <c r="A64" s="483"/>
      <c r="B64" s="492"/>
      <c r="C64" s="493">
        <v>100</v>
      </c>
      <c r="D64" s="493">
        <f>C64-$K14</f>
        <v>100</v>
      </c>
      <c r="E64" s="493">
        <f>D64-$K14</f>
        <v>100</v>
      </c>
      <c r="F64" s="493">
        <f>E64-$K14</f>
        <v>100</v>
      </c>
      <c r="G64" s="493">
        <f>F64-$K14</f>
        <v>100</v>
      </c>
      <c r="H64" s="493"/>
      <c r="I64" s="493"/>
      <c r="J64" s="493"/>
      <c r="K64" s="493"/>
      <c r="L64" s="493"/>
      <c r="M64" s="494"/>
      <c r="N64" s="2728"/>
      <c r="O64" s="2728"/>
      <c r="P64" s="2736"/>
      <c r="Q64" s="2713"/>
      <c r="R64" s="2699"/>
      <c r="S64" s="2699"/>
      <c r="T64" s="2699"/>
      <c r="U64" s="2699"/>
      <c r="V64" s="2699"/>
      <c r="W64" s="2699"/>
      <c r="X64" s="2699"/>
      <c r="Y64" s="2699"/>
      <c r="Z64" s="2699"/>
      <c r="AA64" s="2699"/>
      <c r="AB64" s="2699"/>
      <c r="AC64" s="2699"/>
    </row>
    <row r="65" spans="1:29" ht="15.75" thickTop="1">
      <c r="A65" s="483"/>
      <c r="B65" s="487" t="s">
        <v>1709</v>
      </c>
      <c r="C65" s="527" t="s">
        <v>1703</v>
      </c>
      <c r="D65" s="527" t="s">
        <v>1704</v>
      </c>
      <c r="E65" s="527" t="s">
        <v>1705</v>
      </c>
      <c r="F65" s="527" t="s">
        <v>1706</v>
      </c>
      <c r="G65" s="527" t="s">
        <v>1707</v>
      </c>
      <c r="H65" s="488"/>
      <c r="I65" s="488"/>
      <c r="J65" s="488"/>
      <c r="K65" s="489"/>
      <c r="L65" s="490"/>
      <c r="M65" s="491"/>
      <c r="N65" s="2727"/>
      <c r="O65" s="2727"/>
      <c r="P65" s="2736"/>
      <c r="Q65" s="2713"/>
      <c r="R65" s="2699"/>
      <c r="S65" s="2699"/>
      <c r="T65" s="2699"/>
      <c r="U65" s="2699"/>
      <c r="V65" s="2699"/>
      <c r="W65" s="2699"/>
      <c r="X65" s="2699"/>
      <c r="Y65" s="2699"/>
      <c r="Z65" s="2699"/>
      <c r="AA65" s="2699"/>
      <c r="AB65" s="2699"/>
      <c r="AC65" s="2699"/>
    </row>
    <row r="66" spans="1:29" ht="15.75" thickBot="1">
      <c r="A66" s="483"/>
      <c r="B66" s="492"/>
      <c r="C66" s="493">
        <v>100</v>
      </c>
      <c r="D66" s="493">
        <f>C66-$K16</f>
        <v>100</v>
      </c>
      <c r="E66" s="493">
        <f>D66-$K16</f>
        <v>100</v>
      </c>
      <c r="F66" s="493">
        <f>E66-$K16</f>
        <v>100</v>
      </c>
      <c r="G66" s="493">
        <f>F66-$K16</f>
        <v>100</v>
      </c>
      <c r="H66" s="493"/>
      <c r="I66" s="493"/>
      <c r="J66" s="493"/>
      <c r="K66" s="493"/>
      <c r="L66" s="493"/>
      <c r="M66" s="494"/>
      <c r="N66" s="2728"/>
      <c r="O66" s="2728"/>
      <c r="P66" s="2736"/>
      <c r="Q66" s="2713"/>
      <c r="R66" s="2699"/>
      <c r="S66" s="2699"/>
      <c r="T66" s="2699"/>
      <c r="U66" s="2699"/>
      <c r="V66" s="2699"/>
      <c r="W66" s="2699"/>
      <c r="X66" s="2699"/>
      <c r="Y66" s="2699"/>
      <c r="Z66" s="2699"/>
      <c r="AA66" s="2699"/>
      <c r="AB66" s="2699"/>
      <c r="AC66" s="2699"/>
    </row>
    <row r="67" spans="1:29" ht="15.75" thickTop="1">
      <c r="A67" s="483"/>
      <c r="B67" s="495" t="s">
        <v>1795</v>
      </c>
      <c r="C67" s="608" t="s">
        <v>1781</v>
      </c>
      <c r="D67" s="608" t="s">
        <v>1782</v>
      </c>
      <c r="E67" s="608" t="s">
        <v>1783</v>
      </c>
      <c r="F67" s="608" t="s">
        <v>1784</v>
      </c>
      <c r="G67" s="608" t="s">
        <v>1785</v>
      </c>
      <c r="H67" s="488"/>
      <c r="I67" s="488"/>
      <c r="J67" s="488"/>
      <c r="K67" s="488"/>
      <c r="L67" s="488"/>
      <c r="M67" s="1129"/>
      <c r="N67" s="2728"/>
      <c r="O67" s="2728"/>
      <c r="P67" s="2736"/>
      <c r="Q67" s="2713"/>
      <c r="R67" s="2699"/>
      <c r="S67" s="2699"/>
      <c r="T67" s="2699"/>
      <c r="U67" s="2699"/>
      <c r="V67" s="2699"/>
      <c r="W67" s="2699"/>
      <c r="X67" s="2699"/>
      <c r="Y67" s="2699"/>
      <c r="Z67" s="2699"/>
      <c r="AA67" s="2699"/>
      <c r="AB67" s="2699"/>
      <c r="AC67" s="2699"/>
    </row>
    <row r="68" spans="1:29" ht="15.75" thickBot="1">
      <c r="A68" s="483"/>
      <c r="B68" s="495"/>
      <c r="C68" s="493">
        <v>100</v>
      </c>
      <c r="D68" s="493">
        <f>C68-$K18</f>
        <v>100</v>
      </c>
      <c r="E68" s="493">
        <f>D68-$K18</f>
        <v>100</v>
      </c>
      <c r="F68" s="493">
        <f>E68-$K18</f>
        <v>100</v>
      </c>
      <c r="G68" s="493">
        <f>F68-$K18</f>
        <v>100</v>
      </c>
      <c r="H68" s="608"/>
      <c r="I68" s="608"/>
      <c r="J68" s="608"/>
      <c r="K68" s="608"/>
      <c r="L68" s="608"/>
      <c r="M68" s="401"/>
      <c r="N68" s="2728"/>
      <c r="O68" s="2728"/>
      <c r="P68" s="2736"/>
      <c r="Q68" s="2713"/>
      <c r="R68" s="2699"/>
      <c r="S68" s="2699"/>
      <c r="T68" s="2699"/>
      <c r="U68" s="2699"/>
      <c r="V68" s="2699"/>
      <c r="W68" s="2699"/>
      <c r="X68" s="2699"/>
      <c r="Y68" s="2699"/>
      <c r="Z68" s="2699"/>
      <c r="AA68" s="2699"/>
      <c r="AB68" s="2699"/>
      <c r="AC68" s="2699"/>
    </row>
    <row r="69" spans="1:29" ht="15.75" thickTop="1">
      <c r="A69" s="483"/>
      <c r="B69" s="487" t="s">
        <v>1715</v>
      </c>
      <c r="C69" s="527" t="s">
        <v>1703</v>
      </c>
      <c r="D69" s="527" t="s">
        <v>1704</v>
      </c>
      <c r="E69" s="527" t="s">
        <v>1705</v>
      </c>
      <c r="F69" s="527" t="s">
        <v>1706</v>
      </c>
      <c r="G69" s="527" t="s">
        <v>1707</v>
      </c>
      <c r="H69" s="488"/>
      <c r="I69" s="488"/>
      <c r="J69" s="488"/>
      <c r="K69" s="489"/>
      <c r="L69" s="490"/>
      <c r="M69" s="491"/>
      <c r="N69" s="2727"/>
      <c r="O69" s="2727"/>
      <c r="P69" s="2736"/>
      <c r="Q69" s="2713"/>
      <c r="R69" s="2699"/>
      <c r="S69" s="2699"/>
      <c r="T69" s="2699"/>
      <c r="U69" s="2699"/>
      <c r="V69" s="2699"/>
      <c r="W69" s="2699"/>
      <c r="X69" s="2699"/>
      <c r="Y69" s="2699"/>
      <c r="Z69" s="2699"/>
      <c r="AA69" s="2699"/>
      <c r="AB69" s="2699"/>
      <c r="AC69" s="2699"/>
    </row>
    <row r="70" spans="1:29" ht="15.75" thickBot="1">
      <c r="A70" s="483"/>
      <c r="B70" s="492"/>
      <c r="C70" s="493">
        <v>100</v>
      </c>
      <c r="D70" s="493">
        <f>C70-$K20</f>
        <v>100</v>
      </c>
      <c r="E70" s="493">
        <f>D70-$K20</f>
        <v>100</v>
      </c>
      <c r="F70" s="493">
        <f>E70-$K20</f>
        <v>100</v>
      </c>
      <c r="G70" s="493">
        <f>F70-$K20</f>
        <v>100</v>
      </c>
      <c r="H70" s="493"/>
      <c r="I70" s="493"/>
      <c r="J70" s="493"/>
      <c r="K70" s="493"/>
      <c r="L70" s="493"/>
      <c r="M70" s="494"/>
      <c r="N70" s="2728"/>
      <c r="O70" s="2728"/>
      <c r="P70" s="2736"/>
      <c r="Q70" s="2713"/>
      <c r="R70" s="2699"/>
      <c r="S70" s="2699"/>
      <c r="T70" s="2699"/>
      <c r="U70" s="2699"/>
      <c r="V70" s="2699"/>
      <c r="W70" s="2699"/>
      <c r="X70" s="2699"/>
      <c r="Y70" s="2699"/>
      <c r="Z70" s="2699"/>
      <c r="AA70" s="2699"/>
      <c r="AB70" s="2699"/>
      <c r="AC70" s="2699"/>
    </row>
    <row r="71" spans="1:29" ht="15.75" thickTop="1">
      <c r="A71" s="483"/>
      <c r="B71" s="487" t="s">
        <v>1834</v>
      </c>
      <c r="C71" s="503"/>
      <c r="D71" s="503"/>
      <c r="E71" s="503"/>
      <c r="F71" s="503"/>
      <c r="G71" s="503"/>
      <c r="H71" s="532"/>
      <c r="I71" s="532"/>
      <c r="J71" s="532"/>
      <c r="K71" s="533"/>
      <c r="L71" s="534"/>
      <c r="M71" s="535"/>
      <c r="N71" s="2727"/>
      <c r="O71" s="2727"/>
      <c r="P71" s="2736"/>
      <c r="Q71" s="2713"/>
      <c r="R71" s="2699"/>
      <c r="S71" s="2699"/>
      <c r="T71" s="2699"/>
      <c r="U71" s="2699"/>
      <c r="V71" s="2699"/>
      <c r="W71" s="2699"/>
      <c r="X71" s="2699"/>
      <c r="Y71" s="2699"/>
      <c r="Z71" s="2699"/>
      <c r="AA71" s="2699"/>
      <c r="AB71" s="2699"/>
      <c r="AC71" s="2699"/>
    </row>
    <row r="72" spans="1:29" ht="15.75" thickBot="1">
      <c r="A72" s="483"/>
      <c r="B72" s="492"/>
      <c r="C72" s="493">
        <v>100</v>
      </c>
      <c r="D72" s="493">
        <f>C72-$K22</f>
        <v>100</v>
      </c>
      <c r="E72" s="493">
        <f>D72-$K22</f>
        <v>100</v>
      </c>
      <c r="F72" s="493">
        <f>E72-$K22</f>
        <v>100</v>
      </c>
      <c r="G72" s="493">
        <f>F72-$K22</f>
        <v>100</v>
      </c>
      <c r="H72" s="493"/>
      <c r="I72" s="493"/>
      <c r="J72" s="493"/>
      <c r="K72" s="493"/>
      <c r="L72" s="493"/>
      <c r="M72" s="494"/>
      <c r="N72" s="2728"/>
      <c r="O72" s="2728"/>
      <c r="P72" s="2736"/>
      <c r="Q72" s="2713"/>
      <c r="R72" s="2699"/>
      <c r="S72" s="2699"/>
      <c r="T72" s="2699"/>
      <c r="U72" s="2699"/>
      <c r="V72" s="2699"/>
      <c r="W72" s="2699"/>
      <c r="X72" s="2699"/>
      <c r="Y72" s="2699"/>
      <c r="Z72" s="2699"/>
      <c r="AA72" s="2699"/>
      <c r="AB72" s="2699"/>
      <c r="AC72" s="2699"/>
    </row>
    <row r="73" spans="1:29" s="108" customFormat="1" ht="15.75" thickTop="1">
      <c r="A73" s="528"/>
      <c r="B73" s="487">
        <f>B23</f>
        <v>111</v>
      </c>
      <c r="C73" s="498"/>
      <c r="D73" s="498"/>
      <c r="E73" s="498"/>
      <c r="F73" s="498"/>
      <c r="G73" s="503"/>
      <c r="H73" s="503"/>
      <c r="I73" s="503"/>
      <c r="J73" s="503"/>
      <c r="K73" s="503"/>
      <c r="L73" s="529"/>
      <c r="M73" s="530"/>
      <c r="N73" s="2726"/>
      <c r="O73" s="2726"/>
      <c r="P73" s="2736"/>
      <c r="Q73" s="2713"/>
      <c r="R73" s="2635"/>
      <c r="S73" s="2635"/>
      <c r="T73" s="2635"/>
      <c r="U73" s="2635"/>
      <c r="V73" s="2635"/>
      <c r="W73" s="2635"/>
      <c r="X73" s="2635"/>
      <c r="Y73" s="2635"/>
      <c r="Z73" s="2635"/>
      <c r="AA73" s="2635"/>
      <c r="AB73" s="2635"/>
      <c r="AC73" s="2635"/>
    </row>
    <row r="74" spans="1:29" s="108" customFormat="1" ht="15.75" thickBot="1">
      <c r="A74" s="528"/>
      <c r="B74" s="492"/>
      <c r="C74" s="509"/>
      <c r="D74" s="485"/>
      <c r="E74" s="485"/>
      <c r="F74" s="485"/>
      <c r="G74" s="485"/>
      <c r="H74" s="485"/>
      <c r="I74" s="485"/>
      <c r="J74" s="485"/>
      <c r="K74" s="485"/>
      <c r="L74" s="485"/>
      <c r="M74" s="486"/>
      <c r="N74" s="2728"/>
      <c r="O74" s="2728"/>
      <c r="P74" s="2736"/>
      <c r="Q74" s="2713"/>
      <c r="R74" s="2635"/>
      <c r="S74" s="2635"/>
      <c r="T74" s="2635"/>
      <c r="U74" s="2635"/>
      <c r="V74" s="2635"/>
      <c r="W74" s="2635"/>
      <c r="X74" s="2635"/>
      <c r="Y74" s="2635"/>
      <c r="Z74" s="2635"/>
      <c r="AA74" s="2635"/>
      <c r="AB74" s="2635"/>
      <c r="AC74" s="2635"/>
    </row>
    <row r="75" spans="1:29" s="108" customFormat="1" ht="15.75" thickTop="1">
      <c r="A75" s="528"/>
      <c r="B75" s="487">
        <f>B24</f>
        <v>111</v>
      </c>
      <c r="C75" s="498"/>
      <c r="D75" s="498"/>
      <c r="E75" s="498"/>
      <c r="F75" s="498"/>
      <c r="G75" s="503"/>
      <c r="H75" s="503"/>
      <c r="I75" s="503"/>
      <c r="J75" s="503"/>
      <c r="K75" s="503"/>
      <c r="L75" s="503"/>
      <c r="M75" s="530"/>
      <c r="N75" s="2726"/>
      <c r="O75" s="2726"/>
      <c r="P75" s="2736"/>
      <c r="Q75" s="2713"/>
      <c r="R75" s="2635"/>
      <c r="S75" s="2635"/>
      <c r="T75" s="2635"/>
      <c r="U75" s="2635"/>
      <c r="V75" s="2635"/>
      <c r="W75" s="2635"/>
      <c r="X75" s="2635"/>
      <c r="Y75" s="2635"/>
      <c r="Z75" s="2635"/>
      <c r="AA75" s="2635"/>
      <c r="AB75" s="2635"/>
      <c r="AC75" s="2635"/>
    </row>
    <row r="76" spans="1:29" s="108" customFormat="1" ht="15.75" thickBot="1">
      <c r="A76" s="528"/>
      <c r="B76" s="492"/>
      <c r="C76" s="509"/>
      <c r="D76" s="485"/>
      <c r="E76" s="485"/>
      <c r="F76" s="485"/>
      <c r="G76" s="485"/>
      <c r="H76" s="485"/>
      <c r="I76" s="485"/>
      <c r="J76" s="485"/>
      <c r="K76" s="485"/>
      <c r="L76" s="485"/>
      <c r="M76" s="486"/>
      <c r="N76" s="2728"/>
      <c r="O76" s="2728"/>
      <c r="P76" s="2736"/>
      <c r="Q76" s="2713"/>
      <c r="R76" s="2635"/>
      <c r="S76" s="2635"/>
      <c r="T76" s="2635"/>
      <c r="U76" s="2635"/>
      <c r="V76" s="2635"/>
      <c r="W76" s="2635"/>
      <c r="X76" s="2635"/>
      <c r="Y76" s="2635"/>
      <c r="Z76" s="2635"/>
      <c r="AA76" s="2635"/>
      <c r="AB76" s="2635"/>
      <c r="AC76" s="2635"/>
    </row>
    <row r="77" spans="1:29" s="422" customFormat="1" ht="15.75" thickTop="1">
      <c r="A77" s="502"/>
      <c r="B77" s="487">
        <f>B25</f>
        <v>111</v>
      </c>
      <c r="C77" s="503"/>
      <c r="D77" s="503"/>
      <c r="E77" s="503"/>
      <c r="F77" s="503"/>
      <c r="G77" s="503"/>
      <c r="H77" s="504"/>
      <c r="I77" s="504"/>
      <c r="J77" s="504"/>
      <c r="K77" s="504"/>
      <c r="L77" s="505"/>
      <c r="M77" s="506"/>
      <c r="N77" s="2729"/>
      <c r="O77" s="2729"/>
      <c r="P77" s="2737"/>
      <c r="Q77" s="2720"/>
      <c r="R77" s="2721"/>
      <c r="S77" s="2721"/>
      <c r="T77" s="2721"/>
      <c r="U77" s="2721"/>
      <c r="V77" s="2721"/>
      <c r="W77" s="2721"/>
      <c r="X77" s="2721"/>
      <c r="Y77" s="2721"/>
      <c r="Z77" s="2721"/>
      <c r="AA77" s="2721"/>
      <c r="AB77" s="2721"/>
      <c r="AC77" s="2721"/>
    </row>
    <row r="78" spans="1:29" s="422" customFormat="1" ht="15.75" thickBot="1">
      <c r="A78" s="502"/>
      <c r="B78" s="492"/>
      <c r="C78" s="509"/>
      <c r="D78" s="509"/>
      <c r="E78" s="509"/>
      <c r="F78" s="509"/>
      <c r="G78" s="485"/>
      <c r="H78" s="485"/>
      <c r="I78" s="485"/>
      <c r="J78" s="485"/>
      <c r="K78" s="485"/>
      <c r="L78" s="485"/>
      <c r="M78" s="486"/>
      <c r="N78" s="2729"/>
      <c r="O78" s="2729"/>
      <c r="P78" s="2737"/>
      <c r="Q78" s="2720"/>
      <c r="R78" s="2721"/>
      <c r="S78" s="2721"/>
      <c r="T78" s="2721"/>
      <c r="U78" s="2721"/>
      <c r="V78" s="2721"/>
      <c r="W78" s="2721"/>
      <c r="X78" s="2721"/>
      <c r="Y78" s="2721"/>
      <c r="Z78" s="2721"/>
      <c r="AA78" s="2721"/>
      <c r="AB78" s="2721"/>
      <c r="AC78" s="2721"/>
    </row>
    <row r="79" spans="1:29" ht="27.75" thickTop="1">
      <c r="A79" s="476" t="s">
        <v>1676</v>
      </c>
      <c r="B79" s="477" t="s">
        <v>1835</v>
      </c>
      <c r="C79" s="478" t="str">
        <f>C26</f>
        <v>车库</v>
      </c>
      <c r="D79" s="479"/>
      <c r="E79" s="479"/>
      <c r="F79" s="479"/>
      <c r="G79" s="479"/>
      <c r="H79" s="479"/>
      <c r="I79" s="479"/>
      <c r="J79" s="479"/>
      <c r="K79" s="480"/>
      <c r="L79" s="481"/>
      <c r="M79" s="482"/>
      <c r="N79" s="2727"/>
      <c r="O79" s="2727"/>
      <c r="P79" s="2736"/>
      <c r="Q79" s="2713"/>
      <c r="R79" s="2699"/>
      <c r="S79" s="2699"/>
      <c r="T79" s="2699"/>
      <c r="U79" s="2699"/>
      <c r="V79" s="2699"/>
      <c r="W79" s="2699"/>
      <c r="X79" s="2699"/>
      <c r="Y79" s="2699"/>
      <c r="Z79" s="2699"/>
      <c r="AA79" s="2699"/>
      <c r="AB79" s="2699"/>
      <c r="AC79" s="2699"/>
    </row>
    <row r="80" spans="1:29" ht="15.75" thickBot="1">
      <c r="A80" s="483"/>
      <c r="B80" s="492"/>
      <c r="C80" s="493">
        <v>100</v>
      </c>
      <c r="D80" s="493">
        <f t="shared" ref="D80:M80" si="17">C80-$K26</f>
        <v>100</v>
      </c>
      <c r="E80" s="493">
        <f t="shared" si="17"/>
        <v>100</v>
      </c>
      <c r="F80" s="493">
        <f t="shared" si="17"/>
        <v>100</v>
      </c>
      <c r="G80" s="493">
        <f t="shared" si="17"/>
        <v>100</v>
      </c>
      <c r="H80" s="493">
        <f t="shared" si="17"/>
        <v>100</v>
      </c>
      <c r="I80" s="493">
        <f t="shared" si="17"/>
        <v>100</v>
      </c>
      <c r="J80" s="493">
        <f t="shared" si="17"/>
        <v>100</v>
      </c>
      <c r="K80" s="493">
        <f t="shared" si="17"/>
        <v>100</v>
      </c>
      <c r="L80" s="493">
        <f t="shared" si="17"/>
        <v>100</v>
      </c>
      <c r="M80" s="494">
        <f t="shared" si="17"/>
        <v>100</v>
      </c>
      <c r="N80" s="2728"/>
      <c r="O80" s="2728"/>
      <c r="P80" s="2736"/>
      <c r="Q80" s="2713"/>
      <c r="R80" s="2699"/>
      <c r="S80" s="2699"/>
      <c r="T80" s="2699"/>
      <c r="U80" s="2699"/>
      <c r="V80" s="2699"/>
      <c r="W80" s="2699"/>
      <c r="X80" s="2699"/>
      <c r="Y80" s="2699"/>
      <c r="Z80" s="2699"/>
      <c r="AA80" s="2699"/>
      <c r="AB80" s="2699"/>
      <c r="AC80" s="2699"/>
    </row>
    <row r="81" spans="1:29" ht="15.75" thickTop="1">
      <c r="A81" s="483"/>
      <c r="B81" s="487" t="s">
        <v>1836</v>
      </c>
      <c r="C81" s="609"/>
      <c r="D81" s="609"/>
      <c r="E81" s="609"/>
      <c r="F81" s="609"/>
      <c r="G81" s="609"/>
      <c r="H81" s="609"/>
      <c r="I81" s="609"/>
      <c r="J81" s="609"/>
      <c r="K81" s="610"/>
      <c r="L81" s="611"/>
      <c r="M81" s="612"/>
      <c r="N81" s="2726"/>
      <c r="O81" s="2726"/>
      <c r="P81" s="2736"/>
      <c r="Q81" s="2713"/>
      <c r="R81" s="2699"/>
      <c r="S81" s="2699"/>
      <c r="T81" s="2699"/>
      <c r="U81" s="2699"/>
      <c r="V81" s="2699"/>
      <c r="W81" s="2699"/>
      <c r="X81" s="2699"/>
      <c r="Y81" s="2699"/>
      <c r="Z81" s="2699"/>
      <c r="AA81" s="2699"/>
      <c r="AB81" s="2699"/>
      <c r="AC81" s="2699"/>
    </row>
    <row r="82" spans="1:29" s="422" customFormat="1" ht="15.75" thickBot="1">
      <c r="A82" s="502"/>
      <c r="B82" s="492"/>
      <c r="C82" s="509"/>
      <c r="D82" s="485"/>
      <c r="E82" s="485"/>
      <c r="F82" s="485"/>
      <c r="G82" s="485"/>
      <c r="H82" s="485"/>
      <c r="I82" s="485"/>
      <c r="J82" s="485"/>
      <c r="K82" s="485"/>
      <c r="L82" s="485"/>
      <c r="M82" s="486"/>
      <c r="N82" s="2728"/>
      <c r="O82" s="2728"/>
      <c r="P82" s="2737"/>
      <c r="Q82" s="2720"/>
      <c r="R82" s="2721"/>
      <c r="S82" s="2721"/>
      <c r="T82" s="2721"/>
      <c r="U82" s="2721"/>
      <c r="V82" s="2721"/>
      <c r="W82" s="2721"/>
      <c r="X82" s="2721"/>
      <c r="Y82" s="2721"/>
      <c r="Z82" s="2721"/>
      <c r="AA82" s="2721"/>
      <c r="AB82" s="2721"/>
      <c r="AC82" s="2721"/>
    </row>
    <row r="83" spans="1:29" ht="15" thickTop="1">
      <c r="A83" s="548"/>
      <c r="B83" s="487" t="s">
        <v>1722</v>
      </c>
      <c r="C83" s="503"/>
      <c r="D83" s="503"/>
      <c r="E83" s="532"/>
      <c r="F83" s="532"/>
      <c r="G83" s="532"/>
      <c r="H83" s="532"/>
      <c r="I83" s="532"/>
      <c r="J83" s="532"/>
      <c r="K83" s="533"/>
      <c r="L83" s="534"/>
      <c r="M83" s="535"/>
      <c r="N83" s="2727"/>
      <c r="O83" s="2727"/>
      <c r="P83" s="2736"/>
      <c r="Q83" s="2713"/>
      <c r="R83" s="2699"/>
      <c r="S83" s="2699"/>
      <c r="T83" s="2699"/>
      <c r="U83" s="2699"/>
      <c r="V83" s="2699"/>
      <c r="W83" s="2699"/>
      <c r="X83" s="2699"/>
      <c r="Y83" s="2699"/>
      <c r="Z83" s="2699"/>
      <c r="AA83" s="2699"/>
      <c r="AB83" s="2699"/>
      <c r="AC83" s="2699"/>
    </row>
    <row r="84" spans="1:29" ht="15.75" thickBot="1">
      <c r="A84" s="483"/>
      <c r="B84" s="492"/>
      <c r="C84" s="493">
        <v>100</v>
      </c>
      <c r="D84" s="493">
        <f t="shared" ref="D84:M84" si="18">C84-$K28</f>
        <v>100</v>
      </c>
      <c r="E84" s="493">
        <f t="shared" si="18"/>
        <v>100</v>
      </c>
      <c r="F84" s="493">
        <f t="shared" si="18"/>
        <v>100</v>
      </c>
      <c r="G84" s="493">
        <f t="shared" si="18"/>
        <v>100</v>
      </c>
      <c r="H84" s="493">
        <f t="shared" si="18"/>
        <v>100</v>
      </c>
      <c r="I84" s="493">
        <f t="shared" si="18"/>
        <v>100</v>
      </c>
      <c r="J84" s="493">
        <f t="shared" si="18"/>
        <v>100</v>
      </c>
      <c r="K84" s="493">
        <f t="shared" si="18"/>
        <v>100</v>
      </c>
      <c r="L84" s="493">
        <f t="shared" si="18"/>
        <v>100</v>
      </c>
      <c r="M84" s="494">
        <f t="shared" si="18"/>
        <v>100</v>
      </c>
      <c r="N84" s="2728"/>
      <c r="O84" s="2728"/>
      <c r="P84" s="2736"/>
      <c r="Q84" s="2713"/>
      <c r="R84" s="2699"/>
      <c r="S84" s="2699"/>
      <c r="T84" s="2699"/>
      <c r="U84" s="2699"/>
      <c r="V84" s="2699"/>
      <c r="W84" s="2699"/>
      <c r="X84" s="2699"/>
      <c r="Y84" s="2699"/>
      <c r="Z84" s="2699"/>
      <c r="AA84" s="2699"/>
      <c r="AB84" s="2699"/>
      <c r="AC84" s="2699"/>
    </row>
    <row r="85" spans="1:29" ht="15" thickTop="1">
      <c r="A85" s="548"/>
      <c r="B85" s="487" t="s">
        <v>1837</v>
      </c>
      <c r="C85" s="527" t="str">
        <f>C86&amp;"(含)"&amp;"-"&amp;D86</f>
        <v>0.5(含)-0.6</v>
      </c>
      <c r="D85" s="527" t="str">
        <f>D86&amp;"(含)"&amp;"-"&amp;E86</f>
        <v>0.6(含)-0.7</v>
      </c>
      <c r="E85" s="527" t="str">
        <f>E86&amp;"(含)"&amp;"-"&amp;F86</f>
        <v>0.7(含)-0.8</v>
      </c>
      <c r="F85" s="527" t="str">
        <f>F86&amp;"(含)"&amp;"-"&amp;G86</f>
        <v>0.8(含)-0.9</v>
      </c>
      <c r="G85" s="527" t="str">
        <f>G86&amp;"(含)"&amp;"-"&amp;ROUND(H86,0)&amp;"(含)"</f>
        <v>0.9(含)-1(含)</v>
      </c>
      <c r="H85" s="527"/>
      <c r="I85" s="532"/>
      <c r="J85" s="532"/>
      <c r="K85" s="533"/>
      <c r="L85" s="534"/>
      <c r="M85" s="535"/>
      <c r="N85" s="2727"/>
      <c r="O85" s="2727"/>
      <c r="P85" s="2736"/>
      <c r="Q85" s="2713"/>
      <c r="R85" s="2699"/>
      <c r="S85" s="2699"/>
      <c r="T85" s="2699"/>
      <c r="U85" s="2699"/>
      <c r="V85" s="2699"/>
      <c r="W85" s="2699"/>
      <c r="X85" s="2699"/>
      <c r="Y85" s="2699"/>
      <c r="Z85" s="2699"/>
      <c r="AA85" s="2699"/>
      <c r="AB85" s="2699"/>
      <c r="AC85" s="2699"/>
    </row>
    <row r="86" spans="1:29">
      <c r="A86" s="548"/>
      <c r="B86" s="495"/>
      <c r="C86" s="552">
        <v>0.5</v>
      </c>
      <c r="D86" s="552">
        <v>0.6</v>
      </c>
      <c r="E86" s="552">
        <v>0.7</v>
      </c>
      <c r="F86" s="552">
        <v>0.8</v>
      </c>
      <c r="G86" s="552">
        <v>0.9</v>
      </c>
      <c r="H86" s="552">
        <v>1.0001</v>
      </c>
      <c r="I86" s="571"/>
      <c r="J86" s="571"/>
      <c r="K86" s="572"/>
      <c r="L86" s="573"/>
      <c r="M86" s="574"/>
      <c r="N86" s="2727"/>
      <c r="O86" s="2727"/>
      <c r="P86" s="2736"/>
      <c r="Q86" s="2713"/>
      <c r="R86" s="2699"/>
      <c r="S86" s="2699"/>
      <c r="T86" s="2699"/>
      <c r="U86" s="2699"/>
      <c r="V86" s="2699"/>
      <c r="W86" s="2699"/>
      <c r="X86" s="2699"/>
      <c r="Y86" s="2699"/>
      <c r="Z86" s="2699"/>
      <c r="AA86" s="2699"/>
      <c r="AB86" s="2699"/>
      <c r="AC86" s="2699"/>
    </row>
    <row r="87" spans="1:29" ht="15.75" thickBot="1">
      <c r="A87" s="483"/>
      <c r="B87" s="492"/>
      <c r="C87" s="531">
        <v>100</v>
      </c>
      <c r="D87" s="493">
        <f>C87+$K$29</f>
        <v>100</v>
      </c>
      <c r="E87" s="493">
        <f t="shared" ref="E87:M87" si="19">D87+$K$29</f>
        <v>100</v>
      </c>
      <c r="F87" s="493">
        <f t="shared" si="19"/>
        <v>100</v>
      </c>
      <c r="G87" s="493">
        <f t="shared" si="19"/>
        <v>100</v>
      </c>
      <c r="H87" s="493">
        <f t="shared" si="19"/>
        <v>100</v>
      </c>
      <c r="I87" s="493">
        <f t="shared" si="19"/>
        <v>100</v>
      </c>
      <c r="J87" s="493">
        <f t="shared" si="19"/>
        <v>100</v>
      </c>
      <c r="K87" s="493">
        <f t="shared" si="19"/>
        <v>100</v>
      </c>
      <c r="L87" s="493">
        <f t="shared" si="19"/>
        <v>100</v>
      </c>
      <c r="M87" s="493">
        <f t="shared" si="19"/>
        <v>100</v>
      </c>
      <c r="N87" s="2728"/>
      <c r="O87" s="2728"/>
      <c r="P87" s="2736"/>
      <c r="Q87" s="2713"/>
      <c r="R87" s="2699"/>
      <c r="S87" s="2699"/>
      <c r="T87" s="2699"/>
      <c r="U87" s="2699"/>
      <c r="V87" s="2699"/>
      <c r="W87" s="2699"/>
      <c r="X87" s="2699"/>
      <c r="Y87" s="2699"/>
      <c r="Z87" s="2699"/>
      <c r="AA87" s="2699"/>
      <c r="AB87" s="2699"/>
      <c r="AC87" s="2699"/>
    </row>
    <row r="88" spans="1:29" ht="15" thickTop="1">
      <c r="A88" s="548"/>
      <c r="B88" s="495" t="s">
        <v>1838</v>
      </c>
      <c r="C88" s="479"/>
      <c r="D88" s="479"/>
      <c r="E88" s="479"/>
      <c r="F88" s="479"/>
      <c r="G88" s="479"/>
      <c r="H88" s="479"/>
      <c r="I88" s="479"/>
      <c r="J88" s="479"/>
      <c r="K88" s="480"/>
      <c r="L88" s="481"/>
      <c r="M88" s="482"/>
      <c r="N88" s="2727"/>
      <c r="O88" s="2727"/>
      <c r="P88" s="2736"/>
      <c r="Q88" s="2713"/>
      <c r="R88" s="2699"/>
      <c r="S88" s="2699"/>
      <c r="T88" s="2699"/>
      <c r="U88" s="2699"/>
      <c r="V88" s="2699"/>
      <c r="W88" s="2699"/>
      <c r="X88" s="2699"/>
      <c r="Y88" s="2699"/>
      <c r="Z88" s="2699"/>
      <c r="AA88" s="2699"/>
      <c r="AB88" s="2699"/>
      <c r="AC88" s="2699"/>
    </row>
    <row r="89" spans="1:29" ht="15.75" thickBot="1">
      <c r="A89" s="483"/>
      <c r="B89" s="492"/>
      <c r="C89" s="531">
        <v>100</v>
      </c>
      <c r="D89" s="493">
        <f t="shared" ref="D89:M89" si="20">C89+$K30</f>
        <v>100</v>
      </c>
      <c r="E89" s="493">
        <f t="shared" si="20"/>
        <v>100</v>
      </c>
      <c r="F89" s="493">
        <f t="shared" si="20"/>
        <v>100</v>
      </c>
      <c r="G89" s="493">
        <f t="shared" si="20"/>
        <v>100</v>
      </c>
      <c r="H89" s="493">
        <f t="shared" si="20"/>
        <v>100</v>
      </c>
      <c r="I89" s="493">
        <f t="shared" si="20"/>
        <v>100</v>
      </c>
      <c r="J89" s="493">
        <f t="shared" si="20"/>
        <v>100</v>
      </c>
      <c r="K89" s="493">
        <f t="shared" si="20"/>
        <v>100</v>
      </c>
      <c r="L89" s="493">
        <f t="shared" si="20"/>
        <v>100</v>
      </c>
      <c r="M89" s="493">
        <f t="shared" si="20"/>
        <v>100</v>
      </c>
      <c r="N89" s="2728"/>
      <c r="O89" s="2728"/>
      <c r="P89" s="2736"/>
      <c r="Q89" s="2713"/>
      <c r="R89" s="2699"/>
      <c r="S89" s="2699"/>
      <c r="T89" s="2699"/>
      <c r="U89" s="2699"/>
      <c r="V89" s="2699"/>
      <c r="W89" s="2699"/>
      <c r="X89" s="2699"/>
      <c r="Y89" s="2699"/>
      <c r="Z89" s="2699"/>
      <c r="AA89" s="2699"/>
      <c r="AB89" s="2699"/>
      <c r="AC89" s="2699"/>
    </row>
    <row r="90" spans="1:29" s="422" customFormat="1" ht="15" thickTop="1">
      <c r="A90" s="542"/>
      <c r="B90" s="487" t="s">
        <v>1839</v>
      </c>
      <c r="C90" s="527" t="str">
        <f>C91&amp;"(含)"&amp;"-"&amp;D91</f>
        <v>(含)-</v>
      </c>
      <c r="D90" s="527" t="str">
        <f t="shared" ref="D90:L90" si="21">D91&amp;"(含)"&amp;"-"&amp;E91</f>
        <v>(含)-</v>
      </c>
      <c r="E90" s="527" t="str">
        <f t="shared" si="21"/>
        <v>(含)-</v>
      </c>
      <c r="F90" s="527" t="str">
        <f t="shared" si="21"/>
        <v>(含)-</v>
      </c>
      <c r="G90" s="527" t="str">
        <f t="shared" si="21"/>
        <v>(含)-</v>
      </c>
      <c r="H90" s="527" t="str">
        <f t="shared" si="21"/>
        <v>(含)-</v>
      </c>
      <c r="I90" s="527" t="str">
        <f t="shared" si="21"/>
        <v>(含)-</v>
      </c>
      <c r="J90" s="527" t="str">
        <f t="shared" si="21"/>
        <v>(含)-</v>
      </c>
      <c r="K90" s="527" t="str">
        <f t="shared" si="21"/>
        <v>(含)-</v>
      </c>
      <c r="L90" s="527" t="str">
        <f t="shared" si="21"/>
        <v>(含)-</v>
      </c>
      <c r="M90" s="570" t="str">
        <f>M91&amp;"(含)"&amp;"-"&amp;P91</f>
        <v>(含)-</v>
      </c>
      <c r="N90" s="2729"/>
      <c r="O90" s="2729"/>
      <c r="P90" s="2737"/>
      <c r="Q90" s="2720"/>
      <c r="R90" s="2721"/>
      <c r="S90" s="2721"/>
      <c r="T90" s="2721"/>
      <c r="U90" s="2721"/>
      <c r="V90" s="2721"/>
      <c r="W90" s="2721"/>
      <c r="X90" s="2721"/>
      <c r="Y90" s="2721"/>
      <c r="Z90" s="2721"/>
      <c r="AA90" s="2721"/>
      <c r="AB90" s="2721"/>
      <c r="AC90" s="2721"/>
    </row>
    <row r="91" spans="1:29" s="422" customFormat="1">
      <c r="A91" s="542"/>
      <c r="B91" s="495"/>
      <c r="C91" s="544"/>
      <c r="D91" s="544"/>
      <c r="E91" s="544"/>
      <c r="F91" s="544"/>
      <c r="G91" s="544"/>
      <c r="H91" s="544"/>
      <c r="I91" s="544"/>
      <c r="J91" s="545"/>
      <c r="K91" s="545"/>
      <c r="L91" s="546"/>
      <c r="M91" s="547"/>
      <c r="N91" s="2729"/>
      <c r="O91" s="2729"/>
      <c r="P91" s="2737"/>
      <c r="Q91" s="2720"/>
      <c r="R91" s="2721"/>
      <c r="S91" s="2721"/>
      <c r="T91" s="2721"/>
      <c r="U91" s="2721"/>
      <c r="V91" s="2721"/>
      <c r="W91" s="2721"/>
      <c r="X91" s="2721"/>
      <c r="Y91" s="2721"/>
      <c r="Z91" s="2721"/>
      <c r="AA91" s="2721"/>
      <c r="AB91" s="2721"/>
      <c r="AC91" s="2721"/>
    </row>
    <row r="92" spans="1:29" s="422" customFormat="1" ht="15.75" thickBot="1">
      <c r="A92" s="502"/>
      <c r="B92" s="492"/>
      <c r="C92" s="509"/>
      <c r="D92" s="485"/>
      <c r="E92" s="485"/>
      <c r="F92" s="485"/>
      <c r="G92" s="485"/>
      <c r="H92" s="485"/>
      <c r="I92" s="485"/>
      <c r="J92" s="485"/>
      <c r="K92" s="485"/>
      <c r="L92" s="485"/>
      <c r="M92" s="486"/>
      <c r="N92" s="2729"/>
      <c r="O92" s="2729"/>
      <c r="P92" s="2737"/>
      <c r="Q92" s="2720"/>
      <c r="R92" s="2721"/>
      <c r="S92" s="2721"/>
      <c r="T92" s="2721"/>
      <c r="U92" s="2721"/>
      <c r="V92" s="2721"/>
      <c r="W92" s="2721"/>
      <c r="X92" s="2721"/>
      <c r="Y92" s="2721"/>
      <c r="Z92" s="2721"/>
      <c r="AA92" s="2721"/>
      <c r="AB92" s="2721"/>
      <c r="AC92" s="2721"/>
    </row>
    <row r="93" spans="1:29" ht="15" thickTop="1">
      <c r="A93" s="548"/>
      <c r="B93" s="487" t="s">
        <v>1840</v>
      </c>
      <c r="C93" s="503"/>
      <c r="D93" s="503"/>
      <c r="E93" s="532"/>
      <c r="F93" s="532"/>
      <c r="G93" s="532"/>
      <c r="H93" s="532"/>
      <c r="I93" s="532"/>
      <c r="J93" s="532"/>
      <c r="K93" s="533"/>
      <c r="L93" s="534"/>
      <c r="M93" s="535"/>
      <c r="N93" s="2727"/>
      <c r="O93" s="2727"/>
      <c r="P93" s="2736"/>
      <c r="Q93" s="2713"/>
      <c r="R93" s="2699"/>
      <c r="S93" s="2699"/>
      <c r="T93" s="2699"/>
      <c r="U93" s="2699"/>
      <c r="V93" s="2699"/>
      <c r="W93" s="2699"/>
      <c r="X93" s="2699"/>
      <c r="Y93" s="2699"/>
      <c r="Z93" s="2699"/>
      <c r="AA93" s="2699"/>
      <c r="AB93" s="2699"/>
      <c r="AC93" s="2699"/>
    </row>
    <row r="94" spans="1:29" ht="15.75" thickBot="1">
      <c r="A94" s="483"/>
      <c r="B94" s="492"/>
      <c r="C94" s="493">
        <v>100</v>
      </c>
      <c r="D94" s="493">
        <f t="shared" ref="D94:M94" si="22">C94-$K32</f>
        <v>100</v>
      </c>
      <c r="E94" s="493">
        <f t="shared" si="22"/>
        <v>100</v>
      </c>
      <c r="F94" s="493">
        <f t="shared" si="22"/>
        <v>100</v>
      </c>
      <c r="G94" s="493">
        <f t="shared" si="22"/>
        <v>100</v>
      </c>
      <c r="H94" s="493">
        <f t="shared" si="22"/>
        <v>100</v>
      </c>
      <c r="I94" s="493">
        <f t="shared" si="22"/>
        <v>100</v>
      </c>
      <c r="J94" s="493">
        <f t="shared" si="22"/>
        <v>100</v>
      </c>
      <c r="K94" s="493">
        <f t="shared" si="22"/>
        <v>100</v>
      </c>
      <c r="L94" s="493">
        <f t="shared" si="22"/>
        <v>100</v>
      </c>
      <c r="M94" s="494">
        <f t="shared" si="22"/>
        <v>100</v>
      </c>
      <c r="N94" s="2728"/>
      <c r="O94" s="2728"/>
      <c r="P94" s="2736"/>
      <c r="Q94" s="2713"/>
      <c r="R94" s="2699"/>
      <c r="S94" s="2699"/>
      <c r="T94" s="2699"/>
      <c r="U94" s="2699"/>
      <c r="V94" s="2699"/>
      <c r="W94" s="2699"/>
      <c r="X94" s="2699"/>
      <c r="Y94" s="2699"/>
      <c r="Z94" s="2699"/>
      <c r="AA94" s="2699"/>
      <c r="AB94" s="2699"/>
      <c r="AC94" s="2699"/>
    </row>
    <row r="95" spans="1:29" ht="15" thickTop="1">
      <c r="A95" s="548"/>
      <c r="B95" s="487" t="s">
        <v>1841</v>
      </c>
      <c r="C95" s="479"/>
      <c r="D95" s="479"/>
      <c r="E95" s="479"/>
      <c r="F95" s="479"/>
      <c r="G95" s="479"/>
      <c r="H95" s="479"/>
      <c r="I95" s="479"/>
      <c r="J95" s="479"/>
      <c r="K95" s="480"/>
      <c r="L95" s="481"/>
      <c r="M95" s="482"/>
      <c r="N95" s="2727"/>
      <c r="O95" s="2727"/>
      <c r="P95" s="2736"/>
      <c r="Q95" s="2713"/>
      <c r="R95" s="2699"/>
      <c r="S95" s="2699"/>
      <c r="T95" s="2699"/>
      <c r="U95" s="2699"/>
      <c r="V95" s="2699"/>
      <c r="W95" s="2699"/>
      <c r="X95" s="2699"/>
      <c r="Y95" s="2699"/>
      <c r="Z95" s="2699"/>
      <c r="AA95" s="2699"/>
      <c r="AB95" s="2699"/>
      <c r="AC95" s="2699"/>
    </row>
    <row r="96" spans="1:29" ht="15.75" thickBot="1">
      <c r="A96" s="483"/>
      <c r="B96" s="492"/>
      <c r="C96" s="493">
        <v>100</v>
      </c>
      <c r="D96" s="493">
        <f>C96-$K33</f>
        <v>100</v>
      </c>
      <c r="E96" s="493">
        <f>D96-$K33</f>
        <v>100</v>
      </c>
      <c r="F96" s="493">
        <f>E96-$K33</f>
        <v>100</v>
      </c>
      <c r="G96" s="493">
        <f>F96-$K33</f>
        <v>100</v>
      </c>
      <c r="H96" s="493"/>
      <c r="I96" s="493"/>
      <c r="J96" s="493"/>
      <c r="K96" s="493"/>
      <c r="L96" s="493"/>
      <c r="M96" s="494"/>
      <c r="N96" s="2728"/>
      <c r="O96" s="2728"/>
      <c r="P96" s="2736"/>
      <c r="Q96" s="2713"/>
      <c r="R96" s="2699"/>
      <c r="S96" s="2699"/>
      <c r="T96" s="2699"/>
      <c r="U96" s="2699"/>
      <c r="V96" s="2699"/>
      <c r="W96" s="2699"/>
      <c r="X96" s="2699"/>
      <c r="Y96" s="2699"/>
      <c r="Z96" s="2699"/>
      <c r="AA96" s="2699"/>
      <c r="AB96" s="2699"/>
      <c r="AC96" s="2699"/>
    </row>
    <row r="97" spans="1:29" ht="15" thickTop="1">
      <c r="A97" s="548"/>
      <c r="B97" s="584">
        <f>B34</f>
        <v>111</v>
      </c>
      <c r="C97" s="498"/>
      <c r="D97" s="498"/>
      <c r="E97" s="498"/>
      <c r="F97" s="498"/>
      <c r="G97" s="503"/>
      <c r="H97" s="504"/>
      <c r="I97" s="504"/>
      <c r="J97" s="504"/>
      <c r="K97" s="504"/>
      <c r="L97" s="505"/>
      <c r="M97" s="506"/>
      <c r="N97" s="2728"/>
      <c r="O97" s="2728"/>
      <c r="P97" s="2741"/>
      <c r="Q97" s="2742"/>
      <c r="R97" s="2699"/>
      <c r="S97" s="2699"/>
      <c r="T97" s="2699"/>
      <c r="U97" s="2699"/>
      <c r="V97" s="2699"/>
      <c r="W97" s="2699"/>
      <c r="X97" s="2699"/>
      <c r="Y97" s="2699"/>
      <c r="Z97" s="2699"/>
      <c r="AA97" s="2699"/>
      <c r="AB97" s="2699"/>
      <c r="AC97" s="2699"/>
    </row>
    <row r="98" spans="1:29" ht="15.75" thickBot="1">
      <c r="A98" s="483"/>
      <c r="B98" s="492"/>
      <c r="C98" s="509"/>
      <c r="D98" s="485"/>
      <c r="E98" s="485"/>
      <c r="F98" s="485"/>
      <c r="G98" s="509"/>
      <c r="H98" s="511"/>
      <c r="I98" s="511"/>
      <c r="J98" s="511"/>
      <c r="K98" s="511"/>
      <c r="L98" s="511"/>
      <c r="M98" s="512"/>
      <c r="N98" s="2728"/>
      <c r="O98" s="2728"/>
      <c r="P98" s="2736"/>
      <c r="Q98" s="2713"/>
      <c r="R98" s="2699"/>
      <c r="S98" s="2699"/>
      <c r="T98" s="2699"/>
      <c r="U98" s="2699"/>
      <c r="V98" s="2699"/>
      <c r="W98" s="2699"/>
      <c r="X98" s="2699"/>
      <c r="Y98" s="2699"/>
      <c r="Z98" s="2699"/>
      <c r="AA98" s="2699"/>
      <c r="AB98" s="2699"/>
      <c r="AC98" s="2699"/>
    </row>
    <row r="99" spans="1:29" s="422" customFormat="1" ht="15" thickTop="1">
      <c r="A99" s="542"/>
      <c r="B99" s="487">
        <f>B35</f>
        <v>111</v>
      </c>
      <c r="C99" s="498"/>
      <c r="D99" s="498"/>
      <c r="E99" s="498"/>
      <c r="F99" s="498"/>
      <c r="G99" s="503"/>
      <c r="H99" s="504"/>
      <c r="I99" s="504"/>
      <c r="J99" s="504"/>
      <c r="K99" s="504"/>
      <c r="L99" s="505"/>
      <c r="M99" s="506"/>
      <c r="N99" s="2729"/>
      <c r="O99" s="2729"/>
      <c r="P99" s="2737"/>
      <c r="Q99" s="2720"/>
      <c r="R99" s="2721"/>
      <c r="S99" s="2721"/>
      <c r="T99" s="2721"/>
      <c r="U99" s="2721"/>
      <c r="V99" s="2721"/>
      <c r="W99" s="2721"/>
      <c r="X99" s="2721"/>
      <c r="Y99" s="2721"/>
      <c r="Z99" s="2721"/>
      <c r="AA99" s="2721"/>
      <c r="AB99" s="2721"/>
      <c r="AC99" s="2721"/>
    </row>
    <row r="100" spans="1:29" s="422" customFormat="1" ht="15.75" thickBot="1">
      <c r="A100" s="502"/>
      <c r="B100" s="484"/>
      <c r="C100" s="509"/>
      <c r="D100" s="485"/>
      <c r="E100" s="485"/>
      <c r="F100" s="485"/>
      <c r="G100" s="509"/>
      <c r="H100" s="511"/>
      <c r="I100" s="511"/>
      <c r="J100" s="511"/>
      <c r="K100" s="511"/>
      <c r="L100" s="511"/>
      <c r="M100" s="512"/>
      <c r="N100" s="2729"/>
      <c r="O100" s="2729"/>
      <c r="P100" s="2737"/>
      <c r="Q100" s="2720"/>
      <c r="R100" s="2721"/>
      <c r="S100" s="2721"/>
      <c r="T100" s="2721"/>
      <c r="U100" s="2721"/>
      <c r="V100" s="2721"/>
      <c r="W100" s="2721"/>
      <c r="X100" s="2721"/>
      <c r="Y100" s="2721"/>
      <c r="Z100" s="2721"/>
      <c r="AA100" s="2721"/>
      <c r="AB100" s="2721"/>
      <c r="AC100" s="2721"/>
    </row>
    <row r="101" spans="1:29" ht="15" thickTop="1">
      <c r="A101" s="548"/>
      <c r="B101" s="487">
        <f>B36</f>
        <v>111</v>
      </c>
      <c r="C101" s="503"/>
      <c r="D101" s="503"/>
      <c r="E101" s="503"/>
      <c r="F101" s="503"/>
      <c r="G101" s="503"/>
      <c r="H101" s="504"/>
      <c r="I101" s="504"/>
      <c r="J101" s="504"/>
      <c r="K101" s="504"/>
      <c r="L101" s="505"/>
      <c r="M101" s="506"/>
      <c r="N101" s="2727"/>
      <c r="O101" s="2727"/>
      <c r="P101" s="2736"/>
      <c r="Q101" s="2713"/>
      <c r="R101" s="2699"/>
      <c r="S101" s="2699"/>
      <c r="T101" s="2699"/>
      <c r="U101" s="2699"/>
      <c r="V101" s="2699"/>
      <c r="W101" s="2699"/>
      <c r="X101" s="2699"/>
      <c r="Y101" s="2699"/>
      <c r="Z101" s="2699"/>
      <c r="AA101" s="2699"/>
      <c r="AB101" s="2699"/>
      <c r="AC101" s="2699"/>
    </row>
    <row r="102" spans="1:29" ht="15.75" thickBot="1">
      <c r="A102" s="483"/>
      <c r="B102" s="492"/>
      <c r="C102" s="509"/>
      <c r="D102" s="509"/>
      <c r="E102" s="509"/>
      <c r="F102" s="509"/>
      <c r="G102" s="509"/>
      <c r="H102" s="511"/>
      <c r="I102" s="511"/>
      <c r="J102" s="511"/>
      <c r="K102" s="511"/>
      <c r="L102" s="511"/>
      <c r="M102" s="512"/>
      <c r="N102" s="2728"/>
      <c r="O102" s="2728"/>
      <c r="P102" s="2736"/>
      <c r="Q102" s="2713"/>
      <c r="R102" s="2699"/>
      <c r="S102" s="2699"/>
      <c r="T102" s="2699"/>
      <c r="U102" s="2699"/>
      <c r="V102" s="2699"/>
      <c r="W102" s="2699"/>
      <c r="X102" s="2699"/>
      <c r="Y102" s="2699"/>
      <c r="Z102" s="2699"/>
      <c r="AA102" s="2699"/>
      <c r="AB102" s="2699"/>
      <c r="AC102" s="2699"/>
    </row>
    <row r="103" spans="1:29" ht="15" thickTop="1">
      <c r="N103" s="2699"/>
      <c r="O103" s="2699"/>
      <c r="P103" s="2730"/>
      <c r="Q103" s="2699"/>
      <c r="R103" s="2699"/>
      <c r="S103" s="2699"/>
      <c r="T103" s="2699"/>
      <c r="U103" s="2699"/>
      <c r="V103" s="2699"/>
      <c r="W103" s="2699"/>
      <c r="X103" s="2699"/>
      <c r="Y103" s="2699"/>
      <c r="Z103" s="2699"/>
      <c r="AA103" s="2699"/>
      <c r="AB103" s="2699"/>
      <c r="AC103" s="2699"/>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6"/>
    <mergeCell ref="Y26:Y36"/>
    <mergeCell ref="P37:Q37"/>
    <mergeCell ref="R37:S37"/>
    <mergeCell ref="T37:U37"/>
    <mergeCell ref="V37:W37"/>
    <mergeCell ref="P38:Q38"/>
    <mergeCell ref="R38:S38"/>
    <mergeCell ref="T38:U38"/>
    <mergeCell ref="V38:W38"/>
    <mergeCell ref="P39:Q39"/>
    <mergeCell ref="R39:W39"/>
  </mergeCells>
  <phoneticPr fontId="31" type="noConversion"/>
  <conditionalFormatting sqref="F42 H42 J42">
    <cfRule type="containsText" dxfId="83" priority="18" stopIfTrue="1" operator="containsText" text="超过">
      <formula>NOT(ISERROR(SEARCH("超过",F42)))</formula>
    </cfRule>
  </conditionalFormatting>
  <conditionalFormatting sqref="J44">
    <cfRule type="containsText" dxfId="82" priority="17" stopIfTrue="1" operator="containsText" text="超过">
      <formula>NOT(ISERROR(SEARCH("超过",J44)))</formula>
    </cfRule>
  </conditionalFormatting>
  <conditionalFormatting sqref="H44">
    <cfRule type="containsText" dxfId="81" priority="16" stopIfTrue="1" operator="containsText" text="超过">
      <formula>NOT(ISERROR(SEARCH("超过",H44)))</formula>
    </cfRule>
  </conditionalFormatting>
  <conditionalFormatting sqref="F44">
    <cfRule type="containsText" dxfId="80" priority="15" stopIfTrue="1" operator="containsText" text="超过">
      <formula>NOT(ISERROR(SEARCH("超过",F44)))</formula>
    </cfRule>
  </conditionalFormatting>
  <conditionalFormatting sqref="F43 H43 J43">
    <cfRule type="containsText" dxfId="79" priority="14" stopIfTrue="1" operator="containsText" text="超过">
      <formula>NOT(ISERROR(SEARCH("超过",F43)))</formula>
    </cfRule>
  </conditionalFormatting>
  <conditionalFormatting sqref="E42">
    <cfRule type="expression" dxfId="78" priority="13" stopIfTrue="1">
      <formula>$F$42="超过30%"</formula>
    </cfRule>
  </conditionalFormatting>
  <conditionalFormatting sqref="G44">
    <cfRule type="expression" dxfId="77" priority="12" stopIfTrue="1">
      <formula>$H$54+$H$44="超过30%"</formula>
    </cfRule>
  </conditionalFormatting>
  <conditionalFormatting sqref="E43">
    <cfRule type="expression" dxfId="76" priority="11" stopIfTrue="1">
      <formula>$F$43="超过20%"</formula>
    </cfRule>
  </conditionalFormatting>
  <conditionalFormatting sqref="E44">
    <cfRule type="expression" dxfId="75" priority="10" stopIfTrue="1">
      <formula>$F$44="超过30%"</formula>
    </cfRule>
  </conditionalFormatting>
  <conditionalFormatting sqref="G42">
    <cfRule type="expression" dxfId="74" priority="9" stopIfTrue="1">
      <formula>$H$52+$H$42="超过30%"</formula>
    </cfRule>
  </conditionalFormatting>
  <conditionalFormatting sqref="G43">
    <cfRule type="expression" dxfId="73" priority="8" stopIfTrue="1">
      <formula>$H$43="超过20%"</formula>
    </cfRule>
  </conditionalFormatting>
  <conditionalFormatting sqref="I42">
    <cfRule type="expression" dxfId="72" priority="7" stopIfTrue="1">
      <formula>$J$52+$J$42="超过30%"</formula>
    </cfRule>
  </conditionalFormatting>
  <conditionalFormatting sqref="I43">
    <cfRule type="expression" dxfId="71" priority="6" stopIfTrue="1">
      <formula>$J$53+$J$43="超过20%"</formula>
    </cfRule>
  </conditionalFormatting>
  <conditionalFormatting sqref="I44">
    <cfRule type="expression" dxfId="70" priority="5" stopIfTrue="1">
      <formula>$J$44="超过30%"</formula>
    </cfRule>
  </conditionalFormatting>
  <conditionalFormatting sqref="F38">
    <cfRule type="expression" dxfId="69" priority="4">
      <formula>$D$38="简单平均"</formula>
    </cfRule>
  </conditionalFormatting>
  <conditionalFormatting sqref="H38">
    <cfRule type="expression" dxfId="68" priority="3">
      <formula>$D$38="简单平均"</formula>
    </cfRule>
  </conditionalFormatting>
  <conditionalFormatting sqref="J38">
    <cfRule type="expression" dxfId="67" priority="2">
      <formula>$D$38="简单平均"</formula>
    </cfRule>
  </conditionalFormatting>
  <conditionalFormatting sqref="F7:F36 H7:H36 J7:J36">
    <cfRule type="cellIs" dxfId="66" priority="1" operator="notEqual">
      <formula>100</formula>
    </cfRule>
  </conditionalFormatting>
  <dataValidations count="20">
    <dataValidation type="list" allowBlank="1" showInputMessage="1" showErrorMessage="1" sqref="D1">
      <formula1>项目类型</formula1>
    </dataValidation>
    <dataValidation type="list" allowBlank="1" showInputMessage="1" showErrorMessage="1" sqref="G17 C17 E17 I17">
      <formula1>公共配套设施</formula1>
    </dataValidation>
    <dataValidation type="list" allowBlank="1" showInputMessage="1" showErrorMessage="1" sqref="G15 E15 C15 I15">
      <formula1>交通便捷度</formula1>
    </dataValidation>
    <dataValidation type="list" allowBlank="1" showInputMessage="1" showErrorMessage="1" sqref="C8 E8 G8 I8">
      <formula1>车位交易情况</formula1>
    </dataValidation>
    <dataValidation type="list" allowBlank="1" showInputMessage="1" showErrorMessage="1" sqref="E9 G9 I9">
      <formula1>车位用途</formula1>
    </dataValidation>
    <dataValidation type="list" allowBlank="1" showInputMessage="1" showErrorMessage="1" sqref="C22 E22 G22 I22">
      <formula1>车位楼层</formula1>
    </dataValidation>
    <dataValidation type="list" allowBlank="1" showInputMessage="1" showErrorMessage="1" sqref="C30 E30 G30 I30">
      <formula1>车位物业等级</formula1>
    </dataValidation>
    <dataValidation type="list" allowBlank="1" showInputMessage="1" showErrorMessage="1" sqref="C32 E32 G32 I32">
      <formula1>车位类型</formula1>
    </dataValidation>
    <dataValidation type="list" allowBlank="1" showInputMessage="1" showErrorMessage="1" sqref="C33 E33 G33 I33">
      <formula1>是否直接入户</formula1>
    </dataValidation>
    <dataValidation type="list" allowBlank="1" showInputMessage="1" showErrorMessage="1" sqref="B1">
      <formula1>地类判定</formula1>
    </dataValidation>
    <dataValidation type="list" allowBlank="1" showInputMessage="1" showErrorMessage="1" sqref="I26 E26 G26">
      <formula1>车位配套类型</formula1>
    </dataValidation>
    <dataValidation type="list" allowBlank="1" showInputMessage="1" showErrorMessage="1" sqref="C28 E28 G28 I28">
      <formula1>车位公共部分装修</formula1>
    </dataValidation>
    <dataValidation type="list" allowBlank="1" showInputMessage="1" showErrorMessage="1" sqref="B37">
      <formula1>"元/平方米,元/车位"</formula1>
    </dataValidation>
    <dataValidation type="list" allowBlank="1" showInputMessage="1" showErrorMessage="1" sqref="C21 E21 G21 I21">
      <formula1>环境</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8">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6">
    <tabColor rgb="FF92D050"/>
    <pageSetUpPr fitToPage="1"/>
  </sheetPr>
  <dimension ref="A1:AD241"/>
  <sheetViews>
    <sheetView view="pageBreakPreview" zoomScale="60" zoomScaleNormal="70" workbookViewId="0">
      <selection activeCell="L14" sqref="L14"/>
    </sheetView>
  </sheetViews>
  <sheetFormatPr defaultColWidth="9" defaultRowHeight="14.25"/>
  <cols>
    <col min="1" max="1" width="10.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1232" customFormat="1" ht="28.5" customHeight="1" thickBot="1">
      <c r="A1" s="1221" t="s">
        <v>1813</v>
      </c>
      <c r="B1" s="1222" t="s">
        <v>3309</v>
      </c>
      <c r="C1" s="1223" t="s">
        <v>1644</v>
      </c>
      <c r="D1" s="1224"/>
      <c r="E1" s="3407"/>
      <c r="F1" s="1878"/>
      <c r="G1" s="1234" t="s">
        <v>1749</v>
      </c>
      <c r="H1" s="1233"/>
      <c r="I1" s="1233"/>
      <c r="J1" s="1233"/>
      <c r="K1" s="1235"/>
      <c r="L1" s="1236"/>
      <c r="M1" s="1237"/>
      <c r="N1" s="1237"/>
      <c r="O1" s="1237"/>
      <c r="P1" s="1223"/>
      <c r="Q1" s="1223"/>
      <c r="R1" s="1223"/>
      <c r="S1" s="1223"/>
      <c r="T1" s="1223"/>
      <c r="U1" s="1223"/>
      <c r="V1" s="1223"/>
      <c r="W1" s="1223"/>
      <c r="X1" s="1223"/>
      <c r="Y1" s="1223"/>
      <c r="Z1" s="1223"/>
      <c r="AA1" s="1223"/>
      <c r="AB1" s="1223"/>
      <c r="AC1" s="1231"/>
    </row>
    <row r="2" spans="1:29" s="352" customFormat="1" ht="28.5" customHeight="1" thickTop="1">
      <c r="A2" s="1220" t="s">
        <v>1444</v>
      </c>
      <c r="B2" s="1164" t="b">
        <f>IF(E1="项目模式",IF(C2="——",ROUND(C37*D3/10000,0),ROUND(C37*D3/10000,0)-D2),IF(E1="单套模式",IF(C2="——",ROUND(C37*D3/10000,4),ROUND(C37*D3/10000,4)-D2)))</f>
        <v>0</v>
      </c>
      <c r="C2" s="1880"/>
      <c r="D2" s="907" t="e">
        <f ca="1">IF(E1="项目模式",SUMIF(INDIRECT("'"&amp;F2&amp;"'"&amp;"!A:A"),"承租人权益价值",INDIRECT("'"&amp;F2&amp;"'"&amp;"!c:c")),SUMIF(INDIRECT("'"&amp;F2&amp;"'"&amp;"!A:A"),"承租人权益价值（单套）",INDIRECT("'"&amp;F2&amp;"'"&amp;"!c:c")))</f>
        <v>#REF!</v>
      </c>
      <c r="E2" s="1881" t="s">
        <v>1445</v>
      </c>
      <c r="F2" s="1882"/>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t="e">
        <f>IF(C2="——",C37,ROUND(B2*10000/D3,0))</f>
        <v>#DIV/0!</v>
      </c>
      <c r="C3" s="354" t="s">
        <v>1750</v>
      </c>
      <c r="D3" s="353">
        <f>SUMIF('数据-汇总表'!$C19:$C33,D1,'数据-汇总表'!$E19:$E33)</f>
        <v>0</v>
      </c>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1" t="s">
        <v>1752</v>
      </c>
      <c r="D4" s="3722"/>
      <c r="E4" s="3723" t="s">
        <v>1753</v>
      </c>
      <c r="F4" s="3724"/>
      <c r="G4" s="3721" t="s">
        <v>1754</v>
      </c>
      <c r="H4" s="3722"/>
      <c r="I4" s="3721" t="s">
        <v>1755</v>
      </c>
      <c r="J4" s="3722"/>
      <c r="K4" s="559" t="s">
        <v>1756</v>
      </c>
      <c r="L4" s="2689"/>
      <c r="M4" s="2690"/>
      <c r="N4" s="2690"/>
      <c r="O4" s="2690"/>
      <c r="P4" s="3725" t="s">
        <v>1757</v>
      </c>
      <c r="Q4" s="3726"/>
      <c r="R4" s="3731" t="s">
        <v>1753</v>
      </c>
      <c r="S4" s="3732"/>
      <c r="T4" s="3731" t="s">
        <v>1754</v>
      </c>
      <c r="U4" s="3732"/>
      <c r="V4" s="3737" t="s">
        <v>1755</v>
      </c>
      <c r="W4" s="3737"/>
      <c r="X4" s="1354"/>
      <c r="Y4" s="3731" t="s">
        <v>1757</v>
      </c>
      <c r="Z4" s="3732"/>
      <c r="AA4" s="3718" t="s">
        <v>1753</v>
      </c>
      <c r="AB4" s="3719" t="s">
        <v>1754</v>
      </c>
      <c r="AC4" s="3718" t="s">
        <v>1755</v>
      </c>
    </row>
    <row r="5" spans="1:29" ht="15">
      <c r="A5" s="358"/>
      <c r="B5" s="359"/>
      <c r="C5" s="3740" t="s">
        <v>1655</v>
      </c>
      <c r="D5" s="3741"/>
      <c r="E5" s="3747" t="s">
        <v>1656</v>
      </c>
      <c r="F5" s="3748"/>
      <c r="G5" s="3740" t="s">
        <v>1657</v>
      </c>
      <c r="H5" s="3741"/>
      <c r="I5" s="3740" t="s">
        <v>1658</v>
      </c>
      <c r="J5" s="3741"/>
      <c r="K5" s="559"/>
      <c r="L5" s="2689"/>
      <c r="M5" s="2690"/>
      <c r="N5" s="2690"/>
      <c r="O5" s="2690"/>
      <c r="P5" s="3727"/>
      <c r="Q5" s="3728"/>
      <c r="R5" s="3733"/>
      <c r="S5" s="3734"/>
      <c r="T5" s="3733"/>
      <c r="U5" s="3734"/>
      <c r="V5" s="3737"/>
      <c r="W5" s="3737"/>
      <c r="X5" s="1354"/>
      <c r="Y5" s="3733"/>
      <c r="Z5" s="3734"/>
      <c r="AA5" s="3719"/>
      <c r="AB5" s="3719"/>
      <c r="AC5" s="3719"/>
    </row>
    <row r="6" spans="1:29" ht="15.75" thickBot="1">
      <c r="A6" s="360"/>
      <c r="B6" s="361"/>
      <c r="C6" s="3738" t="s">
        <v>1659</v>
      </c>
      <c r="D6" s="3739"/>
      <c r="E6" s="3745" t="s">
        <v>1659</v>
      </c>
      <c r="F6" s="3746"/>
      <c r="G6" s="3738" t="s">
        <v>1659</v>
      </c>
      <c r="H6" s="3739"/>
      <c r="I6" s="3738" t="s">
        <v>1659</v>
      </c>
      <c r="J6" s="3739"/>
      <c r="K6" s="559" t="s">
        <v>1660</v>
      </c>
      <c r="L6" s="2689"/>
      <c r="M6" s="2690"/>
      <c r="N6" s="2690"/>
      <c r="O6" s="2690"/>
      <c r="P6" s="3729"/>
      <c r="Q6" s="3730"/>
      <c r="R6" s="3733"/>
      <c r="S6" s="3734"/>
      <c r="T6" s="3735"/>
      <c r="U6" s="3736"/>
      <c r="V6" s="3737"/>
      <c r="W6" s="3737"/>
      <c r="X6" s="1354"/>
      <c r="Y6" s="3735"/>
      <c r="Z6" s="3736"/>
      <c r="AA6" s="3720"/>
      <c r="AB6" s="3720"/>
      <c r="AC6" s="3720"/>
    </row>
    <row r="7" spans="1:29" s="108" customFormat="1" ht="15.75" thickBot="1">
      <c r="A7" s="362" t="s">
        <v>1661</v>
      </c>
      <c r="B7" s="363"/>
      <c r="C7" s="364">
        <f>'数据-取费表'!B2</f>
        <v>45400</v>
      </c>
      <c r="D7" s="365">
        <v>100</v>
      </c>
      <c r="E7" s="366"/>
      <c r="F7" s="367">
        <f>SUMIF(46:46,YEAR(E7)&amp;"-"&amp;MONTH(E7),47:47)</f>
        <v>0</v>
      </c>
      <c r="G7" s="1973"/>
      <c r="H7" s="365">
        <f>SUMIF(46:46,YEAR(G7)&amp;"-"&amp;MONTH(G7),47:47)</f>
        <v>0</v>
      </c>
      <c r="I7" s="366"/>
      <c r="J7" s="365">
        <f>SUMIF(46:46,YEAR(I7)&amp;"-"&amp;MONTH(I7),47:47)</f>
        <v>0</v>
      </c>
      <c r="K7" s="560"/>
      <c r="L7" s="2691"/>
      <c r="M7" s="2692"/>
      <c r="N7" s="2692"/>
      <c r="O7" s="2692"/>
      <c r="P7" s="3742" t="s">
        <v>1662</v>
      </c>
      <c r="Q7" s="3744"/>
      <c r="R7" s="701" t="s">
        <v>14</v>
      </c>
      <c r="S7" s="702">
        <f t="shared" ref="S7:S14" si="0">F7</f>
        <v>0</v>
      </c>
      <c r="T7" s="701" t="s">
        <v>14</v>
      </c>
      <c r="U7" s="702">
        <f t="shared" ref="U7:U14" si="1">H7</f>
        <v>0</v>
      </c>
      <c r="V7" s="701" t="s">
        <v>14</v>
      </c>
      <c r="W7" s="702">
        <f t="shared" ref="W7:W14" si="2">J7</f>
        <v>0</v>
      </c>
      <c r="X7" s="703"/>
      <c r="Y7" s="3742" t="s">
        <v>1662</v>
      </c>
      <c r="Z7" s="3743"/>
      <c r="AA7" s="704" t="e">
        <f>D7/F7</f>
        <v>#DIV/0!</v>
      </c>
      <c r="AB7" s="704" t="e">
        <f>D7/H7</f>
        <v>#DIV/0!</v>
      </c>
      <c r="AC7" s="704" t="e">
        <f>D7/J7</f>
        <v>#DIV/0!</v>
      </c>
    </row>
    <row r="8" spans="1:29" s="108" customFormat="1" ht="15.75" thickBot="1">
      <c r="A8" s="362" t="s">
        <v>1663</v>
      </c>
      <c r="B8" s="363"/>
      <c r="C8" s="368"/>
      <c r="D8" s="365">
        <v>100</v>
      </c>
      <c r="E8" s="368"/>
      <c r="F8" s="367">
        <f>SUMIF(49:49,E8,50:50)-SUMIF(49:49,C8,50:50)+100</f>
        <v>100</v>
      </c>
      <c r="G8" s="368"/>
      <c r="H8" s="365">
        <f>SUMIF(49:49,G8,50:50)-SUMIF(49:49,C8,50:50)+100</f>
        <v>100</v>
      </c>
      <c r="I8" s="368"/>
      <c r="J8" s="365">
        <f>SUMIF(49:49,I8,50:50)-SUMIF(49:49,C8,50:50)+100</f>
        <v>100</v>
      </c>
      <c r="K8" s="560"/>
      <c r="L8" s="2691"/>
      <c r="M8" s="2692"/>
      <c r="N8" s="2692"/>
      <c r="O8" s="2692"/>
      <c r="P8" s="3742" t="s">
        <v>1665</v>
      </c>
      <c r="Q8" s="3743"/>
      <c r="R8" s="701" t="s">
        <v>14</v>
      </c>
      <c r="S8" s="702">
        <f t="shared" si="0"/>
        <v>100</v>
      </c>
      <c r="T8" s="701" t="s">
        <v>14</v>
      </c>
      <c r="U8" s="702">
        <f t="shared" si="1"/>
        <v>100</v>
      </c>
      <c r="V8" s="701" t="s">
        <v>14</v>
      </c>
      <c r="W8" s="702">
        <f t="shared" si="2"/>
        <v>100</v>
      </c>
      <c r="X8" s="703"/>
      <c r="Y8" s="3742" t="s">
        <v>1665</v>
      </c>
      <c r="Z8" s="3743"/>
      <c r="AA8" s="704">
        <f t="shared" ref="AA8:AA34" si="3">D8/F8</f>
        <v>1</v>
      </c>
      <c r="AB8" s="704">
        <f t="shared" ref="AB8:AB34" si="4">D8/H8</f>
        <v>1</v>
      </c>
      <c r="AC8" s="704">
        <f t="shared" ref="AC8:AC34" si="5">D8/J8</f>
        <v>1</v>
      </c>
    </row>
    <row r="9" spans="1:29" s="108" customFormat="1">
      <c r="A9" s="369" t="s">
        <v>1666</v>
      </c>
      <c r="B9" s="63" t="s">
        <v>1667</v>
      </c>
      <c r="C9" s="370"/>
      <c r="D9" s="126">
        <v>100</v>
      </c>
      <c r="E9" s="373"/>
      <c r="F9" s="372">
        <f>SUMIF(51:51,E9,52:52)-SUMIF(51:51,C9,52:52)+100</f>
        <v>100</v>
      </c>
      <c r="G9" s="373"/>
      <c r="H9" s="126">
        <f>SUMIF(51:51,G9,52:52)-SUMIF(51:51,C9,52:52)+100</f>
        <v>100</v>
      </c>
      <c r="I9" s="373"/>
      <c r="J9" s="126">
        <f>SUMIF(51:51,I9,52:52)-SUMIF(51:51,C9,52:52)+100</f>
        <v>100</v>
      </c>
      <c r="K9" s="560"/>
      <c r="L9" s="2691"/>
      <c r="M9" s="2692"/>
      <c r="N9" s="2692"/>
      <c r="O9" s="2746"/>
      <c r="P9" s="3706" t="s">
        <v>1668</v>
      </c>
      <c r="Q9" s="1342" t="str">
        <f t="shared" ref="Q9:Q14" si="6">B9</f>
        <v>用途</v>
      </c>
      <c r="R9" s="701" t="s">
        <v>14</v>
      </c>
      <c r="S9" s="702">
        <f t="shared" si="0"/>
        <v>100</v>
      </c>
      <c r="T9" s="701" t="s">
        <v>14</v>
      </c>
      <c r="U9" s="702">
        <f t="shared" si="1"/>
        <v>100</v>
      </c>
      <c r="V9" s="701" t="s">
        <v>14</v>
      </c>
      <c r="W9" s="702">
        <f t="shared" si="2"/>
        <v>100</v>
      </c>
      <c r="X9" s="703"/>
      <c r="Y9" s="3580" t="s">
        <v>1669</v>
      </c>
      <c r="Z9" s="52" t="str">
        <f t="shared" ref="Z9:Z14" si="7">Q9</f>
        <v>用途</v>
      </c>
      <c r="AA9" s="704">
        <f t="shared" si="3"/>
        <v>1</v>
      </c>
      <c r="AB9" s="704">
        <f t="shared" si="4"/>
        <v>1</v>
      </c>
      <c r="AC9" s="704">
        <f t="shared" si="5"/>
        <v>1</v>
      </c>
    </row>
    <row r="10" spans="1:29" s="378" customFormat="1" ht="27">
      <c r="A10" s="374"/>
      <c r="B10" s="375" t="s">
        <v>1670</v>
      </c>
      <c r="C10" s="3408"/>
      <c r="D10" s="127">
        <v>100</v>
      </c>
      <c r="E10" s="3408"/>
      <c r="F10" s="376">
        <f>SUMIF(53:53,E10,54:54)-SUMIF(53:53,C10,54:54)+100</f>
        <v>100</v>
      </c>
      <c r="G10" s="3408"/>
      <c r="H10" s="127">
        <f>SUMIF(53:53,G10,54:54)-SUMIF(53:53,C10,54:54)+100</f>
        <v>100</v>
      </c>
      <c r="I10" s="3408"/>
      <c r="J10" s="127">
        <f>SUMIF(53:53,I10,54:54)-SUMIF(53:53,C10,54:54)+100</f>
        <v>100</v>
      </c>
      <c r="K10" s="560"/>
      <c r="L10" s="2693"/>
      <c r="M10" s="2694"/>
      <c r="N10" s="2694"/>
      <c r="O10" s="2747"/>
      <c r="P10" s="3706"/>
      <c r="Q10" s="1342" t="str">
        <f t="shared" si="6"/>
        <v>土地使用年限（年）</v>
      </c>
      <c r="R10" s="701" t="s">
        <v>14</v>
      </c>
      <c r="S10" s="702">
        <f t="shared" si="0"/>
        <v>100</v>
      </c>
      <c r="T10" s="701" t="s">
        <v>14</v>
      </c>
      <c r="U10" s="702">
        <f t="shared" si="1"/>
        <v>100</v>
      </c>
      <c r="V10" s="701" t="s">
        <v>14</v>
      </c>
      <c r="W10" s="702">
        <f t="shared" si="2"/>
        <v>100</v>
      </c>
      <c r="X10" s="703"/>
      <c r="Y10" s="3580"/>
      <c r="Z10" s="52" t="str">
        <f t="shared" si="7"/>
        <v>土地使用年限（年）</v>
      </c>
      <c r="AA10" s="704">
        <f t="shared" si="3"/>
        <v>1</v>
      </c>
      <c r="AB10" s="704">
        <f t="shared" si="4"/>
        <v>1</v>
      </c>
      <c r="AC10" s="704">
        <f t="shared" si="5"/>
        <v>1</v>
      </c>
    </row>
    <row r="11" spans="1:29" ht="15">
      <c r="A11" s="379"/>
      <c r="B11" s="1892">
        <v>111</v>
      </c>
      <c r="C11" s="383"/>
      <c r="D11" s="127">
        <v>100</v>
      </c>
      <c r="E11" s="420"/>
      <c r="F11" s="376">
        <f>SUMIF(55:55,E11,56:56)-SUMIF(55:55,C11,56:56)+100</f>
        <v>100</v>
      </c>
      <c r="G11" s="420"/>
      <c r="H11" s="127">
        <f>SUMIF(55:55,G11,56:56)-SUMIF(55:55,C11,56:56)+100</f>
        <v>100</v>
      </c>
      <c r="I11" s="420"/>
      <c r="J11" s="127">
        <f>SUMIF(55:55,I11,56:56)-SUMIF(55:55,C11,56:56)+100</f>
        <v>100</v>
      </c>
      <c r="K11" s="562"/>
      <c r="L11" s="2695"/>
      <c r="M11" s="2690"/>
      <c r="N11" s="2690"/>
      <c r="O11" s="2748"/>
      <c r="P11" s="3706"/>
      <c r="Q11" s="1342">
        <f t="shared" si="6"/>
        <v>111</v>
      </c>
      <c r="R11" s="701" t="s">
        <v>14</v>
      </c>
      <c r="S11" s="702">
        <f t="shared" si="0"/>
        <v>100</v>
      </c>
      <c r="T11" s="701" t="s">
        <v>14</v>
      </c>
      <c r="U11" s="702">
        <f t="shared" si="1"/>
        <v>100</v>
      </c>
      <c r="V11" s="701" t="s">
        <v>14</v>
      </c>
      <c r="W11" s="702">
        <f t="shared" si="2"/>
        <v>100</v>
      </c>
      <c r="X11" s="703"/>
      <c r="Y11" s="3580"/>
      <c r="Z11" s="52">
        <f t="shared" si="7"/>
        <v>111</v>
      </c>
      <c r="AA11" s="704">
        <f t="shared" si="3"/>
        <v>1</v>
      </c>
      <c r="AB11" s="704">
        <f t="shared" si="4"/>
        <v>1</v>
      </c>
      <c r="AC11" s="704">
        <f t="shared" si="5"/>
        <v>1</v>
      </c>
    </row>
    <row r="12" spans="1:29" s="108" customFormat="1" ht="15">
      <c r="A12" s="382"/>
      <c r="B12" s="1892">
        <v>111</v>
      </c>
      <c r="C12" s="383"/>
      <c r="D12" s="384">
        <v>100</v>
      </c>
      <c r="E12" s="420"/>
      <c r="F12" s="376">
        <f>SUMIF(57:57,E12,58:58)-SUMIF(57:57,C12,58:58)+100</f>
        <v>100</v>
      </c>
      <c r="G12" s="420"/>
      <c r="H12" s="127">
        <f>SUMIF(57:57,G12,58:58)-SUMIF(57:57,C12,58:58)+100</f>
        <v>100</v>
      </c>
      <c r="I12" s="420"/>
      <c r="J12" s="127">
        <f>SUMIF(57:57,I12,58:58)-SUMIF(57:57,C12,58:58)+100</f>
        <v>100</v>
      </c>
      <c r="K12" s="562"/>
      <c r="L12" s="2691"/>
      <c r="M12" s="2692"/>
      <c r="N12" s="2692"/>
      <c r="O12" s="2746"/>
      <c r="P12" s="3706"/>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704">
        <f>D12/J12</f>
        <v>1</v>
      </c>
    </row>
    <row r="13" spans="1:29" ht="15.75" thickBot="1">
      <c r="A13" s="379"/>
      <c r="B13" s="1892">
        <v>111</v>
      </c>
      <c r="C13" s="385"/>
      <c r="D13" s="386">
        <v>100</v>
      </c>
      <c r="E13" s="420"/>
      <c r="F13" s="376">
        <f>SUMIF(59:59,E13,60:60)-SUMIF(59:59,C13,60:60)+100</f>
        <v>100</v>
      </c>
      <c r="G13" s="1974"/>
      <c r="H13" s="389">
        <f>SUMIF(59:59,G13,60:60)-SUMIF(59:59,C13,60:60)+100</f>
        <v>100</v>
      </c>
      <c r="I13" s="420"/>
      <c r="J13" s="386">
        <f>SUMIF(59:59,I13,60:60)-SUMIF(59:59,C13,60:60)+100</f>
        <v>100</v>
      </c>
      <c r="K13" s="562"/>
      <c r="L13" s="2696"/>
      <c r="M13" s="2690"/>
      <c r="N13" s="2690"/>
      <c r="O13" s="2748"/>
      <c r="P13" s="3706"/>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704">
        <f t="shared" si="5"/>
        <v>1</v>
      </c>
    </row>
    <row r="14" spans="1:29" ht="85.5">
      <c r="A14" s="391" t="s">
        <v>1672</v>
      </c>
      <c r="B14" s="61" t="s">
        <v>1815</v>
      </c>
      <c r="C14" s="1970" t="str">
        <f>IF(B1="工业",估价对象房地状况!G4,估价对象房地状况!C6)</f>
        <v>估价对象周边道路状况、公共交通通达情况、停车便捷程度，综合评价交通便捷度较好</v>
      </c>
      <c r="D14" s="392">
        <v>100</v>
      </c>
      <c r="E14" s="393"/>
      <c r="F14" s="394">
        <f>SUMIF(61:61,E15,62:62)-SUMIF(61:61,C15,62:62)+100</f>
        <v>100</v>
      </c>
      <c r="G14" s="395"/>
      <c r="H14" s="392">
        <f>SUMIF(61:61,G15,62:62)-SUMIF(61:61,C15,62:62)+100</f>
        <v>100</v>
      </c>
      <c r="I14" s="393"/>
      <c r="J14" s="392">
        <f>SUMIF(61:61,I15,62:62)-SUMIF(61:61,C15,62:62)+100</f>
        <v>100</v>
      </c>
      <c r="K14" s="563"/>
      <c r="L14" s="2696"/>
      <c r="M14" s="2690"/>
      <c r="N14" s="2690"/>
      <c r="O14" s="2748"/>
      <c r="P14" s="3708" t="s">
        <v>1673</v>
      </c>
      <c r="Q14" s="1351" t="str">
        <f t="shared" si="6"/>
        <v>交通便捷度</v>
      </c>
      <c r="R14" s="705" t="s">
        <v>14</v>
      </c>
      <c r="S14" s="706">
        <f t="shared" si="0"/>
        <v>100</v>
      </c>
      <c r="T14" s="705" t="s">
        <v>14</v>
      </c>
      <c r="U14" s="706">
        <f t="shared" si="1"/>
        <v>100</v>
      </c>
      <c r="V14" s="705" t="s">
        <v>14</v>
      </c>
      <c r="W14" s="706">
        <f t="shared" si="2"/>
        <v>100</v>
      </c>
      <c r="X14" s="1354"/>
      <c r="Y14" s="3708" t="s">
        <v>1673</v>
      </c>
      <c r="Z14" s="1355" t="str">
        <f t="shared" si="7"/>
        <v>交通便捷度</v>
      </c>
      <c r="AA14" s="1352">
        <f t="shared" si="3"/>
        <v>1</v>
      </c>
      <c r="AB14" s="1352">
        <f t="shared" si="4"/>
        <v>1</v>
      </c>
      <c r="AC14" s="1352">
        <f t="shared" si="5"/>
        <v>1</v>
      </c>
    </row>
    <row r="15" spans="1:29" ht="15">
      <c r="A15" s="379"/>
      <c r="B15" s="397"/>
      <c r="C15" s="398"/>
      <c r="D15" s="399"/>
      <c r="E15" s="398"/>
      <c r="F15" s="400"/>
      <c r="G15" s="398"/>
      <c r="H15" s="401"/>
      <c r="I15" s="398"/>
      <c r="J15" s="399"/>
      <c r="K15" s="564"/>
      <c r="L15" s="2696"/>
      <c r="M15" s="2690"/>
      <c r="N15" s="2690"/>
      <c r="O15" s="2748"/>
      <c r="P15" s="3709"/>
      <c r="Q15" s="1351"/>
      <c r="R15" s="705"/>
      <c r="S15" s="706"/>
      <c r="T15" s="705"/>
      <c r="U15" s="706"/>
      <c r="V15" s="705"/>
      <c r="W15" s="706"/>
      <c r="X15" s="1354"/>
      <c r="Y15" s="3709"/>
      <c r="Z15" s="1355"/>
      <c r="AA15" s="1352">
        <v>1</v>
      </c>
      <c r="AB15" s="1352">
        <v>1</v>
      </c>
      <c r="AC15" s="1352">
        <v>1</v>
      </c>
    </row>
    <row r="16" spans="1:29" ht="42.75">
      <c r="A16" s="379"/>
      <c r="B16" s="402" t="s">
        <v>1794</v>
      </c>
      <c r="C16" s="1899" t="str">
        <f>IF(B1="工业",估价对象房地状况!G5,估价对象房地状况!C7)</f>
        <v>估价对象所在区域公共配套设施齐备情况</v>
      </c>
      <c r="D16" s="406">
        <v>100</v>
      </c>
      <c r="E16" s="408"/>
      <c r="F16" s="409">
        <f>SUMIF(63:63,E17,64:64)-SUMIF(63:63,C17,64:64)+100</f>
        <v>100</v>
      </c>
      <c r="G16" s="410"/>
      <c r="H16" s="406">
        <f>SUMIF(63:63,G17,64:64)-SUMIF(63:63,C17,64:64)+100</f>
        <v>100</v>
      </c>
      <c r="I16" s="408"/>
      <c r="J16" s="406">
        <f>SUMIF(63:63,I17,64:64)-SUMIF(63:63,C17,64:64)+100</f>
        <v>100</v>
      </c>
      <c r="K16" s="563"/>
      <c r="L16" s="2696"/>
      <c r="M16" s="2690"/>
      <c r="N16" s="2690"/>
      <c r="O16" s="2748"/>
      <c r="P16" s="3709"/>
      <c r="Q16" s="1351" t="str">
        <f>B16</f>
        <v>公共配套设施</v>
      </c>
      <c r="R16" s="705" t="s">
        <v>14</v>
      </c>
      <c r="S16" s="706">
        <f>F16</f>
        <v>100</v>
      </c>
      <c r="T16" s="705" t="s">
        <v>14</v>
      </c>
      <c r="U16" s="706">
        <f>H16</f>
        <v>100</v>
      </c>
      <c r="V16" s="705" t="s">
        <v>14</v>
      </c>
      <c r="W16" s="706">
        <f>J16</f>
        <v>100</v>
      </c>
      <c r="X16" s="1354"/>
      <c r="Y16" s="3709"/>
      <c r="Z16" s="1355" t="str">
        <f>Q16</f>
        <v>公共配套设施</v>
      </c>
      <c r="AA16" s="1352">
        <f t="shared" si="3"/>
        <v>1</v>
      </c>
      <c r="AB16" s="1352">
        <f t="shared" si="4"/>
        <v>1</v>
      </c>
      <c r="AC16" s="1352">
        <f t="shared" si="5"/>
        <v>1</v>
      </c>
    </row>
    <row r="17" spans="1:29" ht="15">
      <c r="A17" s="379"/>
      <c r="B17" s="407"/>
      <c r="C17" s="1900"/>
      <c r="D17" s="399"/>
      <c r="E17" s="398"/>
      <c r="F17" s="400"/>
      <c r="G17" s="398"/>
      <c r="H17" s="399"/>
      <c r="I17" s="398"/>
      <c r="J17" s="399"/>
      <c r="K17" s="564"/>
      <c r="L17" s="2696"/>
      <c r="M17" s="2690"/>
      <c r="N17" s="2690"/>
      <c r="O17" s="2748"/>
      <c r="P17" s="3709"/>
      <c r="Q17" s="1351"/>
      <c r="R17" s="705"/>
      <c r="S17" s="706"/>
      <c r="T17" s="705"/>
      <c r="U17" s="706"/>
      <c r="V17" s="705"/>
      <c r="W17" s="706"/>
      <c r="X17" s="1354"/>
      <c r="Y17" s="3709"/>
      <c r="Z17" s="1355"/>
      <c r="AA17" s="1352">
        <v>1</v>
      </c>
      <c r="AB17" s="1352">
        <v>1</v>
      </c>
      <c r="AC17" s="1352">
        <v>1</v>
      </c>
    </row>
    <row r="18" spans="1:29" ht="28.5">
      <c r="A18" s="379"/>
      <c r="B18" s="1131" t="s">
        <v>1795</v>
      </c>
      <c r="C18" s="1899" t="str">
        <f>IF(B1="工业",估价对象房地状况!G6,估价对象房地状况!C8)</f>
        <v>估价对象所在区域基础设施水平</v>
      </c>
      <c r="D18" s="406">
        <v>100</v>
      </c>
      <c r="E18" s="403"/>
      <c r="F18" s="409">
        <f>SUMIF(65:65,E19,66:66)-SUMIF(65:65,C19,66:66)+100</f>
        <v>100</v>
      </c>
      <c r="G18" s="405"/>
      <c r="H18" s="406">
        <f>SUMIF(65:65,G19,66:66)-SUMIF(65:65,C19,66:66)+100</f>
        <v>100</v>
      </c>
      <c r="I18" s="408"/>
      <c r="J18" s="406">
        <f>SUMIF(65:65,I19,66:66)-SUMIF(65:65,C19,66:66)+100</f>
        <v>100</v>
      </c>
      <c r="K18" s="563"/>
      <c r="L18" s="2696"/>
      <c r="M18" s="2690"/>
      <c r="N18" s="2690"/>
      <c r="O18" s="2748"/>
      <c r="P18" s="3709"/>
      <c r="Q18" s="1351" t="str">
        <f>B18</f>
        <v>基础设施水平</v>
      </c>
      <c r="R18" s="705" t="s">
        <v>14</v>
      </c>
      <c r="S18" s="706">
        <f>F18</f>
        <v>100</v>
      </c>
      <c r="T18" s="705" t="s">
        <v>14</v>
      </c>
      <c r="U18" s="706">
        <f>H18</f>
        <v>100</v>
      </c>
      <c r="V18" s="705" t="s">
        <v>14</v>
      </c>
      <c r="W18" s="706">
        <f>J18</f>
        <v>100</v>
      </c>
      <c r="X18" s="1354"/>
      <c r="Y18" s="3709"/>
      <c r="Z18" s="1355" t="str">
        <f>Q18</f>
        <v>基础设施水平</v>
      </c>
      <c r="AA18" s="1352">
        <f t="shared" ref="AA18" si="8">D18/F18</f>
        <v>1</v>
      </c>
      <c r="AB18" s="1352">
        <f t="shared" ref="AB18" si="9">D18/H18</f>
        <v>1</v>
      </c>
      <c r="AC18" s="1352">
        <f t="shared" ref="AC18" si="10">D18/J18</f>
        <v>1</v>
      </c>
    </row>
    <row r="19" spans="1:29" ht="15">
      <c r="A19" s="379"/>
      <c r="B19" s="1131"/>
      <c r="C19" s="1900"/>
      <c r="D19" s="401"/>
      <c r="E19" s="1900"/>
      <c r="F19" s="404"/>
      <c r="G19" s="1900"/>
      <c r="H19" s="399"/>
      <c r="I19" s="398"/>
      <c r="J19" s="399"/>
      <c r="K19" s="1130"/>
      <c r="L19" s="2696"/>
      <c r="M19" s="2690"/>
      <c r="N19" s="2690"/>
      <c r="O19" s="2748"/>
      <c r="P19" s="3709"/>
      <c r="Q19" s="1351"/>
      <c r="R19" s="705"/>
      <c r="S19" s="706"/>
      <c r="T19" s="705"/>
      <c r="U19" s="706"/>
      <c r="V19" s="705"/>
      <c r="W19" s="706"/>
      <c r="X19" s="1354"/>
      <c r="Y19" s="3709"/>
      <c r="Z19" s="1355"/>
      <c r="AA19" s="1352">
        <v>1</v>
      </c>
      <c r="AB19" s="1352">
        <v>1</v>
      </c>
      <c r="AC19" s="1352">
        <v>1</v>
      </c>
    </row>
    <row r="20" spans="1:29" ht="57">
      <c r="A20" s="379"/>
      <c r="B20" s="402" t="s">
        <v>1816</v>
      </c>
      <c r="C20" s="1899" t="str">
        <f>IF(B1="工业",估价对象房地状况!G7,估价对象房地状况!C9)</f>
        <v>区域自然环境：；人文环境；综合评价环境状况一般</v>
      </c>
      <c r="D20" s="406">
        <v>100</v>
      </c>
      <c r="E20" s="408"/>
      <c r="F20" s="409">
        <f>SUMIF(67:67,E21,68:68)-SUMIF(67:67,C21,68:68)+100</f>
        <v>100</v>
      </c>
      <c r="G20" s="410"/>
      <c r="H20" s="401">
        <f>SUMIF(67:67,G21,68:68)-SUMIF(67:67,C21,68:68)+100</f>
        <v>100</v>
      </c>
      <c r="I20" s="403"/>
      <c r="J20" s="401">
        <f>SUMIF(67:67,I21,68:68)-SUMIF(67:67,C21,68:68)+100</f>
        <v>100</v>
      </c>
      <c r="K20" s="563"/>
      <c r="L20" s="2696"/>
      <c r="M20" s="2690"/>
      <c r="N20" s="2690"/>
      <c r="O20" s="2748"/>
      <c r="P20" s="3709"/>
      <c r="Q20" s="1351" t="str">
        <f>B20</f>
        <v>自然及人文环境</v>
      </c>
      <c r="R20" s="705" t="s">
        <v>14</v>
      </c>
      <c r="S20" s="706">
        <f>F20</f>
        <v>100</v>
      </c>
      <c r="T20" s="705" t="s">
        <v>14</v>
      </c>
      <c r="U20" s="706">
        <f>H20</f>
        <v>100</v>
      </c>
      <c r="V20" s="705" t="s">
        <v>14</v>
      </c>
      <c r="W20" s="706">
        <f>J20</f>
        <v>100</v>
      </c>
      <c r="X20" s="1354"/>
      <c r="Y20" s="3709"/>
      <c r="Z20" s="1355" t="str">
        <f>Q20</f>
        <v>自然及人文环境</v>
      </c>
      <c r="AA20" s="1352">
        <f t="shared" si="3"/>
        <v>1</v>
      </c>
      <c r="AB20" s="1352">
        <f t="shared" si="4"/>
        <v>1</v>
      </c>
      <c r="AC20" s="1352">
        <f t="shared" si="5"/>
        <v>1</v>
      </c>
    </row>
    <row r="21" spans="1:29" ht="15">
      <c r="A21" s="379"/>
      <c r="B21" s="407"/>
      <c r="C21" s="398"/>
      <c r="D21" s="399"/>
      <c r="E21" s="398"/>
      <c r="F21" s="400"/>
      <c r="G21" s="398"/>
      <c r="H21" s="399"/>
      <c r="I21" s="398"/>
      <c r="J21" s="399"/>
      <c r="K21" s="564"/>
      <c r="L21" s="2696"/>
      <c r="M21" s="2690"/>
      <c r="N21" s="2690"/>
      <c r="O21" s="2748"/>
      <c r="P21" s="3709"/>
      <c r="Q21" s="1351"/>
      <c r="R21" s="705"/>
      <c r="S21" s="706"/>
      <c r="T21" s="705"/>
      <c r="U21" s="706"/>
      <c r="V21" s="705"/>
      <c r="W21" s="706"/>
      <c r="X21" s="1354"/>
      <c r="Y21" s="3709"/>
      <c r="Z21" s="1355"/>
      <c r="AA21" s="1352">
        <v>1</v>
      </c>
      <c r="AB21" s="1352">
        <v>1</v>
      </c>
      <c r="AC21" s="1352">
        <v>1</v>
      </c>
    </row>
    <row r="22" spans="1:29" ht="15">
      <c r="A22" s="379"/>
      <c r="B22" s="402" t="s">
        <v>1817</v>
      </c>
      <c r="C22" s="565"/>
      <c r="D22" s="401">
        <v>100</v>
      </c>
      <c r="E22" s="565"/>
      <c r="F22" s="412">
        <f>SUMIF(69:69,E22,70:70)-SUMIF(69:69,C22,70:70)+100</f>
        <v>100</v>
      </c>
      <c r="G22" s="565"/>
      <c r="H22" s="386">
        <f>SUMIF(69:69,G22,70:70)-SUMIF(69:69,C22,70:70)+100</f>
        <v>100</v>
      </c>
      <c r="I22" s="565"/>
      <c r="J22" s="386">
        <f>SUMIF(69:69,I22,70:70)-SUMIF(69:69,C22,70:70)+100</f>
        <v>100</v>
      </c>
      <c r="K22" s="561"/>
      <c r="L22" s="2696"/>
      <c r="M22" s="2690"/>
      <c r="N22" s="2690"/>
      <c r="O22" s="2748"/>
      <c r="P22" s="3709"/>
      <c r="Q22" s="1351" t="str">
        <f>B22</f>
        <v>楼层</v>
      </c>
      <c r="R22" s="705" t="s">
        <v>14</v>
      </c>
      <c r="S22" s="706">
        <f>F22</f>
        <v>100</v>
      </c>
      <c r="T22" s="705" t="s">
        <v>14</v>
      </c>
      <c r="U22" s="706">
        <f>H22</f>
        <v>100</v>
      </c>
      <c r="V22" s="705" t="s">
        <v>14</v>
      </c>
      <c r="W22" s="706">
        <f>J22</f>
        <v>100</v>
      </c>
      <c r="X22" s="1354"/>
      <c r="Y22" s="3709"/>
      <c r="Z22" s="1355" t="str">
        <f>Q22</f>
        <v>楼层</v>
      </c>
      <c r="AA22" s="1352">
        <f t="shared" si="3"/>
        <v>1</v>
      </c>
      <c r="AB22" s="1352">
        <f t="shared" si="4"/>
        <v>1</v>
      </c>
      <c r="AC22" s="1352">
        <f t="shared" si="5"/>
        <v>1</v>
      </c>
    </row>
    <row r="23" spans="1:29" ht="15">
      <c r="A23" s="358"/>
      <c r="B23" s="1892">
        <v>111</v>
      </c>
      <c r="C23" s="383"/>
      <c r="D23" s="386">
        <v>100</v>
      </c>
      <c r="E23" s="385"/>
      <c r="F23" s="412">
        <f>SUMIF(71:71,E23,72:72)-SUMIF(71:71,C23,72:72)+100</f>
        <v>100</v>
      </c>
      <c r="G23" s="385"/>
      <c r="H23" s="386">
        <f>SUMIF(71:71,G23,72:72)-SUMIF(71:71,C23,72:72)+100</f>
        <v>100</v>
      </c>
      <c r="I23" s="385"/>
      <c r="J23" s="386">
        <f>SUMIF(71:71,I23,72:72)-SUMIF(71:71,C23,72:72)+100</f>
        <v>100</v>
      </c>
      <c r="K23" s="562"/>
      <c r="L23" s="2696"/>
      <c r="M23" s="2690"/>
      <c r="N23" s="2690"/>
      <c r="O23" s="2748"/>
      <c r="P23" s="3709"/>
      <c r="Q23" s="1351">
        <f>B23</f>
        <v>111</v>
      </c>
      <c r="R23" s="705" t="s">
        <v>14</v>
      </c>
      <c r="S23" s="706">
        <f>F23</f>
        <v>100</v>
      </c>
      <c r="T23" s="705" t="s">
        <v>14</v>
      </c>
      <c r="U23" s="706">
        <f>H23</f>
        <v>100</v>
      </c>
      <c r="V23" s="705" t="s">
        <v>14</v>
      </c>
      <c r="W23" s="706">
        <f>J23</f>
        <v>100</v>
      </c>
      <c r="X23" s="1354"/>
      <c r="Y23" s="3709"/>
      <c r="Z23" s="1355">
        <f>Q23</f>
        <v>111</v>
      </c>
      <c r="AA23" s="1352">
        <f t="shared" si="3"/>
        <v>1</v>
      </c>
      <c r="AB23" s="1352">
        <f t="shared" si="4"/>
        <v>1</v>
      </c>
      <c r="AC23" s="1352">
        <f t="shared" si="5"/>
        <v>1</v>
      </c>
    </row>
    <row r="24" spans="1:29" ht="15">
      <c r="A24" s="379"/>
      <c r="B24" s="1892">
        <v>111</v>
      </c>
      <c r="C24" s="383"/>
      <c r="D24" s="386">
        <v>100</v>
      </c>
      <c r="E24" s="385"/>
      <c r="F24" s="412">
        <f>SUMIF(73:73,E24,74:74)-SUMIF(73:73,C24,74:74)+100</f>
        <v>100</v>
      </c>
      <c r="G24" s="385"/>
      <c r="H24" s="386">
        <f>SUMIF(73:73,G24,74:74)-SUMIF(73:73,C24,74:74)+100</f>
        <v>100</v>
      </c>
      <c r="I24" s="385"/>
      <c r="J24" s="386">
        <f>SUMIF(73:73,I24,74:74)-SUMIF(73:73,C24,74:74)+100</f>
        <v>100</v>
      </c>
      <c r="K24" s="562"/>
      <c r="L24" s="2696"/>
      <c r="M24" s="2690"/>
      <c r="N24" s="2690"/>
      <c r="O24" s="2748"/>
      <c r="P24" s="3709"/>
      <c r="Q24" s="1351">
        <f t="shared" ref="Q24:Q34" si="11">B24</f>
        <v>111</v>
      </c>
      <c r="R24" s="705" t="s">
        <v>14</v>
      </c>
      <c r="S24" s="706">
        <f>F24</f>
        <v>100</v>
      </c>
      <c r="T24" s="705" t="s">
        <v>14</v>
      </c>
      <c r="U24" s="706">
        <f>H24</f>
        <v>100</v>
      </c>
      <c r="V24" s="705" t="s">
        <v>14</v>
      </c>
      <c r="W24" s="706">
        <f>J24</f>
        <v>100</v>
      </c>
      <c r="X24" s="1354"/>
      <c r="Y24" s="3709"/>
      <c r="Z24" s="1355">
        <f>Q24</f>
        <v>111</v>
      </c>
      <c r="AA24" s="1352">
        <f t="shared" si="3"/>
        <v>1</v>
      </c>
      <c r="AB24" s="1352">
        <f t="shared" si="4"/>
        <v>1</v>
      </c>
      <c r="AC24" s="1352">
        <f t="shared" si="5"/>
        <v>1</v>
      </c>
    </row>
    <row r="25" spans="1:29" s="108" customFormat="1" ht="15.75" thickBot="1">
      <c r="A25" s="382"/>
      <c r="B25" s="1892">
        <v>111</v>
      </c>
      <c r="C25" s="1975"/>
      <c r="D25" s="613">
        <v>100</v>
      </c>
      <c r="E25" s="1975"/>
      <c r="F25" s="614">
        <f>SUMIF(75:75,E25,76:76)-SUMIF(75:75,C25,76:76)+100</f>
        <v>100</v>
      </c>
      <c r="G25" s="1975"/>
      <c r="H25" s="613">
        <f>SUMIF(75:75,G25,76:76)-SUMIF(75:75,C25,76:76)+100</f>
        <v>100</v>
      </c>
      <c r="I25" s="1975"/>
      <c r="J25" s="613">
        <f>SUMIF(75:75,I25,76:76)-SUMIF(75:75,C25,76:76)+100</f>
        <v>100</v>
      </c>
      <c r="K25" s="562"/>
      <c r="L25" s="2691"/>
      <c r="M25" s="2692"/>
      <c r="N25" s="2692"/>
      <c r="O25" s="2746"/>
      <c r="P25" s="3709"/>
      <c r="Q25" s="1342">
        <f t="shared" si="11"/>
        <v>111</v>
      </c>
      <c r="R25" s="701" t="s">
        <v>14</v>
      </c>
      <c r="S25" s="702">
        <f>F25</f>
        <v>100</v>
      </c>
      <c r="T25" s="701" t="s">
        <v>14</v>
      </c>
      <c r="U25" s="702">
        <f>H25</f>
        <v>100</v>
      </c>
      <c r="V25" s="701" t="s">
        <v>14</v>
      </c>
      <c r="W25" s="702">
        <f>J25</f>
        <v>100</v>
      </c>
      <c r="X25" s="703"/>
      <c r="Y25" s="3709"/>
      <c r="Z25" s="52">
        <f>Q25</f>
        <v>111</v>
      </c>
      <c r="AA25" s="1352">
        <f>D25/F25</f>
        <v>1</v>
      </c>
      <c r="AB25" s="1352">
        <f>D25/H25</f>
        <v>1</v>
      </c>
      <c r="AC25" s="1352">
        <f>D25/J25</f>
        <v>1</v>
      </c>
    </row>
    <row r="26" spans="1:29" ht="28.5">
      <c r="A26" s="417" t="s">
        <v>1676</v>
      </c>
      <c r="B26" s="63" t="s">
        <v>1820</v>
      </c>
      <c r="C26" s="1966"/>
      <c r="D26" s="418">
        <v>100</v>
      </c>
      <c r="E26" s="1966"/>
      <c r="F26" s="615">
        <f>SUMIF(77:77,E26,78:78)-SUMIF(77:77,C26,78:78)+100</f>
        <v>100</v>
      </c>
      <c r="G26" s="1966"/>
      <c r="H26" s="418">
        <f>SUMIF(77:77,G26,78:78)-SUMIF(77:77,C26,78:78)+100</f>
        <v>100</v>
      </c>
      <c r="I26" s="1966"/>
      <c r="J26" s="418">
        <f>SUMIF(77:77,I26,78:78)-SUMIF(77:77,C26,78:78)+100</f>
        <v>100</v>
      </c>
      <c r="K26" s="561"/>
      <c r="L26" s="2696"/>
      <c r="M26" s="2690"/>
      <c r="N26" s="2690"/>
      <c r="O26" s="2748"/>
      <c r="P26" s="3764" t="s">
        <v>1678</v>
      </c>
      <c r="Q26" s="1351" t="str">
        <f t="shared" si="11"/>
        <v>公共部分装修</v>
      </c>
      <c r="R26" s="705" t="s">
        <v>14</v>
      </c>
      <c r="S26" s="706">
        <f t="shared" ref="S26:S34" si="12">F26</f>
        <v>100</v>
      </c>
      <c r="T26" s="705" t="s">
        <v>14</v>
      </c>
      <c r="U26" s="706">
        <f t="shared" ref="U26:U34" si="13">H26</f>
        <v>100</v>
      </c>
      <c r="V26" s="705" t="s">
        <v>14</v>
      </c>
      <c r="W26" s="706">
        <f t="shared" ref="W26:W34" si="14">J26</f>
        <v>100</v>
      </c>
      <c r="X26" s="1354"/>
      <c r="Y26" s="3713" t="s">
        <v>1678</v>
      </c>
      <c r="Z26" s="1355" t="str">
        <f t="shared" ref="Z26:Z34" si="15">Q26</f>
        <v>公共部分装修</v>
      </c>
      <c r="AA26" s="1352">
        <f t="shared" si="3"/>
        <v>1</v>
      </c>
      <c r="AB26" s="1352">
        <f t="shared" si="4"/>
        <v>1</v>
      </c>
      <c r="AC26" s="1352">
        <f t="shared" si="5"/>
        <v>1</v>
      </c>
    </row>
    <row r="27" spans="1:29" s="422" customFormat="1" ht="15">
      <c r="A27" s="419"/>
      <c r="B27" s="375" t="s">
        <v>1821</v>
      </c>
      <c r="C27" s="425"/>
      <c r="D27" s="127">
        <v>100</v>
      </c>
      <c r="E27" s="426"/>
      <c r="F27" s="412" t="e">
        <f>LOOKUP(E27,80:80,81:81)-LOOKUP(C27,80:80,81:81)+100</f>
        <v>#N/A</v>
      </c>
      <c r="G27" s="427"/>
      <c r="H27" s="386" t="e">
        <f>LOOKUP(G27,80:80,81:81)-LOOKUP(C27,80:80,81:81)+100</f>
        <v>#N/A</v>
      </c>
      <c r="I27" s="427"/>
      <c r="J27" s="386" t="e">
        <f>LOOKUP(I27,80:80,81:81)-LOOKUP(C27,80:80,81:81)+100</f>
        <v>#N/A</v>
      </c>
      <c r="K27" s="561"/>
      <c r="L27" s="2695"/>
      <c r="M27" s="2697"/>
      <c r="N27" s="2697"/>
      <c r="O27" s="2749"/>
      <c r="P27" s="3713"/>
      <c r="Q27" s="707" t="str">
        <f t="shared" si="11"/>
        <v>成新率</v>
      </c>
      <c r="R27" s="708" t="s">
        <v>14</v>
      </c>
      <c r="S27" s="709" t="e">
        <f t="shared" si="12"/>
        <v>#N/A</v>
      </c>
      <c r="T27" s="708" t="s">
        <v>14</v>
      </c>
      <c r="U27" s="709" t="e">
        <f t="shared" si="13"/>
        <v>#N/A</v>
      </c>
      <c r="V27" s="708" t="s">
        <v>14</v>
      </c>
      <c r="W27" s="709" t="e">
        <f t="shared" si="14"/>
        <v>#N/A</v>
      </c>
      <c r="X27" s="710"/>
      <c r="Y27" s="3713"/>
      <c r="Z27" s="711" t="str">
        <f t="shared" si="15"/>
        <v>成新率</v>
      </c>
      <c r="AA27" s="1352" t="e">
        <f t="shared" si="3"/>
        <v>#N/A</v>
      </c>
      <c r="AB27" s="1352" t="e">
        <f t="shared" si="4"/>
        <v>#N/A</v>
      </c>
      <c r="AC27" s="1352" t="e">
        <f t="shared" si="5"/>
        <v>#N/A</v>
      </c>
    </row>
    <row r="28" spans="1:29" ht="15">
      <c r="A28" s="423"/>
      <c r="B28" s="375" t="s">
        <v>1822</v>
      </c>
      <c r="C28" s="411"/>
      <c r="D28" s="386">
        <v>100</v>
      </c>
      <c r="E28" s="411"/>
      <c r="F28" s="412">
        <f>SUMIF(82:82,E28,83:83)-SUMIF(82:82,C28,83:83)+100</f>
        <v>100</v>
      </c>
      <c r="G28" s="411"/>
      <c r="H28" s="386">
        <f>SUMIF(82:82,G28,83:83)-SUMIF(82:82,C28,83:83)+100</f>
        <v>100</v>
      </c>
      <c r="I28" s="411"/>
      <c r="J28" s="386">
        <f>SUMIF(82:82,I28,83:83)-SUMIF(82:82,C28,83:83)+100</f>
        <v>100</v>
      </c>
      <c r="K28" s="561"/>
      <c r="L28" s="2696"/>
      <c r="M28" s="2690"/>
      <c r="N28" s="2690"/>
      <c r="O28" s="2748"/>
      <c r="P28" s="3713"/>
      <c r="Q28" s="1351" t="str">
        <f t="shared" si="11"/>
        <v>物业等级</v>
      </c>
      <c r="R28" s="705" t="s">
        <v>14</v>
      </c>
      <c r="S28" s="706">
        <f t="shared" si="12"/>
        <v>100</v>
      </c>
      <c r="T28" s="705" t="s">
        <v>14</v>
      </c>
      <c r="U28" s="706">
        <f t="shared" si="13"/>
        <v>100</v>
      </c>
      <c r="V28" s="705" t="s">
        <v>14</v>
      </c>
      <c r="W28" s="706">
        <f t="shared" si="14"/>
        <v>100</v>
      </c>
      <c r="X28" s="1354"/>
      <c r="Y28" s="3713"/>
      <c r="Z28" s="1355" t="str">
        <f t="shared" si="15"/>
        <v>物业等级</v>
      </c>
      <c r="AA28" s="1352">
        <f t="shared" si="3"/>
        <v>1</v>
      </c>
      <c r="AB28" s="1352">
        <f t="shared" si="4"/>
        <v>1</v>
      </c>
      <c r="AC28" s="1352">
        <f t="shared" si="5"/>
        <v>1</v>
      </c>
    </row>
    <row r="29" spans="1:29" ht="15">
      <c r="A29" s="423"/>
      <c r="B29" s="375" t="s">
        <v>1842</v>
      </c>
      <c r="C29" s="605"/>
      <c r="D29" s="386">
        <v>100</v>
      </c>
      <c r="E29" s="605"/>
      <c r="F29" s="412">
        <f>SUMIF(84:84,E29,85:85)-SUMIF(84:84,C29,85:85)+100</f>
        <v>100</v>
      </c>
      <c r="G29" s="605"/>
      <c r="H29" s="386">
        <f>SUMIF(84:84,G29,85:85)-SUMIF(84:84,C29,85:85)+100</f>
        <v>100</v>
      </c>
      <c r="I29" s="605"/>
      <c r="J29" s="386">
        <f>SUMIF(84:84,I29,85:85)-SUMIF(84:84,C29,85:85)+100</f>
        <v>100</v>
      </c>
      <c r="K29" s="561"/>
      <c r="L29" s="2696"/>
      <c r="M29" s="2690"/>
      <c r="N29" s="2690"/>
      <c r="O29" s="2748"/>
      <c r="P29" s="3713"/>
      <c r="Q29" s="1351" t="str">
        <f t="shared" si="11"/>
        <v>有无电梯</v>
      </c>
      <c r="R29" s="705" t="s">
        <v>14</v>
      </c>
      <c r="S29" s="706">
        <f t="shared" si="12"/>
        <v>100</v>
      </c>
      <c r="T29" s="705" t="s">
        <v>14</v>
      </c>
      <c r="U29" s="706">
        <f t="shared" si="13"/>
        <v>100</v>
      </c>
      <c r="V29" s="705" t="s">
        <v>14</v>
      </c>
      <c r="W29" s="706">
        <f t="shared" si="14"/>
        <v>100</v>
      </c>
      <c r="X29" s="1354"/>
      <c r="Y29" s="3713"/>
      <c r="Z29" s="1355" t="str">
        <f t="shared" si="15"/>
        <v>有无电梯</v>
      </c>
      <c r="AA29" s="1352">
        <f t="shared" si="3"/>
        <v>1</v>
      </c>
      <c r="AB29" s="1352">
        <f t="shared" si="4"/>
        <v>1</v>
      </c>
      <c r="AC29" s="1352">
        <f t="shared" si="5"/>
        <v>1</v>
      </c>
    </row>
    <row r="30" spans="1:29" ht="15">
      <c r="A30" s="423"/>
      <c r="B30" s="375" t="s">
        <v>1843</v>
      </c>
      <c r="C30" s="420"/>
      <c r="D30" s="386">
        <v>100</v>
      </c>
      <c r="E30" s="420"/>
      <c r="F30" s="412" t="e">
        <f>LOOKUP(E30,87:87,88:88)-LOOKUP(C30,87:87,88:88)+100</f>
        <v>#N/A</v>
      </c>
      <c r="G30" s="420"/>
      <c r="H30" s="386" t="e">
        <f>LOOKUP(G30,87:87,88:88)-LOOKUP(C30,87:87,88:88)+100</f>
        <v>#N/A</v>
      </c>
      <c r="I30" s="420"/>
      <c r="J30" s="386" t="e">
        <f>LOOKUP(I30,87:87,88:88)-LOOKUP(C30,87:87,88:88)+100</f>
        <v>#N/A</v>
      </c>
      <c r="K30" s="562"/>
      <c r="L30" s="2696"/>
      <c r="M30" s="2690"/>
      <c r="N30" s="2690"/>
      <c r="O30" s="2748"/>
      <c r="P30" s="3713"/>
      <c r="Q30" s="1351" t="str">
        <f t="shared" si="11"/>
        <v>建筑面积</v>
      </c>
      <c r="R30" s="705" t="s">
        <v>14</v>
      </c>
      <c r="S30" s="706" t="e">
        <f t="shared" si="12"/>
        <v>#N/A</v>
      </c>
      <c r="T30" s="705" t="s">
        <v>14</v>
      </c>
      <c r="U30" s="706" t="e">
        <f t="shared" si="13"/>
        <v>#N/A</v>
      </c>
      <c r="V30" s="705" t="s">
        <v>14</v>
      </c>
      <c r="W30" s="706" t="e">
        <f t="shared" si="14"/>
        <v>#N/A</v>
      </c>
      <c r="X30" s="1354"/>
      <c r="Y30" s="3713"/>
      <c r="Z30" s="1355" t="str">
        <f t="shared" si="15"/>
        <v>建筑面积</v>
      </c>
      <c r="AA30" s="1352" t="e">
        <f t="shared" si="3"/>
        <v>#N/A</v>
      </c>
      <c r="AB30" s="1352" t="e">
        <f t="shared" si="4"/>
        <v>#N/A</v>
      </c>
      <c r="AC30" s="1352" t="e">
        <f t="shared" si="5"/>
        <v>#N/A</v>
      </c>
    </row>
    <row r="31" spans="1:29" s="108" customFormat="1" ht="15">
      <c r="A31" s="424"/>
      <c r="B31" s="375" t="s">
        <v>1844</v>
      </c>
      <c r="C31" s="605"/>
      <c r="D31" s="127">
        <v>100</v>
      </c>
      <c r="E31" s="605"/>
      <c r="F31" s="412">
        <f>SUMIF(89:89,E31,90:90)-SUMIF(89:89,C31,90:90)+100</f>
        <v>100</v>
      </c>
      <c r="G31" s="605"/>
      <c r="H31" s="386">
        <f>SUMIF(89:89,G31,90:90)-SUMIF(89:89,C31,90:90)+100</f>
        <v>100</v>
      </c>
      <c r="I31" s="605"/>
      <c r="J31" s="386">
        <f>SUMIF(89:89,I31,90:90)-SUMIF(89:89,C31,90:90)+100</f>
        <v>100</v>
      </c>
      <c r="K31" s="561"/>
      <c r="L31" s="2691"/>
      <c r="M31" s="2692"/>
      <c r="N31" s="2692"/>
      <c r="O31" s="2746"/>
      <c r="P31" s="3713"/>
      <c r="Q31" s="1342" t="str">
        <f t="shared" si="11"/>
        <v>是否封闭</v>
      </c>
      <c r="R31" s="701" t="s">
        <v>14</v>
      </c>
      <c r="S31" s="702">
        <f t="shared" si="12"/>
        <v>100</v>
      </c>
      <c r="T31" s="701" t="s">
        <v>14</v>
      </c>
      <c r="U31" s="702">
        <f t="shared" si="13"/>
        <v>100</v>
      </c>
      <c r="V31" s="701" t="s">
        <v>14</v>
      </c>
      <c r="W31" s="702">
        <f t="shared" si="14"/>
        <v>100</v>
      </c>
      <c r="X31" s="703"/>
      <c r="Y31" s="3713"/>
      <c r="Z31" s="52" t="str">
        <f t="shared" si="15"/>
        <v>是否封闭</v>
      </c>
      <c r="AA31" s="704">
        <f t="shared" si="3"/>
        <v>1</v>
      </c>
      <c r="AB31" s="704">
        <f t="shared" si="4"/>
        <v>1</v>
      </c>
      <c r="AC31" s="704">
        <f t="shared" si="5"/>
        <v>1</v>
      </c>
    </row>
    <row r="32" spans="1:29" ht="15">
      <c r="A32" s="423"/>
      <c r="B32" s="1892">
        <v>111</v>
      </c>
      <c r="C32" s="383"/>
      <c r="D32" s="386">
        <v>100</v>
      </c>
      <c r="E32" s="420"/>
      <c r="F32" s="412">
        <f>SUMIF(91:91,E32,92:92)-SUMIF(91:91,C32,92:92)+100</f>
        <v>100</v>
      </c>
      <c r="G32" s="420"/>
      <c r="H32" s="386">
        <f>SUMIF(91:91,G32,92:92)-SUMIF(91:91,C32,92:92)+100</f>
        <v>100</v>
      </c>
      <c r="I32" s="420"/>
      <c r="J32" s="386">
        <f>SUMIF(91:91,I32,92:92)-SUMIF(91:91,C32,92:92)+100</f>
        <v>100</v>
      </c>
      <c r="K32" s="562"/>
      <c r="L32" s="2696"/>
      <c r="M32" s="2690"/>
      <c r="N32" s="2690"/>
      <c r="O32" s="2748"/>
      <c r="P32" s="3713" t="s">
        <v>1678</v>
      </c>
      <c r="Q32" s="1351">
        <f t="shared" si="11"/>
        <v>111</v>
      </c>
      <c r="R32" s="705" t="s">
        <v>14</v>
      </c>
      <c r="S32" s="706">
        <f t="shared" si="12"/>
        <v>100</v>
      </c>
      <c r="T32" s="705" t="s">
        <v>14</v>
      </c>
      <c r="U32" s="706">
        <f t="shared" si="13"/>
        <v>100</v>
      </c>
      <c r="V32" s="705" t="s">
        <v>14</v>
      </c>
      <c r="W32" s="706">
        <f t="shared" si="14"/>
        <v>100</v>
      </c>
      <c r="X32" s="1354"/>
      <c r="Y32" s="3713" t="s">
        <v>1678</v>
      </c>
      <c r="Z32" s="1355">
        <f t="shared" si="15"/>
        <v>111</v>
      </c>
      <c r="AA32" s="1352">
        <f t="shared" si="3"/>
        <v>1</v>
      </c>
      <c r="AB32" s="1352">
        <f t="shared" si="4"/>
        <v>1</v>
      </c>
      <c r="AC32" s="1352">
        <f t="shared" si="5"/>
        <v>1</v>
      </c>
    </row>
    <row r="33" spans="1:30" ht="15">
      <c r="A33" s="423"/>
      <c r="B33" s="1892">
        <v>111</v>
      </c>
      <c r="C33" s="383"/>
      <c r="D33" s="386">
        <v>100</v>
      </c>
      <c r="E33" s="420"/>
      <c r="F33" s="412">
        <f>SUMIF(93:93,E33,94:94)-SUMIF(93:93,C33,94:94)+100</f>
        <v>100</v>
      </c>
      <c r="G33" s="420"/>
      <c r="H33" s="386">
        <f>SUMIF(93:93,G33,94:94)-SUMIF(93:93,C33,94:94)+100</f>
        <v>100</v>
      </c>
      <c r="I33" s="420"/>
      <c r="J33" s="386">
        <f>SUMIF(93:93,I33,94:94)-SUMIF(93:93,C33,94:94)+100</f>
        <v>100</v>
      </c>
      <c r="K33" s="562"/>
      <c r="L33" s="2696"/>
      <c r="M33" s="2690"/>
      <c r="N33" s="2690"/>
      <c r="O33" s="2748"/>
      <c r="P33" s="3713"/>
      <c r="Q33" s="1351">
        <f t="shared" si="11"/>
        <v>111</v>
      </c>
      <c r="R33" s="705" t="s">
        <v>14</v>
      </c>
      <c r="S33" s="706">
        <f t="shared" si="12"/>
        <v>100</v>
      </c>
      <c r="T33" s="705" t="s">
        <v>14</v>
      </c>
      <c r="U33" s="706">
        <f t="shared" si="13"/>
        <v>100</v>
      </c>
      <c r="V33" s="705" t="s">
        <v>14</v>
      </c>
      <c r="W33" s="706">
        <f t="shared" si="14"/>
        <v>100</v>
      </c>
      <c r="X33" s="1354"/>
      <c r="Y33" s="3713"/>
      <c r="Z33" s="1355">
        <f t="shared" si="15"/>
        <v>111</v>
      </c>
      <c r="AA33" s="1352">
        <f t="shared" si="3"/>
        <v>1</v>
      </c>
      <c r="AB33" s="1352">
        <f t="shared" si="4"/>
        <v>1</v>
      </c>
      <c r="AC33" s="1352">
        <f t="shared" si="5"/>
        <v>1</v>
      </c>
    </row>
    <row r="34" spans="1:30" ht="15.75" thickBot="1">
      <c r="A34" s="429"/>
      <c r="B34" s="1894">
        <v>111</v>
      </c>
      <c r="C34" s="388"/>
      <c r="D34" s="389">
        <v>100</v>
      </c>
      <c r="E34" s="1974"/>
      <c r="F34" s="390">
        <f>SUMIF(95:95,E34,96:96)-SUMIF(95:95,C34,96:96)+100</f>
        <v>100</v>
      </c>
      <c r="G34" s="1974"/>
      <c r="H34" s="389">
        <f>SUMIF(95:95,G34,96:96)-SUMIF(95:95,C34,96:96)+100</f>
        <v>100</v>
      </c>
      <c r="I34" s="1974"/>
      <c r="J34" s="389">
        <f>SUMIF(95:95,I34,96:96)-SUMIF(95:95,C34,96:96)+100</f>
        <v>100</v>
      </c>
      <c r="K34" s="562"/>
      <c r="L34" s="2696"/>
      <c r="M34" s="2690"/>
      <c r="N34" s="2690"/>
      <c r="O34" s="2748"/>
      <c r="P34" s="3713"/>
      <c r="Q34" s="1351">
        <f t="shared" si="11"/>
        <v>111</v>
      </c>
      <c r="R34" s="705" t="s">
        <v>14</v>
      </c>
      <c r="S34" s="706">
        <f t="shared" si="12"/>
        <v>100</v>
      </c>
      <c r="T34" s="705" t="s">
        <v>14</v>
      </c>
      <c r="U34" s="706">
        <f t="shared" si="13"/>
        <v>100</v>
      </c>
      <c r="V34" s="705" t="s">
        <v>14</v>
      </c>
      <c r="W34" s="706">
        <f t="shared" si="14"/>
        <v>100</v>
      </c>
      <c r="X34" s="1354"/>
      <c r="Y34" s="3713"/>
      <c r="Z34" s="1355">
        <f t="shared" si="15"/>
        <v>111</v>
      </c>
      <c r="AA34" s="1352">
        <f t="shared" si="3"/>
        <v>1</v>
      </c>
      <c r="AB34" s="1352">
        <f t="shared" si="4"/>
        <v>1</v>
      </c>
      <c r="AC34" s="1352">
        <f t="shared" si="5"/>
        <v>1</v>
      </c>
    </row>
    <row r="35" spans="1:30" ht="15">
      <c r="A35" s="430" t="s">
        <v>1690</v>
      </c>
      <c r="B35" s="431"/>
      <c r="C35" s="1154" t="s">
        <v>0</v>
      </c>
      <c r="D35" s="1155"/>
      <c r="E35" s="1156"/>
      <c r="F35" s="1157"/>
      <c r="G35" s="1158"/>
      <c r="H35" s="1159"/>
      <c r="I35" s="1156"/>
      <c r="J35" s="1159"/>
      <c r="K35" s="714"/>
      <c r="L35" s="2698"/>
      <c r="M35" s="2699"/>
      <c r="N35" s="2690"/>
      <c r="O35" s="2699"/>
      <c r="P35" s="3706" t="str">
        <f>A35</f>
        <v>成交单价（元/平方米）</v>
      </c>
      <c r="Q35" s="3706"/>
      <c r="R35" s="3707">
        <f>E35</f>
        <v>0</v>
      </c>
      <c r="S35" s="3707"/>
      <c r="T35" s="3707">
        <f>G35</f>
        <v>0</v>
      </c>
      <c r="U35" s="3707"/>
      <c r="V35" s="3707">
        <f>I35</f>
        <v>0</v>
      </c>
      <c r="W35" s="3707"/>
      <c r="X35" s="690"/>
      <c r="Y35" s="712"/>
      <c r="Z35" s="690"/>
      <c r="AA35" s="690"/>
      <c r="AB35" s="690"/>
      <c r="AC35" s="690"/>
    </row>
    <row r="36" spans="1:30" ht="15.75" thickBot="1">
      <c r="A36" s="437" t="s">
        <v>1775</v>
      </c>
      <c r="B36" s="438"/>
      <c r="C36" s="1160" t="e">
        <f>R37</f>
        <v>#DIV/0!</v>
      </c>
      <c r="D36" s="2316" t="s">
        <v>2119</v>
      </c>
      <c r="E36" s="1161" t="e">
        <f>R36</f>
        <v>#DIV/0!</v>
      </c>
      <c r="F36" s="2317"/>
      <c r="G36" s="1160" t="e">
        <f>T36</f>
        <v>#DIV/0!</v>
      </c>
      <c r="H36" s="2317"/>
      <c r="I36" s="1161" t="e">
        <f>V36</f>
        <v>#DIV/0!</v>
      </c>
      <c r="J36" s="2317"/>
      <c r="K36" s="2319">
        <f>F36+H36+J36</f>
        <v>0</v>
      </c>
      <c r="L36" s="2698"/>
      <c r="M36" s="2699"/>
      <c r="N36" s="2690"/>
      <c r="O36" s="2699"/>
      <c r="P36" s="3706" t="str">
        <f>A36</f>
        <v>比较价值（元/平方米）</v>
      </c>
      <c r="Q36" s="3706"/>
      <c r="R36" s="3707" t="e">
        <f>IF(F1="售价",ROUND(PRODUCT(R35,AA7:AA34),0),ROUND(PRODUCT(R35,AA7:AA34),1))</f>
        <v>#DIV/0!</v>
      </c>
      <c r="S36" s="3707"/>
      <c r="T36" s="3707" t="e">
        <f>IF(F1="售价",ROUND(PRODUCT(T35,AB7:AB34),0),ROUND(PRODUCT(T35,AB7:AB34),1))</f>
        <v>#DIV/0!</v>
      </c>
      <c r="U36" s="3707"/>
      <c r="V36" s="3707" t="e">
        <f>IF(F1="售价",ROUND(PRODUCT(V35,AC7:AC34),0),ROUND(PRODUCT(V35,AC7:AC34),1))</f>
        <v>#DIV/0!</v>
      </c>
      <c r="W36" s="3707"/>
      <c r="X36" s="690"/>
      <c r="Y36" s="690"/>
      <c r="Z36" s="690"/>
      <c r="AA36" s="690"/>
      <c r="AB36" s="690"/>
      <c r="AC36" s="690"/>
    </row>
    <row r="37" spans="1:30" ht="15.75" thickBot="1">
      <c r="A37" s="441" t="s">
        <v>1776</v>
      </c>
      <c r="B37" s="442"/>
      <c r="C37" s="1163" t="e">
        <f>R37</f>
        <v>#DIV/0!</v>
      </c>
      <c r="D37" s="1163"/>
      <c r="E37" s="1163"/>
      <c r="F37" s="1163"/>
      <c r="G37" s="1163"/>
      <c r="H37" s="1163"/>
      <c r="I37" s="1163"/>
      <c r="J37" s="1163"/>
      <c r="K37" s="715"/>
      <c r="L37" s="2698"/>
      <c r="M37" s="2699"/>
      <c r="N37" s="2699"/>
      <c r="O37" s="2699"/>
      <c r="P37" s="3703" t="str">
        <f>A37</f>
        <v>估价对象XX用房的比较价值（楼面单价，元/平方米）</v>
      </c>
      <c r="Q37" s="3704"/>
      <c r="R37" s="3765" t="e">
        <f>IF(F1="售价",ROUND(IF(D36="简单平均",AVERAGE(R36:W36),R36*F36+T36*H36+V36*J36),0),ROUND(IF(D36="简单平均",AVERAGE(R36:V36),R36*F36+T36*H36+V36*J36),1))</f>
        <v>#DIV/0!</v>
      </c>
      <c r="S37" s="3765"/>
      <c r="T37" s="3765"/>
      <c r="U37" s="3765"/>
      <c r="V37" s="3765"/>
      <c r="W37" s="3765"/>
      <c r="X37" s="690"/>
      <c r="Y37" s="690"/>
      <c r="Z37" s="690"/>
      <c r="AA37" s="690"/>
      <c r="AB37" s="690"/>
      <c r="AC37" s="690"/>
    </row>
    <row r="38" spans="1:30">
      <c r="A38" s="2699"/>
      <c r="B38" s="2699"/>
      <c r="C38" s="2699"/>
      <c r="D38" s="2699"/>
      <c r="E38" s="2699"/>
      <c r="F38" s="2699"/>
      <c r="G38" s="2703"/>
      <c r="H38" s="2699"/>
      <c r="I38" s="2699"/>
      <c r="J38" s="2699"/>
      <c r="K38" s="2704"/>
      <c r="L38" s="2700"/>
      <c r="M38" s="2699"/>
      <c r="N38" s="2699"/>
      <c r="O38" s="2699"/>
      <c r="P38" s="2699"/>
      <c r="Q38" s="2699"/>
      <c r="R38" s="2699"/>
      <c r="S38" s="2699"/>
      <c r="T38" s="2699"/>
      <c r="U38" s="2699"/>
      <c r="V38" s="2699"/>
      <c r="W38" s="2699"/>
      <c r="X38" s="2699"/>
      <c r="Y38" s="2699"/>
      <c r="Z38" s="2699"/>
      <c r="AA38" s="2699"/>
      <c r="AB38" s="2699"/>
      <c r="AC38" s="2699"/>
      <c r="AD38" s="2699"/>
    </row>
    <row r="39" spans="1:30">
      <c r="A39" s="2699"/>
      <c r="B39" s="2699"/>
      <c r="C39" s="2699"/>
      <c r="D39" s="2699"/>
      <c r="E39" s="2699"/>
      <c r="F39" s="2699"/>
      <c r="G39" s="2699"/>
      <c r="H39" s="2699"/>
      <c r="I39" s="2699"/>
      <c r="J39" s="2699"/>
      <c r="K39" s="2704"/>
      <c r="L39" s="2700"/>
      <c r="M39" s="2699"/>
      <c r="N39" s="2699"/>
      <c r="O39" s="2699"/>
      <c r="P39" s="2699"/>
      <c r="Q39" s="2699"/>
      <c r="R39" s="2699"/>
      <c r="S39" s="2699"/>
      <c r="T39" s="2699"/>
      <c r="U39" s="2699"/>
      <c r="V39" s="2699"/>
      <c r="W39" s="2699"/>
      <c r="X39" s="2699"/>
      <c r="Y39" s="2699"/>
      <c r="Z39" s="2699"/>
      <c r="AA39" s="2699"/>
      <c r="AB39" s="2699"/>
      <c r="AC39" s="2699"/>
      <c r="AD39" s="2699"/>
    </row>
    <row r="40" spans="1:30" ht="13.5" customHeight="1">
      <c r="A40" s="2699"/>
      <c r="B40" s="2699"/>
      <c r="C40" s="446" t="s">
        <v>1777</v>
      </c>
      <c r="D40" s="447"/>
      <c r="E40" s="448" t="e">
        <f>IF(E35&lt;E36,E36/E35-1,E35/E36-1)</f>
        <v>#DIV/0!</v>
      </c>
      <c r="F40" s="449" t="e">
        <f>IF(OR(E40&gt;=0.3,E40&lt;=-0.3),"超过30%","")</f>
        <v>#DIV/0!</v>
      </c>
      <c r="G40" s="448" t="e">
        <f>IF(G35&lt;G36,G36/G35-1,G35/G36-1)</f>
        <v>#DIV/0!</v>
      </c>
      <c r="H40" s="449" t="e">
        <f>IF(OR(G40&gt;=0.3,G40&lt;=-0.3),"超过30%","")</f>
        <v>#DIV/0!</v>
      </c>
      <c r="I40" s="448" t="e">
        <f>IF(I35&lt;I36,I36/I35-1,I35/I36-1)</f>
        <v>#DIV/0!</v>
      </c>
      <c r="J40" s="449" t="e">
        <f>IF(OR(I40&gt;=0.3,I40&lt;=-0.3),"超过30%","")</f>
        <v>#DIV/0!</v>
      </c>
      <c r="K40" s="2704"/>
      <c r="L40" s="2700"/>
      <c r="M40" s="2699"/>
      <c r="N40" s="2699"/>
      <c r="O40" s="2699"/>
      <c r="P40" s="2699"/>
      <c r="Q40" s="2699"/>
      <c r="R40" s="2699"/>
      <c r="S40" s="2699"/>
      <c r="T40" s="2699"/>
      <c r="U40" s="2699"/>
      <c r="V40" s="2699"/>
      <c r="W40" s="2699"/>
      <c r="X40" s="2699"/>
      <c r="Y40" s="2699"/>
      <c r="Z40" s="2699"/>
      <c r="AA40" s="2699"/>
      <c r="AB40" s="2699"/>
      <c r="AC40" s="2699"/>
      <c r="AD40" s="2699"/>
    </row>
    <row r="41" spans="1:30" ht="13.5" customHeight="1">
      <c r="A41" s="2699"/>
      <c r="B41" s="2699"/>
      <c r="C41" s="446" t="s">
        <v>1778</v>
      </c>
      <c r="D41" s="450"/>
      <c r="E41" s="448" t="e">
        <f>IF(E36&lt;G36,G36/E36-1,E36/G36-1)</f>
        <v>#DIV/0!</v>
      </c>
      <c r="F41" s="449" t="e">
        <f>IF(OR(E41&gt;=0.2,E41&lt;=-0.2),"超过20%","")</f>
        <v>#DIV/0!</v>
      </c>
      <c r="G41" s="448" t="e">
        <f>IF(G36&lt;I36,I36/G36-1,G36/I36-1)</f>
        <v>#DIV/0!</v>
      </c>
      <c r="H41" s="449" t="e">
        <f>IF(OR(G41&gt;=0.2,G41&lt;=-0.2),"超过20%","")</f>
        <v>#DIV/0!</v>
      </c>
      <c r="I41" s="448" t="e">
        <f>IF(I36&lt;E36,E36/I36-1,I36/E36-1)</f>
        <v>#DIV/0!</v>
      </c>
      <c r="J41" s="449" t="e">
        <f>IF(OR(I41&gt;=0.2,I41&lt;=-0.2),"超过20%","")</f>
        <v>#DIV/0!</v>
      </c>
      <c r="K41" s="2704"/>
      <c r="L41" s="2700"/>
      <c r="M41" s="2699"/>
      <c r="N41" s="2699"/>
      <c r="O41" s="2699"/>
      <c r="P41" s="2699"/>
      <c r="Q41" s="2699"/>
      <c r="R41" s="2699"/>
      <c r="S41" s="2699"/>
      <c r="T41" s="2699"/>
      <c r="U41" s="2699"/>
      <c r="V41" s="2699"/>
      <c r="W41" s="2699"/>
      <c r="X41" s="2699"/>
      <c r="Y41" s="2699"/>
      <c r="Z41" s="2699"/>
      <c r="AA41" s="2699"/>
      <c r="AB41" s="2699"/>
      <c r="AC41" s="2699"/>
      <c r="AD41" s="2699"/>
    </row>
    <row r="42" spans="1:30" s="451" customFormat="1" ht="13.5" customHeight="1">
      <c r="A42" s="2702"/>
      <c r="B42" s="2702"/>
      <c r="C42" s="446" t="s">
        <v>1779</v>
      </c>
      <c r="D42" s="450"/>
      <c r="E42" s="448" t="e">
        <f>IF(E35&lt;G35,G35/E35-1,E35/G35-1)</f>
        <v>#DIV/0!</v>
      </c>
      <c r="F42" s="449" t="e">
        <f>IF(OR(E42&gt;=0.3,E42&lt;=-0.3),"超过30%","")</f>
        <v>#DIV/0!</v>
      </c>
      <c r="G42" s="448" t="e">
        <f>IF(G35&lt;I35,I35/G35-1,G35/I35-1)</f>
        <v>#DIV/0!</v>
      </c>
      <c r="H42" s="449" t="e">
        <f>IF(OR(G42&gt;=0.3,G42&lt;=-0.3),"超过30%","")</f>
        <v>#DIV/0!</v>
      </c>
      <c r="I42" s="448" t="e">
        <f>IF(I35&lt;E35,E35/I35-1,I35/E35-1)</f>
        <v>#DIV/0!</v>
      </c>
      <c r="J42" s="449" t="e">
        <f>IF(OR(I42&gt;=0.3,I42&lt;=-0.3),"超过30%","")</f>
        <v>#DIV/0!</v>
      </c>
      <c r="K42" s="2707"/>
      <c r="L42" s="2701"/>
      <c r="M42" s="2702"/>
      <c r="N42" s="2702"/>
      <c r="O42" s="2702"/>
      <c r="P42" s="2702"/>
      <c r="Q42" s="2702"/>
      <c r="R42" s="2702"/>
      <c r="S42" s="2702"/>
      <c r="T42" s="2702"/>
      <c r="U42" s="2702"/>
      <c r="V42" s="2702"/>
      <c r="W42" s="2702"/>
      <c r="X42" s="2702"/>
      <c r="Y42" s="2702"/>
      <c r="Z42" s="2702"/>
      <c r="AA42" s="2702"/>
      <c r="AB42" s="2702"/>
      <c r="AC42" s="2702"/>
      <c r="AD42" s="2702"/>
    </row>
    <row r="43" spans="1:30" s="451" customFormat="1">
      <c r="A43" s="2702"/>
      <c r="B43" s="2705"/>
      <c r="C43" s="2706"/>
      <c r="D43" s="2702"/>
      <c r="E43" s="2702"/>
      <c r="F43" s="2702"/>
      <c r="G43" s="2702"/>
      <c r="H43" s="2702"/>
      <c r="I43" s="2702"/>
      <c r="J43" s="2702"/>
      <c r="K43" s="2707"/>
      <c r="L43" s="2701"/>
      <c r="M43" s="2702"/>
      <c r="N43" s="2702"/>
      <c r="O43" s="2702"/>
      <c r="P43" s="2702"/>
      <c r="Q43" s="2702"/>
      <c r="R43" s="2702"/>
      <c r="S43" s="2702"/>
      <c r="T43" s="2702"/>
      <c r="U43" s="2702"/>
      <c r="V43" s="2702"/>
      <c r="W43" s="2702"/>
      <c r="X43" s="2702"/>
      <c r="Y43" s="2702"/>
      <c r="Z43" s="2702"/>
      <c r="AA43" s="2702"/>
      <c r="AB43" s="2702"/>
      <c r="AC43" s="2702"/>
      <c r="AD43" s="2702"/>
    </row>
    <row r="44" spans="1:30">
      <c r="A44" s="2699"/>
      <c r="B44" s="2705"/>
      <c r="C44" s="2706"/>
      <c r="D44" s="2699"/>
      <c r="E44" s="2699"/>
      <c r="F44" s="2699"/>
      <c r="G44" s="2699"/>
      <c r="H44" s="2699"/>
      <c r="I44" s="2699"/>
      <c r="J44" s="2699"/>
      <c r="K44" s="2704"/>
      <c r="L44" s="2700"/>
      <c r="M44" s="2699"/>
      <c r="N44" s="2699"/>
      <c r="O44" s="2699"/>
      <c r="P44" s="2699"/>
      <c r="Q44" s="2699"/>
      <c r="R44" s="2699"/>
      <c r="S44" s="2699"/>
      <c r="T44" s="2699"/>
      <c r="U44" s="2699"/>
      <c r="V44" s="2699"/>
      <c r="W44" s="2699"/>
      <c r="X44" s="2699"/>
      <c r="Y44" s="2699"/>
      <c r="Z44" s="2699"/>
      <c r="AA44" s="2699"/>
      <c r="AB44" s="2699"/>
      <c r="AC44" s="2699"/>
      <c r="AD44" s="2699"/>
    </row>
    <row r="45" spans="1:30" ht="21.75" thickBot="1">
      <c r="A45" s="694" t="s">
        <v>1780</v>
      </c>
      <c r="B45" s="690"/>
      <c r="C45" s="695"/>
      <c r="D45" s="695"/>
      <c r="E45" s="695"/>
      <c r="F45" s="696"/>
      <c r="G45" s="696"/>
      <c r="H45" s="695"/>
      <c r="I45" s="695"/>
      <c r="J45" s="695"/>
      <c r="K45" s="697"/>
      <c r="L45" s="698"/>
      <c r="M45" s="695"/>
      <c r="N45" s="2743"/>
      <c r="O45" s="2743"/>
      <c r="P45" s="2743"/>
      <c r="Q45" s="2713"/>
      <c r="R45" s="2699"/>
      <c r="S45" s="2699"/>
      <c r="T45" s="2699"/>
      <c r="U45" s="2699"/>
      <c r="V45" s="2699"/>
      <c r="W45" s="2699"/>
      <c r="X45" s="2699"/>
      <c r="Y45" s="2699"/>
      <c r="Z45" s="2699"/>
      <c r="AA45" s="2699"/>
      <c r="AB45" s="2699"/>
      <c r="AC45" s="2699"/>
      <c r="AD45" s="2699"/>
    </row>
    <row r="46" spans="1:30" s="457" customFormat="1" ht="15">
      <c r="A46" s="454" t="s">
        <v>1661</v>
      </c>
      <c r="B46" s="455"/>
      <c r="C46" s="1183" t="str">
        <f>YEAR(C7)&amp;"-"&amp;MONTH(C7)</f>
        <v>2024-4</v>
      </c>
      <c r="D46" s="1184">
        <f>EDATE(C46,-1)</f>
        <v>45352</v>
      </c>
      <c r="E46" s="1184">
        <f t="shared" ref="E46:O46" si="16">EDATE(D46,-1)</f>
        <v>45323</v>
      </c>
      <c r="F46" s="1184">
        <f t="shared" si="16"/>
        <v>45292</v>
      </c>
      <c r="G46" s="1184">
        <f t="shared" si="16"/>
        <v>45261</v>
      </c>
      <c r="H46" s="1184">
        <f t="shared" si="16"/>
        <v>45231</v>
      </c>
      <c r="I46" s="1184">
        <f t="shared" si="16"/>
        <v>45200</v>
      </c>
      <c r="J46" s="1184">
        <f t="shared" si="16"/>
        <v>45170</v>
      </c>
      <c r="K46" s="1184">
        <f t="shared" si="16"/>
        <v>45139</v>
      </c>
      <c r="L46" s="1184">
        <f t="shared" si="16"/>
        <v>45108</v>
      </c>
      <c r="M46" s="1184">
        <f t="shared" si="16"/>
        <v>45078</v>
      </c>
      <c r="N46" s="1184">
        <f t="shared" si="16"/>
        <v>45047</v>
      </c>
      <c r="O46" s="1184">
        <f t="shared" si="16"/>
        <v>45017</v>
      </c>
      <c r="P46" s="2750"/>
      <c r="Q46" s="2715"/>
      <c r="R46" s="2715"/>
      <c r="S46" s="2715"/>
      <c r="T46" s="2715"/>
      <c r="U46" s="2715"/>
      <c r="V46" s="2715"/>
      <c r="W46" s="2715"/>
      <c r="X46" s="2715"/>
      <c r="Y46" s="2715"/>
      <c r="Z46" s="2715"/>
      <c r="AA46" s="2715"/>
      <c r="AB46" s="2715"/>
      <c r="AC46" s="2715"/>
      <c r="AD46" s="2715"/>
    </row>
    <row r="47" spans="1:30" s="108" customFormat="1" ht="15">
      <c r="A47" s="458"/>
      <c r="B47" s="459"/>
      <c r="C47" s="1182">
        <v>100</v>
      </c>
      <c r="D47" s="461"/>
      <c r="E47" s="461"/>
      <c r="F47" s="461"/>
      <c r="G47" s="461"/>
      <c r="H47" s="461"/>
      <c r="I47" s="461"/>
      <c r="J47" s="461"/>
      <c r="K47" s="461"/>
      <c r="L47" s="461"/>
      <c r="M47" s="462"/>
      <c r="N47" s="461"/>
      <c r="O47" s="463"/>
      <c r="P47" s="2713"/>
      <c r="Q47" s="2635"/>
      <c r="R47" s="2635"/>
      <c r="S47" s="2635"/>
      <c r="T47" s="2635"/>
      <c r="U47" s="2635"/>
      <c r="V47" s="2635"/>
      <c r="W47" s="2635"/>
      <c r="X47" s="2635"/>
      <c r="Y47" s="2635"/>
      <c r="Z47" s="2635"/>
      <c r="AA47" s="2635"/>
      <c r="AB47" s="2635"/>
      <c r="AC47" s="2635"/>
      <c r="AD47" s="2635"/>
    </row>
    <row r="48" spans="1:30" s="108" customFormat="1" ht="15.75" thickBot="1">
      <c r="A48" s="464" t="s">
        <v>1698</v>
      </c>
      <c r="B48" s="465"/>
      <c r="C48" s="466"/>
      <c r="D48" s="467"/>
      <c r="E48" s="467"/>
      <c r="F48" s="467"/>
      <c r="G48" s="467"/>
      <c r="H48" s="467"/>
      <c r="I48" s="467"/>
      <c r="J48" s="467"/>
      <c r="K48" s="467"/>
      <c r="L48" s="467"/>
      <c r="M48" s="468"/>
      <c r="N48" s="467"/>
      <c r="O48" s="469"/>
      <c r="P48" s="2713"/>
      <c r="Q48" s="2713"/>
      <c r="R48" s="2635"/>
      <c r="S48" s="2635"/>
      <c r="T48" s="2635"/>
      <c r="U48" s="2635"/>
      <c r="V48" s="2635"/>
      <c r="W48" s="2635"/>
      <c r="X48" s="2635"/>
      <c r="Y48" s="2635"/>
      <c r="Z48" s="2635"/>
      <c r="AA48" s="2635"/>
      <c r="AB48" s="2635"/>
      <c r="AC48" s="2635"/>
      <c r="AD48" s="2635"/>
    </row>
    <row r="49" spans="1:30" s="108" customFormat="1" ht="15">
      <c r="A49" s="470" t="s">
        <v>1663</v>
      </c>
      <c r="B49" s="459"/>
      <c r="C49" s="471" t="s">
        <v>1758</v>
      </c>
      <c r="D49" s="472"/>
      <c r="E49" s="472"/>
      <c r="F49" s="472"/>
      <c r="G49" s="472"/>
      <c r="H49" s="472"/>
      <c r="I49" s="472"/>
      <c r="J49" s="472"/>
      <c r="K49" s="472"/>
      <c r="L49" s="473"/>
      <c r="M49" s="474"/>
      <c r="N49" s="2726"/>
      <c r="O49" s="2726"/>
      <c r="P49" s="2751"/>
      <c r="Q49" s="2713"/>
      <c r="R49" s="2635"/>
      <c r="S49" s="2635"/>
      <c r="T49" s="2635"/>
      <c r="U49" s="2635"/>
      <c r="V49" s="2635"/>
      <c r="W49" s="2635"/>
      <c r="X49" s="2635"/>
      <c r="Y49" s="2635"/>
      <c r="Z49" s="2635"/>
      <c r="AA49" s="2635"/>
      <c r="AB49" s="2635"/>
      <c r="AC49" s="2635"/>
      <c r="AD49" s="2635"/>
    </row>
    <row r="50" spans="1:30" s="108" customFormat="1" ht="15.75" thickBot="1">
      <c r="A50" s="470"/>
      <c r="B50" s="459"/>
      <c r="C50" s="587">
        <v>100</v>
      </c>
      <c r="D50" s="461"/>
      <c r="E50" s="461"/>
      <c r="F50" s="461"/>
      <c r="G50" s="461"/>
      <c r="H50" s="461"/>
      <c r="I50" s="461"/>
      <c r="J50" s="461"/>
      <c r="K50" s="461"/>
      <c r="L50" s="461"/>
      <c r="M50" s="463"/>
      <c r="N50" s="2726"/>
      <c r="O50" s="2726"/>
      <c r="P50" s="2713"/>
      <c r="Q50" s="2713"/>
      <c r="R50" s="2635"/>
      <c r="S50" s="2635"/>
      <c r="T50" s="2635"/>
      <c r="U50" s="2635"/>
      <c r="V50" s="2635"/>
      <c r="W50" s="2635"/>
      <c r="X50" s="2635"/>
      <c r="Y50" s="2635"/>
      <c r="Z50" s="2635"/>
      <c r="AA50" s="2635"/>
      <c r="AB50" s="2635"/>
      <c r="AC50" s="2635"/>
      <c r="AD50" s="2635"/>
    </row>
    <row r="51" spans="1:30">
      <c r="A51" s="476" t="s">
        <v>1701</v>
      </c>
      <c r="B51" s="477" t="s">
        <v>1667</v>
      </c>
      <c r="C51" s="478">
        <f>C9</f>
        <v>0</v>
      </c>
      <c r="D51" s="479"/>
      <c r="E51" s="479"/>
      <c r="F51" s="479"/>
      <c r="G51" s="479"/>
      <c r="H51" s="479"/>
      <c r="I51" s="479"/>
      <c r="J51" s="479"/>
      <c r="K51" s="480"/>
      <c r="L51" s="481"/>
      <c r="M51" s="482"/>
      <c r="N51" s="2727"/>
      <c r="O51" s="2727"/>
      <c r="P51" s="2752"/>
      <c r="Q51" s="2713"/>
      <c r="R51" s="2699"/>
      <c r="S51" s="2699"/>
      <c r="T51" s="2699"/>
      <c r="U51" s="2699"/>
      <c r="V51" s="2699"/>
      <c r="W51" s="2699"/>
      <c r="X51" s="2699"/>
      <c r="Y51" s="2699"/>
      <c r="Z51" s="2699"/>
      <c r="AA51" s="2699"/>
      <c r="AB51" s="2699"/>
      <c r="AC51" s="2699"/>
      <c r="AD51" s="2699"/>
    </row>
    <row r="52" spans="1:30" ht="15.75" thickBot="1">
      <c r="A52" s="483"/>
      <c r="B52" s="484"/>
      <c r="C52" s="485">
        <v>100</v>
      </c>
      <c r="D52" s="485"/>
      <c r="E52" s="485"/>
      <c r="F52" s="485"/>
      <c r="G52" s="485"/>
      <c r="H52" s="485"/>
      <c r="I52" s="485"/>
      <c r="J52" s="485"/>
      <c r="K52" s="485"/>
      <c r="L52" s="485"/>
      <c r="M52" s="486"/>
      <c r="N52" s="2728"/>
      <c r="O52" s="2728"/>
      <c r="P52" s="2752"/>
      <c r="Q52" s="2713"/>
      <c r="R52" s="2699"/>
      <c r="S52" s="2699"/>
      <c r="T52" s="2699"/>
      <c r="U52" s="2699"/>
      <c r="V52" s="2699"/>
      <c r="W52" s="2699"/>
      <c r="X52" s="2699"/>
      <c r="Y52" s="2699"/>
      <c r="Z52" s="2699"/>
      <c r="AA52" s="2699"/>
      <c r="AB52" s="2699"/>
      <c r="AC52" s="2699"/>
      <c r="AD52" s="2699"/>
    </row>
    <row r="53" spans="1:30" ht="27.75" thickTop="1">
      <c r="A53" s="483"/>
      <c r="B53" s="487" t="s">
        <v>1670</v>
      </c>
      <c r="C53" s="532"/>
      <c r="D53" s="532"/>
      <c r="E53" s="532"/>
      <c r="F53" s="532"/>
      <c r="G53" s="532"/>
      <c r="H53" s="532"/>
      <c r="I53" s="532"/>
      <c r="J53" s="532"/>
      <c r="K53" s="533"/>
      <c r="L53" s="534"/>
      <c r="M53" s="535"/>
      <c r="N53" s="2727"/>
      <c r="O53" s="2727"/>
      <c r="P53" s="2752"/>
      <c r="Q53" s="2713"/>
      <c r="R53" s="2699"/>
      <c r="S53" s="2699"/>
      <c r="T53" s="2699"/>
      <c r="U53" s="2699"/>
      <c r="V53" s="2699"/>
      <c r="W53" s="2699"/>
      <c r="X53" s="2699"/>
      <c r="Y53" s="2699"/>
      <c r="Z53" s="2699"/>
      <c r="AA53" s="2699"/>
      <c r="AB53" s="2699"/>
      <c r="AC53" s="2699"/>
      <c r="AD53" s="2699"/>
    </row>
    <row r="54" spans="1:30" ht="15.75" thickBot="1">
      <c r="A54" s="483"/>
      <c r="B54" s="492"/>
      <c r="C54" s="485"/>
      <c r="D54" s="485"/>
      <c r="E54" s="485"/>
      <c r="F54" s="485"/>
      <c r="G54" s="485"/>
      <c r="H54" s="485"/>
      <c r="I54" s="485"/>
      <c r="J54" s="485"/>
      <c r="K54" s="485"/>
      <c r="L54" s="485"/>
      <c r="M54" s="486"/>
      <c r="N54" s="2728"/>
      <c r="O54" s="2728"/>
      <c r="P54" s="2752"/>
      <c r="Q54" s="2713"/>
      <c r="R54" s="2699"/>
      <c r="S54" s="2699"/>
      <c r="T54" s="2699"/>
      <c r="U54" s="2699"/>
      <c r="V54" s="2699"/>
      <c r="W54" s="2699"/>
      <c r="X54" s="2699"/>
      <c r="Y54" s="2699"/>
      <c r="Z54" s="2699"/>
      <c r="AA54" s="2699"/>
      <c r="AB54" s="2699"/>
      <c r="AC54" s="2699"/>
      <c r="AD54" s="2699"/>
    </row>
    <row r="55" spans="1:30" ht="15.75" thickTop="1">
      <c r="A55" s="483"/>
      <c r="B55" s="608">
        <f>B11</f>
        <v>111</v>
      </c>
      <c r="C55" s="498"/>
      <c r="D55" s="498"/>
      <c r="E55" s="498"/>
      <c r="F55" s="498"/>
      <c r="G55" s="498"/>
      <c r="H55" s="498"/>
      <c r="I55" s="498"/>
      <c r="J55" s="498"/>
      <c r="K55" s="499"/>
      <c r="L55" s="500"/>
      <c r="M55" s="501"/>
      <c r="N55" s="2727"/>
      <c r="O55" s="2727"/>
      <c r="P55" s="2752"/>
      <c r="Q55" s="2713"/>
      <c r="R55" s="2699"/>
      <c r="S55" s="2699"/>
      <c r="T55" s="2699"/>
      <c r="U55" s="2699"/>
      <c r="V55" s="2699"/>
      <c r="W55" s="2699"/>
      <c r="X55" s="2699"/>
      <c r="Y55" s="2699"/>
      <c r="Z55" s="2699"/>
      <c r="AA55" s="2699"/>
      <c r="AB55" s="2699"/>
      <c r="AC55" s="2699"/>
      <c r="AD55" s="2699"/>
    </row>
    <row r="56" spans="1:30" ht="15.75" thickBot="1">
      <c r="A56" s="483"/>
      <c r="B56" s="484"/>
      <c r="C56" s="509"/>
      <c r="D56" s="485"/>
      <c r="E56" s="485"/>
      <c r="F56" s="485"/>
      <c r="G56" s="485"/>
      <c r="H56" s="485"/>
      <c r="I56" s="485"/>
      <c r="J56" s="485"/>
      <c r="K56" s="485"/>
      <c r="L56" s="485"/>
      <c r="M56" s="486"/>
      <c r="N56" s="2728"/>
      <c r="O56" s="2728"/>
      <c r="P56" s="2752"/>
      <c r="Q56" s="2713"/>
      <c r="R56" s="2699"/>
      <c r="S56" s="2699"/>
      <c r="T56" s="2699"/>
      <c r="U56" s="2699"/>
      <c r="V56" s="2699"/>
      <c r="W56" s="2699"/>
      <c r="X56" s="2699"/>
      <c r="Y56" s="2699"/>
      <c r="Z56" s="2699"/>
      <c r="AA56" s="2699"/>
      <c r="AB56" s="2699"/>
      <c r="AC56" s="2699"/>
      <c r="AD56" s="2699"/>
    </row>
    <row r="57" spans="1:30" s="422" customFormat="1" ht="15.75" thickTop="1">
      <c r="A57" s="502"/>
      <c r="B57" s="487">
        <f>B12</f>
        <v>111</v>
      </c>
      <c r="C57" s="498"/>
      <c r="D57" s="498"/>
      <c r="E57" s="498"/>
      <c r="F57" s="498"/>
      <c r="G57" s="503"/>
      <c r="H57" s="504"/>
      <c r="I57" s="504"/>
      <c r="J57" s="504"/>
      <c r="K57" s="504"/>
      <c r="L57" s="505"/>
      <c r="M57" s="506"/>
      <c r="N57" s="2729"/>
      <c r="O57" s="2729"/>
      <c r="P57" s="2753"/>
      <c r="Q57" s="2720"/>
      <c r="R57" s="2721"/>
      <c r="S57" s="2721"/>
      <c r="T57" s="2721"/>
      <c r="U57" s="2721"/>
      <c r="V57" s="2721"/>
      <c r="W57" s="2721"/>
      <c r="X57" s="2721"/>
      <c r="Y57" s="2721"/>
      <c r="Z57" s="2721"/>
      <c r="AA57" s="2721"/>
      <c r="AB57" s="2721"/>
      <c r="AC57" s="2721"/>
      <c r="AD57" s="2721"/>
    </row>
    <row r="58" spans="1:30" s="422" customFormat="1" ht="15.75" thickBot="1">
      <c r="A58" s="502"/>
      <c r="B58" s="492"/>
      <c r="C58" s="509"/>
      <c r="D58" s="485"/>
      <c r="E58" s="485"/>
      <c r="F58" s="485"/>
      <c r="G58" s="485"/>
      <c r="H58" s="485"/>
      <c r="I58" s="485"/>
      <c r="J58" s="485"/>
      <c r="K58" s="485"/>
      <c r="L58" s="485"/>
      <c r="M58" s="486"/>
      <c r="N58" s="2728"/>
      <c r="O58" s="2728"/>
      <c r="P58" s="2753"/>
      <c r="Q58" s="2720"/>
      <c r="R58" s="2721"/>
      <c r="S58" s="2721"/>
      <c r="T58" s="2721"/>
      <c r="U58" s="2721"/>
      <c r="V58" s="2721"/>
      <c r="W58" s="2721"/>
      <c r="X58" s="2721"/>
      <c r="Y58" s="2721"/>
      <c r="Z58" s="2721"/>
      <c r="AA58" s="2721"/>
      <c r="AB58" s="2721"/>
      <c r="AC58" s="2721"/>
      <c r="AD58" s="2721"/>
    </row>
    <row r="59" spans="1:30" s="422" customFormat="1" ht="15.75" thickTop="1">
      <c r="A59" s="502"/>
      <c r="B59" s="487">
        <f>B13</f>
        <v>111</v>
      </c>
      <c r="C59" s="498"/>
      <c r="D59" s="498"/>
      <c r="E59" s="498"/>
      <c r="F59" s="498"/>
      <c r="G59" s="503"/>
      <c r="H59" s="504"/>
      <c r="I59" s="504"/>
      <c r="J59" s="504"/>
      <c r="K59" s="504"/>
      <c r="L59" s="505"/>
      <c r="M59" s="506"/>
      <c r="N59" s="2729"/>
      <c r="O59" s="2729"/>
      <c r="P59" s="2697"/>
      <c r="Q59" s="2723"/>
      <c r="R59" s="2721"/>
      <c r="S59" s="2721"/>
      <c r="T59" s="2721"/>
      <c r="U59" s="2721"/>
      <c r="V59" s="2721"/>
      <c r="W59" s="2721"/>
      <c r="X59" s="2721"/>
      <c r="Y59" s="2721"/>
      <c r="Z59" s="2721"/>
      <c r="AA59" s="2721"/>
      <c r="AB59" s="2721"/>
      <c r="AC59" s="2721"/>
      <c r="AD59" s="2721"/>
    </row>
    <row r="60" spans="1:30" s="422" customFormat="1" ht="15.75" thickBot="1">
      <c r="A60" s="502"/>
      <c r="B60" s="492"/>
      <c r="C60" s="509"/>
      <c r="D60" s="509"/>
      <c r="E60" s="509"/>
      <c r="F60" s="509"/>
      <c r="G60" s="509"/>
      <c r="H60" s="511"/>
      <c r="I60" s="511"/>
      <c r="J60" s="511"/>
      <c r="K60" s="511"/>
      <c r="L60" s="511"/>
      <c r="M60" s="512"/>
      <c r="N60" s="2729"/>
      <c r="O60" s="2729"/>
      <c r="P60" s="2753"/>
      <c r="Q60" s="2720"/>
      <c r="R60" s="2721"/>
      <c r="S60" s="2721"/>
      <c r="T60" s="2721"/>
      <c r="U60" s="2721"/>
      <c r="V60" s="2721"/>
      <c r="W60" s="2721"/>
      <c r="X60" s="2721"/>
      <c r="Y60" s="2721"/>
      <c r="Z60" s="2721"/>
      <c r="AA60" s="2721"/>
      <c r="AB60" s="2721"/>
      <c r="AC60" s="2721"/>
      <c r="AD60" s="2721"/>
    </row>
    <row r="61" spans="1:30" ht="15" thickTop="1">
      <c r="A61" s="476" t="s">
        <v>1672</v>
      </c>
      <c r="B61" s="477" t="s">
        <v>1708</v>
      </c>
      <c r="C61" s="522" t="s">
        <v>1703</v>
      </c>
      <c r="D61" s="522" t="s">
        <v>1704</v>
      </c>
      <c r="E61" s="522" t="s">
        <v>1705</v>
      </c>
      <c r="F61" s="522" t="s">
        <v>1706</v>
      </c>
      <c r="G61" s="522" t="s">
        <v>1707</v>
      </c>
      <c r="H61" s="478"/>
      <c r="I61" s="478"/>
      <c r="J61" s="478"/>
      <c r="K61" s="523"/>
      <c r="L61" s="524"/>
      <c r="M61" s="525"/>
      <c r="N61" s="2727"/>
      <c r="O61" s="2727"/>
      <c r="P61" s="2754"/>
      <c r="Q61" s="2713"/>
      <c r="R61" s="2699"/>
      <c r="S61" s="2699"/>
      <c r="T61" s="2699"/>
      <c r="U61" s="2699"/>
      <c r="V61" s="2699"/>
      <c r="W61" s="2699"/>
      <c r="X61" s="2699"/>
      <c r="Y61" s="2699"/>
      <c r="Z61" s="2699"/>
      <c r="AA61" s="2699"/>
      <c r="AB61" s="2699"/>
      <c r="AC61" s="2699"/>
      <c r="AD61" s="2699"/>
    </row>
    <row r="62" spans="1:30" ht="15.75" thickBot="1">
      <c r="A62" s="483"/>
      <c r="B62" s="492"/>
      <c r="C62" s="493">
        <v>100</v>
      </c>
      <c r="D62" s="493">
        <f>C62-$K14</f>
        <v>100</v>
      </c>
      <c r="E62" s="493">
        <f>D62-$K14</f>
        <v>100</v>
      </c>
      <c r="F62" s="493">
        <f>E62-$K14</f>
        <v>100</v>
      </c>
      <c r="G62" s="493">
        <f>F62-$K14</f>
        <v>100</v>
      </c>
      <c r="H62" s="493"/>
      <c r="I62" s="493"/>
      <c r="J62" s="493"/>
      <c r="K62" s="493"/>
      <c r="L62" s="493"/>
      <c r="M62" s="494"/>
      <c r="N62" s="2728"/>
      <c r="O62" s="2728"/>
      <c r="P62" s="2752"/>
      <c r="Q62" s="2713"/>
      <c r="R62" s="2699"/>
      <c r="S62" s="2699"/>
      <c r="T62" s="2699"/>
      <c r="U62" s="2699"/>
      <c r="V62" s="2699"/>
      <c r="W62" s="2699"/>
      <c r="X62" s="2699"/>
      <c r="Y62" s="2699"/>
      <c r="Z62" s="2699"/>
      <c r="AA62" s="2699"/>
      <c r="AB62" s="2699"/>
      <c r="AC62" s="2699"/>
      <c r="AD62" s="2699"/>
    </row>
    <row r="63" spans="1:30" ht="27.75" thickTop="1">
      <c r="A63" s="483"/>
      <c r="B63" s="487" t="s">
        <v>1845</v>
      </c>
      <c r="C63" s="527" t="s">
        <v>1703</v>
      </c>
      <c r="D63" s="527" t="s">
        <v>1704</v>
      </c>
      <c r="E63" s="527" t="s">
        <v>1705</v>
      </c>
      <c r="F63" s="527" t="s">
        <v>1706</v>
      </c>
      <c r="G63" s="527" t="s">
        <v>1707</v>
      </c>
      <c r="H63" s="488"/>
      <c r="I63" s="488"/>
      <c r="J63" s="488"/>
      <c r="K63" s="489"/>
      <c r="L63" s="490"/>
      <c r="M63" s="491"/>
      <c r="N63" s="2727"/>
      <c r="O63" s="2727"/>
      <c r="P63" s="2752"/>
      <c r="Q63" s="2713"/>
      <c r="R63" s="2699"/>
      <c r="S63" s="2699"/>
      <c r="T63" s="2699"/>
      <c r="U63" s="2699"/>
      <c r="V63" s="2699"/>
      <c r="W63" s="2699"/>
      <c r="X63" s="2699"/>
      <c r="Y63" s="2699"/>
      <c r="Z63" s="2699"/>
      <c r="AA63" s="2699"/>
      <c r="AB63" s="2699"/>
      <c r="AC63" s="2699"/>
      <c r="AD63" s="2699"/>
    </row>
    <row r="64" spans="1:30" ht="15.75" thickBot="1">
      <c r="A64" s="483"/>
      <c r="B64" s="492"/>
      <c r="C64" s="493">
        <v>100</v>
      </c>
      <c r="D64" s="493">
        <f>C64-$K16</f>
        <v>100</v>
      </c>
      <c r="E64" s="493">
        <f>D64-$K16</f>
        <v>100</v>
      </c>
      <c r="F64" s="493">
        <f>E64-$K16</f>
        <v>100</v>
      </c>
      <c r="G64" s="493">
        <f>F64-$K16</f>
        <v>100</v>
      </c>
      <c r="H64" s="493"/>
      <c r="I64" s="493"/>
      <c r="J64" s="493"/>
      <c r="K64" s="493"/>
      <c r="L64" s="493"/>
      <c r="M64" s="494"/>
      <c r="N64" s="2728"/>
      <c r="O64" s="2728"/>
      <c r="P64" s="2752"/>
      <c r="Q64" s="2713"/>
      <c r="R64" s="2699"/>
      <c r="S64" s="2699"/>
      <c r="T64" s="2699"/>
      <c r="U64" s="2699"/>
      <c r="V64" s="2699"/>
      <c r="W64" s="2699"/>
      <c r="X64" s="2699"/>
      <c r="Y64" s="2699"/>
      <c r="Z64" s="2699"/>
      <c r="AA64" s="2699"/>
      <c r="AB64" s="2699"/>
      <c r="AC64" s="2699"/>
      <c r="AD64" s="2699"/>
    </row>
    <row r="65" spans="1:30" ht="15.75" thickTop="1">
      <c r="A65" s="483"/>
      <c r="B65" s="495" t="s">
        <v>1795</v>
      </c>
      <c r="C65" s="608" t="s">
        <v>1781</v>
      </c>
      <c r="D65" s="608" t="s">
        <v>1782</v>
      </c>
      <c r="E65" s="608" t="s">
        <v>1783</v>
      </c>
      <c r="F65" s="608" t="s">
        <v>1784</v>
      </c>
      <c r="G65" s="608" t="s">
        <v>1785</v>
      </c>
      <c r="H65" s="488"/>
      <c r="I65" s="488"/>
      <c r="J65" s="488"/>
      <c r="K65" s="488"/>
      <c r="L65" s="488"/>
      <c r="M65" s="1129"/>
      <c r="N65" s="2728"/>
      <c r="O65" s="2728"/>
      <c r="P65" s="2752"/>
      <c r="Q65" s="2713"/>
      <c r="R65" s="2699"/>
      <c r="S65" s="2699"/>
      <c r="T65" s="2699"/>
      <c r="U65" s="2699"/>
      <c r="V65" s="2699"/>
      <c r="W65" s="2699"/>
      <c r="X65" s="2699"/>
      <c r="Y65" s="2699"/>
      <c r="Z65" s="2699"/>
      <c r="AA65" s="2699"/>
      <c r="AB65" s="2699"/>
      <c r="AC65" s="2699"/>
      <c r="AD65" s="2699"/>
    </row>
    <row r="66" spans="1:30" ht="15.75" thickBot="1">
      <c r="A66" s="483"/>
      <c r="B66" s="495"/>
      <c r="C66" s="493">
        <v>100</v>
      </c>
      <c r="D66" s="493">
        <f>C66-$K18</f>
        <v>100</v>
      </c>
      <c r="E66" s="493">
        <f>D66-$K18</f>
        <v>100</v>
      </c>
      <c r="F66" s="493">
        <f>E66-$K18</f>
        <v>100</v>
      </c>
      <c r="G66" s="493">
        <f>F66-$K18</f>
        <v>100</v>
      </c>
      <c r="H66" s="608"/>
      <c r="I66" s="608"/>
      <c r="J66" s="608"/>
      <c r="K66" s="608"/>
      <c r="L66" s="608"/>
      <c r="M66" s="401"/>
      <c r="N66" s="2728"/>
      <c r="O66" s="2728"/>
      <c r="P66" s="2752"/>
      <c r="Q66" s="2713"/>
      <c r="R66" s="2699"/>
      <c r="S66" s="2699"/>
      <c r="T66" s="2699"/>
      <c r="U66" s="2699"/>
      <c r="V66" s="2699"/>
      <c r="W66" s="2699"/>
      <c r="X66" s="2699"/>
      <c r="Y66" s="2699"/>
      <c r="Z66" s="2699"/>
      <c r="AA66" s="2699"/>
      <c r="AB66" s="2699"/>
      <c r="AC66" s="2699"/>
      <c r="AD66" s="2699"/>
    </row>
    <row r="67" spans="1:30" ht="15.75" thickTop="1">
      <c r="A67" s="483"/>
      <c r="B67" s="487" t="s">
        <v>1715</v>
      </c>
      <c r="C67" s="527" t="s">
        <v>1703</v>
      </c>
      <c r="D67" s="527" t="s">
        <v>1704</v>
      </c>
      <c r="E67" s="527" t="s">
        <v>1705</v>
      </c>
      <c r="F67" s="527" t="s">
        <v>1706</v>
      </c>
      <c r="G67" s="527" t="s">
        <v>1707</v>
      </c>
      <c r="H67" s="488"/>
      <c r="I67" s="488"/>
      <c r="J67" s="488"/>
      <c r="K67" s="489"/>
      <c r="L67" s="490"/>
      <c r="M67" s="491"/>
      <c r="N67" s="2727"/>
      <c r="O67" s="2727"/>
      <c r="P67" s="2752"/>
      <c r="Q67" s="2713"/>
      <c r="R67" s="2699"/>
      <c r="S67" s="2699"/>
      <c r="T67" s="2699"/>
      <c r="U67" s="2699"/>
      <c r="V67" s="2699"/>
      <c r="W67" s="2699"/>
      <c r="X67" s="2699"/>
      <c r="Y67" s="2699"/>
      <c r="Z67" s="2699"/>
      <c r="AA67" s="2699"/>
      <c r="AB67" s="2699"/>
      <c r="AC67" s="2699"/>
      <c r="AD67" s="2699"/>
    </row>
    <row r="68" spans="1:30" ht="15.75" thickBot="1">
      <c r="A68" s="483"/>
      <c r="B68" s="492"/>
      <c r="C68" s="493">
        <v>100</v>
      </c>
      <c r="D68" s="493">
        <f>C68-$K20</f>
        <v>100</v>
      </c>
      <c r="E68" s="493">
        <f>D68-$K20</f>
        <v>100</v>
      </c>
      <c r="F68" s="493">
        <f>E68-$K20</f>
        <v>100</v>
      </c>
      <c r="G68" s="493">
        <f>F68-$K20</f>
        <v>100</v>
      </c>
      <c r="H68" s="493"/>
      <c r="I68" s="493"/>
      <c r="J68" s="493"/>
      <c r="K68" s="493"/>
      <c r="L68" s="493"/>
      <c r="M68" s="494"/>
      <c r="N68" s="2728"/>
      <c r="O68" s="2728"/>
      <c r="P68" s="2752"/>
      <c r="Q68" s="2713"/>
      <c r="R68" s="2699"/>
      <c r="S68" s="2699"/>
      <c r="T68" s="2699"/>
      <c r="U68" s="2699"/>
      <c r="V68" s="2699"/>
      <c r="W68" s="2699"/>
      <c r="X68" s="2699"/>
      <c r="Y68" s="2699"/>
      <c r="Z68" s="2699"/>
      <c r="AA68" s="2699"/>
      <c r="AB68" s="2699"/>
      <c r="AC68" s="2699"/>
      <c r="AD68" s="2699"/>
    </row>
    <row r="69" spans="1:30" ht="15.75" thickTop="1">
      <c r="A69" s="483"/>
      <c r="B69" s="487" t="s">
        <v>1834</v>
      </c>
      <c r="C69" s="503"/>
      <c r="D69" s="503"/>
      <c r="E69" s="503"/>
      <c r="F69" s="503"/>
      <c r="G69" s="503"/>
      <c r="H69" s="532"/>
      <c r="I69" s="532"/>
      <c r="J69" s="532"/>
      <c r="K69" s="533"/>
      <c r="L69" s="534"/>
      <c r="M69" s="535"/>
      <c r="N69" s="2727"/>
      <c r="O69" s="2727"/>
      <c r="P69" s="2752"/>
      <c r="Q69" s="2713"/>
      <c r="R69" s="2699"/>
      <c r="S69" s="2699"/>
      <c r="T69" s="2699"/>
      <c r="U69" s="2699"/>
      <c r="V69" s="2699"/>
      <c r="W69" s="2699"/>
      <c r="X69" s="2699"/>
      <c r="Y69" s="2699"/>
      <c r="Z69" s="2699"/>
      <c r="AA69" s="2699"/>
      <c r="AB69" s="2699"/>
      <c r="AC69" s="2699"/>
      <c r="AD69" s="2699"/>
    </row>
    <row r="70" spans="1:30" ht="15.75" thickBot="1">
      <c r="A70" s="483"/>
      <c r="B70" s="492"/>
      <c r="C70" s="493">
        <v>100</v>
      </c>
      <c r="D70" s="493">
        <f>C70-$K22</f>
        <v>100</v>
      </c>
      <c r="E70" s="493"/>
      <c r="F70" s="493"/>
      <c r="G70" s="493"/>
      <c r="H70" s="493"/>
      <c r="I70" s="493"/>
      <c r="J70" s="493"/>
      <c r="K70" s="493"/>
      <c r="L70" s="493"/>
      <c r="M70" s="494"/>
      <c r="N70" s="2728"/>
      <c r="O70" s="2728"/>
      <c r="P70" s="2752"/>
      <c r="Q70" s="2713"/>
      <c r="R70" s="2699"/>
      <c r="S70" s="2699"/>
      <c r="T70" s="2699"/>
      <c r="U70" s="2699"/>
      <c r="V70" s="2699"/>
      <c r="W70" s="2699"/>
      <c r="X70" s="2699"/>
      <c r="Y70" s="2699"/>
      <c r="Z70" s="2699"/>
      <c r="AA70" s="2699"/>
      <c r="AB70" s="2699"/>
      <c r="AC70" s="2699"/>
      <c r="AD70" s="2699"/>
    </row>
    <row r="71" spans="1:30" s="108" customFormat="1" ht="15.75" thickTop="1">
      <c r="A71" s="528"/>
      <c r="B71" s="487">
        <f>B23</f>
        <v>111</v>
      </c>
      <c r="C71" s="498"/>
      <c r="D71" s="498"/>
      <c r="E71" s="498"/>
      <c r="F71" s="498"/>
      <c r="G71" s="503"/>
      <c r="H71" s="503"/>
      <c r="I71" s="503"/>
      <c r="J71" s="503"/>
      <c r="K71" s="503"/>
      <c r="L71" s="529"/>
      <c r="M71" s="530"/>
      <c r="N71" s="2726"/>
      <c r="O71" s="2726"/>
      <c r="P71" s="2752"/>
      <c r="Q71" s="2713"/>
      <c r="R71" s="2635"/>
      <c r="S71" s="2635"/>
      <c r="T71" s="2635"/>
      <c r="U71" s="2635"/>
      <c r="V71" s="2635"/>
      <c r="W71" s="2635"/>
      <c r="X71" s="2635"/>
      <c r="Y71" s="2635"/>
      <c r="Z71" s="2635"/>
      <c r="AA71" s="2635"/>
      <c r="AB71" s="2635"/>
      <c r="AC71" s="2635"/>
      <c r="AD71" s="2635"/>
    </row>
    <row r="72" spans="1:30" s="108" customFormat="1" ht="15.75" thickBot="1">
      <c r="A72" s="528"/>
      <c r="B72" s="492"/>
      <c r="C72" s="509"/>
      <c r="D72" s="485"/>
      <c r="E72" s="485"/>
      <c r="F72" s="485"/>
      <c r="G72" s="485"/>
      <c r="H72" s="485"/>
      <c r="I72" s="485"/>
      <c r="J72" s="485"/>
      <c r="K72" s="485"/>
      <c r="L72" s="485"/>
      <c r="M72" s="486"/>
      <c r="N72" s="2728"/>
      <c r="O72" s="2728"/>
      <c r="P72" s="2752"/>
      <c r="Q72" s="2713"/>
      <c r="R72" s="2635"/>
      <c r="S72" s="2635"/>
      <c r="T72" s="2635"/>
      <c r="U72" s="2635"/>
      <c r="V72" s="2635"/>
      <c r="W72" s="2635"/>
      <c r="X72" s="2635"/>
      <c r="Y72" s="2635"/>
      <c r="Z72" s="2635"/>
      <c r="AA72" s="2635"/>
      <c r="AB72" s="2635"/>
      <c r="AC72" s="2635"/>
      <c r="AD72" s="2635"/>
    </row>
    <row r="73" spans="1:30" s="108" customFormat="1" ht="15.75" thickTop="1">
      <c r="A73" s="528"/>
      <c r="B73" s="487">
        <f>B24</f>
        <v>111</v>
      </c>
      <c r="C73" s="498"/>
      <c r="D73" s="498"/>
      <c r="E73" s="498"/>
      <c r="F73" s="498"/>
      <c r="G73" s="503"/>
      <c r="H73" s="503"/>
      <c r="I73" s="503"/>
      <c r="J73" s="503"/>
      <c r="K73" s="503"/>
      <c r="L73" s="503"/>
      <c r="M73" s="530"/>
      <c r="N73" s="2726"/>
      <c r="O73" s="2726"/>
      <c r="P73" s="2752"/>
      <c r="Q73" s="2713"/>
      <c r="R73" s="2635"/>
      <c r="S73" s="2635"/>
      <c r="T73" s="2635"/>
      <c r="U73" s="2635"/>
      <c r="V73" s="2635"/>
      <c r="W73" s="2635"/>
      <c r="X73" s="2635"/>
      <c r="Y73" s="2635"/>
      <c r="Z73" s="2635"/>
      <c r="AA73" s="2635"/>
      <c r="AB73" s="2635"/>
      <c r="AC73" s="2635"/>
      <c r="AD73" s="2635"/>
    </row>
    <row r="74" spans="1:30" s="108" customFormat="1" ht="15.75" thickBot="1">
      <c r="A74" s="528"/>
      <c r="B74" s="492"/>
      <c r="C74" s="509"/>
      <c r="D74" s="485"/>
      <c r="E74" s="485"/>
      <c r="F74" s="485"/>
      <c r="G74" s="485"/>
      <c r="H74" s="485"/>
      <c r="I74" s="485"/>
      <c r="J74" s="485"/>
      <c r="K74" s="485"/>
      <c r="L74" s="485"/>
      <c r="M74" s="486"/>
      <c r="N74" s="2728"/>
      <c r="O74" s="2728"/>
      <c r="P74" s="2752"/>
      <c r="Q74" s="2713"/>
      <c r="R74" s="2635"/>
      <c r="S74" s="2635"/>
      <c r="T74" s="2635"/>
      <c r="U74" s="2635"/>
      <c r="V74" s="2635"/>
      <c r="W74" s="2635"/>
      <c r="X74" s="2635"/>
      <c r="Y74" s="2635"/>
      <c r="Z74" s="2635"/>
      <c r="AA74" s="2635"/>
      <c r="AB74" s="2635"/>
      <c r="AC74" s="2635"/>
      <c r="AD74" s="2635"/>
    </row>
    <row r="75" spans="1:30" s="422" customFormat="1" ht="15.75" thickTop="1">
      <c r="A75" s="502"/>
      <c r="B75" s="487">
        <f>B25</f>
        <v>111</v>
      </c>
      <c r="C75" s="498"/>
      <c r="D75" s="498"/>
      <c r="E75" s="498"/>
      <c r="F75" s="498"/>
      <c r="G75" s="503"/>
      <c r="H75" s="504"/>
      <c r="I75" s="504"/>
      <c r="J75" s="504"/>
      <c r="K75" s="504"/>
      <c r="L75" s="505"/>
      <c r="M75" s="506"/>
      <c r="N75" s="2729"/>
      <c r="O75" s="2729"/>
      <c r="P75" s="2753"/>
      <c r="Q75" s="2720"/>
      <c r="R75" s="2721"/>
      <c r="S75" s="2721"/>
      <c r="T75" s="2721"/>
      <c r="U75" s="2721"/>
      <c r="V75" s="2721"/>
      <c r="W75" s="2721"/>
      <c r="X75" s="2721"/>
      <c r="Y75" s="2721"/>
      <c r="Z75" s="2721"/>
      <c r="AA75" s="2721"/>
      <c r="AB75" s="2721"/>
      <c r="AC75" s="2721"/>
      <c r="AD75" s="2721"/>
    </row>
    <row r="76" spans="1:30" s="422" customFormat="1" ht="15.75" thickBot="1">
      <c r="A76" s="502"/>
      <c r="B76" s="492"/>
      <c r="C76" s="509"/>
      <c r="D76" s="509"/>
      <c r="E76" s="509"/>
      <c r="F76" s="509"/>
      <c r="G76" s="485"/>
      <c r="H76" s="485"/>
      <c r="I76" s="485"/>
      <c r="J76" s="485"/>
      <c r="K76" s="485"/>
      <c r="L76" s="485"/>
      <c r="M76" s="486"/>
      <c r="N76" s="2729"/>
      <c r="O76" s="2729"/>
      <c r="P76" s="2753"/>
      <c r="Q76" s="2720"/>
      <c r="R76" s="2721"/>
      <c r="S76" s="2721"/>
      <c r="T76" s="2721"/>
      <c r="U76" s="2721"/>
      <c r="V76" s="2721"/>
      <c r="W76" s="2721"/>
      <c r="X76" s="2721"/>
      <c r="Y76" s="2721"/>
      <c r="Z76" s="2721"/>
      <c r="AA76" s="2721"/>
      <c r="AB76" s="2721"/>
      <c r="AC76" s="2721"/>
      <c r="AD76" s="2721"/>
    </row>
    <row r="77" spans="1:30" ht="15" thickTop="1">
      <c r="A77" s="476" t="s">
        <v>1676</v>
      </c>
      <c r="B77" s="477" t="s">
        <v>1722</v>
      </c>
      <c r="C77" s="503"/>
      <c r="D77" s="503"/>
      <c r="E77" s="479"/>
      <c r="F77" s="479"/>
      <c r="G77" s="479"/>
      <c r="H77" s="479"/>
      <c r="I77" s="479"/>
      <c r="J77" s="479"/>
      <c r="K77" s="480"/>
      <c r="L77" s="481"/>
      <c r="M77" s="482"/>
      <c r="N77" s="2727"/>
      <c r="O77" s="2727"/>
      <c r="P77" s="2752"/>
      <c r="Q77" s="2713"/>
      <c r="R77" s="2699"/>
      <c r="S77" s="2699"/>
      <c r="T77" s="2699"/>
      <c r="U77" s="2699"/>
      <c r="V77" s="2699"/>
      <c r="W77" s="2699"/>
      <c r="X77" s="2699"/>
      <c r="Y77" s="2699"/>
      <c r="Z77" s="2699"/>
      <c r="AA77" s="2699"/>
      <c r="AB77" s="2699"/>
      <c r="AC77" s="2699"/>
      <c r="AD77" s="2699"/>
    </row>
    <row r="78" spans="1:30" ht="15.75" thickBot="1">
      <c r="A78" s="483"/>
      <c r="B78" s="492"/>
      <c r="C78" s="493">
        <v>100</v>
      </c>
      <c r="D78" s="493">
        <f t="shared" ref="D78:M78" si="17">C78-$K26</f>
        <v>100</v>
      </c>
      <c r="E78" s="493">
        <f t="shared" si="17"/>
        <v>100</v>
      </c>
      <c r="F78" s="493">
        <f t="shared" si="17"/>
        <v>100</v>
      </c>
      <c r="G78" s="493">
        <f t="shared" si="17"/>
        <v>100</v>
      </c>
      <c r="H78" s="493">
        <f t="shared" si="17"/>
        <v>100</v>
      </c>
      <c r="I78" s="493">
        <f t="shared" si="17"/>
        <v>100</v>
      </c>
      <c r="J78" s="493">
        <f t="shared" si="17"/>
        <v>100</v>
      </c>
      <c r="K78" s="493">
        <f t="shared" si="17"/>
        <v>100</v>
      </c>
      <c r="L78" s="493">
        <f t="shared" si="17"/>
        <v>100</v>
      </c>
      <c r="M78" s="494">
        <f t="shared" si="17"/>
        <v>100</v>
      </c>
      <c r="N78" s="2728"/>
      <c r="O78" s="2728"/>
      <c r="P78" s="2752"/>
      <c r="Q78" s="2713"/>
      <c r="R78" s="2699"/>
      <c r="S78" s="2699"/>
      <c r="T78" s="2699"/>
      <c r="U78" s="2699"/>
      <c r="V78" s="2699"/>
      <c r="W78" s="2699"/>
      <c r="X78" s="2699"/>
      <c r="Y78" s="2699"/>
      <c r="Z78" s="2699"/>
      <c r="AA78" s="2699"/>
      <c r="AB78" s="2699"/>
      <c r="AC78" s="2699"/>
      <c r="AD78" s="2699"/>
    </row>
    <row r="79" spans="1:30" ht="15.75" thickTop="1">
      <c r="A79" s="483"/>
      <c r="B79" s="487" t="s">
        <v>1837</v>
      </c>
      <c r="C79" s="527" t="str">
        <f>C80&amp;"(含)"&amp;"-"&amp;D80</f>
        <v>0.5(含)-0.6</v>
      </c>
      <c r="D79" s="527" t="str">
        <f>D80&amp;"(含)"&amp;"-"&amp;E80</f>
        <v>0.6(含)-0.7</v>
      </c>
      <c r="E79" s="527" t="str">
        <f>E80&amp;"(含)"&amp;"-"&amp;F80</f>
        <v>0.7(含)-0.8</v>
      </c>
      <c r="F79" s="527" t="str">
        <f>F80&amp;"(含)"&amp;"-"&amp;G80</f>
        <v>0.8(含)-0.9</v>
      </c>
      <c r="G79" s="527" t="str">
        <f>G80&amp;"(含)"&amp;"-"&amp;ROUND(H80,0)&amp;"(含)"</f>
        <v>0.9(含)-1(含)</v>
      </c>
      <c r="H79" s="527"/>
      <c r="I79" s="488"/>
      <c r="J79" s="488"/>
      <c r="K79" s="489"/>
      <c r="L79" s="490"/>
      <c r="M79" s="491"/>
      <c r="N79" s="2726"/>
      <c r="O79" s="2726"/>
      <c r="P79" s="2752"/>
      <c r="Q79" s="2713"/>
      <c r="R79" s="2699"/>
      <c r="S79" s="2699"/>
      <c r="T79" s="2699"/>
      <c r="U79" s="2699"/>
      <c r="V79" s="2699"/>
      <c r="W79" s="2699"/>
      <c r="X79" s="2699"/>
      <c r="Y79" s="2699"/>
      <c r="Z79" s="2699"/>
      <c r="AA79" s="2699"/>
      <c r="AB79" s="2699"/>
      <c r="AC79" s="2699"/>
      <c r="AD79" s="2699"/>
    </row>
    <row r="80" spans="1:30" ht="15">
      <c r="A80" s="483"/>
      <c r="B80" s="495"/>
      <c r="C80" s="552">
        <v>0.5</v>
      </c>
      <c r="D80" s="552">
        <v>0.6</v>
      </c>
      <c r="E80" s="552">
        <v>0.7</v>
      </c>
      <c r="F80" s="552">
        <v>0.8</v>
      </c>
      <c r="G80" s="552">
        <v>0.9</v>
      </c>
      <c r="H80" s="552">
        <v>1.0001</v>
      </c>
      <c r="I80" s="608"/>
      <c r="J80" s="608"/>
      <c r="K80" s="616"/>
      <c r="L80" s="617"/>
      <c r="M80" s="618"/>
      <c r="N80" s="2726"/>
      <c r="O80" s="2726"/>
      <c r="P80" s="2752"/>
      <c r="Q80" s="2713"/>
      <c r="R80" s="2699"/>
      <c r="S80" s="2699"/>
      <c r="T80" s="2699"/>
      <c r="U80" s="2699"/>
      <c r="V80" s="2699"/>
      <c r="W80" s="2699"/>
      <c r="X80" s="2699"/>
      <c r="Y80" s="2699"/>
      <c r="Z80" s="2699"/>
      <c r="AA80" s="2699"/>
      <c r="AB80" s="2699"/>
      <c r="AC80" s="2699"/>
      <c r="AD80" s="2699"/>
    </row>
    <row r="81" spans="1:30" s="422" customFormat="1" ht="15.75" thickBot="1">
      <c r="A81" s="502"/>
      <c r="B81" s="492"/>
      <c r="C81" s="531">
        <v>100</v>
      </c>
      <c r="D81" s="493">
        <f t="shared" ref="D81:M81" si="18">C81+$K27</f>
        <v>100</v>
      </c>
      <c r="E81" s="493">
        <f t="shared" si="18"/>
        <v>100</v>
      </c>
      <c r="F81" s="493">
        <f t="shared" si="18"/>
        <v>100</v>
      </c>
      <c r="G81" s="493">
        <f t="shared" si="18"/>
        <v>100</v>
      </c>
      <c r="H81" s="493">
        <f t="shared" si="18"/>
        <v>100</v>
      </c>
      <c r="I81" s="493">
        <f t="shared" si="18"/>
        <v>100</v>
      </c>
      <c r="J81" s="493">
        <f t="shared" si="18"/>
        <v>100</v>
      </c>
      <c r="K81" s="493">
        <f t="shared" si="18"/>
        <v>100</v>
      </c>
      <c r="L81" s="493">
        <f t="shared" si="18"/>
        <v>100</v>
      </c>
      <c r="M81" s="493">
        <f t="shared" si="18"/>
        <v>100</v>
      </c>
      <c r="N81" s="2728"/>
      <c r="O81" s="2728"/>
      <c r="P81" s="2753"/>
      <c r="Q81" s="2720"/>
      <c r="R81" s="2721"/>
      <c r="S81" s="2721"/>
      <c r="T81" s="2721"/>
      <c r="U81" s="2721"/>
      <c r="V81" s="2721"/>
      <c r="W81" s="2721"/>
      <c r="X81" s="2721"/>
      <c r="Y81" s="2721"/>
      <c r="Z81" s="2721"/>
      <c r="AA81" s="2721"/>
      <c r="AB81" s="2721"/>
      <c r="AC81" s="2721"/>
      <c r="AD81" s="2721"/>
    </row>
    <row r="82" spans="1:30" ht="15" thickTop="1">
      <c r="A82" s="548"/>
      <c r="B82" s="495" t="s">
        <v>1838</v>
      </c>
      <c r="C82" s="503"/>
      <c r="D82" s="503"/>
      <c r="E82" s="532"/>
      <c r="F82" s="532"/>
      <c r="G82" s="532"/>
      <c r="H82" s="532"/>
      <c r="I82" s="532"/>
      <c r="J82" s="532"/>
      <c r="K82" s="533"/>
      <c r="L82" s="534"/>
      <c r="M82" s="535"/>
      <c r="N82" s="2727"/>
      <c r="O82" s="2727"/>
      <c r="P82" s="2752"/>
      <c r="Q82" s="2713"/>
      <c r="R82" s="2699"/>
      <c r="S82" s="2699"/>
      <c r="T82" s="2699"/>
      <c r="U82" s="2699"/>
      <c r="V82" s="2699"/>
      <c r="W82" s="2699"/>
      <c r="X82" s="2699"/>
      <c r="Y82" s="2699"/>
      <c r="Z82" s="2699"/>
      <c r="AA82" s="2699"/>
      <c r="AB82" s="2699"/>
      <c r="AC82" s="2699"/>
      <c r="AD82" s="2699"/>
    </row>
    <row r="83" spans="1:30" ht="15.75" thickBot="1">
      <c r="A83" s="483"/>
      <c r="B83" s="492"/>
      <c r="C83" s="493">
        <v>100</v>
      </c>
      <c r="D83" s="493">
        <f t="shared" ref="D83:M83" si="19">C83-$K28</f>
        <v>100</v>
      </c>
      <c r="E83" s="493">
        <f t="shared" si="19"/>
        <v>100</v>
      </c>
      <c r="F83" s="493">
        <f t="shared" si="19"/>
        <v>100</v>
      </c>
      <c r="G83" s="493">
        <f t="shared" si="19"/>
        <v>100</v>
      </c>
      <c r="H83" s="493">
        <f t="shared" si="19"/>
        <v>100</v>
      </c>
      <c r="I83" s="493">
        <f t="shared" si="19"/>
        <v>100</v>
      </c>
      <c r="J83" s="493">
        <f t="shared" si="19"/>
        <v>100</v>
      </c>
      <c r="K83" s="493">
        <f t="shared" si="19"/>
        <v>100</v>
      </c>
      <c r="L83" s="493">
        <f t="shared" si="19"/>
        <v>100</v>
      </c>
      <c r="M83" s="494">
        <f t="shared" si="19"/>
        <v>100</v>
      </c>
      <c r="N83" s="2728"/>
      <c r="O83" s="2728"/>
      <c r="P83" s="2752"/>
      <c r="Q83" s="2713"/>
      <c r="R83" s="2699"/>
      <c r="S83" s="2699"/>
      <c r="T83" s="2699"/>
      <c r="U83" s="2699"/>
      <c r="V83" s="2699"/>
      <c r="W83" s="2699"/>
      <c r="X83" s="2699"/>
      <c r="Y83" s="2699"/>
      <c r="Z83" s="2699"/>
      <c r="AA83" s="2699"/>
      <c r="AB83" s="2699"/>
      <c r="AC83" s="2699"/>
      <c r="AD83" s="2699"/>
    </row>
    <row r="84" spans="1:30" ht="15" thickTop="1">
      <c r="A84" s="548"/>
      <c r="B84" s="487" t="s">
        <v>1846</v>
      </c>
      <c r="C84" s="503"/>
      <c r="D84" s="503"/>
      <c r="E84" s="503"/>
      <c r="F84" s="503"/>
      <c r="G84" s="503"/>
      <c r="H84" s="503"/>
      <c r="I84" s="532"/>
      <c r="J84" s="532"/>
      <c r="K84" s="533"/>
      <c r="L84" s="534"/>
      <c r="M84" s="535"/>
      <c r="N84" s="2727"/>
      <c r="O84" s="2727"/>
      <c r="P84" s="2752"/>
      <c r="Q84" s="2713"/>
      <c r="R84" s="2699"/>
      <c r="S84" s="2699"/>
      <c r="T84" s="2699"/>
      <c r="U84" s="2699"/>
      <c r="V84" s="2699"/>
      <c r="W84" s="2699"/>
      <c r="X84" s="2699"/>
      <c r="Y84" s="2699"/>
      <c r="Z84" s="2699"/>
      <c r="AA84" s="2699"/>
      <c r="AB84" s="2699"/>
      <c r="AC84" s="2699"/>
      <c r="AD84" s="2699"/>
    </row>
    <row r="85" spans="1:30" ht="15.75" thickBot="1">
      <c r="A85" s="483"/>
      <c r="B85" s="492"/>
      <c r="C85" s="531">
        <v>100</v>
      </c>
      <c r="D85" s="493">
        <f t="shared" ref="D85:M85" si="20">C85+$K29</f>
        <v>100</v>
      </c>
      <c r="E85" s="493">
        <f t="shared" si="20"/>
        <v>100</v>
      </c>
      <c r="F85" s="493">
        <f t="shared" si="20"/>
        <v>100</v>
      </c>
      <c r="G85" s="493">
        <f t="shared" si="20"/>
        <v>100</v>
      </c>
      <c r="H85" s="493">
        <f t="shared" si="20"/>
        <v>100</v>
      </c>
      <c r="I85" s="493">
        <f t="shared" si="20"/>
        <v>100</v>
      </c>
      <c r="J85" s="493">
        <f t="shared" si="20"/>
        <v>100</v>
      </c>
      <c r="K85" s="493">
        <f t="shared" si="20"/>
        <v>100</v>
      </c>
      <c r="L85" s="493">
        <f t="shared" si="20"/>
        <v>100</v>
      </c>
      <c r="M85" s="493">
        <f t="shared" si="20"/>
        <v>100</v>
      </c>
      <c r="N85" s="2728"/>
      <c r="O85" s="2728"/>
      <c r="P85" s="2752"/>
      <c r="Q85" s="2713"/>
      <c r="R85" s="2699"/>
      <c r="S85" s="2699"/>
      <c r="T85" s="2699"/>
      <c r="U85" s="2699"/>
      <c r="V85" s="2699"/>
      <c r="W85" s="2699"/>
      <c r="X85" s="2699"/>
      <c r="Y85" s="2699"/>
      <c r="Z85" s="2699"/>
      <c r="AA85" s="2699"/>
      <c r="AB85" s="2699"/>
      <c r="AC85" s="2699"/>
      <c r="AD85" s="2699"/>
    </row>
    <row r="86" spans="1:30" ht="15" thickTop="1">
      <c r="A86" s="548"/>
      <c r="B86" s="495" t="s">
        <v>1847</v>
      </c>
      <c r="C86" s="527" t="str">
        <f t="shared" ref="C86:L86" si="21">C87&amp;"(含)"&amp;"-"&amp;D87</f>
        <v>(含)-</v>
      </c>
      <c r="D86" s="527" t="str">
        <f t="shared" si="21"/>
        <v>(含)-</v>
      </c>
      <c r="E86" s="527" t="str">
        <f t="shared" si="21"/>
        <v>(含)-</v>
      </c>
      <c r="F86" s="527" t="str">
        <f t="shared" si="21"/>
        <v>(含)-</v>
      </c>
      <c r="G86" s="527" t="str">
        <f t="shared" si="21"/>
        <v>(含)-</v>
      </c>
      <c r="H86" s="527" t="str">
        <f t="shared" si="21"/>
        <v>(含)-</v>
      </c>
      <c r="I86" s="527" t="str">
        <f t="shared" si="21"/>
        <v>(含)-</v>
      </c>
      <c r="J86" s="527" t="str">
        <f t="shared" si="21"/>
        <v>(含)-</v>
      </c>
      <c r="K86" s="527" t="str">
        <f t="shared" si="21"/>
        <v>(含)-</v>
      </c>
      <c r="L86" s="527" t="str">
        <f t="shared" si="21"/>
        <v>(含)-</v>
      </c>
      <c r="M86" s="570" t="str">
        <f>M87&amp;"(含)"&amp;"-"&amp;P87</f>
        <v>(含)-</v>
      </c>
      <c r="N86" s="2727"/>
      <c r="O86" s="2727"/>
      <c r="P86" s="2752"/>
      <c r="Q86" s="2713"/>
      <c r="R86" s="2699"/>
      <c r="S86" s="2699"/>
      <c r="T86" s="2699"/>
      <c r="U86" s="2699"/>
      <c r="V86" s="2699"/>
      <c r="W86" s="2699"/>
      <c r="X86" s="2699"/>
      <c r="Y86" s="2699"/>
      <c r="Z86" s="2699"/>
      <c r="AA86" s="2699"/>
      <c r="AB86" s="2699"/>
      <c r="AC86" s="2699"/>
      <c r="AD86" s="2699"/>
    </row>
    <row r="87" spans="1:30">
      <c r="A87" s="548"/>
      <c r="B87" s="495"/>
      <c r="C87" s="544"/>
      <c r="D87" s="544"/>
      <c r="E87" s="544"/>
      <c r="F87" s="544"/>
      <c r="G87" s="544"/>
      <c r="H87" s="544"/>
      <c r="I87" s="544"/>
      <c r="J87" s="545"/>
      <c r="K87" s="545"/>
      <c r="L87" s="546"/>
      <c r="M87" s="547"/>
      <c r="N87" s="2727"/>
      <c r="O87" s="2727"/>
      <c r="P87" s="2752"/>
      <c r="Q87" s="2713"/>
      <c r="R87" s="2699"/>
      <c r="S87" s="2699"/>
      <c r="T87" s="2699"/>
      <c r="U87" s="2699"/>
      <c r="V87" s="2699"/>
      <c r="W87" s="2699"/>
      <c r="X87" s="2699"/>
      <c r="Y87" s="2699"/>
      <c r="Z87" s="2699"/>
      <c r="AA87" s="2699"/>
      <c r="AB87" s="2699"/>
      <c r="AC87" s="2699"/>
      <c r="AD87" s="2699"/>
    </row>
    <row r="88" spans="1:30" ht="15.75" thickBot="1">
      <c r="A88" s="483"/>
      <c r="B88" s="492"/>
      <c r="C88" s="509"/>
      <c r="D88" s="485"/>
      <c r="E88" s="485"/>
      <c r="F88" s="485"/>
      <c r="G88" s="485"/>
      <c r="H88" s="485"/>
      <c r="I88" s="485"/>
      <c r="J88" s="485"/>
      <c r="K88" s="485"/>
      <c r="L88" s="485"/>
      <c r="M88" s="485"/>
      <c r="N88" s="2728"/>
      <c r="O88" s="2728"/>
      <c r="P88" s="2752"/>
      <c r="Q88" s="2713"/>
      <c r="R88" s="2699"/>
      <c r="S88" s="2699"/>
      <c r="T88" s="2699"/>
      <c r="U88" s="2699"/>
      <c r="V88" s="2699"/>
      <c r="W88" s="2699"/>
      <c r="X88" s="2699"/>
      <c r="Y88" s="2699"/>
      <c r="Z88" s="2699"/>
      <c r="AA88" s="2699"/>
      <c r="AB88" s="2699"/>
      <c r="AC88" s="2699"/>
      <c r="AD88" s="2699"/>
    </row>
    <row r="89" spans="1:30" s="422" customFormat="1" ht="15" thickTop="1">
      <c r="A89" s="542"/>
      <c r="B89" s="487" t="s">
        <v>1848</v>
      </c>
      <c r="C89" s="503"/>
      <c r="D89" s="503"/>
      <c r="E89" s="503"/>
      <c r="F89" s="503"/>
      <c r="G89" s="503"/>
      <c r="H89" s="503"/>
      <c r="I89" s="503"/>
      <c r="J89" s="503"/>
      <c r="K89" s="503"/>
      <c r="L89" s="503"/>
      <c r="M89" s="530"/>
      <c r="N89" s="2729"/>
      <c r="O89" s="2729"/>
      <c r="P89" s="2753"/>
      <c r="Q89" s="2720"/>
      <c r="R89" s="2721"/>
      <c r="S89" s="2721"/>
      <c r="T89" s="2721"/>
      <c r="U89" s="2721"/>
      <c r="V89" s="2721"/>
      <c r="W89" s="2721"/>
      <c r="X89" s="2721"/>
      <c r="Y89" s="2721"/>
      <c r="Z89" s="2721"/>
      <c r="AA89" s="2721"/>
      <c r="AB89" s="2721"/>
      <c r="AC89" s="2721"/>
      <c r="AD89" s="2721"/>
    </row>
    <row r="90" spans="1:30" s="422" customFormat="1" ht="15.75" thickBot="1">
      <c r="A90" s="502"/>
      <c r="B90" s="492"/>
      <c r="C90" s="509"/>
      <c r="D90" s="485"/>
      <c r="E90" s="485"/>
      <c r="F90" s="485"/>
      <c r="G90" s="485"/>
      <c r="H90" s="485"/>
      <c r="I90" s="485"/>
      <c r="J90" s="485"/>
      <c r="K90" s="485"/>
      <c r="L90" s="485"/>
      <c r="M90" s="486"/>
      <c r="N90" s="2729"/>
      <c r="O90" s="2729"/>
      <c r="P90" s="2753"/>
      <c r="Q90" s="2720"/>
      <c r="R90" s="2721"/>
      <c r="S90" s="2721"/>
      <c r="T90" s="2721"/>
      <c r="U90" s="2721"/>
      <c r="V90" s="2721"/>
      <c r="W90" s="2721"/>
      <c r="X90" s="2721"/>
      <c r="Y90" s="2721"/>
      <c r="Z90" s="2721"/>
      <c r="AA90" s="2721"/>
      <c r="AB90" s="2721"/>
      <c r="AC90" s="2721"/>
      <c r="AD90" s="2721"/>
    </row>
    <row r="91" spans="1:30" ht="15" thickTop="1">
      <c r="A91" s="548"/>
      <c r="B91" s="487">
        <f>B32</f>
        <v>111</v>
      </c>
      <c r="C91" s="498"/>
      <c r="D91" s="498"/>
      <c r="E91" s="498"/>
      <c r="F91" s="498"/>
      <c r="G91" s="503"/>
      <c r="H91" s="504"/>
      <c r="I91" s="504"/>
      <c r="J91" s="504"/>
      <c r="K91" s="504"/>
      <c r="L91" s="505"/>
      <c r="M91" s="506"/>
      <c r="N91" s="2727"/>
      <c r="O91" s="2727"/>
      <c r="P91" s="2752"/>
      <c r="Q91" s="2713"/>
      <c r="R91" s="2699"/>
      <c r="S91" s="2699"/>
      <c r="T91" s="2699"/>
      <c r="U91" s="2699"/>
      <c r="V91" s="2699"/>
      <c r="W91" s="2699"/>
      <c r="X91" s="2699"/>
      <c r="Y91" s="2699"/>
      <c r="Z91" s="2699"/>
      <c r="AA91" s="2699"/>
      <c r="AB91" s="2699"/>
      <c r="AC91" s="2699"/>
      <c r="AD91" s="2699"/>
    </row>
    <row r="92" spans="1:30" ht="15.75" thickBot="1">
      <c r="A92" s="483"/>
      <c r="B92" s="492"/>
      <c r="C92" s="509"/>
      <c r="D92" s="485"/>
      <c r="E92" s="485"/>
      <c r="F92" s="485"/>
      <c r="G92" s="509"/>
      <c r="H92" s="511"/>
      <c r="I92" s="511"/>
      <c r="J92" s="511"/>
      <c r="K92" s="511"/>
      <c r="L92" s="511"/>
      <c r="M92" s="512"/>
      <c r="N92" s="2728"/>
      <c r="O92" s="2728"/>
      <c r="P92" s="2752"/>
      <c r="Q92" s="2713"/>
      <c r="R92" s="2699"/>
      <c r="S92" s="2699"/>
      <c r="T92" s="2699"/>
      <c r="U92" s="2699"/>
      <c r="V92" s="2699"/>
      <c r="W92" s="2699"/>
      <c r="X92" s="2699"/>
      <c r="Y92" s="2699"/>
      <c r="Z92" s="2699"/>
      <c r="AA92" s="2699"/>
      <c r="AB92" s="2699"/>
      <c r="AC92" s="2699"/>
      <c r="AD92" s="2699"/>
    </row>
    <row r="93" spans="1:30" ht="15" thickTop="1">
      <c r="A93" s="548"/>
      <c r="B93" s="487">
        <f>B33</f>
        <v>111</v>
      </c>
      <c r="C93" s="498"/>
      <c r="D93" s="498"/>
      <c r="E93" s="498"/>
      <c r="F93" s="498"/>
      <c r="G93" s="503"/>
      <c r="H93" s="504"/>
      <c r="I93" s="504"/>
      <c r="J93" s="504"/>
      <c r="K93" s="504"/>
      <c r="L93" s="505"/>
      <c r="M93" s="506"/>
      <c r="N93" s="2727"/>
      <c r="O93" s="2727"/>
      <c r="P93" s="2752"/>
      <c r="Q93" s="2713"/>
      <c r="R93" s="2699"/>
      <c r="S93" s="2699"/>
      <c r="T93" s="2699"/>
      <c r="U93" s="2699"/>
      <c r="V93" s="2699"/>
      <c r="W93" s="2699"/>
      <c r="X93" s="2699"/>
      <c r="Y93" s="2699"/>
      <c r="Z93" s="2699"/>
      <c r="AA93" s="2699"/>
      <c r="AB93" s="2699"/>
      <c r="AC93" s="2699"/>
      <c r="AD93" s="2699"/>
    </row>
    <row r="94" spans="1:30" ht="15.75" thickBot="1">
      <c r="A94" s="483"/>
      <c r="B94" s="492"/>
      <c r="C94" s="509"/>
      <c r="D94" s="485"/>
      <c r="E94" s="485"/>
      <c r="F94" s="485"/>
      <c r="G94" s="509"/>
      <c r="H94" s="511"/>
      <c r="I94" s="511"/>
      <c r="J94" s="511"/>
      <c r="K94" s="511"/>
      <c r="L94" s="511"/>
      <c r="M94" s="512"/>
      <c r="N94" s="2728"/>
      <c r="O94" s="2728"/>
      <c r="P94" s="2752"/>
      <c r="Q94" s="2713"/>
      <c r="R94" s="2699"/>
      <c r="S94" s="2699"/>
      <c r="T94" s="2699"/>
      <c r="U94" s="2699"/>
      <c r="V94" s="2699"/>
      <c r="W94" s="2699"/>
      <c r="X94" s="2699"/>
      <c r="Y94" s="2699"/>
      <c r="Z94" s="2699"/>
      <c r="AA94" s="2699"/>
      <c r="AB94" s="2699"/>
      <c r="AC94" s="2699"/>
      <c r="AD94" s="2699"/>
    </row>
    <row r="95" spans="1:30" ht="15" thickTop="1">
      <c r="A95" s="548"/>
      <c r="B95" s="584">
        <f>B34</f>
        <v>111</v>
      </c>
      <c r="C95" s="498"/>
      <c r="D95" s="498"/>
      <c r="E95" s="498"/>
      <c r="F95" s="498"/>
      <c r="G95" s="503"/>
      <c r="H95" s="504"/>
      <c r="I95" s="504"/>
      <c r="J95" s="504"/>
      <c r="K95" s="504"/>
      <c r="L95" s="505"/>
      <c r="M95" s="506"/>
      <c r="N95" s="2728"/>
      <c r="O95" s="2728"/>
      <c r="P95" s="2755"/>
      <c r="Q95" s="2742"/>
      <c r="R95" s="2699"/>
      <c r="S95" s="2699"/>
      <c r="T95" s="2699"/>
      <c r="U95" s="2699"/>
      <c r="V95" s="2699"/>
      <c r="W95" s="2699"/>
      <c r="X95" s="2699"/>
      <c r="Y95" s="2699"/>
      <c r="Z95" s="2699"/>
      <c r="AA95" s="2699"/>
      <c r="AB95" s="2699"/>
      <c r="AC95" s="2699"/>
      <c r="AD95" s="2699"/>
    </row>
    <row r="96" spans="1:30" ht="15.75" thickBot="1">
      <c r="A96" s="483"/>
      <c r="B96" s="492"/>
      <c r="C96" s="509"/>
      <c r="D96" s="509"/>
      <c r="E96" s="509"/>
      <c r="F96" s="509"/>
      <c r="G96" s="509"/>
      <c r="H96" s="511"/>
      <c r="I96" s="511"/>
      <c r="J96" s="511"/>
      <c r="K96" s="511"/>
      <c r="L96" s="511"/>
      <c r="M96" s="512"/>
      <c r="N96" s="2728"/>
      <c r="O96" s="2728"/>
      <c r="P96" s="2752"/>
      <c r="Q96" s="2713"/>
      <c r="R96" s="2699"/>
      <c r="S96" s="2699"/>
      <c r="T96" s="2699"/>
      <c r="U96" s="2699"/>
      <c r="V96" s="2699"/>
      <c r="W96" s="2699"/>
      <c r="X96" s="2699"/>
      <c r="Y96" s="2699"/>
      <c r="Z96" s="2699"/>
      <c r="AA96" s="2699"/>
      <c r="AB96" s="2699"/>
      <c r="AC96" s="2699"/>
      <c r="AD96" s="2699"/>
    </row>
    <row r="97" spans="1:30" ht="15" thickTop="1">
      <c r="N97" s="2699"/>
      <c r="O97" s="2699"/>
      <c r="P97" s="2699"/>
      <c r="Q97" s="2699"/>
      <c r="R97" s="2699"/>
      <c r="S97" s="2699"/>
      <c r="T97" s="2699"/>
      <c r="U97" s="2699"/>
      <c r="V97" s="2699"/>
      <c r="W97" s="2699"/>
      <c r="X97" s="2699"/>
      <c r="Y97" s="2699"/>
      <c r="Z97" s="2699"/>
      <c r="AA97" s="2699"/>
      <c r="AB97" s="2699"/>
      <c r="AC97" s="2699"/>
      <c r="AD97" s="2699"/>
    </row>
    <row r="98" spans="1:30">
      <c r="A98" s="936"/>
      <c r="B98" s="936"/>
      <c r="C98" s="936"/>
      <c r="D98" s="936"/>
      <c r="E98" s="936"/>
      <c r="F98" s="936"/>
      <c r="G98" s="936"/>
      <c r="H98" s="936"/>
      <c r="I98" s="936"/>
      <c r="J98" s="936"/>
      <c r="K98" s="937"/>
      <c r="L98" s="938"/>
      <c r="M98" s="936"/>
      <c r="N98" s="2699"/>
      <c r="O98" s="2699"/>
      <c r="P98" s="2699"/>
      <c r="Q98" s="2699"/>
      <c r="R98" s="2699"/>
      <c r="S98" s="2699"/>
      <c r="T98" s="2699"/>
      <c r="U98" s="2699"/>
      <c r="V98" s="2699"/>
      <c r="W98" s="2699"/>
      <c r="X98" s="2699"/>
      <c r="Y98" s="2699"/>
      <c r="Z98" s="2699"/>
      <c r="AA98" s="2699"/>
      <c r="AB98" s="2699"/>
      <c r="AC98" s="2699"/>
      <c r="AD98" s="2699"/>
    </row>
    <row r="99" spans="1:30">
      <c r="A99" s="936"/>
      <c r="B99" s="936"/>
      <c r="C99" s="936"/>
      <c r="D99" s="936"/>
      <c r="E99" s="936"/>
      <c r="F99" s="936"/>
      <c r="G99" s="936"/>
      <c r="H99" s="936"/>
      <c r="I99" s="936"/>
      <c r="J99" s="936"/>
      <c r="K99" s="937"/>
      <c r="L99" s="938"/>
      <c r="M99" s="936"/>
      <c r="N99" s="2699"/>
      <c r="O99" s="2699"/>
      <c r="P99" s="2699"/>
      <c r="Q99" s="2699"/>
      <c r="R99" s="2699"/>
      <c r="S99" s="2699"/>
      <c r="T99" s="2699"/>
      <c r="U99" s="2699"/>
      <c r="V99" s="2699"/>
      <c r="W99" s="2699"/>
      <c r="X99" s="2699"/>
      <c r="Y99" s="2699"/>
      <c r="Z99" s="2699"/>
      <c r="AA99" s="2699"/>
      <c r="AB99" s="2699"/>
      <c r="AC99" s="2699"/>
      <c r="AD99" s="2699"/>
    </row>
    <row r="100" spans="1:30">
      <c r="A100" s="936"/>
      <c r="B100" s="936"/>
      <c r="C100" s="936"/>
      <c r="D100" s="936"/>
      <c r="E100" s="936"/>
      <c r="F100" s="936"/>
      <c r="G100" s="936"/>
      <c r="H100" s="936"/>
      <c r="I100" s="936"/>
      <c r="J100" s="936"/>
      <c r="K100" s="937"/>
      <c r="L100" s="938"/>
      <c r="M100" s="936"/>
      <c r="N100" s="2699"/>
      <c r="O100" s="2699"/>
      <c r="P100" s="2699"/>
      <c r="Q100" s="2699"/>
      <c r="R100" s="2699"/>
      <c r="S100" s="2699"/>
      <c r="T100" s="2699"/>
      <c r="U100" s="2699"/>
      <c r="V100" s="2699"/>
      <c r="W100" s="2699"/>
      <c r="X100" s="2699"/>
      <c r="Y100" s="2699"/>
      <c r="Z100" s="2699"/>
      <c r="AA100" s="2699"/>
      <c r="AB100" s="2699"/>
      <c r="AC100" s="2699"/>
      <c r="AD100" s="2699"/>
    </row>
    <row r="101" spans="1:30">
      <c r="A101" s="936"/>
      <c r="B101" s="936"/>
      <c r="C101" s="936"/>
      <c r="D101" s="936"/>
      <c r="E101" s="936"/>
      <c r="F101" s="936"/>
      <c r="G101" s="936"/>
      <c r="H101" s="936"/>
      <c r="I101" s="936"/>
      <c r="J101" s="936"/>
      <c r="K101" s="937"/>
      <c r="L101" s="938"/>
      <c r="M101" s="936"/>
      <c r="N101" s="2699"/>
      <c r="O101" s="2699"/>
      <c r="P101" s="2699"/>
      <c r="Q101" s="2699"/>
      <c r="R101" s="2699"/>
      <c r="S101" s="2699"/>
      <c r="T101" s="2699"/>
      <c r="U101" s="2699"/>
      <c r="V101" s="2699"/>
      <c r="W101" s="2699"/>
      <c r="X101" s="2699"/>
      <c r="Y101" s="2699"/>
      <c r="Z101" s="2699"/>
      <c r="AA101" s="2699"/>
      <c r="AB101" s="2699"/>
      <c r="AC101" s="2699"/>
      <c r="AD101" s="2699"/>
    </row>
    <row r="102" spans="1:30">
      <c r="A102" s="936"/>
      <c r="B102" s="936"/>
      <c r="C102" s="936"/>
      <c r="D102" s="936"/>
      <c r="E102" s="936"/>
      <c r="F102" s="936"/>
      <c r="G102" s="936"/>
      <c r="H102" s="936"/>
      <c r="I102" s="936"/>
      <c r="J102" s="936"/>
      <c r="K102" s="937"/>
      <c r="L102" s="938"/>
      <c r="M102" s="936"/>
      <c r="N102" s="2699"/>
      <c r="O102" s="2699"/>
      <c r="P102" s="2699"/>
      <c r="Q102" s="2699"/>
      <c r="R102" s="2699"/>
      <c r="S102" s="2699"/>
      <c r="T102" s="2699"/>
      <c r="U102" s="2699"/>
      <c r="V102" s="2699"/>
      <c r="W102" s="2699"/>
      <c r="X102" s="2699"/>
      <c r="Y102" s="2699"/>
      <c r="Z102" s="2699"/>
      <c r="AA102" s="2699"/>
      <c r="AB102" s="2699"/>
      <c r="AC102" s="2699"/>
      <c r="AD102" s="2699"/>
    </row>
    <row r="103" spans="1:30">
      <c r="A103" s="936"/>
      <c r="B103" s="936"/>
      <c r="C103" s="936"/>
      <c r="D103" s="936"/>
      <c r="E103" s="936"/>
      <c r="F103" s="936"/>
      <c r="G103" s="936"/>
      <c r="H103" s="936"/>
      <c r="I103" s="936"/>
      <c r="J103" s="936"/>
      <c r="K103" s="937"/>
      <c r="L103" s="938"/>
      <c r="M103" s="936"/>
      <c r="N103" s="936"/>
      <c r="O103" s="936"/>
      <c r="P103" s="2699"/>
      <c r="Q103" s="2699"/>
      <c r="R103" s="2699"/>
      <c r="S103" s="2699"/>
      <c r="T103" s="2699"/>
      <c r="U103" s="2699"/>
      <c r="V103" s="2699"/>
      <c r="W103" s="2699"/>
      <c r="X103" s="2699"/>
      <c r="Y103" s="2699"/>
      <c r="Z103" s="2699"/>
      <c r="AA103" s="2699"/>
      <c r="AB103" s="2699"/>
      <c r="AC103" s="2699"/>
      <c r="AD103" s="2699"/>
    </row>
    <row r="104" spans="1:30">
      <c r="A104" s="936"/>
      <c r="B104" s="936"/>
      <c r="C104" s="936"/>
      <c r="D104" s="936"/>
      <c r="E104" s="936"/>
      <c r="F104" s="936"/>
      <c r="G104" s="936"/>
      <c r="H104" s="936"/>
      <c r="I104" s="936"/>
      <c r="J104" s="936"/>
      <c r="K104" s="937"/>
      <c r="L104" s="938"/>
      <c r="M104" s="936"/>
      <c r="N104" s="936"/>
      <c r="O104" s="936"/>
      <c r="P104" s="936"/>
      <c r="Q104" s="936"/>
      <c r="R104" s="936"/>
      <c r="S104" s="936"/>
      <c r="T104" s="936"/>
    </row>
    <row r="105" spans="1:30">
      <c r="A105" s="936"/>
      <c r="B105" s="936"/>
      <c r="C105" s="936"/>
      <c r="D105" s="936"/>
      <c r="E105" s="936"/>
      <c r="F105" s="936"/>
      <c r="G105" s="936"/>
      <c r="H105" s="936"/>
      <c r="I105" s="936"/>
      <c r="J105" s="936"/>
      <c r="K105" s="937"/>
      <c r="L105" s="938"/>
      <c r="M105" s="936"/>
      <c r="N105" s="936"/>
      <c r="O105" s="936"/>
      <c r="P105" s="936"/>
      <c r="Q105" s="936"/>
      <c r="R105" s="936"/>
      <c r="S105" s="936"/>
      <c r="T105" s="936"/>
    </row>
    <row r="106" spans="1:30">
      <c r="A106" s="936"/>
      <c r="B106" s="936"/>
      <c r="C106" s="936"/>
      <c r="D106" s="936"/>
      <c r="E106" s="936"/>
      <c r="F106" s="936"/>
      <c r="G106" s="936"/>
      <c r="H106" s="936"/>
      <c r="I106" s="936"/>
      <c r="J106" s="936"/>
      <c r="K106" s="937"/>
      <c r="L106" s="938"/>
      <c r="M106" s="936"/>
      <c r="N106" s="936"/>
      <c r="O106" s="936"/>
      <c r="P106" s="936"/>
      <c r="Q106" s="936"/>
      <c r="R106" s="936"/>
      <c r="S106" s="936"/>
      <c r="T106" s="936"/>
    </row>
    <row r="107" spans="1:30">
      <c r="A107" s="936"/>
      <c r="B107" s="936"/>
      <c r="C107" s="936"/>
      <c r="D107" s="936"/>
      <c r="E107" s="936"/>
      <c r="F107" s="936"/>
      <c r="G107" s="936"/>
      <c r="H107" s="936"/>
      <c r="I107" s="936"/>
      <c r="J107" s="936"/>
      <c r="K107" s="937"/>
      <c r="L107" s="938"/>
      <c r="M107" s="936"/>
      <c r="N107" s="936"/>
      <c r="O107" s="936"/>
      <c r="P107" s="936"/>
      <c r="Q107" s="936"/>
      <c r="R107" s="936"/>
      <c r="S107" s="936"/>
      <c r="T107" s="936"/>
    </row>
    <row r="108" spans="1:30">
      <c r="A108" s="936"/>
      <c r="B108" s="936"/>
      <c r="C108" s="936"/>
      <c r="D108" s="936"/>
      <c r="E108" s="936"/>
      <c r="F108" s="936"/>
      <c r="G108" s="936"/>
      <c r="H108" s="936"/>
      <c r="I108" s="936"/>
      <c r="J108" s="936"/>
      <c r="K108" s="937"/>
      <c r="L108" s="938"/>
      <c r="M108" s="936"/>
      <c r="N108" s="936"/>
      <c r="O108" s="936"/>
      <c r="P108" s="936"/>
      <c r="Q108" s="936"/>
      <c r="R108" s="936"/>
      <c r="S108" s="936"/>
      <c r="T108" s="936"/>
    </row>
    <row r="109" spans="1:30">
      <c r="A109" s="936"/>
      <c r="B109" s="936"/>
      <c r="C109" s="936"/>
      <c r="D109" s="936"/>
      <c r="E109" s="936"/>
      <c r="F109" s="936"/>
      <c r="G109" s="936"/>
      <c r="H109" s="936"/>
      <c r="I109" s="936"/>
      <c r="J109" s="936"/>
      <c r="K109" s="937"/>
      <c r="L109" s="938"/>
      <c r="M109" s="936"/>
      <c r="N109" s="936"/>
      <c r="O109" s="936"/>
      <c r="P109" s="936"/>
      <c r="Q109" s="936"/>
      <c r="R109" s="936"/>
      <c r="S109" s="936"/>
      <c r="T109" s="936"/>
    </row>
    <row r="110" spans="1:30">
      <c r="A110" s="936"/>
      <c r="B110" s="936"/>
      <c r="C110" s="936"/>
      <c r="D110" s="936"/>
      <c r="E110" s="936"/>
      <c r="F110" s="936"/>
      <c r="G110" s="936"/>
      <c r="H110" s="936"/>
      <c r="I110" s="936"/>
      <c r="J110" s="936"/>
      <c r="K110" s="937"/>
      <c r="L110" s="938"/>
      <c r="M110" s="936"/>
      <c r="N110" s="936"/>
      <c r="O110" s="936"/>
      <c r="P110" s="936"/>
      <c r="Q110" s="936"/>
      <c r="R110" s="936"/>
      <c r="S110" s="936"/>
      <c r="T110" s="936"/>
    </row>
    <row r="111" spans="1:30">
      <c r="A111" s="936"/>
      <c r="B111" s="936"/>
      <c r="C111" s="936"/>
      <c r="D111" s="936"/>
      <c r="E111" s="936"/>
      <c r="F111" s="936"/>
      <c r="G111" s="936"/>
      <c r="H111" s="936"/>
      <c r="I111" s="936"/>
      <c r="J111" s="936"/>
      <c r="K111" s="937"/>
      <c r="L111" s="938"/>
      <c r="M111" s="936"/>
      <c r="N111" s="936"/>
      <c r="O111" s="936"/>
      <c r="P111" s="936"/>
      <c r="Q111" s="936"/>
      <c r="R111" s="936"/>
      <c r="S111" s="936"/>
      <c r="T111" s="936"/>
    </row>
    <row r="112" spans="1:30">
      <c r="A112" s="936"/>
      <c r="B112" s="936"/>
      <c r="C112" s="936"/>
      <c r="D112" s="936"/>
      <c r="E112" s="936"/>
      <c r="F112" s="936"/>
      <c r="G112" s="936"/>
      <c r="H112" s="936"/>
      <c r="I112" s="936"/>
      <c r="J112" s="936"/>
      <c r="K112" s="937"/>
      <c r="L112" s="938"/>
      <c r="M112" s="936"/>
      <c r="N112" s="936"/>
      <c r="O112" s="936"/>
      <c r="P112" s="936"/>
      <c r="Q112" s="936"/>
      <c r="R112" s="936"/>
      <c r="S112" s="936"/>
      <c r="T112" s="936"/>
    </row>
    <row r="113" spans="1:20">
      <c r="A113" s="936"/>
      <c r="B113" s="936"/>
      <c r="C113" s="936"/>
      <c r="D113" s="936"/>
      <c r="E113" s="936"/>
      <c r="F113" s="936"/>
      <c r="G113" s="936"/>
      <c r="H113" s="936"/>
      <c r="I113" s="936"/>
      <c r="J113" s="936"/>
      <c r="K113" s="937"/>
      <c r="L113" s="938"/>
      <c r="M113" s="936"/>
      <c r="N113" s="936"/>
      <c r="O113" s="936"/>
      <c r="P113" s="936"/>
      <c r="Q113" s="936"/>
      <c r="R113" s="936"/>
      <c r="S113" s="936"/>
      <c r="T113" s="936"/>
    </row>
    <row r="114" spans="1:20">
      <c r="A114" s="936"/>
      <c r="B114" s="936"/>
      <c r="C114" s="936"/>
      <c r="D114" s="936"/>
      <c r="E114" s="936"/>
      <c r="F114" s="936"/>
      <c r="G114" s="936"/>
      <c r="H114" s="936"/>
      <c r="I114" s="936"/>
      <c r="J114" s="936"/>
      <c r="K114" s="937"/>
      <c r="L114" s="938"/>
      <c r="M114" s="936"/>
      <c r="N114" s="936"/>
      <c r="O114" s="936"/>
      <c r="P114" s="936"/>
      <c r="Q114" s="936"/>
      <c r="R114" s="936"/>
      <c r="S114" s="936"/>
      <c r="T114" s="936"/>
    </row>
    <row r="115" spans="1:20">
      <c r="A115" s="936"/>
      <c r="B115" s="936"/>
      <c r="C115" s="936"/>
      <c r="D115" s="936"/>
      <c r="E115" s="936"/>
      <c r="F115" s="936"/>
      <c r="G115" s="936"/>
      <c r="H115" s="936"/>
      <c r="I115" s="936"/>
      <c r="J115" s="936"/>
      <c r="K115" s="937"/>
      <c r="L115" s="938"/>
      <c r="M115" s="936"/>
      <c r="N115" s="936"/>
      <c r="O115" s="936"/>
      <c r="P115" s="936"/>
      <c r="Q115" s="936"/>
      <c r="R115" s="936"/>
      <c r="S115" s="936"/>
      <c r="T115" s="936"/>
    </row>
    <row r="116" spans="1:20">
      <c r="A116" s="936"/>
      <c r="B116" s="936"/>
      <c r="C116" s="936"/>
      <c r="D116" s="936"/>
      <c r="E116" s="936"/>
      <c r="F116" s="936"/>
      <c r="G116" s="936"/>
      <c r="H116" s="936"/>
      <c r="I116" s="936"/>
      <c r="J116" s="936"/>
      <c r="K116" s="937"/>
      <c r="L116" s="938"/>
      <c r="M116" s="936"/>
      <c r="N116" s="936"/>
      <c r="O116" s="936"/>
      <c r="P116" s="936"/>
      <c r="Q116" s="936"/>
      <c r="R116" s="936"/>
      <c r="S116" s="936"/>
      <c r="T116" s="936"/>
    </row>
    <row r="117" spans="1:20">
      <c r="A117" s="936"/>
      <c r="B117" s="936"/>
      <c r="C117" s="936"/>
      <c r="D117" s="936"/>
      <c r="E117" s="936"/>
      <c r="F117" s="936"/>
      <c r="G117" s="936"/>
      <c r="H117" s="936"/>
      <c r="I117" s="936"/>
      <c r="J117" s="936"/>
      <c r="K117" s="937"/>
      <c r="L117" s="938"/>
      <c r="M117" s="936"/>
      <c r="N117" s="936"/>
      <c r="O117" s="936"/>
      <c r="P117" s="936"/>
      <c r="Q117" s="936"/>
      <c r="R117" s="936"/>
      <c r="S117" s="936"/>
      <c r="T117" s="936"/>
    </row>
    <row r="118" spans="1:20">
      <c r="A118" s="936"/>
      <c r="B118" s="936"/>
      <c r="C118" s="936"/>
      <c r="D118" s="936"/>
      <c r="E118" s="936"/>
      <c r="F118" s="936"/>
      <c r="G118" s="936"/>
      <c r="H118" s="936"/>
      <c r="I118" s="936"/>
      <c r="J118" s="936"/>
      <c r="K118" s="937"/>
      <c r="L118" s="938"/>
      <c r="M118" s="936"/>
      <c r="N118" s="936"/>
      <c r="O118" s="936"/>
      <c r="P118" s="936"/>
      <c r="Q118" s="936"/>
      <c r="R118" s="936"/>
      <c r="S118" s="936"/>
      <c r="T118" s="936"/>
    </row>
    <row r="119" spans="1:20">
      <c r="A119" s="936"/>
      <c r="B119" s="936"/>
      <c r="C119" s="936"/>
      <c r="D119" s="936"/>
      <c r="E119" s="936"/>
      <c r="F119" s="936"/>
      <c r="G119" s="936"/>
      <c r="H119" s="936"/>
      <c r="I119" s="936"/>
      <c r="J119" s="936"/>
      <c r="K119" s="937"/>
      <c r="L119" s="938"/>
      <c r="M119" s="936"/>
      <c r="N119" s="936"/>
      <c r="O119" s="936"/>
      <c r="P119" s="936"/>
      <c r="Q119" s="936"/>
      <c r="R119" s="936"/>
      <c r="S119" s="936"/>
      <c r="T119" s="936"/>
    </row>
    <row r="120" spans="1:20">
      <c r="A120" s="936"/>
      <c r="B120" s="936"/>
      <c r="C120" s="936"/>
      <c r="D120" s="936"/>
      <c r="E120" s="936"/>
      <c r="F120" s="936"/>
      <c r="G120" s="936"/>
      <c r="H120" s="936"/>
      <c r="I120" s="936"/>
      <c r="J120" s="936"/>
      <c r="K120" s="937"/>
      <c r="L120" s="938"/>
      <c r="M120" s="936"/>
      <c r="N120" s="936"/>
      <c r="O120" s="936"/>
      <c r="P120" s="936"/>
      <c r="Q120" s="936"/>
      <c r="R120" s="936"/>
      <c r="S120" s="936"/>
      <c r="T120" s="936"/>
    </row>
    <row r="121" spans="1:20">
      <c r="A121" s="936"/>
      <c r="B121" s="936"/>
      <c r="C121" s="936"/>
      <c r="D121" s="936"/>
      <c r="E121" s="936"/>
      <c r="F121" s="936"/>
      <c r="G121" s="936"/>
      <c r="H121" s="936"/>
      <c r="I121" s="936"/>
      <c r="J121" s="936"/>
      <c r="K121" s="937"/>
      <c r="L121" s="938"/>
      <c r="M121" s="936"/>
      <c r="N121" s="936"/>
      <c r="O121" s="936"/>
      <c r="P121" s="936"/>
      <c r="Q121" s="936"/>
      <c r="R121" s="936"/>
      <c r="S121" s="936"/>
      <c r="T121" s="936"/>
    </row>
    <row r="122" spans="1:20">
      <c r="A122" s="936"/>
      <c r="B122" s="936"/>
      <c r="C122" s="936"/>
      <c r="D122" s="936"/>
      <c r="E122" s="936"/>
      <c r="F122" s="936"/>
      <c r="G122" s="936"/>
      <c r="H122" s="936"/>
      <c r="I122" s="936"/>
      <c r="J122" s="936"/>
      <c r="K122" s="937"/>
      <c r="L122" s="938"/>
      <c r="M122" s="936"/>
      <c r="N122" s="936"/>
      <c r="O122" s="936"/>
      <c r="P122" s="936"/>
      <c r="Q122" s="936"/>
      <c r="R122" s="936"/>
      <c r="S122" s="936"/>
      <c r="T122" s="936"/>
    </row>
    <row r="123" spans="1:20">
      <c r="A123" s="936"/>
      <c r="B123" s="936"/>
      <c r="C123" s="936"/>
      <c r="D123" s="936"/>
      <c r="E123" s="936"/>
      <c r="F123" s="936"/>
      <c r="G123" s="936"/>
      <c r="H123" s="936"/>
      <c r="I123" s="936"/>
      <c r="J123" s="936"/>
      <c r="K123" s="937"/>
      <c r="L123" s="938"/>
      <c r="M123" s="936"/>
      <c r="N123" s="936"/>
      <c r="O123" s="936"/>
      <c r="P123" s="936"/>
      <c r="Q123" s="936"/>
      <c r="R123" s="936"/>
      <c r="S123" s="936"/>
      <c r="T123" s="936"/>
    </row>
    <row r="124" spans="1:20">
      <c r="A124" s="936"/>
      <c r="B124" s="936"/>
      <c r="C124" s="936"/>
      <c r="D124" s="936"/>
      <c r="E124" s="936"/>
      <c r="F124" s="936"/>
      <c r="G124" s="936"/>
      <c r="H124" s="936"/>
      <c r="I124" s="936"/>
      <c r="J124" s="936"/>
      <c r="K124" s="937"/>
      <c r="L124" s="938"/>
      <c r="M124" s="936"/>
      <c r="N124" s="936"/>
      <c r="O124" s="936"/>
      <c r="P124" s="936"/>
      <c r="Q124" s="936"/>
      <c r="R124" s="936"/>
      <c r="S124" s="936"/>
      <c r="T124" s="936"/>
    </row>
    <row r="125" spans="1:20">
      <c r="A125" s="936"/>
      <c r="B125" s="936"/>
      <c r="C125" s="936"/>
      <c r="D125" s="936"/>
      <c r="E125" s="936"/>
      <c r="F125" s="936"/>
      <c r="G125" s="936"/>
      <c r="H125" s="936"/>
      <c r="I125" s="936"/>
      <c r="J125" s="936"/>
      <c r="K125" s="937"/>
      <c r="L125" s="938"/>
      <c r="M125" s="936"/>
      <c r="N125" s="936"/>
      <c r="O125" s="936"/>
      <c r="P125" s="936"/>
      <c r="Q125" s="936"/>
      <c r="R125" s="936"/>
      <c r="S125" s="936"/>
      <c r="T125" s="936"/>
    </row>
    <row r="126" spans="1:20">
      <c r="A126" s="936"/>
      <c r="B126" s="936"/>
      <c r="C126" s="936"/>
      <c r="D126" s="936"/>
      <c r="E126" s="936"/>
      <c r="F126" s="936"/>
      <c r="G126" s="936"/>
      <c r="H126" s="936"/>
      <c r="I126" s="936"/>
      <c r="J126" s="936"/>
      <c r="K126" s="937"/>
      <c r="L126" s="938"/>
      <c r="M126" s="936"/>
      <c r="N126" s="936"/>
      <c r="O126" s="936"/>
      <c r="P126" s="936"/>
      <c r="Q126" s="936"/>
      <c r="R126" s="936"/>
      <c r="S126" s="936"/>
      <c r="T126" s="936"/>
    </row>
    <row r="127" spans="1:20">
      <c r="A127" s="936"/>
      <c r="B127" s="936"/>
      <c r="C127" s="936"/>
      <c r="D127" s="936"/>
      <c r="E127" s="936"/>
      <c r="F127" s="936"/>
      <c r="G127" s="936"/>
      <c r="H127" s="936"/>
      <c r="I127" s="936"/>
      <c r="J127" s="936"/>
      <c r="K127" s="937"/>
      <c r="L127" s="938"/>
      <c r="M127" s="936"/>
      <c r="N127" s="936"/>
      <c r="O127" s="936"/>
      <c r="P127" s="936"/>
      <c r="Q127" s="936"/>
      <c r="R127" s="936"/>
      <c r="S127" s="936"/>
      <c r="T127" s="936"/>
    </row>
    <row r="128" spans="1:20">
      <c r="A128" s="936"/>
      <c r="B128" s="936"/>
      <c r="C128" s="936"/>
      <c r="D128" s="936"/>
      <c r="E128" s="936"/>
      <c r="F128" s="936"/>
      <c r="G128" s="936"/>
      <c r="H128" s="936"/>
      <c r="I128" s="936"/>
      <c r="J128" s="936"/>
      <c r="K128" s="937"/>
      <c r="L128" s="938"/>
      <c r="M128" s="936"/>
      <c r="N128" s="936"/>
      <c r="O128" s="936"/>
      <c r="P128" s="936"/>
      <c r="Q128" s="936"/>
      <c r="R128" s="936"/>
      <c r="S128" s="936"/>
      <c r="T128" s="936"/>
    </row>
    <row r="129" spans="1:20">
      <c r="A129" s="936"/>
      <c r="B129" s="936"/>
      <c r="C129" s="936"/>
      <c r="D129" s="936"/>
      <c r="E129" s="936"/>
      <c r="F129" s="936"/>
      <c r="G129" s="936"/>
      <c r="H129" s="936"/>
      <c r="I129" s="936"/>
      <c r="J129" s="936"/>
      <c r="K129" s="937"/>
      <c r="L129" s="938"/>
      <c r="M129" s="936"/>
      <c r="N129" s="936"/>
      <c r="O129" s="936"/>
      <c r="P129" s="936"/>
      <c r="Q129" s="936"/>
      <c r="R129" s="936"/>
      <c r="S129" s="936"/>
      <c r="T129" s="936"/>
    </row>
    <row r="130" spans="1:20">
      <c r="A130" s="936"/>
      <c r="B130" s="936"/>
      <c r="C130" s="936"/>
      <c r="D130" s="936"/>
      <c r="E130" s="936"/>
      <c r="F130" s="936"/>
      <c r="G130" s="936"/>
      <c r="H130" s="936"/>
      <c r="I130" s="936"/>
      <c r="J130" s="936"/>
      <c r="K130" s="937"/>
      <c r="L130" s="938"/>
      <c r="M130" s="936"/>
      <c r="N130" s="936"/>
      <c r="O130" s="936"/>
      <c r="P130" s="936"/>
      <c r="Q130" s="936"/>
      <c r="R130" s="936"/>
      <c r="S130" s="936"/>
      <c r="T130" s="936"/>
    </row>
    <row r="131" spans="1:20">
      <c r="A131" s="936"/>
      <c r="B131" s="936"/>
      <c r="C131" s="936"/>
      <c r="D131" s="936"/>
      <c r="E131" s="936"/>
      <c r="F131" s="936"/>
      <c r="G131" s="936"/>
      <c r="H131" s="936"/>
      <c r="I131" s="936"/>
      <c r="J131" s="936"/>
      <c r="K131" s="937"/>
      <c r="L131" s="938"/>
      <c r="M131" s="936"/>
      <c r="N131" s="936"/>
      <c r="O131" s="936"/>
      <c r="P131" s="936"/>
      <c r="Q131" s="936"/>
      <c r="R131" s="936"/>
      <c r="S131" s="936"/>
      <c r="T131" s="936"/>
    </row>
    <row r="132" spans="1:20">
      <c r="A132" s="936"/>
      <c r="B132" s="936"/>
      <c r="C132" s="936"/>
      <c r="D132" s="936"/>
      <c r="E132" s="936"/>
      <c r="F132" s="936"/>
      <c r="G132" s="936"/>
      <c r="H132" s="936"/>
      <c r="I132" s="936"/>
      <c r="J132" s="936"/>
      <c r="K132" s="937"/>
      <c r="L132" s="938"/>
      <c r="M132" s="936"/>
      <c r="N132" s="936"/>
      <c r="O132" s="936"/>
      <c r="P132" s="936"/>
      <c r="Q132" s="936"/>
      <c r="R132" s="936"/>
      <c r="S132" s="936"/>
      <c r="T132" s="936"/>
    </row>
    <row r="133" spans="1:20">
      <c r="A133" s="936"/>
      <c r="B133" s="936"/>
      <c r="C133" s="936"/>
      <c r="D133" s="936"/>
      <c r="E133" s="936"/>
      <c r="F133" s="936"/>
      <c r="G133" s="936"/>
      <c r="H133" s="936"/>
      <c r="I133" s="936"/>
      <c r="J133" s="936"/>
      <c r="K133" s="937"/>
      <c r="L133" s="938"/>
      <c r="M133" s="936"/>
      <c r="N133" s="936"/>
      <c r="O133" s="936"/>
      <c r="P133" s="936"/>
      <c r="Q133" s="936"/>
      <c r="R133" s="936"/>
      <c r="S133" s="936"/>
      <c r="T133" s="936"/>
    </row>
    <row r="134" spans="1:20">
      <c r="A134" s="936"/>
      <c r="B134" s="936"/>
      <c r="C134" s="936"/>
      <c r="D134" s="936"/>
      <c r="E134" s="936"/>
      <c r="F134" s="936"/>
      <c r="G134" s="936"/>
      <c r="H134" s="936"/>
      <c r="I134" s="936"/>
      <c r="J134" s="936"/>
      <c r="K134" s="937"/>
      <c r="L134" s="938"/>
      <c r="M134" s="936"/>
      <c r="N134" s="936"/>
      <c r="O134" s="936"/>
      <c r="P134" s="936"/>
      <c r="Q134" s="936"/>
      <c r="R134" s="936"/>
      <c r="S134" s="936"/>
      <c r="T134" s="936"/>
    </row>
    <row r="135" spans="1:20">
      <c r="A135" s="936"/>
      <c r="B135" s="936"/>
      <c r="C135" s="936"/>
      <c r="D135" s="936"/>
      <c r="E135" s="936"/>
      <c r="F135" s="936"/>
      <c r="G135" s="936"/>
      <c r="H135" s="936"/>
      <c r="I135" s="936"/>
      <c r="J135" s="936"/>
      <c r="K135" s="937"/>
      <c r="L135" s="938"/>
      <c r="M135" s="936"/>
      <c r="N135" s="936"/>
      <c r="O135" s="936"/>
      <c r="P135" s="936"/>
      <c r="Q135" s="936"/>
      <c r="R135" s="936"/>
      <c r="S135" s="936"/>
      <c r="T135" s="936"/>
    </row>
    <row r="136" spans="1:20">
      <c r="A136" s="936"/>
      <c r="B136" s="936"/>
      <c r="C136" s="936"/>
      <c r="D136" s="936"/>
      <c r="E136" s="936"/>
      <c r="F136" s="936"/>
      <c r="G136" s="936"/>
      <c r="H136" s="936"/>
      <c r="I136" s="936"/>
      <c r="J136" s="936"/>
      <c r="K136" s="937"/>
      <c r="L136" s="938"/>
      <c r="M136" s="936"/>
      <c r="N136" s="936"/>
      <c r="O136" s="936"/>
      <c r="P136" s="936"/>
      <c r="Q136" s="936"/>
      <c r="R136" s="936"/>
      <c r="S136" s="936"/>
      <c r="T136" s="936"/>
    </row>
    <row r="137" spans="1:20">
      <c r="A137" s="936"/>
      <c r="B137" s="936"/>
      <c r="C137" s="936"/>
      <c r="D137" s="936"/>
      <c r="E137" s="936"/>
      <c r="F137" s="936"/>
      <c r="G137" s="936"/>
      <c r="H137" s="936"/>
      <c r="I137" s="936"/>
      <c r="J137" s="936"/>
      <c r="K137" s="937"/>
      <c r="L137" s="938"/>
      <c r="M137" s="936"/>
      <c r="N137" s="936"/>
      <c r="O137" s="936"/>
      <c r="P137" s="936"/>
      <c r="Q137" s="936"/>
      <c r="R137" s="936"/>
      <c r="S137" s="936"/>
      <c r="T137" s="936"/>
    </row>
    <row r="138" spans="1:20">
      <c r="A138" s="936"/>
      <c r="B138" s="936"/>
      <c r="C138" s="936"/>
      <c r="D138" s="936"/>
      <c r="E138" s="936"/>
      <c r="F138" s="936"/>
      <c r="G138" s="936"/>
      <c r="H138" s="936"/>
      <c r="I138" s="936"/>
      <c r="J138" s="936"/>
      <c r="K138" s="937"/>
      <c r="L138" s="938"/>
      <c r="M138" s="936"/>
      <c r="N138" s="936"/>
      <c r="O138" s="936"/>
      <c r="P138" s="936"/>
      <c r="Q138" s="936"/>
      <c r="R138" s="936"/>
      <c r="S138" s="936"/>
      <c r="T138" s="936"/>
    </row>
    <row r="139" spans="1:20">
      <c r="A139" s="936"/>
      <c r="B139" s="936"/>
      <c r="C139" s="936"/>
      <c r="D139" s="936"/>
      <c r="E139" s="936"/>
      <c r="F139" s="936"/>
      <c r="G139" s="936"/>
      <c r="H139" s="936"/>
      <c r="I139" s="936"/>
      <c r="J139" s="936"/>
      <c r="K139" s="937"/>
      <c r="L139" s="938"/>
      <c r="M139" s="936"/>
      <c r="N139" s="936"/>
      <c r="O139" s="936"/>
      <c r="P139" s="936"/>
      <c r="Q139" s="936"/>
      <c r="R139" s="936"/>
      <c r="S139" s="936"/>
      <c r="T139" s="936"/>
    </row>
    <row r="140" spans="1:20">
      <c r="A140" s="936"/>
      <c r="B140" s="936"/>
      <c r="C140" s="936"/>
      <c r="D140" s="936"/>
      <c r="E140" s="936"/>
      <c r="F140" s="936"/>
      <c r="G140" s="936"/>
      <c r="H140" s="936"/>
      <c r="I140" s="936"/>
      <c r="J140" s="936"/>
      <c r="K140" s="937"/>
      <c r="L140" s="938"/>
      <c r="M140" s="936"/>
      <c r="N140" s="936"/>
      <c r="O140" s="936"/>
      <c r="P140" s="936"/>
      <c r="Q140" s="936"/>
      <c r="R140" s="936"/>
      <c r="S140" s="936"/>
      <c r="T140" s="936"/>
    </row>
    <row r="141" spans="1:20">
      <c r="A141" s="936"/>
      <c r="B141" s="936"/>
      <c r="C141" s="936"/>
      <c r="D141" s="936"/>
      <c r="E141" s="936"/>
      <c r="F141" s="936"/>
      <c r="G141" s="936"/>
      <c r="H141" s="936"/>
      <c r="I141" s="936"/>
      <c r="J141" s="936"/>
      <c r="K141" s="937"/>
      <c r="L141" s="938"/>
      <c r="M141" s="936"/>
      <c r="N141" s="936"/>
      <c r="O141" s="936"/>
      <c r="P141" s="936"/>
      <c r="Q141" s="936"/>
      <c r="R141" s="936"/>
      <c r="S141" s="936"/>
      <c r="T141" s="936"/>
    </row>
    <row r="142" spans="1:20">
      <c r="A142" s="936"/>
      <c r="B142" s="936"/>
      <c r="C142" s="936"/>
      <c r="D142" s="936"/>
      <c r="E142" s="936"/>
      <c r="F142" s="936"/>
      <c r="G142" s="936"/>
      <c r="H142" s="936"/>
      <c r="I142" s="936"/>
      <c r="J142" s="936"/>
      <c r="K142" s="937"/>
      <c r="L142" s="938"/>
      <c r="M142" s="936"/>
      <c r="N142" s="936"/>
      <c r="O142" s="936"/>
      <c r="P142" s="936"/>
      <c r="Q142" s="936"/>
      <c r="R142" s="936"/>
      <c r="S142" s="936"/>
      <c r="T142" s="936"/>
    </row>
    <row r="143" spans="1:20">
      <c r="A143" s="936"/>
      <c r="B143" s="936"/>
      <c r="C143" s="936"/>
      <c r="D143" s="936"/>
      <c r="E143" s="936"/>
      <c r="F143" s="936"/>
      <c r="G143" s="936"/>
      <c r="H143" s="936"/>
      <c r="I143" s="936"/>
      <c r="J143" s="936"/>
      <c r="K143" s="937"/>
      <c r="L143" s="938"/>
      <c r="M143" s="936"/>
      <c r="N143" s="936"/>
      <c r="O143" s="936"/>
      <c r="P143" s="936"/>
      <c r="Q143" s="936"/>
      <c r="R143" s="936"/>
      <c r="S143" s="936"/>
      <c r="T143" s="936"/>
    </row>
    <row r="144" spans="1:20">
      <c r="A144" s="936"/>
      <c r="B144" s="936"/>
      <c r="C144" s="936"/>
      <c r="D144" s="936"/>
      <c r="E144" s="936"/>
      <c r="F144" s="936"/>
      <c r="G144" s="936"/>
      <c r="H144" s="936"/>
      <c r="I144" s="936"/>
      <c r="J144" s="936"/>
      <c r="K144" s="937"/>
      <c r="L144" s="938"/>
      <c r="M144" s="936"/>
      <c r="N144" s="936"/>
      <c r="O144" s="936"/>
      <c r="P144" s="936"/>
      <c r="Q144" s="936"/>
      <c r="R144" s="936"/>
      <c r="S144" s="936"/>
      <c r="T144" s="936"/>
    </row>
    <row r="145" spans="1:20">
      <c r="A145" s="936"/>
      <c r="B145" s="936"/>
      <c r="C145" s="936"/>
      <c r="D145" s="936"/>
      <c r="E145" s="936"/>
      <c r="F145" s="936"/>
      <c r="G145" s="936"/>
      <c r="H145" s="936"/>
      <c r="I145" s="936"/>
      <c r="J145" s="936"/>
      <c r="K145" s="937"/>
      <c r="L145" s="938"/>
      <c r="M145" s="936"/>
      <c r="N145" s="936"/>
      <c r="O145" s="936"/>
      <c r="P145" s="936"/>
      <c r="Q145" s="936"/>
      <c r="R145" s="936"/>
      <c r="S145" s="936"/>
      <c r="T145" s="936"/>
    </row>
    <row r="146" spans="1:20">
      <c r="A146" s="936"/>
      <c r="B146" s="936"/>
      <c r="C146" s="936"/>
      <c r="D146" s="936"/>
      <c r="E146" s="936"/>
      <c r="F146" s="936"/>
      <c r="G146" s="936"/>
      <c r="H146" s="936"/>
      <c r="I146" s="936"/>
      <c r="J146" s="936"/>
      <c r="K146" s="937"/>
      <c r="L146" s="938"/>
      <c r="M146" s="936"/>
      <c r="N146" s="936"/>
      <c r="O146" s="936"/>
      <c r="P146" s="936"/>
      <c r="Q146" s="936"/>
      <c r="R146" s="936"/>
      <c r="S146" s="936"/>
      <c r="T146" s="936"/>
    </row>
    <row r="147" spans="1:20">
      <c r="A147" s="936"/>
      <c r="B147" s="936"/>
      <c r="C147" s="936"/>
      <c r="D147" s="936"/>
      <c r="E147" s="936"/>
      <c r="F147" s="936"/>
      <c r="G147" s="936"/>
      <c r="H147" s="936"/>
      <c r="I147" s="936"/>
      <c r="J147" s="936"/>
      <c r="K147" s="937"/>
      <c r="L147" s="938"/>
      <c r="M147" s="936"/>
      <c r="N147" s="936"/>
      <c r="O147" s="936"/>
      <c r="P147" s="936"/>
      <c r="Q147" s="936"/>
      <c r="R147" s="936"/>
      <c r="S147" s="936"/>
      <c r="T147" s="936"/>
    </row>
    <row r="148" spans="1:20">
      <c r="A148" s="936"/>
      <c r="B148" s="936"/>
      <c r="C148" s="936"/>
      <c r="D148" s="936"/>
      <c r="E148" s="936"/>
      <c r="F148" s="936"/>
      <c r="G148" s="936"/>
      <c r="H148" s="936"/>
      <c r="I148" s="936"/>
      <c r="J148" s="936"/>
      <c r="K148" s="937"/>
      <c r="L148" s="938"/>
      <c r="M148" s="936"/>
      <c r="N148" s="936"/>
      <c r="O148" s="936"/>
      <c r="P148" s="936"/>
      <c r="Q148" s="936"/>
      <c r="R148" s="936"/>
      <c r="S148" s="936"/>
      <c r="T148" s="936"/>
    </row>
    <row r="149" spans="1:20">
      <c r="A149" s="936"/>
      <c r="B149" s="936"/>
      <c r="C149" s="936"/>
      <c r="D149" s="936"/>
      <c r="E149" s="936"/>
      <c r="F149" s="936"/>
      <c r="G149" s="936"/>
      <c r="H149" s="936"/>
      <c r="I149" s="936"/>
      <c r="J149" s="936"/>
      <c r="K149" s="937"/>
      <c r="L149" s="938"/>
      <c r="M149" s="936"/>
      <c r="N149" s="936"/>
      <c r="O149" s="936"/>
      <c r="P149" s="936"/>
      <c r="Q149" s="936"/>
      <c r="R149" s="936"/>
      <c r="S149" s="936"/>
      <c r="T149" s="936"/>
    </row>
    <row r="150" spans="1:20">
      <c r="A150" s="936"/>
      <c r="B150" s="936"/>
      <c r="C150" s="936"/>
      <c r="D150" s="936"/>
      <c r="E150" s="936"/>
      <c r="F150" s="936"/>
      <c r="G150" s="936"/>
      <c r="H150" s="936"/>
      <c r="I150" s="936"/>
      <c r="J150" s="936"/>
      <c r="K150" s="937"/>
      <c r="L150" s="938"/>
      <c r="M150" s="936"/>
      <c r="N150" s="936"/>
      <c r="O150" s="936"/>
      <c r="P150" s="936"/>
      <c r="Q150" s="936"/>
      <c r="R150" s="936"/>
      <c r="S150" s="936"/>
      <c r="T150" s="936"/>
    </row>
    <row r="151" spans="1:20">
      <c r="A151" s="936"/>
      <c r="B151" s="936"/>
      <c r="C151" s="936"/>
      <c r="D151" s="936"/>
      <c r="E151" s="936"/>
      <c r="F151" s="936"/>
      <c r="G151" s="936"/>
      <c r="H151" s="936"/>
      <c r="I151" s="936"/>
      <c r="J151" s="936"/>
      <c r="K151" s="937"/>
      <c r="L151" s="938"/>
      <c r="M151" s="936"/>
      <c r="N151" s="936"/>
      <c r="O151" s="936"/>
      <c r="P151" s="936"/>
      <c r="Q151" s="936"/>
      <c r="R151" s="936"/>
      <c r="S151" s="936"/>
      <c r="T151" s="936"/>
    </row>
    <row r="152" spans="1:20">
      <c r="A152" s="936"/>
      <c r="B152" s="936"/>
      <c r="C152" s="936"/>
      <c r="D152" s="936"/>
      <c r="E152" s="936"/>
      <c r="F152" s="936"/>
      <c r="G152" s="936"/>
      <c r="H152" s="936"/>
      <c r="I152" s="936"/>
      <c r="J152" s="936"/>
      <c r="K152" s="937"/>
      <c r="L152" s="938"/>
      <c r="M152" s="936"/>
      <c r="N152" s="936"/>
      <c r="O152" s="936"/>
      <c r="P152" s="936"/>
      <c r="Q152" s="936"/>
      <c r="R152" s="936"/>
      <c r="S152" s="936"/>
      <c r="T152" s="936"/>
    </row>
    <row r="153" spans="1:20">
      <c r="A153" s="936"/>
      <c r="B153" s="936"/>
      <c r="C153" s="936"/>
      <c r="D153" s="936"/>
      <c r="E153" s="936"/>
      <c r="F153" s="936"/>
      <c r="G153" s="936"/>
      <c r="H153" s="936"/>
      <c r="I153" s="936"/>
      <c r="J153" s="936"/>
      <c r="K153" s="937"/>
      <c r="L153" s="938"/>
      <c r="M153" s="936"/>
      <c r="N153" s="936"/>
      <c r="O153" s="936"/>
      <c r="P153" s="936"/>
      <c r="Q153" s="936"/>
      <c r="R153" s="936"/>
      <c r="S153" s="936"/>
      <c r="T153" s="936"/>
    </row>
    <row r="154" spans="1:20">
      <c r="A154" s="936"/>
      <c r="B154" s="936"/>
      <c r="C154" s="936"/>
      <c r="D154" s="936"/>
      <c r="E154" s="936"/>
      <c r="F154" s="936"/>
      <c r="G154" s="936"/>
      <c r="H154" s="936"/>
      <c r="I154" s="936"/>
      <c r="J154" s="936"/>
      <c r="K154" s="937"/>
      <c r="L154" s="938"/>
      <c r="M154" s="936"/>
      <c r="N154" s="936"/>
      <c r="O154" s="936"/>
      <c r="P154" s="936"/>
      <c r="Q154" s="936"/>
      <c r="R154" s="936"/>
      <c r="S154" s="936"/>
      <c r="T154" s="936"/>
    </row>
    <row r="155" spans="1:20">
      <c r="A155" s="936"/>
      <c r="B155" s="936"/>
      <c r="C155" s="936"/>
      <c r="D155" s="936"/>
      <c r="E155" s="936"/>
      <c r="F155" s="936"/>
      <c r="G155" s="936"/>
      <c r="H155" s="936"/>
      <c r="I155" s="936"/>
      <c r="J155" s="936"/>
      <c r="K155" s="937"/>
      <c r="L155" s="938"/>
      <c r="M155" s="936"/>
      <c r="N155" s="936"/>
      <c r="O155" s="936"/>
      <c r="P155" s="936"/>
      <c r="Q155" s="936"/>
      <c r="R155" s="936"/>
      <c r="S155" s="936"/>
      <c r="T155" s="936"/>
    </row>
    <row r="156" spans="1:20">
      <c r="A156" s="936"/>
      <c r="B156" s="936"/>
      <c r="C156" s="936"/>
      <c r="D156" s="936"/>
      <c r="E156" s="936"/>
      <c r="F156" s="936"/>
      <c r="G156" s="936"/>
      <c r="H156" s="936"/>
      <c r="I156" s="936"/>
      <c r="J156" s="936"/>
      <c r="K156" s="937"/>
      <c r="L156" s="938"/>
      <c r="M156" s="936"/>
      <c r="N156" s="936"/>
      <c r="O156" s="936"/>
      <c r="P156" s="936"/>
      <c r="Q156" s="936"/>
      <c r="R156" s="936"/>
      <c r="S156" s="936"/>
      <c r="T156" s="936"/>
    </row>
    <row r="157" spans="1:20">
      <c r="A157" s="936"/>
      <c r="B157" s="936"/>
      <c r="C157" s="936"/>
      <c r="D157" s="936"/>
      <c r="E157" s="936"/>
      <c r="F157" s="936"/>
      <c r="G157" s="936"/>
      <c r="H157" s="936"/>
      <c r="I157" s="936"/>
      <c r="J157" s="936"/>
      <c r="K157" s="937"/>
      <c r="L157" s="938"/>
      <c r="M157" s="936"/>
      <c r="N157" s="936"/>
      <c r="O157" s="936"/>
      <c r="P157" s="936"/>
      <c r="Q157" s="936"/>
      <c r="R157" s="936"/>
      <c r="S157" s="936"/>
      <c r="T157" s="936"/>
    </row>
    <row r="158" spans="1:20">
      <c r="A158" s="936"/>
      <c r="B158" s="936"/>
      <c r="C158" s="936"/>
      <c r="D158" s="936"/>
      <c r="E158" s="936"/>
      <c r="F158" s="936"/>
      <c r="G158" s="936"/>
      <c r="H158" s="936"/>
      <c r="I158" s="936"/>
      <c r="J158" s="936"/>
      <c r="K158" s="937"/>
      <c r="L158" s="938"/>
      <c r="M158" s="936"/>
      <c r="N158" s="936"/>
      <c r="O158" s="936"/>
      <c r="P158" s="936"/>
      <c r="Q158" s="936"/>
      <c r="R158" s="936"/>
      <c r="S158" s="936"/>
      <c r="T158" s="936"/>
    </row>
    <row r="159" spans="1:20">
      <c r="A159" s="936"/>
      <c r="B159" s="936"/>
      <c r="C159" s="936"/>
      <c r="D159" s="936"/>
      <c r="E159" s="936"/>
      <c r="F159" s="936"/>
      <c r="G159" s="936"/>
      <c r="H159" s="936"/>
      <c r="I159" s="936"/>
      <c r="J159" s="936"/>
      <c r="K159" s="937"/>
      <c r="L159" s="938"/>
      <c r="M159" s="936"/>
      <c r="N159" s="936"/>
      <c r="O159" s="936"/>
      <c r="P159" s="936"/>
      <c r="Q159" s="936"/>
      <c r="R159" s="936"/>
      <c r="S159" s="936"/>
      <c r="T159" s="936"/>
    </row>
    <row r="160" spans="1:20">
      <c r="A160" s="936"/>
      <c r="B160" s="936"/>
      <c r="C160" s="936"/>
      <c r="D160" s="936"/>
      <c r="E160" s="936"/>
      <c r="F160" s="936"/>
      <c r="G160" s="936"/>
      <c r="H160" s="936"/>
      <c r="I160" s="936"/>
      <c r="J160" s="936"/>
      <c r="K160" s="937"/>
      <c r="L160" s="938"/>
      <c r="M160" s="936"/>
      <c r="N160" s="936"/>
      <c r="O160" s="936"/>
      <c r="P160" s="936"/>
      <c r="Q160" s="936"/>
      <c r="R160" s="936"/>
      <c r="S160" s="936"/>
      <c r="T160" s="936"/>
    </row>
    <row r="161" spans="1:20">
      <c r="A161" s="936"/>
      <c r="B161" s="936"/>
      <c r="C161" s="936"/>
      <c r="D161" s="936"/>
      <c r="E161" s="936"/>
      <c r="F161" s="936"/>
      <c r="G161" s="936"/>
      <c r="H161" s="936"/>
      <c r="I161" s="936"/>
      <c r="J161" s="936"/>
      <c r="K161" s="937"/>
      <c r="L161" s="938"/>
      <c r="M161" s="936"/>
      <c r="N161" s="936"/>
      <c r="O161" s="936"/>
      <c r="P161" s="936"/>
      <c r="Q161" s="936"/>
      <c r="R161" s="936"/>
      <c r="S161" s="936"/>
      <c r="T161" s="936"/>
    </row>
    <row r="162" spans="1:20">
      <c r="A162" s="936"/>
      <c r="B162" s="936"/>
      <c r="C162" s="936"/>
      <c r="D162" s="936"/>
      <c r="E162" s="936"/>
      <c r="F162" s="936"/>
      <c r="G162" s="936"/>
      <c r="H162" s="936"/>
      <c r="I162" s="936"/>
      <c r="J162" s="936"/>
      <c r="K162" s="937"/>
      <c r="L162" s="938"/>
      <c r="M162" s="936"/>
      <c r="N162" s="936"/>
      <c r="O162" s="936"/>
      <c r="P162" s="936"/>
      <c r="Q162" s="936"/>
      <c r="R162" s="936"/>
      <c r="S162" s="936"/>
      <c r="T162" s="936"/>
    </row>
    <row r="163" spans="1:20">
      <c r="A163" s="936"/>
      <c r="B163" s="936"/>
      <c r="C163" s="936"/>
      <c r="D163" s="936"/>
      <c r="E163" s="936"/>
      <c r="F163" s="936"/>
      <c r="G163" s="936"/>
      <c r="H163" s="936"/>
      <c r="I163" s="936"/>
      <c r="J163" s="936"/>
      <c r="K163" s="937"/>
      <c r="L163" s="938"/>
      <c r="M163" s="936"/>
      <c r="N163" s="936"/>
      <c r="O163" s="936"/>
      <c r="P163" s="936"/>
      <c r="Q163" s="936"/>
      <c r="R163" s="936"/>
      <c r="S163" s="936"/>
      <c r="T163" s="936"/>
    </row>
    <row r="164" spans="1:20">
      <c r="A164" s="936"/>
      <c r="B164" s="936"/>
      <c r="C164" s="936"/>
      <c r="D164" s="936"/>
      <c r="E164" s="936"/>
      <c r="F164" s="936"/>
      <c r="G164" s="936"/>
      <c r="H164" s="936"/>
      <c r="I164" s="936"/>
      <c r="J164" s="936"/>
      <c r="K164" s="937"/>
      <c r="L164" s="938"/>
      <c r="M164" s="936"/>
      <c r="N164" s="936"/>
      <c r="O164" s="936"/>
      <c r="P164" s="936"/>
      <c r="Q164" s="936"/>
      <c r="R164" s="936"/>
      <c r="S164" s="936"/>
      <c r="T164" s="936"/>
    </row>
    <row r="165" spans="1:20">
      <c r="A165" s="936"/>
      <c r="B165" s="936"/>
      <c r="C165" s="936"/>
      <c r="D165" s="936"/>
      <c r="E165" s="936"/>
      <c r="F165" s="936"/>
      <c r="G165" s="936"/>
      <c r="H165" s="936"/>
      <c r="I165" s="936"/>
      <c r="J165" s="936"/>
      <c r="K165" s="937"/>
      <c r="L165" s="938"/>
      <c r="M165" s="936"/>
      <c r="N165" s="936"/>
      <c r="O165" s="936"/>
      <c r="P165" s="936"/>
      <c r="Q165" s="936"/>
      <c r="R165" s="936"/>
      <c r="S165" s="936"/>
      <c r="T165" s="936"/>
    </row>
    <row r="166" spans="1:20">
      <c r="A166" s="936"/>
      <c r="B166" s="936"/>
      <c r="C166" s="936"/>
      <c r="D166" s="936"/>
      <c r="E166" s="936"/>
      <c r="F166" s="936"/>
      <c r="G166" s="936"/>
      <c r="H166" s="936"/>
      <c r="I166" s="936"/>
      <c r="J166" s="936"/>
      <c r="K166" s="937"/>
      <c r="L166" s="938"/>
      <c r="M166" s="936"/>
      <c r="N166" s="936"/>
      <c r="O166" s="936"/>
      <c r="P166" s="936"/>
      <c r="Q166" s="936"/>
      <c r="R166" s="936"/>
      <c r="S166" s="936"/>
      <c r="T166" s="936"/>
    </row>
    <row r="167" spans="1:20">
      <c r="A167" s="936"/>
      <c r="B167" s="936"/>
      <c r="C167" s="936"/>
      <c r="D167" s="936"/>
      <c r="E167" s="936"/>
      <c r="F167" s="936"/>
      <c r="G167" s="936"/>
      <c r="H167" s="936"/>
      <c r="I167" s="936"/>
      <c r="J167" s="936"/>
      <c r="K167" s="937"/>
      <c r="L167" s="938"/>
      <c r="M167" s="936"/>
      <c r="N167" s="936"/>
      <c r="O167" s="936"/>
      <c r="P167" s="936"/>
      <c r="Q167" s="936"/>
      <c r="R167" s="936"/>
      <c r="S167" s="936"/>
      <c r="T167" s="936"/>
    </row>
    <row r="168" spans="1:20">
      <c r="A168" s="936"/>
      <c r="B168" s="936"/>
      <c r="C168" s="936"/>
      <c r="D168" s="936"/>
      <c r="E168" s="936"/>
      <c r="F168" s="936"/>
      <c r="G168" s="936"/>
      <c r="H168" s="936"/>
      <c r="I168" s="936"/>
      <c r="J168" s="936"/>
      <c r="K168" s="937"/>
      <c r="L168" s="938"/>
      <c r="M168" s="936"/>
      <c r="N168" s="936"/>
      <c r="O168" s="936"/>
      <c r="P168" s="936"/>
      <c r="Q168" s="936"/>
      <c r="R168" s="936"/>
      <c r="S168" s="936"/>
      <c r="T168" s="936"/>
    </row>
    <row r="169" spans="1:20">
      <c r="A169" s="936"/>
      <c r="B169" s="936"/>
      <c r="C169" s="936"/>
      <c r="D169" s="936"/>
      <c r="E169" s="936"/>
      <c r="F169" s="936"/>
      <c r="G169" s="936"/>
      <c r="H169" s="936"/>
      <c r="I169" s="936"/>
      <c r="J169" s="936"/>
      <c r="K169" s="937"/>
      <c r="L169" s="938"/>
      <c r="M169" s="936"/>
      <c r="N169" s="936"/>
      <c r="O169" s="936"/>
      <c r="P169" s="936"/>
      <c r="Q169" s="936"/>
      <c r="R169" s="936"/>
      <c r="S169" s="936"/>
      <c r="T169" s="936"/>
    </row>
    <row r="170" spans="1:20">
      <c r="A170" s="936"/>
      <c r="B170" s="936"/>
      <c r="C170" s="936"/>
      <c r="D170" s="936"/>
      <c r="E170" s="936"/>
      <c r="F170" s="936"/>
      <c r="G170" s="936"/>
      <c r="H170" s="936"/>
      <c r="I170" s="936"/>
      <c r="J170" s="936"/>
      <c r="K170" s="937"/>
      <c r="L170" s="938"/>
      <c r="M170" s="936"/>
      <c r="N170" s="936"/>
      <c r="O170" s="936"/>
      <c r="P170" s="936"/>
      <c r="Q170" s="936"/>
      <c r="R170" s="936"/>
      <c r="S170" s="936"/>
      <c r="T170" s="936"/>
    </row>
    <row r="171" spans="1:20">
      <c r="A171" s="936"/>
      <c r="B171" s="936"/>
      <c r="C171" s="936"/>
      <c r="D171" s="936"/>
      <c r="E171" s="936"/>
      <c r="F171" s="936"/>
      <c r="G171" s="936"/>
      <c r="H171" s="936"/>
      <c r="I171" s="936"/>
      <c r="J171" s="936"/>
      <c r="K171" s="937"/>
      <c r="L171" s="938"/>
      <c r="M171" s="936"/>
      <c r="N171" s="936"/>
      <c r="O171" s="936"/>
      <c r="P171" s="936"/>
      <c r="Q171" s="936"/>
      <c r="R171" s="936"/>
      <c r="S171" s="936"/>
      <c r="T171" s="936"/>
    </row>
    <row r="172" spans="1:20">
      <c r="A172" s="936"/>
      <c r="B172" s="936"/>
      <c r="C172" s="936"/>
      <c r="D172" s="936"/>
      <c r="E172" s="936"/>
      <c r="F172" s="936"/>
      <c r="G172" s="936"/>
      <c r="H172" s="936"/>
      <c r="I172" s="936"/>
      <c r="J172" s="936"/>
      <c r="K172" s="937"/>
      <c r="L172" s="938"/>
      <c r="M172" s="936"/>
      <c r="N172" s="936"/>
      <c r="O172" s="936"/>
      <c r="P172" s="936"/>
      <c r="Q172" s="936"/>
      <c r="R172" s="936"/>
      <c r="S172" s="936"/>
      <c r="T172" s="936"/>
    </row>
    <row r="173" spans="1:20">
      <c r="A173" s="936"/>
      <c r="B173" s="936"/>
      <c r="C173" s="936"/>
      <c r="D173" s="936"/>
      <c r="E173" s="936"/>
      <c r="F173" s="936"/>
      <c r="G173" s="936"/>
      <c r="H173" s="936"/>
      <c r="I173" s="936"/>
      <c r="J173" s="936"/>
      <c r="K173" s="937"/>
      <c r="L173" s="938"/>
      <c r="M173" s="936"/>
      <c r="N173" s="936"/>
      <c r="O173" s="936"/>
      <c r="P173" s="936"/>
      <c r="Q173" s="936"/>
      <c r="R173" s="936"/>
      <c r="S173" s="936"/>
      <c r="T173" s="936"/>
    </row>
    <row r="174" spans="1:20">
      <c r="A174" s="936"/>
      <c r="B174" s="936"/>
      <c r="C174" s="936"/>
      <c r="D174" s="936"/>
      <c r="E174" s="936"/>
      <c r="F174" s="936"/>
      <c r="G174" s="936"/>
      <c r="H174" s="936"/>
      <c r="I174" s="936"/>
      <c r="J174" s="936"/>
      <c r="K174" s="937"/>
      <c r="L174" s="938"/>
      <c r="M174" s="936"/>
      <c r="N174" s="936"/>
      <c r="O174" s="936"/>
      <c r="P174" s="936"/>
      <c r="Q174" s="936"/>
      <c r="R174" s="936"/>
      <c r="S174" s="936"/>
      <c r="T174" s="936"/>
    </row>
    <row r="175" spans="1:20">
      <c r="A175" s="936"/>
      <c r="B175" s="936"/>
      <c r="C175" s="936"/>
      <c r="D175" s="936"/>
      <c r="E175" s="936"/>
      <c r="F175" s="936"/>
      <c r="G175" s="936"/>
      <c r="H175" s="936"/>
      <c r="I175" s="936"/>
      <c r="J175" s="936"/>
      <c r="K175" s="937"/>
      <c r="L175" s="938"/>
      <c r="M175" s="936"/>
      <c r="N175" s="936"/>
      <c r="O175" s="936"/>
      <c r="P175" s="936"/>
      <c r="Q175" s="936"/>
      <c r="R175" s="936"/>
      <c r="S175" s="936"/>
      <c r="T175" s="936"/>
    </row>
    <row r="176" spans="1:20">
      <c r="A176" s="936"/>
      <c r="B176" s="936"/>
      <c r="C176" s="936"/>
      <c r="D176" s="936"/>
      <c r="E176" s="936"/>
      <c r="F176" s="936"/>
      <c r="G176" s="936"/>
      <c r="H176" s="936"/>
      <c r="I176" s="936"/>
      <c r="J176" s="936"/>
      <c r="K176" s="937"/>
      <c r="L176" s="938"/>
      <c r="M176" s="936"/>
      <c r="N176" s="936"/>
      <c r="O176" s="936"/>
      <c r="P176" s="936"/>
      <c r="Q176" s="936"/>
      <c r="R176" s="936"/>
      <c r="S176" s="936"/>
      <c r="T176" s="936"/>
    </row>
    <row r="177" spans="1:20">
      <c r="A177" s="936"/>
      <c r="B177" s="936"/>
      <c r="C177" s="936"/>
      <c r="D177" s="936"/>
      <c r="E177" s="936"/>
      <c r="F177" s="936"/>
      <c r="G177" s="936"/>
      <c r="H177" s="936"/>
      <c r="I177" s="936"/>
      <c r="J177" s="936"/>
      <c r="K177" s="937"/>
      <c r="L177" s="938"/>
      <c r="M177" s="936"/>
      <c r="N177" s="936"/>
      <c r="O177" s="936"/>
      <c r="P177" s="936"/>
      <c r="Q177" s="936"/>
      <c r="R177" s="936"/>
      <c r="S177" s="936"/>
      <c r="T177" s="936"/>
    </row>
    <row r="178" spans="1:20">
      <c r="A178" s="936"/>
      <c r="B178" s="936"/>
      <c r="C178" s="936"/>
      <c r="D178" s="936"/>
      <c r="E178" s="936"/>
      <c r="F178" s="936"/>
      <c r="G178" s="936"/>
      <c r="H178" s="936"/>
      <c r="I178" s="936"/>
      <c r="J178" s="936"/>
      <c r="K178" s="937"/>
      <c r="L178" s="938"/>
      <c r="M178" s="936"/>
      <c r="N178" s="936"/>
      <c r="O178" s="936"/>
      <c r="P178" s="936"/>
      <c r="Q178" s="936"/>
      <c r="R178" s="936"/>
      <c r="S178" s="936"/>
      <c r="T178" s="936"/>
    </row>
    <row r="179" spans="1:20">
      <c r="A179" s="936"/>
      <c r="B179" s="936"/>
      <c r="C179" s="936"/>
      <c r="D179" s="936"/>
      <c r="E179" s="936"/>
      <c r="F179" s="936"/>
      <c r="G179" s="936"/>
      <c r="H179" s="936"/>
      <c r="I179" s="936"/>
      <c r="J179" s="936"/>
      <c r="K179" s="937"/>
      <c r="L179" s="938"/>
      <c r="M179" s="936"/>
      <c r="N179" s="936"/>
      <c r="O179" s="936"/>
      <c r="P179" s="936"/>
      <c r="Q179" s="936"/>
      <c r="R179" s="936"/>
      <c r="S179" s="936"/>
      <c r="T179" s="936"/>
    </row>
    <row r="180" spans="1:20">
      <c r="A180" s="936"/>
      <c r="B180" s="936"/>
      <c r="C180" s="936"/>
      <c r="D180" s="936"/>
      <c r="E180" s="936"/>
      <c r="F180" s="936"/>
      <c r="G180" s="936"/>
      <c r="H180" s="936"/>
      <c r="I180" s="936"/>
      <c r="J180" s="936"/>
      <c r="K180" s="937"/>
      <c r="L180" s="938"/>
      <c r="M180" s="936"/>
      <c r="N180" s="936"/>
      <c r="O180" s="936"/>
      <c r="P180" s="936"/>
      <c r="Q180" s="936"/>
      <c r="R180" s="936"/>
      <c r="S180" s="936"/>
      <c r="T180" s="936"/>
    </row>
    <row r="181" spans="1:20">
      <c r="A181" s="936"/>
      <c r="B181" s="936"/>
      <c r="C181" s="936"/>
      <c r="D181" s="936"/>
      <c r="E181" s="936"/>
      <c r="F181" s="936"/>
      <c r="G181" s="936"/>
      <c r="H181" s="936"/>
      <c r="I181" s="936"/>
      <c r="J181" s="936"/>
      <c r="K181" s="937"/>
      <c r="L181" s="938"/>
      <c r="M181" s="936"/>
      <c r="N181" s="936"/>
      <c r="O181" s="936"/>
      <c r="P181" s="936"/>
      <c r="Q181" s="936"/>
      <c r="R181" s="936"/>
      <c r="S181" s="936"/>
      <c r="T181" s="936"/>
    </row>
    <row r="182" spans="1:20">
      <c r="A182" s="936"/>
      <c r="B182" s="936"/>
      <c r="C182" s="936"/>
      <c r="D182" s="936"/>
      <c r="E182" s="936"/>
      <c r="F182" s="936"/>
      <c r="G182" s="936"/>
      <c r="H182" s="936"/>
      <c r="I182" s="936"/>
      <c r="J182" s="936"/>
      <c r="K182" s="937"/>
      <c r="L182" s="938"/>
      <c r="M182" s="936"/>
      <c r="N182" s="936"/>
      <c r="O182" s="936"/>
      <c r="P182" s="936"/>
      <c r="Q182" s="936"/>
      <c r="R182" s="936"/>
      <c r="S182" s="936"/>
      <c r="T182" s="936"/>
    </row>
    <row r="183" spans="1:20">
      <c r="A183" s="936"/>
      <c r="B183" s="936"/>
      <c r="C183" s="936"/>
      <c r="D183" s="936"/>
      <c r="E183" s="936"/>
      <c r="F183" s="936"/>
      <c r="G183" s="936"/>
      <c r="H183" s="936"/>
      <c r="I183" s="936"/>
      <c r="J183" s="936"/>
      <c r="K183" s="937"/>
      <c r="L183" s="938"/>
      <c r="M183" s="936"/>
      <c r="N183" s="936"/>
      <c r="O183" s="936"/>
      <c r="P183" s="936"/>
      <c r="Q183" s="936"/>
      <c r="R183" s="936"/>
      <c r="S183" s="936"/>
      <c r="T183" s="936"/>
    </row>
    <row r="184" spans="1:20">
      <c r="A184" s="936"/>
      <c r="B184" s="936"/>
      <c r="C184" s="936"/>
      <c r="D184" s="936"/>
      <c r="E184" s="936"/>
      <c r="F184" s="936"/>
      <c r="G184" s="936"/>
      <c r="H184" s="936"/>
      <c r="I184" s="936"/>
      <c r="J184" s="936"/>
      <c r="K184" s="937"/>
      <c r="L184" s="938"/>
      <c r="M184" s="936"/>
      <c r="N184" s="936"/>
      <c r="O184" s="936"/>
      <c r="P184" s="936"/>
      <c r="Q184" s="936"/>
      <c r="R184" s="936"/>
      <c r="S184" s="936"/>
      <c r="T184" s="936"/>
    </row>
    <row r="185" spans="1:20">
      <c r="A185" s="936"/>
      <c r="B185" s="936"/>
      <c r="C185" s="936"/>
      <c r="D185" s="936"/>
      <c r="E185" s="936"/>
      <c r="F185" s="936"/>
      <c r="G185" s="936"/>
      <c r="H185" s="936"/>
      <c r="I185" s="936"/>
      <c r="J185" s="936"/>
      <c r="K185" s="937"/>
      <c r="L185" s="938"/>
      <c r="M185" s="936"/>
      <c r="N185" s="936"/>
      <c r="O185" s="936"/>
      <c r="P185" s="936"/>
      <c r="Q185" s="936"/>
      <c r="R185" s="936"/>
      <c r="S185" s="936"/>
      <c r="T185" s="936"/>
    </row>
    <row r="186" spans="1:20">
      <c r="A186" s="936"/>
      <c r="B186" s="936"/>
      <c r="C186" s="936"/>
      <c r="D186" s="936"/>
      <c r="E186" s="936"/>
      <c r="F186" s="936"/>
      <c r="G186" s="936"/>
      <c r="H186" s="936"/>
      <c r="I186" s="936"/>
      <c r="J186" s="936"/>
      <c r="K186" s="937"/>
      <c r="L186" s="938"/>
      <c r="M186" s="936"/>
      <c r="N186" s="936"/>
      <c r="O186" s="936"/>
      <c r="P186" s="936"/>
      <c r="Q186" s="936"/>
      <c r="R186" s="936"/>
      <c r="S186" s="936"/>
      <c r="T186" s="936"/>
    </row>
    <row r="187" spans="1:20">
      <c r="A187" s="936"/>
      <c r="B187" s="936"/>
      <c r="C187" s="936"/>
      <c r="D187" s="936"/>
      <c r="E187" s="936"/>
      <c r="F187" s="936"/>
      <c r="G187" s="936"/>
      <c r="H187" s="936"/>
      <c r="I187" s="936"/>
      <c r="J187" s="936"/>
      <c r="K187" s="937"/>
      <c r="L187" s="938"/>
      <c r="M187" s="936"/>
      <c r="N187" s="936"/>
      <c r="O187" s="936"/>
      <c r="P187" s="936"/>
      <c r="Q187" s="936"/>
      <c r="R187" s="936"/>
      <c r="S187" s="936"/>
      <c r="T187" s="936"/>
    </row>
    <row r="188" spans="1:20">
      <c r="A188" s="936"/>
      <c r="B188" s="936"/>
      <c r="C188" s="936"/>
      <c r="D188" s="936"/>
      <c r="E188" s="936"/>
      <c r="F188" s="936"/>
      <c r="G188" s="936"/>
      <c r="H188" s="936"/>
      <c r="I188" s="936"/>
      <c r="J188" s="936"/>
      <c r="K188" s="937"/>
      <c r="L188" s="938"/>
      <c r="M188" s="936"/>
      <c r="N188" s="936"/>
      <c r="O188" s="936"/>
      <c r="P188" s="936"/>
      <c r="Q188" s="936"/>
      <c r="R188" s="936"/>
      <c r="S188" s="936"/>
      <c r="T188" s="936"/>
    </row>
    <row r="189" spans="1:20">
      <c r="A189" s="936"/>
      <c r="B189" s="936"/>
      <c r="C189" s="936"/>
      <c r="D189" s="936"/>
      <c r="E189" s="936"/>
      <c r="F189" s="936"/>
      <c r="G189" s="936"/>
      <c r="H189" s="936"/>
      <c r="I189" s="936"/>
      <c r="J189" s="936"/>
      <c r="K189" s="937"/>
      <c r="L189" s="938"/>
      <c r="M189" s="936"/>
      <c r="N189" s="936"/>
      <c r="O189" s="936"/>
      <c r="P189" s="936"/>
      <c r="Q189" s="936"/>
      <c r="R189" s="936"/>
      <c r="S189" s="936"/>
      <c r="T189" s="936"/>
    </row>
    <row r="190" spans="1:20">
      <c r="A190" s="936"/>
      <c r="B190" s="936"/>
      <c r="C190" s="936"/>
      <c r="D190" s="936"/>
      <c r="E190" s="936"/>
      <c r="F190" s="936"/>
      <c r="G190" s="936"/>
      <c r="H190" s="936"/>
      <c r="I190" s="936"/>
      <c r="J190" s="936"/>
      <c r="K190" s="937"/>
      <c r="L190" s="938"/>
      <c r="M190" s="936"/>
      <c r="N190" s="936"/>
      <c r="O190" s="936"/>
      <c r="P190" s="936"/>
      <c r="Q190" s="936"/>
      <c r="R190" s="936"/>
      <c r="S190" s="936"/>
      <c r="T190" s="936"/>
    </row>
    <row r="191" spans="1:20">
      <c r="A191" s="936"/>
      <c r="B191" s="936"/>
      <c r="C191" s="936"/>
      <c r="D191" s="936"/>
      <c r="E191" s="936"/>
      <c r="F191" s="936"/>
      <c r="G191" s="936"/>
      <c r="H191" s="936"/>
      <c r="I191" s="936"/>
      <c r="J191" s="936"/>
      <c r="K191" s="937"/>
      <c r="L191" s="938"/>
      <c r="M191" s="936"/>
      <c r="N191" s="936"/>
      <c r="O191" s="936"/>
      <c r="P191" s="936"/>
      <c r="Q191" s="936"/>
      <c r="R191" s="936"/>
      <c r="S191" s="936"/>
      <c r="T191" s="936"/>
    </row>
    <row r="192" spans="1:20">
      <c r="A192" s="936"/>
      <c r="B192" s="936"/>
      <c r="C192" s="936"/>
      <c r="D192" s="936"/>
      <c r="E192" s="936"/>
      <c r="F192" s="936"/>
      <c r="G192" s="936"/>
      <c r="H192" s="936"/>
      <c r="I192" s="936"/>
      <c r="J192" s="936"/>
      <c r="K192" s="937"/>
      <c r="L192" s="938"/>
      <c r="M192" s="936"/>
      <c r="N192" s="936"/>
      <c r="O192" s="936"/>
      <c r="P192" s="936"/>
      <c r="Q192" s="936"/>
      <c r="R192" s="936"/>
      <c r="S192" s="936"/>
      <c r="T192" s="936"/>
    </row>
    <row r="193" spans="1:20">
      <c r="A193" s="936"/>
      <c r="B193" s="936"/>
      <c r="C193" s="936"/>
      <c r="D193" s="936"/>
      <c r="E193" s="936"/>
      <c r="F193" s="936"/>
      <c r="G193" s="936"/>
      <c r="H193" s="936"/>
      <c r="I193" s="936"/>
      <c r="J193" s="936"/>
      <c r="K193" s="937"/>
      <c r="L193" s="938"/>
      <c r="M193" s="936"/>
      <c r="N193" s="936"/>
      <c r="O193" s="936"/>
      <c r="P193" s="936"/>
      <c r="Q193" s="936"/>
      <c r="R193" s="936"/>
      <c r="S193" s="936"/>
      <c r="T193" s="936"/>
    </row>
    <row r="194" spans="1:20">
      <c r="A194" s="936"/>
      <c r="B194" s="936"/>
      <c r="C194" s="936"/>
      <c r="D194" s="936"/>
      <c r="E194" s="936"/>
      <c r="F194" s="936"/>
      <c r="G194" s="936"/>
      <c r="H194" s="936"/>
      <c r="I194" s="936"/>
      <c r="J194" s="936"/>
      <c r="K194" s="937"/>
      <c r="L194" s="938"/>
      <c r="M194" s="936"/>
      <c r="N194" s="936"/>
      <c r="O194" s="936"/>
      <c r="P194" s="936"/>
      <c r="Q194" s="936"/>
      <c r="R194" s="936"/>
      <c r="S194" s="936"/>
      <c r="T194" s="936"/>
    </row>
    <row r="195" spans="1:20">
      <c r="A195" s="936"/>
      <c r="B195" s="936"/>
      <c r="C195" s="936"/>
      <c r="D195" s="936"/>
      <c r="E195" s="936"/>
      <c r="F195" s="936"/>
      <c r="G195" s="936"/>
      <c r="H195" s="936"/>
      <c r="I195" s="936"/>
      <c r="J195" s="936"/>
      <c r="K195" s="937"/>
      <c r="L195" s="938"/>
      <c r="M195" s="936"/>
      <c r="N195" s="936"/>
      <c r="O195" s="936"/>
      <c r="P195" s="936"/>
      <c r="Q195" s="936"/>
      <c r="R195" s="936"/>
      <c r="S195" s="936"/>
      <c r="T195" s="936"/>
    </row>
    <row r="196" spans="1:20">
      <c r="A196" s="936"/>
      <c r="B196" s="936"/>
      <c r="C196" s="936"/>
      <c r="D196" s="936"/>
      <c r="E196" s="936"/>
      <c r="F196" s="936"/>
      <c r="G196" s="936"/>
      <c r="H196" s="936"/>
      <c r="I196" s="936"/>
      <c r="J196" s="936"/>
      <c r="K196" s="937"/>
      <c r="L196" s="938"/>
      <c r="M196" s="936"/>
      <c r="N196" s="936"/>
      <c r="O196" s="936"/>
      <c r="P196" s="936"/>
      <c r="Q196" s="936"/>
      <c r="R196" s="936"/>
      <c r="S196" s="936"/>
      <c r="T196" s="936"/>
    </row>
    <row r="197" spans="1:20">
      <c r="A197" s="936"/>
      <c r="B197" s="936"/>
      <c r="C197" s="936"/>
      <c r="D197" s="936"/>
      <c r="E197" s="936"/>
      <c r="F197" s="936"/>
      <c r="G197" s="936"/>
      <c r="H197" s="936"/>
      <c r="I197" s="936"/>
      <c r="J197" s="936"/>
      <c r="K197" s="937"/>
      <c r="L197" s="938"/>
      <c r="M197" s="936"/>
      <c r="N197" s="936"/>
      <c r="O197" s="936"/>
      <c r="P197" s="936"/>
      <c r="Q197" s="936"/>
      <c r="R197" s="936"/>
      <c r="S197" s="936"/>
      <c r="T197" s="936"/>
    </row>
    <row r="198" spans="1:20">
      <c r="A198" s="936"/>
      <c r="B198" s="936"/>
      <c r="C198" s="936"/>
      <c r="D198" s="936"/>
      <c r="E198" s="936"/>
      <c r="F198" s="936"/>
      <c r="G198" s="936"/>
      <c r="H198" s="936"/>
      <c r="I198" s="936"/>
      <c r="J198" s="936"/>
      <c r="K198" s="937"/>
      <c r="L198" s="938"/>
      <c r="M198" s="936"/>
      <c r="N198" s="936"/>
      <c r="O198" s="936"/>
      <c r="P198" s="936"/>
      <c r="Q198" s="936"/>
      <c r="R198" s="936"/>
      <c r="S198" s="936"/>
      <c r="T198" s="936"/>
    </row>
    <row r="199" spans="1:20">
      <c r="A199" s="936"/>
      <c r="B199" s="936"/>
      <c r="C199" s="936"/>
      <c r="D199" s="936"/>
      <c r="E199" s="936"/>
      <c r="F199" s="936"/>
      <c r="G199" s="936"/>
      <c r="H199" s="936"/>
      <c r="I199" s="936"/>
      <c r="J199" s="936"/>
      <c r="K199" s="937"/>
      <c r="L199" s="938"/>
      <c r="M199" s="936"/>
      <c r="N199" s="936"/>
      <c r="O199" s="936"/>
      <c r="P199" s="936"/>
      <c r="Q199" s="936"/>
      <c r="R199" s="936"/>
      <c r="S199" s="936"/>
      <c r="T199" s="936"/>
    </row>
    <row r="200" spans="1:20">
      <c r="A200" s="936"/>
      <c r="B200" s="936"/>
      <c r="C200" s="936"/>
      <c r="D200" s="936"/>
      <c r="E200" s="936"/>
      <c r="F200" s="936"/>
      <c r="G200" s="936"/>
      <c r="H200" s="936"/>
      <c r="I200" s="936"/>
      <c r="J200" s="936"/>
      <c r="K200" s="937"/>
      <c r="L200" s="938"/>
      <c r="M200" s="936"/>
      <c r="N200" s="936"/>
      <c r="O200" s="936"/>
      <c r="P200" s="936"/>
      <c r="Q200" s="936"/>
      <c r="R200" s="936"/>
      <c r="S200" s="936"/>
      <c r="T200" s="936"/>
    </row>
    <row r="201" spans="1:20">
      <c r="A201" s="936"/>
      <c r="B201" s="936"/>
      <c r="C201" s="936"/>
      <c r="D201" s="936"/>
      <c r="E201" s="936"/>
      <c r="F201" s="936"/>
      <c r="G201" s="936"/>
      <c r="H201" s="936"/>
      <c r="I201" s="936"/>
      <c r="J201" s="936"/>
      <c r="K201" s="937"/>
      <c r="L201" s="938"/>
      <c r="M201" s="936"/>
      <c r="N201" s="936"/>
      <c r="O201" s="936"/>
      <c r="P201" s="936"/>
      <c r="Q201" s="936"/>
      <c r="R201" s="936"/>
      <c r="S201" s="936"/>
      <c r="T201" s="936"/>
    </row>
    <row r="202" spans="1:20">
      <c r="A202" s="936"/>
      <c r="B202" s="936"/>
      <c r="C202" s="936"/>
      <c r="D202" s="936"/>
      <c r="E202" s="936"/>
      <c r="F202" s="936"/>
      <c r="G202" s="936"/>
      <c r="H202" s="936"/>
      <c r="I202" s="936"/>
      <c r="J202" s="936"/>
      <c r="K202" s="937"/>
      <c r="L202" s="938"/>
      <c r="M202" s="936"/>
      <c r="N202" s="936"/>
      <c r="O202" s="936"/>
      <c r="P202" s="936"/>
      <c r="Q202" s="936"/>
      <c r="R202" s="936"/>
      <c r="S202" s="936"/>
      <c r="T202" s="936"/>
    </row>
    <row r="203" spans="1:20">
      <c r="A203" s="936"/>
      <c r="B203" s="936"/>
      <c r="C203" s="936"/>
      <c r="D203" s="936"/>
      <c r="E203" s="936"/>
      <c r="F203" s="936"/>
      <c r="G203" s="936"/>
      <c r="H203" s="936"/>
      <c r="I203" s="936"/>
      <c r="J203" s="936"/>
      <c r="K203" s="937"/>
      <c r="L203" s="938"/>
      <c r="M203" s="936"/>
      <c r="N203" s="936"/>
      <c r="O203" s="936"/>
      <c r="P203" s="936"/>
      <c r="Q203" s="936"/>
      <c r="R203" s="936"/>
      <c r="S203" s="936"/>
      <c r="T203" s="936"/>
    </row>
    <row r="204" spans="1:20">
      <c r="A204" s="936"/>
      <c r="B204" s="936"/>
      <c r="C204" s="936"/>
      <c r="D204" s="936"/>
      <c r="E204" s="936"/>
      <c r="F204" s="936"/>
      <c r="G204" s="936"/>
      <c r="H204" s="936"/>
      <c r="I204" s="936"/>
      <c r="J204" s="936"/>
      <c r="K204" s="937"/>
      <c r="L204" s="938"/>
      <c r="M204" s="936"/>
      <c r="N204" s="936"/>
      <c r="O204" s="936"/>
      <c r="P204" s="936"/>
      <c r="Q204" s="936"/>
      <c r="R204" s="936"/>
      <c r="S204" s="936"/>
      <c r="T204" s="936"/>
    </row>
    <row r="205" spans="1:20">
      <c r="A205" s="936"/>
      <c r="B205" s="936"/>
      <c r="C205" s="936"/>
      <c r="D205" s="936"/>
      <c r="E205" s="936"/>
      <c r="F205" s="936"/>
      <c r="G205" s="936"/>
      <c r="H205" s="936"/>
      <c r="I205" s="936"/>
      <c r="J205" s="936"/>
      <c r="K205" s="937"/>
      <c r="L205" s="938"/>
      <c r="M205" s="936"/>
      <c r="N205" s="936"/>
      <c r="O205" s="936"/>
      <c r="P205" s="936"/>
      <c r="Q205" s="936"/>
      <c r="R205" s="936"/>
      <c r="S205" s="936"/>
      <c r="T205" s="936"/>
    </row>
    <row r="206" spans="1:20">
      <c r="A206" s="936"/>
      <c r="B206" s="936"/>
      <c r="C206" s="936"/>
      <c r="D206" s="936"/>
      <c r="E206" s="936"/>
      <c r="F206" s="936"/>
      <c r="G206" s="936"/>
      <c r="H206" s="936"/>
      <c r="I206" s="936"/>
      <c r="J206" s="936"/>
      <c r="K206" s="937"/>
      <c r="L206" s="938"/>
      <c r="M206" s="936"/>
      <c r="N206" s="936"/>
      <c r="O206" s="936"/>
      <c r="P206" s="936"/>
      <c r="Q206" s="936"/>
      <c r="R206" s="936"/>
      <c r="S206" s="936"/>
      <c r="T206" s="936"/>
    </row>
    <row r="207" spans="1:20">
      <c r="A207" s="936"/>
      <c r="B207" s="936"/>
      <c r="C207" s="936"/>
      <c r="D207" s="936"/>
      <c r="E207" s="936"/>
      <c r="F207" s="936"/>
      <c r="G207" s="936"/>
      <c r="H207" s="936"/>
      <c r="I207" s="936"/>
      <c r="J207" s="936"/>
      <c r="K207" s="937"/>
      <c r="L207" s="938"/>
      <c r="M207" s="936"/>
      <c r="N207" s="936"/>
      <c r="O207" s="936"/>
      <c r="P207" s="936"/>
      <c r="Q207" s="936"/>
      <c r="R207" s="936"/>
      <c r="S207" s="936"/>
      <c r="T207" s="936"/>
    </row>
    <row r="208" spans="1:20">
      <c r="A208" s="936"/>
      <c r="B208" s="936"/>
      <c r="C208" s="936"/>
      <c r="D208" s="936"/>
      <c r="E208" s="936"/>
      <c r="F208" s="936"/>
      <c r="G208" s="936"/>
      <c r="H208" s="936"/>
      <c r="I208" s="936"/>
      <c r="J208" s="936"/>
      <c r="K208" s="937"/>
      <c r="L208" s="938"/>
      <c r="M208" s="936"/>
      <c r="N208" s="936"/>
      <c r="O208" s="936"/>
      <c r="P208" s="936"/>
      <c r="Q208" s="936"/>
      <c r="R208" s="936"/>
      <c r="S208" s="936"/>
      <c r="T208" s="936"/>
    </row>
    <row r="209" spans="1:20">
      <c r="A209" s="936"/>
      <c r="B209" s="936"/>
      <c r="C209" s="936"/>
      <c r="D209" s="936"/>
      <c r="E209" s="936"/>
      <c r="F209" s="936"/>
      <c r="G209" s="936"/>
      <c r="H209" s="936"/>
      <c r="I209" s="936"/>
      <c r="J209" s="936"/>
      <c r="K209" s="937"/>
      <c r="L209" s="938"/>
      <c r="M209" s="936"/>
      <c r="N209" s="936"/>
      <c r="O209" s="936"/>
      <c r="P209" s="936"/>
      <c r="Q209" s="936"/>
      <c r="R209" s="936"/>
      <c r="S209" s="936"/>
      <c r="T209" s="936"/>
    </row>
    <row r="210" spans="1:20">
      <c r="A210" s="936"/>
      <c r="B210" s="936"/>
      <c r="C210" s="936"/>
      <c r="D210" s="936"/>
      <c r="E210" s="936"/>
      <c r="F210" s="936"/>
      <c r="G210" s="936"/>
      <c r="H210" s="936"/>
      <c r="I210" s="936"/>
      <c r="J210" s="936"/>
      <c r="K210" s="937"/>
      <c r="L210" s="938"/>
      <c r="M210" s="936"/>
      <c r="N210" s="936"/>
      <c r="O210" s="936"/>
      <c r="P210" s="936"/>
      <c r="Q210" s="936"/>
      <c r="R210" s="936"/>
      <c r="S210" s="936"/>
      <c r="T210" s="936"/>
    </row>
    <row r="211" spans="1:20">
      <c r="A211" s="936"/>
      <c r="B211" s="936"/>
      <c r="C211" s="936"/>
      <c r="D211" s="936"/>
      <c r="E211" s="936"/>
      <c r="F211" s="936"/>
      <c r="G211" s="936"/>
      <c r="H211" s="936"/>
      <c r="I211" s="936"/>
      <c r="J211" s="936"/>
      <c r="K211" s="937"/>
      <c r="L211" s="938"/>
      <c r="M211" s="936"/>
      <c r="N211" s="936"/>
      <c r="O211" s="936"/>
      <c r="P211" s="936"/>
      <c r="Q211" s="936"/>
      <c r="R211" s="936"/>
      <c r="S211" s="936"/>
      <c r="T211" s="936"/>
    </row>
    <row r="212" spans="1:20">
      <c r="A212" s="936"/>
      <c r="B212" s="936"/>
      <c r="C212" s="936"/>
      <c r="D212" s="936"/>
      <c r="E212" s="936"/>
      <c r="F212" s="936"/>
      <c r="G212" s="936"/>
      <c r="H212" s="936"/>
      <c r="I212" s="936"/>
      <c r="J212" s="936"/>
      <c r="K212" s="937"/>
      <c r="L212" s="938"/>
      <c r="M212" s="936"/>
      <c r="N212" s="936"/>
      <c r="O212" s="936"/>
      <c r="P212" s="936"/>
      <c r="Q212" s="936"/>
      <c r="R212" s="936"/>
      <c r="S212" s="936"/>
      <c r="T212" s="936"/>
    </row>
    <row r="213" spans="1:20">
      <c r="A213" s="936"/>
      <c r="B213" s="936"/>
      <c r="C213" s="936"/>
      <c r="D213" s="936"/>
      <c r="E213" s="936"/>
      <c r="F213" s="936"/>
      <c r="G213" s="936"/>
      <c r="H213" s="936"/>
      <c r="I213" s="936"/>
      <c r="J213" s="936"/>
      <c r="K213" s="937"/>
      <c r="L213" s="938"/>
      <c r="M213" s="936"/>
      <c r="N213" s="936"/>
      <c r="O213" s="936"/>
      <c r="P213" s="936"/>
      <c r="Q213" s="936"/>
      <c r="R213" s="936"/>
      <c r="S213" s="936"/>
      <c r="T213" s="936"/>
    </row>
    <row r="214" spans="1:20">
      <c r="A214" s="936"/>
      <c r="B214" s="936"/>
      <c r="C214" s="936"/>
      <c r="D214" s="936"/>
      <c r="E214" s="936"/>
      <c r="F214" s="936"/>
      <c r="G214" s="936"/>
      <c r="H214" s="936"/>
      <c r="I214" s="936"/>
      <c r="J214" s="936"/>
      <c r="K214" s="937"/>
      <c r="L214" s="938"/>
      <c r="M214" s="936"/>
      <c r="N214" s="936"/>
      <c r="O214" s="936"/>
      <c r="P214" s="936"/>
      <c r="Q214" s="936"/>
      <c r="R214" s="936"/>
      <c r="S214" s="936"/>
      <c r="T214" s="936"/>
    </row>
    <row r="215" spans="1:20">
      <c r="A215" s="936"/>
      <c r="B215" s="936"/>
      <c r="C215" s="936"/>
      <c r="D215" s="936"/>
      <c r="E215" s="936"/>
      <c r="F215" s="936"/>
      <c r="G215" s="936"/>
      <c r="H215" s="936"/>
      <c r="I215" s="936"/>
      <c r="J215" s="936"/>
      <c r="K215" s="937"/>
      <c r="L215" s="938"/>
      <c r="M215" s="936"/>
      <c r="N215" s="936"/>
      <c r="O215" s="936"/>
      <c r="P215" s="936"/>
      <c r="Q215" s="936"/>
      <c r="R215" s="936"/>
      <c r="S215" s="936"/>
      <c r="T215" s="936"/>
    </row>
    <row r="216" spans="1:20">
      <c r="A216" s="936"/>
      <c r="B216" s="936"/>
      <c r="C216" s="936"/>
      <c r="D216" s="936"/>
      <c r="E216" s="936"/>
      <c r="F216" s="936"/>
      <c r="G216" s="936"/>
      <c r="H216" s="936"/>
      <c r="I216" s="936"/>
      <c r="J216" s="936"/>
      <c r="K216" s="937"/>
      <c r="L216" s="938"/>
      <c r="M216" s="936"/>
      <c r="N216" s="936"/>
      <c r="O216" s="936"/>
      <c r="P216" s="936"/>
      <c r="Q216" s="936"/>
      <c r="R216" s="936"/>
      <c r="S216" s="936"/>
      <c r="T216" s="936"/>
    </row>
    <row r="217" spans="1:20">
      <c r="A217" s="936"/>
      <c r="B217" s="936"/>
      <c r="C217" s="936"/>
      <c r="D217" s="936"/>
      <c r="E217" s="936"/>
      <c r="F217" s="936"/>
      <c r="G217" s="936"/>
      <c r="H217" s="936"/>
      <c r="I217" s="936"/>
      <c r="J217" s="936"/>
      <c r="K217" s="937"/>
      <c r="L217" s="938"/>
      <c r="M217" s="936"/>
      <c r="N217" s="936"/>
      <c r="O217" s="936"/>
      <c r="P217" s="936"/>
      <c r="Q217" s="936"/>
      <c r="R217" s="936"/>
      <c r="S217" s="936"/>
      <c r="T217" s="936"/>
    </row>
    <row r="218" spans="1:20">
      <c r="A218" s="936"/>
      <c r="B218" s="936"/>
      <c r="C218" s="936"/>
      <c r="D218" s="936"/>
      <c r="E218" s="936"/>
      <c r="F218" s="936"/>
      <c r="G218" s="936"/>
      <c r="H218" s="936"/>
      <c r="I218" s="936"/>
      <c r="J218" s="936"/>
      <c r="K218" s="937"/>
      <c r="L218" s="938"/>
      <c r="M218" s="936"/>
      <c r="N218" s="936"/>
      <c r="O218" s="936"/>
      <c r="P218" s="936"/>
      <c r="Q218" s="936"/>
      <c r="R218" s="936"/>
      <c r="S218" s="936"/>
      <c r="T218" s="936"/>
    </row>
    <row r="219" spans="1:20">
      <c r="A219" s="936"/>
      <c r="B219" s="936"/>
      <c r="C219" s="936"/>
      <c r="D219" s="936"/>
      <c r="E219" s="936"/>
      <c r="F219" s="936"/>
      <c r="G219" s="936"/>
      <c r="H219" s="936"/>
      <c r="I219" s="936"/>
      <c r="J219" s="936"/>
      <c r="K219" s="937"/>
      <c r="L219" s="938"/>
      <c r="M219" s="936"/>
      <c r="N219" s="936"/>
      <c r="O219" s="936"/>
      <c r="P219" s="936"/>
      <c r="Q219" s="936"/>
      <c r="R219" s="936"/>
      <c r="S219" s="936"/>
      <c r="T219" s="936"/>
    </row>
    <row r="220" spans="1:20">
      <c r="A220" s="936"/>
      <c r="B220" s="936"/>
      <c r="C220" s="936"/>
      <c r="D220" s="936"/>
      <c r="E220" s="936"/>
      <c r="F220" s="936"/>
      <c r="G220" s="936"/>
      <c r="H220" s="936"/>
      <c r="I220" s="936"/>
      <c r="J220" s="936"/>
      <c r="K220" s="937"/>
      <c r="L220" s="938"/>
      <c r="M220" s="936"/>
      <c r="N220" s="936"/>
      <c r="O220" s="936"/>
      <c r="P220" s="936"/>
      <c r="Q220" s="936"/>
      <c r="R220" s="936"/>
      <c r="S220" s="936"/>
      <c r="T220" s="936"/>
    </row>
    <row r="221" spans="1:20">
      <c r="A221" s="936"/>
      <c r="B221" s="936"/>
      <c r="C221" s="936"/>
      <c r="D221" s="936"/>
      <c r="E221" s="936"/>
      <c r="F221" s="936"/>
      <c r="G221" s="936"/>
      <c r="H221" s="936"/>
      <c r="I221" s="936"/>
      <c r="J221" s="936"/>
      <c r="K221" s="937"/>
      <c r="L221" s="938"/>
      <c r="M221" s="936"/>
      <c r="N221" s="936"/>
      <c r="O221" s="936"/>
      <c r="P221" s="936"/>
      <c r="Q221" s="936"/>
      <c r="R221" s="936"/>
      <c r="S221" s="936"/>
      <c r="T221" s="936"/>
    </row>
    <row r="222" spans="1:20">
      <c r="A222" s="936"/>
      <c r="B222" s="936"/>
      <c r="C222" s="936"/>
      <c r="D222" s="936"/>
      <c r="E222" s="936"/>
      <c r="F222" s="936"/>
      <c r="G222" s="936"/>
      <c r="H222" s="936"/>
      <c r="I222" s="936"/>
      <c r="J222" s="936"/>
      <c r="K222" s="937"/>
      <c r="L222" s="938"/>
      <c r="M222" s="936"/>
      <c r="N222" s="936"/>
      <c r="O222" s="936"/>
      <c r="P222" s="936"/>
      <c r="Q222" s="936"/>
      <c r="R222" s="936"/>
      <c r="S222" s="936"/>
      <c r="T222" s="936"/>
    </row>
    <row r="223" spans="1:20">
      <c r="A223" s="936"/>
      <c r="B223" s="936"/>
      <c r="C223" s="936"/>
      <c r="D223" s="936"/>
      <c r="E223" s="936"/>
      <c r="F223" s="936"/>
      <c r="G223" s="936"/>
      <c r="H223" s="936"/>
      <c r="I223" s="936"/>
      <c r="J223" s="936"/>
      <c r="K223" s="937"/>
      <c r="L223" s="938"/>
      <c r="M223" s="936"/>
      <c r="N223" s="936"/>
      <c r="O223" s="936"/>
      <c r="P223" s="936"/>
      <c r="Q223" s="936"/>
      <c r="R223" s="936"/>
      <c r="S223" s="936"/>
      <c r="T223" s="936"/>
    </row>
    <row r="224" spans="1:20">
      <c r="A224" s="936"/>
      <c r="B224" s="936"/>
      <c r="C224" s="936"/>
      <c r="D224" s="936"/>
      <c r="E224" s="936"/>
      <c r="F224" s="936"/>
      <c r="G224" s="936"/>
      <c r="H224" s="936"/>
      <c r="I224" s="936"/>
      <c r="J224" s="936"/>
      <c r="K224" s="937"/>
      <c r="L224" s="938"/>
      <c r="M224" s="936"/>
      <c r="N224" s="936"/>
      <c r="O224" s="936"/>
      <c r="P224" s="936"/>
      <c r="Q224" s="936"/>
      <c r="R224" s="936"/>
      <c r="S224" s="936"/>
      <c r="T224" s="936"/>
    </row>
    <row r="225" spans="1:20">
      <c r="A225" s="936"/>
      <c r="B225" s="936"/>
      <c r="C225" s="936"/>
      <c r="D225" s="936"/>
      <c r="E225" s="936"/>
      <c r="F225" s="936"/>
      <c r="G225" s="936"/>
      <c r="H225" s="936"/>
      <c r="I225" s="936"/>
      <c r="J225" s="936"/>
      <c r="K225" s="937"/>
      <c r="L225" s="938"/>
      <c r="M225" s="936"/>
      <c r="N225" s="936"/>
      <c r="O225" s="936"/>
      <c r="P225" s="936"/>
      <c r="Q225" s="936"/>
      <c r="R225" s="936"/>
      <c r="S225" s="936"/>
      <c r="T225" s="936"/>
    </row>
    <row r="226" spans="1:20">
      <c r="A226" s="936"/>
      <c r="B226" s="936"/>
      <c r="C226" s="936"/>
      <c r="D226" s="936"/>
      <c r="E226" s="936"/>
      <c r="F226" s="936"/>
      <c r="G226" s="936"/>
      <c r="H226" s="936"/>
      <c r="I226" s="936"/>
      <c r="J226" s="936"/>
      <c r="K226" s="937"/>
      <c r="L226" s="938"/>
      <c r="M226" s="936"/>
      <c r="N226" s="936"/>
      <c r="O226" s="936"/>
      <c r="P226" s="936"/>
      <c r="Q226" s="936"/>
      <c r="R226" s="936"/>
      <c r="S226" s="936"/>
      <c r="T226" s="936"/>
    </row>
    <row r="227" spans="1:20">
      <c r="A227" s="936"/>
      <c r="B227" s="936"/>
      <c r="C227" s="936"/>
      <c r="D227" s="936"/>
      <c r="E227" s="936"/>
      <c r="F227" s="936"/>
      <c r="G227" s="936"/>
      <c r="H227" s="936"/>
      <c r="I227" s="936"/>
      <c r="J227" s="936"/>
      <c r="K227" s="937"/>
      <c r="L227" s="938"/>
      <c r="M227" s="936"/>
      <c r="N227" s="936"/>
      <c r="O227" s="936"/>
      <c r="P227" s="936"/>
      <c r="Q227" s="936"/>
      <c r="R227" s="936"/>
      <c r="S227" s="936"/>
      <c r="T227" s="936"/>
    </row>
    <row r="228" spans="1:20">
      <c r="A228" s="936"/>
      <c r="B228" s="936"/>
      <c r="C228" s="936"/>
      <c r="D228" s="936"/>
      <c r="E228" s="936"/>
      <c r="F228" s="936"/>
      <c r="G228" s="936"/>
      <c r="H228" s="936"/>
      <c r="I228" s="936"/>
      <c r="J228" s="936"/>
      <c r="K228" s="937"/>
      <c r="L228" s="938"/>
      <c r="M228" s="936"/>
      <c r="N228" s="936"/>
      <c r="O228" s="936"/>
      <c r="P228" s="936"/>
      <c r="Q228" s="936"/>
      <c r="R228" s="936"/>
      <c r="S228" s="936"/>
      <c r="T228" s="936"/>
    </row>
    <row r="229" spans="1:20">
      <c r="A229" s="936"/>
      <c r="B229" s="936"/>
      <c r="C229" s="936"/>
      <c r="D229" s="936"/>
      <c r="E229" s="936"/>
      <c r="F229" s="936"/>
      <c r="G229" s="936"/>
      <c r="H229" s="936"/>
      <c r="I229" s="936"/>
      <c r="J229" s="936"/>
      <c r="K229" s="937"/>
      <c r="L229" s="938"/>
      <c r="M229" s="936"/>
      <c r="N229" s="936"/>
      <c r="O229" s="936"/>
      <c r="P229" s="936"/>
      <c r="Q229" s="936"/>
      <c r="R229" s="936"/>
      <c r="S229" s="936"/>
      <c r="T229" s="936"/>
    </row>
    <row r="230" spans="1:20">
      <c r="A230" s="936"/>
      <c r="B230" s="936"/>
      <c r="C230" s="936"/>
      <c r="D230" s="936"/>
      <c r="E230" s="936"/>
      <c r="F230" s="936"/>
      <c r="G230" s="936"/>
      <c r="H230" s="936"/>
      <c r="I230" s="936"/>
      <c r="J230" s="936"/>
      <c r="K230" s="937"/>
      <c r="L230" s="938"/>
      <c r="M230" s="936"/>
      <c r="N230" s="936"/>
      <c r="O230" s="936"/>
      <c r="P230" s="936"/>
      <c r="Q230" s="936"/>
      <c r="R230" s="936"/>
      <c r="S230" s="936"/>
      <c r="T230" s="936"/>
    </row>
    <row r="231" spans="1:20">
      <c r="A231" s="936"/>
      <c r="B231" s="936"/>
      <c r="C231" s="936"/>
      <c r="D231" s="936"/>
      <c r="E231" s="936"/>
      <c r="F231" s="936"/>
      <c r="G231" s="936"/>
      <c r="H231" s="936"/>
      <c r="I231" s="936"/>
      <c r="J231" s="936"/>
      <c r="K231" s="937"/>
      <c r="L231" s="938"/>
      <c r="M231" s="936"/>
      <c r="N231" s="936"/>
      <c r="O231" s="936"/>
      <c r="P231" s="936"/>
      <c r="Q231" s="936"/>
      <c r="R231" s="936"/>
      <c r="S231" s="936"/>
      <c r="T231" s="936"/>
    </row>
    <row r="232" spans="1:20">
      <c r="A232" s="936"/>
      <c r="B232" s="936"/>
      <c r="C232" s="936"/>
      <c r="D232" s="936"/>
      <c r="E232" s="936"/>
      <c r="F232" s="936"/>
      <c r="G232" s="936"/>
      <c r="H232" s="936"/>
      <c r="I232" s="936"/>
      <c r="J232" s="936"/>
      <c r="K232" s="937"/>
      <c r="L232" s="938"/>
      <c r="M232" s="936"/>
      <c r="N232" s="936"/>
      <c r="O232" s="936"/>
      <c r="P232" s="936"/>
      <c r="Q232" s="936"/>
      <c r="R232" s="936"/>
      <c r="S232" s="936"/>
      <c r="T232" s="936"/>
    </row>
    <row r="233" spans="1:20">
      <c r="A233" s="936"/>
      <c r="B233" s="936"/>
      <c r="C233" s="936"/>
      <c r="D233" s="936"/>
      <c r="E233" s="936"/>
      <c r="F233" s="936"/>
      <c r="G233" s="936"/>
      <c r="H233" s="936"/>
      <c r="I233" s="936"/>
      <c r="J233" s="936"/>
      <c r="K233" s="937"/>
      <c r="L233" s="938"/>
      <c r="M233" s="936"/>
      <c r="N233" s="936"/>
      <c r="O233" s="936"/>
      <c r="P233" s="936"/>
      <c r="Q233" s="936"/>
      <c r="R233" s="936"/>
      <c r="S233" s="936"/>
      <c r="T233" s="936"/>
    </row>
    <row r="234" spans="1:20">
      <c r="A234" s="936"/>
      <c r="B234" s="936"/>
      <c r="C234" s="936"/>
      <c r="D234" s="936"/>
      <c r="E234" s="936"/>
      <c r="F234" s="936"/>
      <c r="G234" s="936"/>
      <c r="H234" s="936"/>
      <c r="I234" s="936"/>
      <c r="J234" s="936"/>
      <c r="K234" s="937"/>
      <c r="L234" s="938"/>
      <c r="M234" s="936"/>
      <c r="N234" s="936"/>
      <c r="O234" s="936"/>
      <c r="P234" s="936"/>
      <c r="Q234" s="936"/>
      <c r="R234" s="936"/>
      <c r="S234" s="936"/>
      <c r="T234" s="936"/>
    </row>
    <row r="235" spans="1:20">
      <c r="A235" s="936"/>
      <c r="B235" s="936"/>
      <c r="C235" s="936"/>
      <c r="D235" s="936"/>
      <c r="E235" s="936"/>
      <c r="F235" s="936"/>
      <c r="G235" s="936"/>
      <c r="H235" s="936"/>
      <c r="I235" s="936"/>
      <c r="J235" s="936"/>
      <c r="K235" s="937"/>
      <c r="L235" s="938"/>
      <c r="M235" s="936"/>
      <c r="N235" s="936"/>
      <c r="O235" s="936"/>
      <c r="P235" s="936"/>
      <c r="Q235" s="936"/>
      <c r="R235" s="936"/>
      <c r="S235" s="936"/>
      <c r="T235" s="936"/>
    </row>
    <row r="236" spans="1:20">
      <c r="A236" s="936"/>
      <c r="B236" s="936"/>
      <c r="C236" s="936"/>
      <c r="D236" s="936"/>
      <c r="E236" s="936"/>
      <c r="F236" s="936"/>
      <c r="G236" s="936"/>
      <c r="H236" s="936"/>
      <c r="I236" s="936"/>
      <c r="J236" s="936"/>
      <c r="K236" s="937"/>
      <c r="L236" s="938"/>
      <c r="M236" s="936"/>
      <c r="N236" s="936"/>
      <c r="O236" s="936"/>
      <c r="P236" s="936"/>
      <c r="Q236" s="936"/>
      <c r="R236" s="936"/>
      <c r="S236" s="936"/>
      <c r="T236" s="936"/>
    </row>
    <row r="237" spans="1:20">
      <c r="A237" s="936"/>
      <c r="B237" s="936"/>
      <c r="C237" s="936"/>
      <c r="D237" s="936"/>
      <c r="E237" s="936"/>
      <c r="F237" s="936"/>
      <c r="G237" s="936"/>
      <c r="H237" s="936"/>
      <c r="I237" s="936"/>
      <c r="J237" s="936"/>
      <c r="K237" s="937"/>
      <c r="L237" s="938"/>
      <c r="M237" s="936"/>
      <c r="N237" s="936"/>
      <c r="O237" s="936"/>
      <c r="P237" s="936"/>
      <c r="Q237" s="936"/>
      <c r="R237" s="936"/>
      <c r="S237" s="936"/>
      <c r="T237" s="936"/>
    </row>
    <row r="238" spans="1:20">
      <c r="A238" s="936"/>
      <c r="B238" s="936"/>
      <c r="C238" s="936"/>
      <c r="D238" s="936"/>
      <c r="E238" s="936"/>
      <c r="F238" s="936"/>
      <c r="G238" s="936"/>
      <c r="H238" s="936"/>
      <c r="I238" s="936"/>
      <c r="J238" s="936"/>
      <c r="K238" s="937"/>
      <c r="L238" s="938"/>
      <c r="M238" s="936"/>
      <c r="N238" s="936"/>
      <c r="O238" s="936"/>
      <c r="P238" s="936"/>
      <c r="Q238" s="936"/>
      <c r="R238" s="936"/>
      <c r="S238" s="936"/>
      <c r="T238" s="936"/>
    </row>
    <row r="239" spans="1:20">
      <c r="A239" s="936"/>
      <c r="B239" s="936"/>
      <c r="C239" s="936"/>
      <c r="D239" s="936"/>
      <c r="E239" s="936"/>
      <c r="F239" s="936"/>
      <c r="G239" s="936"/>
      <c r="H239" s="936"/>
      <c r="I239" s="936"/>
      <c r="J239" s="936"/>
      <c r="K239" s="937"/>
      <c r="L239" s="938"/>
      <c r="M239" s="936"/>
      <c r="N239" s="936"/>
      <c r="O239" s="936"/>
      <c r="P239" s="936"/>
      <c r="Q239" s="936"/>
      <c r="R239" s="936"/>
      <c r="S239" s="936"/>
      <c r="T239" s="936"/>
    </row>
    <row r="240" spans="1:20">
      <c r="A240" s="936"/>
      <c r="B240" s="936"/>
      <c r="C240" s="936"/>
      <c r="D240" s="936"/>
      <c r="E240" s="936"/>
      <c r="F240" s="936"/>
      <c r="G240" s="936"/>
      <c r="H240" s="936"/>
      <c r="I240" s="936"/>
      <c r="J240" s="936"/>
      <c r="K240" s="937"/>
      <c r="L240" s="938"/>
      <c r="M240" s="936"/>
      <c r="N240" s="936"/>
      <c r="O240" s="936"/>
      <c r="P240" s="936"/>
      <c r="Q240" s="936"/>
      <c r="R240" s="936"/>
      <c r="S240" s="936"/>
      <c r="T240" s="936"/>
    </row>
    <row r="241" spans="1:20">
      <c r="A241" s="936"/>
      <c r="B241" s="936"/>
      <c r="C241" s="936"/>
      <c r="D241" s="936"/>
      <c r="E241" s="936"/>
      <c r="F241" s="936"/>
      <c r="G241" s="936"/>
      <c r="H241" s="936"/>
      <c r="I241" s="936"/>
      <c r="J241" s="936"/>
      <c r="K241" s="937"/>
      <c r="L241" s="938"/>
      <c r="M241" s="936"/>
      <c r="N241" s="936"/>
      <c r="O241" s="936"/>
      <c r="P241" s="936"/>
      <c r="Q241" s="936"/>
      <c r="R241" s="936"/>
      <c r="S241" s="936"/>
      <c r="T241" s="936"/>
    </row>
  </sheetData>
  <sheetProtection password="CEE9" sheet="1" objects="1" scenarios="1" formatCells="0" formatColumns="0" formatRows="0"/>
  <mergeCells count="40">
    <mergeCell ref="AA4:AA6"/>
    <mergeCell ref="AB4:AB6"/>
    <mergeCell ref="Y7:Z7"/>
    <mergeCell ref="R4:S6"/>
    <mergeCell ref="E5:F5"/>
    <mergeCell ref="C5:D5"/>
    <mergeCell ref="C6:D6"/>
    <mergeCell ref="I5:J5"/>
    <mergeCell ref="E6:F6"/>
    <mergeCell ref="G6:H6"/>
    <mergeCell ref="P9:P13"/>
    <mergeCell ref="Y9:Y13"/>
    <mergeCell ref="AC4:AC6"/>
    <mergeCell ref="C4:D4"/>
    <mergeCell ref="E4:F4"/>
    <mergeCell ref="G4:H4"/>
    <mergeCell ref="I4:J4"/>
    <mergeCell ref="P4:Q6"/>
    <mergeCell ref="T4:U6"/>
    <mergeCell ref="V4:W6"/>
    <mergeCell ref="I6:J6"/>
    <mergeCell ref="G5:H5"/>
    <mergeCell ref="P8:Q8"/>
    <mergeCell ref="Y8:Z8"/>
    <mergeCell ref="Y4:Z6"/>
    <mergeCell ref="P7:Q7"/>
    <mergeCell ref="P14:P25"/>
    <mergeCell ref="Y14:Y25"/>
    <mergeCell ref="P26:P34"/>
    <mergeCell ref="Y26:Y34"/>
    <mergeCell ref="P35:Q35"/>
    <mergeCell ref="R35:S35"/>
    <mergeCell ref="T35:U35"/>
    <mergeCell ref="V35:W35"/>
    <mergeCell ref="P36:Q36"/>
    <mergeCell ref="R36:S36"/>
    <mergeCell ref="T36:U36"/>
    <mergeCell ref="V36:W36"/>
    <mergeCell ref="P37:Q37"/>
    <mergeCell ref="R37:W37"/>
  </mergeCells>
  <phoneticPr fontId="31" type="noConversion"/>
  <conditionalFormatting sqref="F40 H40 J40">
    <cfRule type="containsText" dxfId="65" priority="18" stopIfTrue="1" operator="containsText" text="超过">
      <formula>NOT(ISERROR(SEARCH("超过",F40)))</formula>
    </cfRule>
  </conditionalFormatting>
  <conditionalFormatting sqref="J42">
    <cfRule type="containsText" dxfId="64" priority="17" stopIfTrue="1" operator="containsText" text="超过">
      <formula>NOT(ISERROR(SEARCH("超过",J42)))</formula>
    </cfRule>
  </conditionalFormatting>
  <conditionalFormatting sqref="H42">
    <cfRule type="containsText" dxfId="63" priority="16" stopIfTrue="1" operator="containsText" text="超过">
      <formula>NOT(ISERROR(SEARCH("超过",H42)))</formula>
    </cfRule>
  </conditionalFormatting>
  <conditionalFormatting sqref="F42">
    <cfRule type="containsText" dxfId="62" priority="15" stopIfTrue="1" operator="containsText" text="超过">
      <formula>NOT(ISERROR(SEARCH("超过",F42)))</formula>
    </cfRule>
  </conditionalFormatting>
  <conditionalFormatting sqref="F41 H41 J41">
    <cfRule type="containsText" dxfId="61" priority="14" stopIfTrue="1" operator="containsText" text="超过">
      <formula>NOT(ISERROR(SEARCH("超过",F41)))</formula>
    </cfRule>
  </conditionalFormatting>
  <conditionalFormatting sqref="E40">
    <cfRule type="expression" dxfId="60" priority="13" stopIfTrue="1">
      <formula>$F$40="超过30%"</formula>
    </cfRule>
  </conditionalFormatting>
  <conditionalFormatting sqref="G42">
    <cfRule type="expression" dxfId="59" priority="12" stopIfTrue="1">
      <formula>$H$54+$H$42="超过30%"</formula>
    </cfRule>
  </conditionalFormatting>
  <conditionalFormatting sqref="E41">
    <cfRule type="expression" dxfId="58" priority="11" stopIfTrue="1">
      <formula>$F$41="超过20%"</formula>
    </cfRule>
  </conditionalFormatting>
  <conditionalFormatting sqref="E42">
    <cfRule type="expression" dxfId="57" priority="10" stopIfTrue="1">
      <formula>$F$42="超过30%"</formula>
    </cfRule>
  </conditionalFormatting>
  <conditionalFormatting sqref="G40">
    <cfRule type="expression" dxfId="56" priority="9" stopIfTrue="1">
      <formula>$H$52+$H$40="超过30%"</formula>
    </cfRule>
  </conditionalFormatting>
  <conditionalFormatting sqref="G41">
    <cfRule type="expression" dxfId="55" priority="8" stopIfTrue="1">
      <formula>$H$53+$H$41="超过20%"</formula>
    </cfRule>
  </conditionalFormatting>
  <conditionalFormatting sqref="I40">
    <cfRule type="expression" dxfId="54" priority="7" stopIfTrue="1">
      <formula>$J$40="超过30%"</formula>
    </cfRule>
  </conditionalFormatting>
  <conditionalFormatting sqref="I41">
    <cfRule type="expression" dxfId="53" priority="6" stopIfTrue="1">
      <formula>$J$41="超过20%"</formula>
    </cfRule>
  </conditionalFormatting>
  <conditionalFormatting sqref="I42">
    <cfRule type="expression" dxfId="52" priority="5" stopIfTrue="1">
      <formula>$J$42="超过30%"</formula>
    </cfRule>
  </conditionalFormatting>
  <conditionalFormatting sqref="F36">
    <cfRule type="expression" dxfId="51" priority="4">
      <formula>$D$36="简单平均"</formula>
    </cfRule>
  </conditionalFormatting>
  <conditionalFormatting sqref="H36">
    <cfRule type="expression" dxfId="50" priority="3">
      <formula>$D$36="简单平均"</formula>
    </cfRule>
  </conditionalFormatting>
  <conditionalFormatting sqref="J36">
    <cfRule type="expression" dxfId="49" priority="2">
      <formula>$D$36="简单平均"</formula>
    </cfRule>
  </conditionalFormatting>
  <conditionalFormatting sqref="F7:F34 H7:H34 J7:J34">
    <cfRule type="cellIs" dxfId="48" priority="1" operator="notEqual">
      <formula>100</formula>
    </cfRule>
  </conditionalFormatting>
  <dataValidations count="18">
    <dataValidation type="list" allowBlank="1" showInputMessage="1" showErrorMessage="1" sqref="G15 E15 C15 I15">
      <formula1>交通便捷度</formula1>
    </dataValidation>
    <dataValidation type="list" allowBlank="1" showInputMessage="1" showErrorMessage="1" sqref="G17 C17 E17 I17">
      <formula1>公共配套设施</formula1>
    </dataValidation>
    <dataValidation type="list" allowBlank="1" showInputMessage="1" showErrorMessage="1" sqref="D1">
      <formula1>项目类型</formula1>
    </dataValidation>
    <dataValidation type="list" allowBlank="1" showInputMessage="1" showErrorMessage="1" sqref="C8 E8 G8 I8">
      <formula1>仓储交易情况</formula1>
    </dataValidation>
    <dataValidation type="list" allowBlank="1" showInputMessage="1" showErrorMessage="1" sqref="E9 G9 I9">
      <formula1>仓储用途</formula1>
    </dataValidation>
    <dataValidation type="list" allowBlank="1" showInputMessage="1" showErrorMessage="1" sqref="C21 E21 G21 I21">
      <formula1>环境</formula1>
    </dataValidation>
    <dataValidation type="list" allowBlank="1" showInputMessage="1" showErrorMessage="1" sqref="C22 E22 G22 I22">
      <formula1>仓储楼层</formula1>
    </dataValidation>
    <dataValidation type="list" allowBlank="1" showInputMessage="1" showErrorMessage="1" sqref="C26 E26 G26 I26">
      <formula1>仓储公共部分装修</formula1>
    </dataValidation>
    <dataValidation type="list" allowBlank="1" showInputMessage="1" showErrorMessage="1" sqref="C29 E29 G29 I29">
      <formula1>有无电梯</formula1>
    </dataValidation>
    <dataValidation type="list" allowBlank="1" showInputMessage="1" showErrorMessage="1" sqref="C31 E31 G31 I31">
      <formula1>是否封闭</formula1>
    </dataValidation>
    <dataValidation type="list" allowBlank="1" showInputMessage="1" showErrorMessage="1" sqref="B1">
      <formula1>地类判定</formula1>
    </dataValidation>
    <dataValidation type="list" allowBlank="1" showInputMessage="1" showErrorMessage="1" sqref="C28 E28 G28 I28">
      <formula1>仓储物业等级</formula1>
    </dataValidation>
    <dataValidation type="list" allowBlank="1" showInputMessage="1" showErrorMessage="1" sqref="C19 E19 G19 I19">
      <formula1>基础设施水平</formula1>
    </dataValidation>
    <dataValidation type="list" allowBlank="1" showInputMessage="1" showErrorMessage="1" sqref="F1">
      <formula1>"售价,租金"</formula1>
    </dataValidation>
    <dataValidation type="list" allowBlank="1" showInputMessage="1" showErrorMessage="1" sqref="C2">
      <formula1>"需扣减承租人权益,——"</formula1>
    </dataValidation>
    <dataValidation type="list" allowBlank="1" showInputMessage="1" showErrorMessage="1" sqref="F2">
      <formula1>估价方法</formula1>
    </dataValidation>
    <dataValidation type="list" allowBlank="1" showInputMessage="1" showErrorMessage="1" sqref="D36">
      <formula1>"简单平均,加权平均"</formula1>
    </dataValidation>
    <dataValidation type="list" allowBlank="1" showInputMessage="1" showErrorMessage="1" sqref="E1">
      <formula1>"项目模式,单套模式"</formula1>
    </dataValidation>
  </dataValidations>
  <pageMargins left="0.70866141732283472" right="0.70866141732283472" top="1.0629921259842521" bottom="0.94488188976377963" header="0.31496062992125984" footer="0.31496062992125984"/>
  <pageSetup paperSize="9" scale="52" fitToHeight="0" orientation="portrait" r:id="rId1"/>
  <legacyDrawing r:id="rId2"/>
</worksheet>
</file>

<file path=xl/worksheets/sheet3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5">
    <tabColor rgb="FF92D050"/>
    <pageSetUpPr fitToPage="1"/>
  </sheetPr>
  <dimension ref="A1:AD131"/>
  <sheetViews>
    <sheetView view="pageBreakPreview" zoomScale="80" zoomScaleNormal="60" zoomScaleSheetLayoutView="80" workbookViewId="0">
      <selection activeCell="AB25" sqref="AA25:AB27"/>
    </sheetView>
  </sheetViews>
  <sheetFormatPr defaultColWidth="9" defaultRowHeight="14.25"/>
  <cols>
    <col min="1" max="1" width="14.375" style="357" customWidth="1"/>
    <col min="2" max="2" width="15.75" style="357" customWidth="1"/>
    <col min="3" max="3" width="14.375" style="357" customWidth="1"/>
    <col min="4" max="4" width="14.1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30" s="352" customFormat="1" ht="28.5" customHeight="1">
      <c r="A1" s="348" t="s">
        <v>1849</v>
      </c>
      <c r="B1" s="349"/>
      <c r="C1" s="350" t="s">
        <v>1850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c r="AD1" s="351"/>
    </row>
    <row r="2" spans="1:30" s="352" customFormat="1" ht="28.5" customHeight="1">
      <c r="A2" s="201" t="s">
        <v>1444</v>
      </c>
      <c r="B2" s="619" t="e">
        <f>F65</f>
        <v>#DIV/0!</v>
      </c>
      <c r="C2" s="907"/>
      <c r="D2" s="907"/>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c r="AD2" s="351"/>
    </row>
    <row r="3" spans="1:30" s="352" customFormat="1" ht="28.5" customHeight="1" thickBot="1">
      <c r="A3" s="203" t="s">
        <v>1446</v>
      </c>
      <c r="B3" s="558" t="e">
        <f>ROUND(IF(D3="",B2*10000/'数据-汇总表'!E3,B2*10000/D3),0)</f>
        <v>#DIV/0!</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30" ht="15">
      <c r="A4" s="355" t="s">
        <v>1751</v>
      </c>
      <c r="B4" s="356"/>
      <c r="C4" s="3721" t="s">
        <v>1752</v>
      </c>
      <c r="D4" s="3722"/>
      <c r="E4" s="3723" t="s">
        <v>1753</v>
      </c>
      <c r="F4" s="3724"/>
      <c r="G4" s="3721" t="s">
        <v>1754</v>
      </c>
      <c r="H4" s="3722"/>
      <c r="I4" s="3721" t="s">
        <v>1755</v>
      </c>
      <c r="J4" s="3722"/>
      <c r="K4" s="559" t="s">
        <v>1756</v>
      </c>
      <c r="L4" s="2689"/>
      <c r="M4" s="2690"/>
      <c r="N4" s="2690"/>
      <c r="O4" s="2690"/>
      <c r="P4" s="3725" t="s">
        <v>1757</v>
      </c>
      <c r="Q4" s="3726"/>
      <c r="R4" s="3731" t="s">
        <v>1753</v>
      </c>
      <c r="S4" s="3732"/>
      <c r="T4" s="3731" t="s">
        <v>1754</v>
      </c>
      <c r="U4" s="3732"/>
      <c r="V4" s="3737" t="s">
        <v>1755</v>
      </c>
      <c r="W4" s="3737"/>
      <c r="X4" s="1354"/>
      <c r="Y4" s="3731" t="s">
        <v>1757</v>
      </c>
      <c r="Z4" s="3732"/>
      <c r="AA4" s="3718" t="s">
        <v>1753</v>
      </c>
      <c r="AB4" s="3719" t="s">
        <v>1754</v>
      </c>
      <c r="AC4" s="3718" t="s">
        <v>1755</v>
      </c>
    </row>
    <row r="5" spans="1:30" ht="15">
      <c r="A5" s="358"/>
      <c r="B5" s="359"/>
      <c r="C5" s="3740" t="s">
        <v>1655</v>
      </c>
      <c r="D5" s="3741"/>
      <c r="E5" s="3747" t="s">
        <v>1656</v>
      </c>
      <c r="F5" s="3748"/>
      <c r="G5" s="3740" t="s">
        <v>1657</v>
      </c>
      <c r="H5" s="3741"/>
      <c r="I5" s="3740" t="s">
        <v>1658</v>
      </c>
      <c r="J5" s="3741"/>
      <c r="K5" s="559"/>
      <c r="L5" s="2689"/>
      <c r="M5" s="2690"/>
      <c r="N5" s="2690"/>
      <c r="O5" s="2690"/>
      <c r="P5" s="3727"/>
      <c r="Q5" s="3728"/>
      <c r="R5" s="3733"/>
      <c r="S5" s="3734"/>
      <c r="T5" s="3733"/>
      <c r="U5" s="3734"/>
      <c r="V5" s="3737"/>
      <c r="W5" s="3737"/>
      <c r="X5" s="1354"/>
      <c r="Y5" s="3733"/>
      <c r="Z5" s="3734"/>
      <c r="AA5" s="3719"/>
      <c r="AB5" s="3719"/>
      <c r="AC5" s="3719"/>
    </row>
    <row r="6" spans="1:30" ht="15.75" thickBot="1">
      <c r="A6" s="360"/>
      <c r="B6" s="361"/>
      <c r="C6" s="3738" t="s">
        <v>1659</v>
      </c>
      <c r="D6" s="3739"/>
      <c r="E6" s="3745" t="s">
        <v>1659</v>
      </c>
      <c r="F6" s="3746"/>
      <c r="G6" s="3738" t="s">
        <v>1659</v>
      </c>
      <c r="H6" s="3739"/>
      <c r="I6" s="3738" t="s">
        <v>1659</v>
      </c>
      <c r="J6" s="3739"/>
      <c r="K6" s="559" t="s">
        <v>1660</v>
      </c>
      <c r="L6" s="2689"/>
      <c r="M6" s="2690"/>
      <c r="N6" s="2690"/>
      <c r="O6" s="2690"/>
      <c r="P6" s="3729"/>
      <c r="Q6" s="3730"/>
      <c r="R6" s="3733"/>
      <c r="S6" s="3734"/>
      <c r="T6" s="3735"/>
      <c r="U6" s="3736"/>
      <c r="V6" s="3737"/>
      <c r="W6" s="3737"/>
      <c r="X6" s="1354"/>
      <c r="Y6" s="3735"/>
      <c r="Z6" s="3736"/>
      <c r="AA6" s="3720"/>
      <c r="AB6" s="3720"/>
      <c r="AC6" s="3720"/>
    </row>
    <row r="7" spans="1:30" s="108" customFormat="1" ht="15.75" thickBot="1">
      <c r="A7" s="362" t="s">
        <v>1661</v>
      </c>
      <c r="B7" s="363"/>
      <c r="C7" s="364">
        <f>'数据-取费表'!B2</f>
        <v>45400</v>
      </c>
      <c r="D7" s="365">
        <v>100</v>
      </c>
      <c r="E7" s="366"/>
      <c r="F7" s="367">
        <f>SUMIF(69:69,YEAR(E7)&amp;"-"&amp;INT((MONTH(E7)+2)/3),70:70)</f>
        <v>0</v>
      </c>
      <c r="G7" s="1973"/>
      <c r="H7" s="365">
        <f>SUMIF(69:69,YEAR(G7)&amp;"-"&amp;INT((MONTH(G7)+2)/3),70:70)</f>
        <v>0</v>
      </c>
      <c r="I7" s="1973"/>
      <c r="J7" s="365">
        <f>SUMIF(69:69,YEAR(I7)&amp;"-"&amp;INT((MONTH(I7)+2)/3),70:70)</f>
        <v>0</v>
      </c>
      <c r="K7" s="560"/>
      <c r="L7" s="2691"/>
      <c r="M7" s="2692"/>
      <c r="N7" s="2692"/>
      <c r="O7" s="2692"/>
      <c r="P7" s="3742" t="s">
        <v>1662</v>
      </c>
      <c r="Q7" s="3744"/>
      <c r="R7" s="701" t="s">
        <v>14</v>
      </c>
      <c r="S7" s="702">
        <f t="shared" ref="S7:S15" si="0">F7</f>
        <v>0</v>
      </c>
      <c r="T7" s="701" t="s">
        <v>14</v>
      </c>
      <c r="U7" s="702">
        <f t="shared" ref="U7:U15" si="1">H7</f>
        <v>0</v>
      </c>
      <c r="V7" s="701" t="s">
        <v>14</v>
      </c>
      <c r="W7" s="702">
        <f t="shared" ref="W7:W15" si="2">J7</f>
        <v>0</v>
      </c>
      <c r="X7" s="703"/>
      <c r="Y7" s="3742" t="s">
        <v>1662</v>
      </c>
      <c r="Z7" s="3743"/>
      <c r="AA7" s="704" t="e">
        <f>D7/F7</f>
        <v>#DIV/0!</v>
      </c>
      <c r="AB7" s="704" t="e">
        <f>D7/H7</f>
        <v>#DIV/0!</v>
      </c>
      <c r="AC7" s="704" t="e">
        <f>D7/J7</f>
        <v>#DIV/0!</v>
      </c>
    </row>
    <row r="8" spans="1:30" s="108" customFormat="1" ht="15.75" thickBot="1">
      <c r="A8" s="362" t="s">
        <v>1663</v>
      </c>
      <c r="B8" s="363"/>
      <c r="C8" s="368" t="s">
        <v>1664</v>
      </c>
      <c r="D8" s="365">
        <v>100</v>
      </c>
      <c r="E8" s="368"/>
      <c r="F8" s="367">
        <f>SUMIF(72:72,E8,73:73)-SUMIF(72:72,C8,73:73)+100</f>
        <v>0</v>
      </c>
      <c r="G8" s="368"/>
      <c r="H8" s="365">
        <f>SUMIF(72:72,G8,73:73)-SUMIF(72:72,C8,73:73)+100</f>
        <v>0</v>
      </c>
      <c r="I8" s="368"/>
      <c r="J8" s="365">
        <f>SUMIF(72:72,I8,73:73)-SUMIF(72:72,C8,73:73)+100</f>
        <v>0</v>
      </c>
      <c r="K8" s="560"/>
      <c r="L8" s="2691"/>
      <c r="M8" s="2692"/>
      <c r="N8" s="2692"/>
      <c r="O8" s="2692"/>
      <c r="P8" s="3742" t="s">
        <v>1665</v>
      </c>
      <c r="Q8" s="3743"/>
      <c r="R8" s="701" t="s">
        <v>14</v>
      </c>
      <c r="S8" s="702">
        <f t="shared" si="0"/>
        <v>0</v>
      </c>
      <c r="T8" s="701" t="s">
        <v>14</v>
      </c>
      <c r="U8" s="702">
        <f t="shared" si="1"/>
        <v>0</v>
      </c>
      <c r="V8" s="701" t="s">
        <v>14</v>
      </c>
      <c r="W8" s="702">
        <f t="shared" si="2"/>
        <v>0</v>
      </c>
      <c r="X8" s="703"/>
      <c r="Y8" s="3742" t="s">
        <v>1665</v>
      </c>
      <c r="Z8" s="3743"/>
      <c r="AA8" s="704" t="e">
        <f t="shared" ref="AA8:AA45" si="3">D8/F8</f>
        <v>#DIV/0!</v>
      </c>
      <c r="AB8" s="704" t="e">
        <f t="shared" ref="AB8:AB45" si="4">D8/H8</f>
        <v>#DIV/0!</v>
      </c>
      <c r="AC8" s="704" t="e">
        <f t="shared" ref="AC8:AC45" si="5">D8/J8</f>
        <v>#DIV/0!</v>
      </c>
    </row>
    <row r="9" spans="1:30" s="108" customFormat="1">
      <c r="A9" s="369" t="s">
        <v>1666</v>
      </c>
      <c r="B9" s="63" t="s">
        <v>1667</v>
      </c>
      <c r="C9" s="1976"/>
      <c r="D9" s="126">
        <v>100</v>
      </c>
      <c r="E9" s="1976"/>
      <c r="F9" s="126">
        <f>SUMIF(74:74,E9,75:75)-SUMIF(74:74,C9,75:75)+100</f>
        <v>100</v>
      </c>
      <c r="G9" s="1976"/>
      <c r="H9" s="126">
        <f>SUMIF(74:74,G9,75:75)-SUMIF(74:74,C9,75:75)+100</f>
        <v>100</v>
      </c>
      <c r="I9" s="1976"/>
      <c r="J9" s="126">
        <f>SUMIF(74:74,I9,75:75)-SUMIF(74:74,C9,75:75)+100</f>
        <v>100</v>
      </c>
      <c r="K9" s="560"/>
      <c r="L9" s="2691"/>
      <c r="M9" s="2692"/>
      <c r="N9" s="2692"/>
      <c r="O9" s="2746"/>
      <c r="P9" s="3706" t="s">
        <v>1668</v>
      </c>
      <c r="Q9" s="1342" t="str">
        <f t="shared" ref="Q9:Q15" si="6">B9</f>
        <v>用途</v>
      </c>
      <c r="R9" s="701" t="s">
        <v>14</v>
      </c>
      <c r="S9" s="702">
        <f t="shared" si="0"/>
        <v>100</v>
      </c>
      <c r="T9" s="701" t="s">
        <v>14</v>
      </c>
      <c r="U9" s="702">
        <f t="shared" si="1"/>
        <v>100</v>
      </c>
      <c r="V9" s="701" t="s">
        <v>14</v>
      </c>
      <c r="W9" s="702">
        <f t="shared" si="2"/>
        <v>100</v>
      </c>
      <c r="X9" s="703"/>
      <c r="Y9" s="3580" t="s">
        <v>1669</v>
      </c>
      <c r="Z9" s="52" t="str">
        <f t="shared" ref="Z9:Z15" si="7">Q9</f>
        <v>用途</v>
      </c>
      <c r="AA9" s="704">
        <f t="shared" si="3"/>
        <v>1</v>
      </c>
      <c r="AB9" s="704">
        <f t="shared" si="4"/>
        <v>1</v>
      </c>
      <c r="AC9" s="704">
        <f t="shared" si="5"/>
        <v>1</v>
      </c>
    </row>
    <row r="10" spans="1:30" s="378" customFormat="1" ht="27">
      <c r="A10" s="374"/>
      <c r="B10" s="375" t="s">
        <v>1670</v>
      </c>
      <c r="C10" s="383"/>
      <c r="D10" s="127">
        <v>100</v>
      </c>
      <c r="E10" s="416"/>
      <c r="F10" s="127">
        <f>ROUND(100/'数据-取费表'!G16,0)</f>
        <v>124</v>
      </c>
      <c r="G10" s="414"/>
      <c r="H10" s="127">
        <f>ROUND(100/'数据-取费表'!G16,0)</f>
        <v>124</v>
      </c>
      <c r="I10" s="414"/>
      <c r="J10" s="127">
        <f>ROUND(100/'数据-取费表'!G16,0)</f>
        <v>124</v>
      </c>
      <c r="K10" s="620"/>
      <c r="L10" s="2693"/>
      <c r="M10" s="2694"/>
      <c r="N10" s="2694"/>
      <c r="O10" s="2747"/>
      <c r="P10" s="3706"/>
      <c r="Q10" s="1342" t="str">
        <f t="shared" si="6"/>
        <v>土地使用年限（年）</v>
      </c>
      <c r="R10" s="701" t="s">
        <v>14</v>
      </c>
      <c r="S10" s="702">
        <f t="shared" si="0"/>
        <v>124</v>
      </c>
      <c r="T10" s="701" t="s">
        <v>14</v>
      </c>
      <c r="U10" s="702">
        <f t="shared" si="1"/>
        <v>124</v>
      </c>
      <c r="V10" s="701" t="s">
        <v>14</v>
      </c>
      <c r="W10" s="702">
        <f t="shared" si="2"/>
        <v>124</v>
      </c>
      <c r="X10" s="703"/>
      <c r="Y10" s="3580"/>
      <c r="Z10" s="52" t="str">
        <f t="shared" si="7"/>
        <v>土地使用年限（年）</v>
      </c>
      <c r="AA10" s="704">
        <f t="shared" si="3"/>
        <v>0.80645161290322576</v>
      </c>
      <c r="AB10" s="704">
        <f t="shared" si="4"/>
        <v>0.80645161290322576</v>
      </c>
      <c r="AC10" s="704">
        <f t="shared" si="5"/>
        <v>0.80645161290322576</v>
      </c>
    </row>
    <row r="11" spans="1:30" ht="15">
      <c r="A11" s="379"/>
      <c r="B11" s="375" t="s">
        <v>1671</v>
      </c>
      <c r="C11" s="380"/>
      <c r="D11" s="127">
        <v>100</v>
      </c>
      <c r="E11" s="380"/>
      <c r="F11" s="127" t="e">
        <f>LOOKUP(E11,79:79,80:80)-LOOKUP(C11,79:79,80:80)+100</f>
        <v>#N/A</v>
      </c>
      <c r="G11" s="381"/>
      <c r="H11" s="127" t="e">
        <f>LOOKUP(G11,79:79,80:80)-LOOKUP(C11,79:79,80:80)+100</f>
        <v>#N/A</v>
      </c>
      <c r="I11" s="380"/>
      <c r="J11" s="127" t="e">
        <f>LOOKUP(I11,79:79,80:80)-LOOKUP(C11,79:79,80:80)+100</f>
        <v>#N/A</v>
      </c>
      <c r="K11" s="621"/>
      <c r="L11" s="2695"/>
      <c r="M11" s="2690"/>
      <c r="N11" s="2690"/>
      <c r="O11" s="2748"/>
      <c r="P11" s="3706"/>
      <c r="Q11" s="1342" t="str">
        <f t="shared" si="6"/>
        <v>容积率</v>
      </c>
      <c r="R11" s="701" t="s">
        <v>14</v>
      </c>
      <c r="S11" s="702" t="e">
        <f t="shared" si="0"/>
        <v>#N/A</v>
      </c>
      <c r="T11" s="701" t="s">
        <v>14</v>
      </c>
      <c r="U11" s="702" t="e">
        <f t="shared" si="1"/>
        <v>#N/A</v>
      </c>
      <c r="V11" s="701" t="s">
        <v>14</v>
      </c>
      <c r="W11" s="702" t="e">
        <f t="shared" si="2"/>
        <v>#N/A</v>
      </c>
      <c r="X11" s="703"/>
      <c r="Y11" s="3580"/>
      <c r="Z11" s="52" t="str">
        <f t="shared" si="7"/>
        <v>容积率</v>
      </c>
      <c r="AA11" s="704" t="e">
        <f t="shared" si="3"/>
        <v>#N/A</v>
      </c>
      <c r="AB11" s="704" t="e">
        <f t="shared" si="4"/>
        <v>#N/A</v>
      </c>
      <c r="AC11" s="704" t="e">
        <f t="shared" si="5"/>
        <v>#N/A</v>
      </c>
    </row>
    <row r="12" spans="1:30" s="108" customFormat="1" ht="15">
      <c r="A12" s="382"/>
      <c r="B12" s="1892" t="s">
        <v>1852</v>
      </c>
      <c r="C12" s="383"/>
      <c r="D12" s="384">
        <v>100</v>
      </c>
      <c r="E12" s="416"/>
      <c r="F12" s="127">
        <f>SUMIF(81:81,E12,82:82)-SUMIF(81:81,C12,82:82)+100</f>
        <v>100</v>
      </c>
      <c r="G12" s="414"/>
      <c r="H12" s="127">
        <f>SUMIF(81:81,G12,82:82)-SUMIF(81:81,C12,82:82)+100</f>
        <v>100</v>
      </c>
      <c r="I12" s="416"/>
      <c r="J12" s="127">
        <f>SUMIF(81:81,I12,82:82)-SUMIF(81:81,C12,82:82)+100</f>
        <v>100</v>
      </c>
      <c r="K12" s="620"/>
      <c r="L12" s="2691"/>
      <c r="M12" s="2692"/>
      <c r="N12" s="2692"/>
      <c r="O12" s="2746"/>
      <c r="P12" s="3706"/>
      <c r="Q12" s="1342" t="str">
        <f t="shared" si="6"/>
        <v>配建</v>
      </c>
      <c r="R12" s="701" t="s">
        <v>14</v>
      </c>
      <c r="S12" s="702">
        <f t="shared" si="0"/>
        <v>100</v>
      </c>
      <c r="T12" s="701" t="s">
        <v>14</v>
      </c>
      <c r="U12" s="702">
        <f t="shared" si="1"/>
        <v>100</v>
      </c>
      <c r="V12" s="701" t="s">
        <v>14</v>
      </c>
      <c r="W12" s="702">
        <f t="shared" si="2"/>
        <v>100</v>
      </c>
      <c r="X12" s="703"/>
      <c r="Y12" s="3580"/>
      <c r="Z12" s="52" t="str">
        <f t="shared" si="7"/>
        <v>配建</v>
      </c>
      <c r="AA12" s="704">
        <f>D12/F12</f>
        <v>1</v>
      </c>
      <c r="AB12" s="704">
        <f>D12/H12</f>
        <v>1</v>
      </c>
      <c r="AC12" s="704">
        <f>D12/J12</f>
        <v>1</v>
      </c>
    </row>
    <row r="13" spans="1:30" ht="15">
      <c r="A13" s="379"/>
      <c r="B13" s="1892">
        <v>111</v>
      </c>
      <c r="C13" s="385"/>
      <c r="D13" s="386">
        <v>100</v>
      </c>
      <c r="E13" s="498"/>
      <c r="F13" s="127">
        <f>SUMIF(83:83,E13,84:84)-SUMIF(83:83,C13,84:84)+100</f>
        <v>100</v>
      </c>
      <c r="G13" s="622"/>
      <c r="H13" s="386">
        <f>SUMIF(83:83,G13,84:84)-SUMIF(83:83,C13,84:84)+100</f>
        <v>100</v>
      </c>
      <c r="I13" s="622"/>
      <c r="J13" s="386">
        <f>SUMIF(83:83,I13,84:84)-SUMIF(83:83,C13,84:84)+100</f>
        <v>100</v>
      </c>
      <c r="K13" s="620"/>
      <c r="L13" s="2696"/>
      <c r="M13" s="2690"/>
      <c r="N13" s="2690"/>
      <c r="O13" s="2748"/>
      <c r="P13" s="3706"/>
      <c r="Q13" s="1342">
        <f t="shared" si="6"/>
        <v>111</v>
      </c>
      <c r="R13" s="701" t="s">
        <v>14</v>
      </c>
      <c r="S13" s="702">
        <f t="shared" si="0"/>
        <v>100</v>
      </c>
      <c r="T13" s="701" t="s">
        <v>14</v>
      </c>
      <c r="U13" s="702">
        <f t="shared" si="1"/>
        <v>100</v>
      </c>
      <c r="V13" s="701" t="s">
        <v>14</v>
      </c>
      <c r="W13" s="702">
        <f t="shared" si="2"/>
        <v>100</v>
      </c>
      <c r="X13" s="703"/>
      <c r="Y13" s="3580"/>
      <c r="Z13" s="52">
        <f t="shared" si="7"/>
        <v>111</v>
      </c>
      <c r="AA13" s="704">
        <f>D13/F13</f>
        <v>1</v>
      </c>
      <c r="AB13" s="704">
        <f>D13/H13</f>
        <v>1</v>
      </c>
      <c r="AC13" s="704">
        <f>D13/J13</f>
        <v>1</v>
      </c>
    </row>
    <row r="14" spans="1:30" ht="15.75" thickBot="1">
      <c r="A14" s="387"/>
      <c r="B14" s="1894">
        <v>111</v>
      </c>
      <c r="C14" s="388"/>
      <c r="D14" s="389">
        <v>100</v>
      </c>
      <c r="E14" s="498"/>
      <c r="F14" s="389">
        <f>SUMIF(85:85,E14,86:86)-SUMIF(85:85,C14,86:86)+100</f>
        <v>100</v>
      </c>
      <c r="G14" s="622"/>
      <c r="H14" s="389">
        <f>SUMIF(85:85,G14,86:86)-SUMIF(85:85,C14,86:86)+100</f>
        <v>100</v>
      </c>
      <c r="I14" s="622"/>
      <c r="J14" s="389">
        <f>SUMIF(85:85,I14,86:86)-SUMIF(85:85,C14,86:86)+100</f>
        <v>100</v>
      </c>
      <c r="K14" s="620"/>
      <c r="L14" s="2696"/>
      <c r="M14" s="2690"/>
      <c r="N14" s="2690"/>
      <c r="O14" s="2748"/>
      <c r="P14" s="3706"/>
      <c r="Q14" s="1342">
        <f t="shared" si="6"/>
        <v>111</v>
      </c>
      <c r="R14" s="701" t="s">
        <v>14</v>
      </c>
      <c r="S14" s="702">
        <f t="shared" si="0"/>
        <v>100</v>
      </c>
      <c r="T14" s="701" t="s">
        <v>14</v>
      </c>
      <c r="U14" s="702">
        <f t="shared" si="1"/>
        <v>100</v>
      </c>
      <c r="V14" s="701" t="s">
        <v>14</v>
      </c>
      <c r="W14" s="702">
        <f t="shared" si="2"/>
        <v>100</v>
      </c>
      <c r="X14" s="703"/>
      <c r="Y14" s="3580"/>
      <c r="Z14" s="52">
        <f t="shared" si="7"/>
        <v>111</v>
      </c>
      <c r="AA14" s="704">
        <f>D14/F14</f>
        <v>1</v>
      </c>
      <c r="AB14" s="704">
        <f>D14/H14</f>
        <v>1</v>
      </c>
      <c r="AC14" s="704">
        <f>D14/J14</f>
        <v>1</v>
      </c>
    </row>
    <row r="15" spans="1:30" ht="15">
      <c r="A15" s="391" t="s">
        <v>1672</v>
      </c>
      <c r="B15" s="61" t="s">
        <v>1255</v>
      </c>
      <c r="C15" s="1895" t="str">
        <f>估价对象房地状况!C15</f>
        <v>一般</v>
      </c>
      <c r="D15" s="392">
        <v>100</v>
      </c>
      <c r="E15" s="393"/>
      <c r="F15" s="392">
        <f>SUMIF(87:87,E16,88:88)-SUMIF(87:87,C16,88:88)+100</f>
        <v>100</v>
      </c>
      <c r="G15" s="393"/>
      <c r="H15" s="392">
        <f>SUMIF(87:87,G16,88:88)-SUMIF(87:87,C16,88:88)+100</f>
        <v>100</v>
      </c>
      <c r="I15" s="395"/>
      <c r="J15" s="392">
        <f>SUMIF(87:87,I16,88:88)-SUMIF(87:87,C16,88:88)+100</f>
        <v>100</v>
      </c>
      <c r="K15" s="621"/>
      <c r="L15" s="2696"/>
      <c r="M15" s="2690"/>
      <c r="N15" s="2690"/>
      <c r="O15" s="2748"/>
      <c r="P15" s="3708" t="s">
        <v>1673</v>
      </c>
      <c r="Q15" s="1351" t="str">
        <f t="shared" si="6"/>
        <v>居住社区成熟度</v>
      </c>
      <c r="R15" s="705" t="s">
        <v>14</v>
      </c>
      <c r="S15" s="706">
        <f t="shared" si="0"/>
        <v>100</v>
      </c>
      <c r="T15" s="705" t="s">
        <v>14</v>
      </c>
      <c r="U15" s="706">
        <f t="shared" si="1"/>
        <v>100</v>
      </c>
      <c r="V15" s="705" t="s">
        <v>14</v>
      </c>
      <c r="W15" s="706">
        <f t="shared" si="2"/>
        <v>100</v>
      </c>
      <c r="X15" s="1354"/>
      <c r="Y15" s="3708" t="s">
        <v>1673</v>
      </c>
      <c r="Z15" s="1355" t="str">
        <f t="shared" si="7"/>
        <v>居住社区成熟度</v>
      </c>
      <c r="AA15" s="1352">
        <f t="shared" si="3"/>
        <v>1</v>
      </c>
      <c r="AB15" s="1352">
        <f t="shared" si="4"/>
        <v>1</v>
      </c>
      <c r="AC15" s="1352">
        <f t="shared" si="5"/>
        <v>1</v>
      </c>
    </row>
    <row r="16" spans="1:30" ht="15">
      <c r="A16" s="379"/>
      <c r="B16" s="397"/>
      <c r="C16" s="398"/>
      <c r="D16" s="399"/>
      <c r="E16" s="1897"/>
      <c r="F16" s="399"/>
      <c r="G16" s="1897"/>
      <c r="H16" s="401"/>
      <c r="I16" s="1896"/>
      <c r="J16" s="399"/>
      <c r="K16" s="620"/>
      <c r="L16" s="2696"/>
      <c r="M16" s="2690"/>
      <c r="N16" s="2690"/>
      <c r="O16" s="2748"/>
      <c r="P16" s="3709"/>
      <c r="Q16" s="1351"/>
      <c r="R16" s="705"/>
      <c r="S16" s="706"/>
      <c r="T16" s="705"/>
      <c r="U16" s="706"/>
      <c r="V16" s="705"/>
      <c r="W16" s="706"/>
      <c r="X16" s="1354"/>
      <c r="Y16" s="3709"/>
      <c r="Z16" s="1355"/>
      <c r="AA16" s="1352">
        <v>1</v>
      </c>
      <c r="AB16" s="1352">
        <v>1</v>
      </c>
      <c r="AC16" s="1352">
        <v>1</v>
      </c>
    </row>
    <row r="17" spans="1:29" ht="15">
      <c r="A17" s="379"/>
      <c r="B17" s="402" t="s">
        <v>1759</v>
      </c>
      <c r="C17" s="1954" t="str">
        <f>估价对象房地状况!C16</f>
        <v>一般</v>
      </c>
      <c r="D17" s="401">
        <v>100</v>
      </c>
      <c r="E17" s="403"/>
      <c r="F17" s="401">
        <f>SUMIF(89:89,E18,90:90)-SUMIF(89:89,C18,90:90)+100</f>
        <v>100</v>
      </c>
      <c r="G17" s="403"/>
      <c r="H17" s="406">
        <f>SUMIF(89:89,G18,90:90)-SUMIF(89:89,C18,90:90)+100</f>
        <v>100</v>
      </c>
      <c r="I17" s="405"/>
      <c r="J17" s="406">
        <f>SUMIF(89:89,I18,90:90)-SUMIF(89:89,C18,90:90)+100</f>
        <v>100</v>
      </c>
      <c r="K17" s="621"/>
      <c r="L17" s="2696"/>
      <c r="M17" s="2690"/>
      <c r="N17" s="2690"/>
      <c r="O17" s="2748"/>
      <c r="P17" s="3709"/>
      <c r="Q17" s="1351" t="str">
        <f>B17</f>
        <v>商业繁华度</v>
      </c>
      <c r="R17" s="705" t="s">
        <v>14</v>
      </c>
      <c r="S17" s="706">
        <f>F17</f>
        <v>100</v>
      </c>
      <c r="T17" s="705" t="s">
        <v>14</v>
      </c>
      <c r="U17" s="706">
        <f>H17</f>
        <v>100</v>
      </c>
      <c r="V17" s="705" t="s">
        <v>14</v>
      </c>
      <c r="W17" s="706">
        <f>J17</f>
        <v>100</v>
      </c>
      <c r="X17" s="1354"/>
      <c r="Y17" s="3709"/>
      <c r="Z17" s="1355" t="str">
        <f>Q17</f>
        <v>商业繁华度</v>
      </c>
      <c r="AA17" s="1352">
        <f t="shared" si="3"/>
        <v>1</v>
      </c>
      <c r="AB17" s="1352">
        <f t="shared" si="4"/>
        <v>1</v>
      </c>
      <c r="AC17" s="1352">
        <f t="shared" si="5"/>
        <v>1</v>
      </c>
    </row>
    <row r="18" spans="1:29" ht="15">
      <c r="A18" s="379"/>
      <c r="B18" s="407"/>
      <c r="C18" s="1900"/>
      <c r="D18" s="401"/>
      <c r="E18" s="1902"/>
      <c r="F18" s="401"/>
      <c r="G18" s="1902"/>
      <c r="H18" s="399"/>
      <c r="I18" s="1901"/>
      <c r="J18" s="399"/>
      <c r="K18" s="620"/>
      <c r="L18" s="2696"/>
      <c r="M18" s="2690"/>
      <c r="N18" s="2690"/>
      <c r="O18" s="2748"/>
      <c r="P18" s="3709"/>
      <c r="Q18" s="1351"/>
      <c r="R18" s="705"/>
      <c r="S18" s="706"/>
      <c r="T18" s="705"/>
      <c r="U18" s="706"/>
      <c r="V18" s="705"/>
      <c r="W18" s="706"/>
      <c r="X18" s="1354"/>
      <c r="Y18" s="3709"/>
      <c r="Z18" s="1355"/>
      <c r="AA18" s="1352">
        <v>1</v>
      </c>
      <c r="AB18" s="1352">
        <v>1</v>
      </c>
      <c r="AC18" s="1352">
        <v>1</v>
      </c>
    </row>
    <row r="19" spans="1:29" ht="15">
      <c r="A19" s="379"/>
      <c r="B19" s="402" t="s">
        <v>1793</v>
      </c>
      <c r="C19" s="1954" t="str">
        <f>估价对象房地状况!C17</f>
        <v>较好</v>
      </c>
      <c r="D19" s="406">
        <v>100</v>
      </c>
      <c r="E19" s="408"/>
      <c r="F19" s="406">
        <f>SUMIF(91:91,E20,92:92)-SUMIF(91:91,C20,92:92)+100</f>
        <v>100</v>
      </c>
      <c r="G19" s="408"/>
      <c r="H19" s="401">
        <f>SUMIF(91:91,G20,92:92)-SUMIF(91:91,C20,92:92)+100</f>
        <v>100</v>
      </c>
      <c r="I19" s="410"/>
      <c r="J19" s="401">
        <f>SUMIF(91:91,I20,92:92)-SUMIF(91:91,C20,92:92)+100</f>
        <v>100</v>
      </c>
      <c r="K19" s="621"/>
      <c r="L19" s="2696"/>
      <c r="M19" s="2690"/>
      <c r="N19" s="2690"/>
      <c r="O19" s="2748"/>
      <c r="P19" s="3709"/>
      <c r="Q19" s="1351" t="str">
        <f>B19</f>
        <v>办公集聚程度</v>
      </c>
      <c r="R19" s="705" t="s">
        <v>14</v>
      </c>
      <c r="S19" s="706">
        <f>F19</f>
        <v>100</v>
      </c>
      <c r="T19" s="705" t="s">
        <v>14</v>
      </c>
      <c r="U19" s="706">
        <f>H19</f>
        <v>100</v>
      </c>
      <c r="V19" s="705" t="s">
        <v>14</v>
      </c>
      <c r="W19" s="706">
        <f>J19</f>
        <v>100</v>
      </c>
      <c r="X19" s="1354"/>
      <c r="Y19" s="3709"/>
      <c r="Z19" s="1355" t="str">
        <f>Q19</f>
        <v>办公集聚程度</v>
      </c>
      <c r="AA19" s="1352">
        <f t="shared" si="3"/>
        <v>1</v>
      </c>
      <c r="AB19" s="1352">
        <f t="shared" si="4"/>
        <v>1</v>
      </c>
      <c r="AC19" s="1352">
        <f t="shared" si="5"/>
        <v>1</v>
      </c>
    </row>
    <row r="20" spans="1:29" ht="15">
      <c r="A20" s="379"/>
      <c r="B20" s="407"/>
      <c r="C20" s="398"/>
      <c r="D20" s="399"/>
      <c r="E20" s="1897"/>
      <c r="F20" s="399"/>
      <c r="G20" s="1897"/>
      <c r="H20" s="399"/>
      <c r="I20" s="1896"/>
      <c r="J20" s="399"/>
      <c r="K20" s="620"/>
      <c r="L20" s="2696"/>
      <c r="M20" s="2690"/>
      <c r="N20" s="2690"/>
      <c r="O20" s="2748"/>
      <c r="P20" s="3709"/>
      <c r="Q20" s="1351"/>
      <c r="R20" s="705"/>
      <c r="S20" s="706"/>
      <c r="T20" s="705"/>
      <c r="U20" s="706"/>
      <c r="V20" s="705"/>
      <c r="W20" s="706"/>
      <c r="X20" s="1354"/>
      <c r="Y20" s="3709"/>
      <c r="Z20" s="1355"/>
      <c r="AA20" s="1352">
        <v>1</v>
      </c>
      <c r="AB20" s="1352">
        <v>1</v>
      </c>
      <c r="AC20" s="1352">
        <v>1</v>
      </c>
    </row>
    <row r="21" spans="1:29" ht="85.5">
      <c r="A21" s="379"/>
      <c r="B21" s="402" t="s">
        <v>1815</v>
      </c>
      <c r="C21" s="1899" t="str">
        <f>估价对象房地状况!C18</f>
        <v>估价对象周边道路状况、公共交通通达情况、停车便捷程度，综合评价交通便捷度较好</v>
      </c>
      <c r="D21" s="401">
        <v>100</v>
      </c>
      <c r="E21" s="403"/>
      <c r="F21" s="406">
        <f>SUMIF(93:93,E22,94:94)-SUMIF(93:93,C22,94:94)+100</f>
        <v>100</v>
      </c>
      <c r="G21" s="403"/>
      <c r="H21" s="401">
        <f>SUMIF(93:93,G22,94:94)-SUMIF(93:93,C22,94:94)+100</f>
        <v>100</v>
      </c>
      <c r="I21" s="405"/>
      <c r="J21" s="401">
        <f>SUMIF(93:93,I22,94:94)-SUMIF(93:93,C22,94:94)+100</f>
        <v>100</v>
      </c>
      <c r="K21" s="621"/>
      <c r="L21" s="2696"/>
      <c r="M21" s="2690"/>
      <c r="N21" s="2690"/>
      <c r="O21" s="2748"/>
      <c r="P21" s="3709"/>
      <c r="Q21" s="1351" t="str">
        <f>B21</f>
        <v>交通便捷度</v>
      </c>
      <c r="R21" s="705" t="s">
        <v>14</v>
      </c>
      <c r="S21" s="706">
        <f>F21</f>
        <v>100</v>
      </c>
      <c r="T21" s="705" t="s">
        <v>14</v>
      </c>
      <c r="U21" s="706">
        <f>H21</f>
        <v>100</v>
      </c>
      <c r="V21" s="705" t="s">
        <v>14</v>
      </c>
      <c r="W21" s="706">
        <f>J21</f>
        <v>100</v>
      </c>
      <c r="X21" s="1354"/>
      <c r="Y21" s="3709"/>
      <c r="Z21" s="1355" t="str">
        <f>Q21</f>
        <v>交通便捷度</v>
      </c>
      <c r="AA21" s="1352">
        <f t="shared" si="3"/>
        <v>1</v>
      </c>
      <c r="AB21" s="1352">
        <f t="shared" si="4"/>
        <v>1</v>
      </c>
      <c r="AC21" s="1352">
        <f t="shared" si="5"/>
        <v>1</v>
      </c>
    </row>
    <row r="22" spans="1:29" ht="15">
      <c r="A22" s="379"/>
      <c r="B22" s="1131"/>
      <c r="C22" s="398"/>
      <c r="D22" s="401"/>
      <c r="E22" s="1897"/>
      <c r="F22" s="399"/>
      <c r="G22" s="1897"/>
      <c r="H22" s="399"/>
      <c r="I22" s="1896"/>
      <c r="J22" s="399"/>
      <c r="K22" s="620"/>
      <c r="L22" s="2696"/>
      <c r="M22" s="2690"/>
      <c r="N22" s="2690"/>
      <c r="O22" s="2748"/>
      <c r="P22" s="3709"/>
      <c r="Q22" s="1351"/>
      <c r="R22" s="705"/>
      <c r="S22" s="706"/>
      <c r="T22" s="705"/>
      <c r="U22" s="706"/>
      <c r="V22" s="705"/>
      <c r="W22" s="706"/>
      <c r="X22" s="1354"/>
      <c r="Y22" s="3709"/>
      <c r="Z22" s="1355"/>
      <c r="AA22" s="1352">
        <v>1</v>
      </c>
      <c r="AB22" s="1352">
        <v>1</v>
      </c>
      <c r="AC22" s="1352">
        <v>1</v>
      </c>
    </row>
    <row r="23" spans="1:29" ht="15">
      <c r="A23" s="358"/>
      <c r="B23" s="402" t="s">
        <v>1853</v>
      </c>
      <c r="C23" s="1136">
        <f>估价对象房地状况!C19</f>
        <v>0</v>
      </c>
      <c r="D23" s="406">
        <v>100</v>
      </c>
      <c r="E23" s="403"/>
      <c r="F23" s="406">
        <f>SUMIF(95:95,E24,96:96)-SUMIF(95:95,C24,96:96)+100</f>
        <v>100</v>
      </c>
      <c r="G23" s="405"/>
      <c r="H23" s="406">
        <f>SUMIF(95:95,G24,96:96)-SUMIF(95:95,C24,96:96)+100</f>
        <v>100</v>
      </c>
      <c r="I23" s="405"/>
      <c r="J23" s="406">
        <f>SUMIF(95:95,I24,96:96)-SUMIF(95:95,C24,96:96)+100</f>
        <v>100</v>
      </c>
      <c r="K23" s="621"/>
      <c r="L23" s="2696"/>
      <c r="M23" s="2690"/>
      <c r="N23" s="2690"/>
      <c r="O23" s="2748"/>
      <c r="P23" s="3709"/>
      <c r="Q23" s="1351" t="str">
        <f t="shared" ref="Q23:Q37" si="8">B23</f>
        <v>区域土地利用方向</v>
      </c>
      <c r="R23" s="705" t="s">
        <v>14</v>
      </c>
      <c r="S23" s="706">
        <f>F23</f>
        <v>100</v>
      </c>
      <c r="T23" s="705" t="s">
        <v>14</v>
      </c>
      <c r="U23" s="706">
        <f>H23</f>
        <v>100</v>
      </c>
      <c r="V23" s="705" t="s">
        <v>14</v>
      </c>
      <c r="W23" s="706">
        <f>J23</f>
        <v>100</v>
      </c>
      <c r="X23" s="1354"/>
      <c r="Y23" s="3709"/>
      <c r="Z23" s="1355" t="str">
        <f>Q23</f>
        <v>区域土地利用方向</v>
      </c>
      <c r="AA23" s="1352">
        <f t="shared" si="3"/>
        <v>1</v>
      </c>
      <c r="AB23" s="1352">
        <f t="shared" si="4"/>
        <v>1</v>
      </c>
      <c r="AC23" s="1352">
        <f t="shared" si="5"/>
        <v>1</v>
      </c>
    </row>
    <row r="24" spans="1:29" ht="15">
      <c r="A24" s="358"/>
      <c r="B24" s="407"/>
      <c r="C24" s="565"/>
      <c r="D24" s="399"/>
      <c r="E24" s="1897"/>
      <c r="F24" s="399"/>
      <c r="G24" s="1896"/>
      <c r="H24" s="399"/>
      <c r="I24" s="1896"/>
      <c r="J24" s="399"/>
      <c r="K24" s="740"/>
      <c r="L24" s="2696"/>
      <c r="M24" s="2690"/>
      <c r="N24" s="2690"/>
      <c r="O24" s="2748"/>
      <c r="P24" s="3709"/>
      <c r="Q24" s="1351"/>
      <c r="R24" s="705"/>
      <c r="S24" s="706"/>
      <c r="T24" s="705"/>
      <c r="U24" s="706"/>
      <c r="V24" s="705"/>
      <c r="W24" s="706"/>
      <c r="X24" s="1354"/>
      <c r="Y24" s="3709"/>
      <c r="Z24" s="1355"/>
      <c r="AA24" s="1352"/>
      <c r="AB24" s="1352"/>
      <c r="AC24" s="1352"/>
    </row>
    <row r="25" spans="1:29" ht="57">
      <c r="A25" s="358"/>
      <c r="B25" s="1131" t="s">
        <v>1854</v>
      </c>
      <c r="C25" s="1954" t="str">
        <f>估价对象房地状况!C20</f>
        <v>区域自然环境：；人文环境；综合评价环境状况一般</v>
      </c>
      <c r="D25" s="401">
        <v>100</v>
      </c>
      <c r="E25" s="403"/>
      <c r="F25" s="401">
        <f>SUMIF(97:97,E26,98:98)-SUMIF(97:97,C26,98:98)+100</f>
        <v>100</v>
      </c>
      <c r="G25" s="403"/>
      <c r="H25" s="401">
        <f>SUMIF(97:97,G26,98:98)-SUMIF(97:97,C26,98:98)+100</f>
        <v>100</v>
      </c>
      <c r="I25" s="405"/>
      <c r="J25" s="401">
        <f>SUMIF(97:97,I26,98:98)-SUMIF(97:97,C26,98:98)+100</f>
        <v>100</v>
      </c>
      <c r="K25" s="621"/>
      <c r="L25" s="2696"/>
      <c r="M25" s="2690"/>
      <c r="N25" s="2690"/>
      <c r="O25" s="2748"/>
      <c r="P25" s="3709"/>
      <c r="Q25" s="1351" t="str">
        <f t="shared" si="8"/>
        <v>自然及人文环境状况</v>
      </c>
      <c r="R25" s="705" t="s">
        <v>14</v>
      </c>
      <c r="S25" s="706">
        <f>F25</f>
        <v>100</v>
      </c>
      <c r="T25" s="705" t="s">
        <v>14</v>
      </c>
      <c r="U25" s="706">
        <f>H25</f>
        <v>100</v>
      </c>
      <c r="V25" s="705" t="s">
        <v>14</v>
      </c>
      <c r="W25" s="706">
        <f>J25</f>
        <v>100</v>
      </c>
      <c r="X25" s="1354"/>
      <c r="Y25" s="3709"/>
      <c r="Z25" s="1355" t="str">
        <f>Q25</f>
        <v>自然及人文环境状况</v>
      </c>
      <c r="AA25" s="1352">
        <f t="shared" si="3"/>
        <v>1</v>
      </c>
      <c r="AB25" s="1352">
        <f t="shared" si="4"/>
        <v>1</v>
      </c>
      <c r="AC25" s="1352">
        <f t="shared" si="5"/>
        <v>1</v>
      </c>
    </row>
    <row r="26" spans="1:29" ht="15">
      <c r="A26" s="358"/>
      <c r="B26" s="407"/>
      <c r="C26" s="398"/>
      <c r="D26" s="399"/>
      <c r="E26" s="1903"/>
      <c r="F26" s="399"/>
      <c r="G26" s="1903"/>
      <c r="H26" s="399"/>
      <c r="I26" s="398"/>
      <c r="J26" s="399"/>
      <c r="K26" s="620"/>
      <c r="L26" s="2696"/>
      <c r="M26" s="2690"/>
      <c r="N26" s="2690"/>
      <c r="O26" s="2748"/>
      <c r="P26" s="3709"/>
      <c r="Q26" s="1351"/>
      <c r="R26" s="705"/>
      <c r="S26" s="706"/>
      <c r="T26" s="705"/>
      <c r="U26" s="706"/>
      <c r="V26" s="705"/>
      <c r="W26" s="706"/>
      <c r="X26" s="1354"/>
      <c r="Y26" s="3709"/>
      <c r="Z26" s="1355"/>
      <c r="AA26" s="1352">
        <v>1</v>
      </c>
      <c r="AB26" s="1352">
        <v>1</v>
      </c>
      <c r="AC26" s="1352">
        <v>1</v>
      </c>
    </row>
    <row r="27" spans="1:29" s="108" customFormat="1" ht="42.75">
      <c r="A27" s="597"/>
      <c r="B27" s="1131" t="s">
        <v>1760</v>
      </c>
      <c r="C27" s="1899" t="str">
        <f>估价对象房地状况!C21</f>
        <v>估价对象所在区域公共配套设施齐备情况</v>
      </c>
      <c r="D27" s="401">
        <v>100</v>
      </c>
      <c r="E27" s="403"/>
      <c r="F27" s="401">
        <f>SUMIF(99:99,E28,100:100)-SUMIF(99:99,C28,100:100)+100</f>
        <v>100</v>
      </c>
      <c r="G27" s="403"/>
      <c r="H27" s="401">
        <f>SUMIF(99:99,G28,100:100)-SUMIF(99:99,C28,100:100)+100</f>
        <v>100</v>
      </c>
      <c r="I27" s="405"/>
      <c r="J27" s="401">
        <f>SUMIF(99:99,I28,100:100)-SUMIF(99:99,C28,100:100)+100</f>
        <v>100</v>
      </c>
      <c r="K27" s="621"/>
      <c r="L27" s="2691"/>
      <c r="M27" s="2692"/>
      <c r="N27" s="2692"/>
      <c r="O27" s="2746"/>
      <c r="P27" s="3709"/>
      <c r="Q27" s="1342" t="str">
        <f t="shared" si="8"/>
        <v>公共配套设施</v>
      </c>
      <c r="R27" s="701" t="s">
        <v>14</v>
      </c>
      <c r="S27" s="702">
        <f>F27</f>
        <v>100</v>
      </c>
      <c r="T27" s="701" t="s">
        <v>14</v>
      </c>
      <c r="U27" s="702">
        <f>H27</f>
        <v>100</v>
      </c>
      <c r="V27" s="701" t="s">
        <v>14</v>
      </c>
      <c r="W27" s="702">
        <f>J27</f>
        <v>100</v>
      </c>
      <c r="X27" s="703"/>
      <c r="Y27" s="3709"/>
      <c r="Z27" s="52" t="str">
        <f>Q27</f>
        <v>公共配套设施</v>
      </c>
      <c r="AA27" s="1352">
        <f>D27/F27</f>
        <v>1</v>
      </c>
      <c r="AB27" s="1352">
        <f>D27/H27</f>
        <v>1</v>
      </c>
      <c r="AC27" s="1352">
        <f>D27/J27</f>
        <v>1</v>
      </c>
    </row>
    <row r="28" spans="1:29" s="108" customFormat="1" ht="15">
      <c r="A28" s="597"/>
      <c r="B28" s="407"/>
      <c r="C28" s="1977"/>
      <c r="D28" s="399"/>
      <c r="E28" s="1903"/>
      <c r="F28" s="399"/>
      <c r="G28" s="1903"/>
      <c r="H28" s="399"/>
      <c r="I28" s="398"/>
      <c r="J28" s="399"/>
      <c r="K28" s="620"/>
      <c r="L28" s="2691"/>
      <c r="M28" s="2692"/>
      <c r="N28" s="2692"/>
      <c r="O28" s="2746"/>
      <c r="P28" s="3709"/>
      <c r="Q28" s="1342"/>
      <c r="R28" s="701"/>
      <c r="S28" s="702"/>
      <c r="T28" s="701"/>
      <c r="U28" s="702"/>
      <c r="V28" s="701"/>
      <c r="W28" s="702"/>
      <c r="X28" s="703"/>
      <c r="Y28" s="3709"/>
      <c r="Z28" s="52"/>
      <c r="AA28" s="1352">
        <v>1</v>
      </c>
      <c r="AB28" s="1352">
        <v>1</v>
      </c>
      <c r="AC28" s="1352">
        <v>1</v>
      </c>
    </row>
    <row r="29" spans="1:29" s="108" customFormat="1" ht="28.5">
      <c r="A29" s="597"/>
      <c r="B29" s="1131" t="s">
        <v>1761</v>
      </c>
      <c r="C29" s="1899" t="str">
        <f>估价对象房地状况!C22</f>
        <v>估价对象所在区域基础设施水平</v>
      </c>
      <c r="D29" s="401">
        <v>100</v>
      </c>
      <c r="E29" s="403"/>
      <c r="F29" s="401">
        <f>SUMIF(101:101,E30,102:102)-SUMIF(101:101,C30,102:102)+100</f>
        <v>100</v>
      </c>
      <c r="G29" s="403"/>
      <c r="H29" s="401">
        <f>SUMIF(101:101,G30,102:102)-SUMIF(101:101,C30,102:102)+100</f>
        <v>100</v>
      </c>
      <c r="I29" s="405"/>
      <c r="J29" s="401">
        <f>SUMIF(101:101,I30,102:102)-SUMIF(101:101,C30,102:102)+100</f>
        <v>100</v>
      </c>
      <c r="K29" s="621"/>
      <c r="L29" s="2691"/>
      <c r="M29" s="2692"/>
      <c r="N29" s="2692"/>
      <c r="O29" s="2746"/>
      <c r="P29" s="3709"/>
      <c r="Q29" s="1342" t="str">
        <f t="shared" ref="Q29" si="9">B29</f>
        <v>基础设施水平</v>
      </c>
      <c r="R29" s="701" t="s">
        <v>14</v>
      </c>
      <c r="S29" s="702">
        <f>F29</f>
        <v>100</v>
      </c>
      <c r="T29" s="701" t="s">
        <v>14</v>
      </c>
      <c r="U29" s="702">
        <f>H29</f>
        <v>100</v>
      </c>
      <c r="V29" s="701" t="s">
        <v>14</v>
      </c>
      <c r="W29" s="702">
        <f>J29</f>
        <v>100</v>
      </c>
      <c r="X29" s="703"/>
      <c r="Y29" s="3709"/>
      <c r="Z29" s="52" t="str">
        <f>Q29</f>
        <v>基础设施水平</v>
      </c>
      <c r="AA29" s="1352">
        <f>D29/F29</f>
        <v>1</v>
      </c>
      <c r="AB29" s="1352">
        <f>D29/H29</f>
        <v>1</v>
      </c>
      <c r="AC29" s="1352">
        <f>D29/J29</f>
        <v>1</v>
      </c>
    </row>
    <row r="30" spans="1:29" s="108" customFormat="1" ht="15">
      <c r="A30" s="597"/>
      <c r="B30" s="407"/>
      <c r="C30" s="1977"/>
      <c r="D30" s="399"/>
      <c r="E30" s="1978"/>
      <c r="F30" s="399"/>
      <c r="G30" s="1978"/>
      <c r="H30" s="399"/>
      <c r="I30" s="1978"/>
      <c r="J30" s="399"/>
      <c r="K30" s="620"/>
      <c r="L30" s="2691"/>
      <c r="M30" s="2692"/>
      <c r="N30" s="2692"/>
      <c r="O30" s="2746"/>
      <c r="P30" s="3709"/>
      <c r="Q30" s="1342"/>
      <c r="R30" s="701"/>
      <c r="S30" s="702"/>
      <c r="T30" s="701"/>
      <c r="U30" s="702"/>
      <c r="V30" s="701"/>
      <c r="W30" s="702"/>
      <c r="X30" s="703"/>
      <c r="Y30" s="3709"/>
      <c r="Z30" s="52"/>
      <c r="AA30" s="1352">
        <v>1</v>
      </c>
      <c r="AB30" s="1352">
        <v>1</v>
      </c>
      <c r="AC30" s="1352">
        <v>1</v>
      </c>
    </row>
    <row r="31" spans="1:29" ht="15">
      <c r="A31" s="379"/>
      <c r="B31" s="407" t="s">
        <v>1762</v>
      </c>
      <c r="C31" s="565"/>
      <c r="D31" s="386">
        <v>100</v>
      </c>
      <c r="E31" s="582"/>
      <c r="F31" s="386">
        <f>SUMIF(103:103,E31,104:104)-SUMIF(103:103,C31,104:104)+100</f>
        <v>100</v>
      </c>
      <c r="G31" s="582"/>
      <c r="H31" s="386">
        <f>SUMIF(103:103,G31,104:104)-SUMIF(103:103,C31,104:104)+100</f>
        <v>100</v>
      </c>
      <c r="I31" s="582"/>
      <c r="J31" s="386">
        <f>SUMIF(103:103,I31,104:104)-SUMIF(103:103,C31,104:104)+100</f>
        <v>100</v>
      </c>
      <c r="K31" s="621"/>
      <c r="L31" s="2696"/>
      <c r="M31" s="2690"/>
      <c r="N31" s="2690"/>
      <c r="O31" s="2748"/>
      <c r="P31" s="3709"/>
      <c r="Q31" s="1351" t="str">
        <f t="shared" si="8"/>
        <v>临街状况</v>
      </c>
      <c r="R31" s="705" t="s">
        <v>14</v>
      </c>
      <c r="S31" s="706">
        <f t="shared" ref="S31:S45" si="10">F31</f>
        <v>100</v>
      </c>
      <c r="T31" s="705" t="s">
        <v>14</v>
      </c>
      <c r="U31" s="706">
        <f t="shared" ref="U31:U45" si="11">H31</f>
        <v>100</v>
      </c>
      <c r="V31" s="705" t="s">
        <v>14</v>
      </c>
      <c r="W31" s="706">
        <f t="shared" ref="W31:W45" si="12">J31</f>
        <v>100</v>
      </c>
      <c r="X31" s="1354"/>
      <c r="Y31" s="3709"/>
      <c r="Z31" s="1355" t="str">
        <f t="shared" ref="Z31:Z45" si="13">Q31</f>
        <v>临街状况</v>
      </c>
      <c r="AA31" s="1352">
        <f t="shared" si="3"/>
        <v>1</v>
      </c>
      <c r="AB31" s="1352">
        <f t="shared" si="4"/>
        <v>1</v>
      </c>
      <c r="AC31" s="1352">
        <f t="shared" si="5"/>
        <v>1</v>
      </c>
    </row>
    <row r="32" spans="1:29" ht="27">
      <c r="A32" s="379"/>
      <c r="B32" s="1131" t="s">
        <v>1797</v>
      </c>
      <c r="C32" s="405"/>
      <c r="D32" s="401">
        <v>100</v>
      </c>
      <c r="E32" s="403"/>
      <c r="F32" s="401">
        <f>SUMIF(105:105,E33,106:106)-SUMIF(105:105,C33,106:106)+100</f>
        <v>100</v>
      </c>
      <c r="G32" s="403"/>
      <c r="H32" s="401">
        <f>SUMIF(105:105,G33,106:106)-SUMIF(105:105,C33,106:106)+100</f>
        <v>100</v>
      </c>
      <c r="I32" s="405"/>
      <c r="J32" s="401">
        <f>SUMIF(105:105,I33,106:106)-SUMIF(105:105,C33,106:106)+100</f>
        <v>100</v>
      </c>
      <c r="K32" s="621"/>
      <c r="L32" s="2696"/>
      <c r="M32" s="2690"/>
      <c r="N32" s="2690"/>
      <c r="O32" s="2748"/>
      <c r="P32" s="3709"/>
      <c r="Q32" s="1351" t="str">
        <f t="shared" si="8"/>
        <v>毗邻道路的类型与等级</v>
      </c>
      <c r="R32" s="705" t="s">
        <v>14</v>
      </c>
      <c r="S32" s="706">
        <f t="shared" si="10"/>
        <v>100</v>
      </c>
      <c r="T32" s="705" t="s">
        <v>14</v>
      </c>
      <c r="U32" s="706">
        <f t="shared" si="11"/>
        <v>100</v>
      </c>
      <c r="V32" s="705" t="s">
        <v>14</v>
      </c>
      <c r="W32" s="706">
        <f t="shared" si="12"/>
        <v>100</v>
      </c>
      <c r="X32" s="1354"/>
      <c r="Y32" s="3709"/>
      <c r="Z32" s="1355" t="str">
        <f t="shared" si="13"/>
        <v>毗邻道路的类型与等级</v>
      </c>
      <c r="AA32" s="1352">
        <f t="shared" si="3"/>
        <v>1</v>
      </c>
      <c r="AB32" s="1352">
        <f t="shared" si="4"/>
        <v>1</v>
      </c>
      <c r="AC32" s="1352">
        <f t="shared" si="5"/>
        <v>1</v>
      </c>
    </row>
    <row r="33" spans="1:29" ht="15">
      <c r="A33" s="379"/>
      <c r="B33" s="407"/>
      <c r="C33" s="398"/>
      <c r="D33" s="399"/>
      <c r="E33" s="1903"/>
      <c r="F33" s="399"/>
      <c r="G33" s="1903"/>
      <c r="H33" s="399"/>
      <c r="I33" s="398"/>
      <c r="J33" s="399"/>
      <c r="K33" s="562"/>
      <c r="L33" s="2696"/>
      <c r="M33" s="2690"/>
      <c r="N33" s="2690"/>
      <c r="O33" s="2748"/>
      <c r="P33" s="3709"/>
      <c r="Q33" s="1351"/>
      <c r="R33" s="705"/>
      <c r="S33" s="706"/>
      <c r="T33" s="705"/>
      <c r="U33" s="706"/>
      <c r="V33" s="705"/>
      <c r="W33" s="706"/>
      <c r="X33" s="1354"/>
      <c r="Y33" s="3709"/>
      <c r="Z33" s="1355"/>
      <c r="AA33" s="1352">
        <v>1</v>
      </c>
      <c r="AB33" s="1352">
        <v>1</v>
      </c>
      <c r="AC33" s="1352">
        <v>1</v>
      </c>
    </row>
    <row r="34" spans="1:29" ht="15">
      <c r="A34" s="379"/>
      <c r="B34" s="375" t="s">
        <v>1855</v>
      </c>
      <c r="C34" s="565"/>
      <c r="D34" s="386">
        <v>100</v>
      </c>
      <c r="E34" s="582"/>
      <c r="F34" s="386">
        <f>SUMIF(107:107,E34,108:108)-SUMIF(107:107,C34,108:108)+100</f>
        <v>100</v>
      </c>
      <c r="G34" s="582"/>
      <c r="H34" s="386">
        <f>SUMIF(107:107,G34,108:108)-SUMIF(107:107,C34,108:108)+100</f>
        <v>100</v>
      </c>
      <c r="I34" s="565"/>
      <c r="J34" s="386">
        <f>SUMIF(107:107,I34,108:108)-SUMIF(107:107,C34,108:108)+100</f>
        <v>100</v>
      </c>
      <c r="K34" s="561"/>
      <c r="L34" s="2696"/>
      <c r="M34" s="2690"/>
      <c r="N34" s="2690"/>
      <c r="O34" s="2748"/>
      <c r="P34" s="3709"/>
      <c r="Q34" s="1351" t="str">
        <f t="shared" si="8"/>
        <v>土地级别</v>
      </c>
      <c r="R34" s="705" t="s">
        <v>14</v>
      </c>
      <c r="S34" s="706">
        <f t="shared" si="10"/>
        <v>100</v>
      </c>
      <c r="T34" s="705" t="s">
        <v>14</v>
      </c>
      <c r="U34" s="706">
        <f t="shared" si="11"/>
        <v>100</v>
      </c>
      <c r="V34" s="705" t="s">
        <v>14</v>
      </c>
      <c r="W34" s="706">
        <f t="shared" si="12"/>
        <v>100</v>
      </c>
      <c r="X34" s="1354"/>
      <c r="Y34" s="3709"/>
      <c r="Z34" s="1355" t="str">
        <f t="shared" si="13"/>
        <v>土地级别</v>
      </c>
      <c r="AA34" s="1352">
        <f t="shared" si="3"/>
        <v>1</v>
      </c>
      <c r="AB34" s="1352">
        <f t="shared" si="4"/>
        <v>1</v>
      </c>
      <c r="AC34" s="1352">
        <f t="shared" si="5"/>
        <v>1</v>
      </c>
    </row>
    <row r="35" spans="1:29" ht="15">
      <c r="A35" s="358"/>
      <c r="B35" s="1133">
        <v>111</v>
      </c>
      <c r="C35" s="622"/>
      <c r="D35" s="386">
        <v>100</v>
      </c>
      <c r="E35" s="428"/>
      <c r="F35" s="386">
        <f>SUMIF(109:109,E35,110:110)-SUMIF(109:109,C35,110:110)+100</f>
        <v>100</v>
      </c>
      <c r="G35" s="428"/>
      <c r="H35" s="386">
        <f>SUMIF(109:109,G35,110:110)-SUMIF(109:109,C35,110:110)+100</f>
        <v>100</v>
      </c>
      <c r="I35" s="622"/>
      <c r="J35" s="386">
        <f>SUMIF(109:109,I35,110:110)-SUMIF(109:109,C35,110:110)+100</f>
        <v>100</v>
      </c>
      <c r="K35" s="562"/>
      <c r="L35" s="2696"/>
      <c r="M35" s="2690"/>
      <c r="N35" s="2690"/>
      <c r="O35" s="2748"/>
      <c r="P35" s="3709"/>
      <c r="Q35" s="1351">
        <f t="shared" si="8"/>
        <v>111</v>
      </c>
      <c r="R35" s="705" t="s">
        <v>14</v>
      </c>
      <c r="S35" s="706">
        <f t="shared" si="10"/>
        <v>100</v>
      </c>
      <c r="T35" s="705" t="s">
        <v>14</v>
      </c>
      <c r="U35" s="706">
        <f t="shared" si="11"/>
        <v>100</v>
      </c>
      <c r="V35" s="705" t="s">
        <v>14</v>
      </c>
      <c r="W35" s="706">
        <f t="shared" si="12"/>
        <v>100</v>
      </c>
      <c r="X35" s="1354"/>
      <c r="Y35" s="3709"/>
      <c r="Z35" s="1355">
        <f t="shared" si="13"/>
        <v>111</v>
      </c>
      <c r="AA35" s="1352">
        <f t="shared" si="3"/>
        <v>1</v>
      </c>
      <c r="AB35" s="1352">
        <f t="shared" si="4"/>
        <v>1</v>
      </c>
      <c r="AC35" s="1352">
        <f t="shared" si="5"/>
        <v>1</v>
      </c>
    </row>
    <row r="36" spans="1:29" ht="15">
      <c r="A36" s="623"/>
      <c r="B36" s="1134">
        <v>111</v>
      </c>
      <c r="C36" s="622"/>
      <c r="D36" s="386">
        <v>100</v>
      </c>
      <c r="E36" s="428"/>
      <c r="F36" s="386">
        <f>SUMIF(111:111,E37,112:112)-SUMIF(111:111,C37,112:112)+100</f>
        <v>100</v>
      </c>
      <c r="G36" s="428"/>
      <c r="H36" s="386">
        <f>SUMIF(111:111,G36,112:112)-SUMIF(111:111,C36,112:112)+100</f>
        <v>100</v>
      </c>
      <c r="I36" s="622"/>
      <c r="J36" s="386">
        <f>SUMIF(111:111,I36,112:112)-SUMIF(111:111,C36,112:112)+100</f>
        <v>100</v>
      </c>
      <c r="K36" s="562"/>
      <c r="L36" s="2696"/>
      <c r="M36" s="2690"/>
      <c r="N36" s="2690"/>
      <c r="O36" s="2748"/>
      <c r="P36" s="3764" t="s">
        <v>1678</v>
      </c>
      <c r="Q36" s="1351">
        <f t="shared" si="8"/>
        <v>111</v>
      </c>
      <c r="R36" s="705" t="s">
        <v>14</v>
      </c>
      <c r="S36" s="706">
        <f t="shared" si="10"/>
        <v>100</v>
      </c>
      <c r="T36" s="705" t="s">
        <v>14</v>
      </c>
      <c r="U36" s="706">
        <f t="shared" si="11"/>
        <v>100</v>
      </c>
      <c r="V36" s="705" t="s">
        <v>14</v>
      </c>
      <c r="W36" s="706">
        <f t="shared" si="12"/>
        <v>100</v>
      </c>
      <c r="X36" s="1354"/>
      <c r="Y36" s="3713" t="s">
        <v>1678</v>
      </c>
      <c r="Z36" s="1355">
        <f t="shared" si="13"/>
        <v>111</v>
      </c>
      <c r="AA36" s="1352">
        <f t="shared" si="3"/>
        <v>1</v>
      </c>
      <c r="AB36" s="1352">
        <f t="shared" si="4"/>
        <v>1</v>
      </c>
      <c r="AC36" s="1352">
        <f t="shared" si="5"/>
        <v>1</v>
      </c>
    </row>
    <row r="37" spans="1:29" s="422" customFormat="1" ht="15.75" thickBot="1">
      <c r="A37" s="624"/>
      <c r="B37" s="1135">
        <v>111</v>
      </c>
      <c r="C37" s="626"/>
      <c r="D37" s="128">
        <v>100</v>
      </c>
      <c r="E37" s="649"/>
      <c r="F37" s="389">
        <f>SUMIF(113:113,E37,114:114)-SUMIF(113:113,C37,114:114)+100</f>
        <v>100</v>
      </c>
      <c r="G37" s="649"/>
      <c r="H37" s="389">
        <f>SUMIF(113:113,G37,114:114)-SUMIF(113:113,C37,114:114)+100</f>
        <v>100</v>
      </c>
      <c r="I37" s="626"/>
      <c r="J37" s="389">
        <f>SUMIF(113:113,I37,114:114)-SUMIF(113:113,C37,114:114)+100</f>
        <v>100</v>
      </c>
      <c r="K37" s="562"/>
      <c r="L37" s="2695"/>
      <c r="M37" s="2697"/>
      <c r="N37" s="2697"/>
      <c r="O37" s="2749"/>
      <c r="P37" s="3713"/>
      <c r="Q37" s="1351">
        <f t="shared" si="8"/>
        <v>111</v>
      </c>
      <c r="R37" s="708" t="s">
        <v>14</v>
      </c>
      <c r="S37" s="709">
        <f t="shared" si="10"/>
        <v>100</v>
      </c>
      <c r="T37" s="708" t="s">
        <v>14</v>
      </c>
      <c r="U37" s="709">
        <f t="shared" si="11"/>
        <v>100</v>
      </c>
      <c r="V37" s="708" t="s">
        <v>14</v>
      </c>
      <c r="W37" s="709">
        <f t="shared" si="12"/>
        <v>100</v>
      </c>
      <c r="X37" s="710"/>
      <c r="Y37" s="3713"/>
      <c r="Z37" s="711">
        <f t="shared" si="13"/>
        <v>111</v>
      </c>
      <c r="AA37" s="1352">
        <f t="shared" si="3"/>
        <v>1</v>
      </c>
      <c r="AB37" s="1352">
        <f t="shared" si="4"/>
        <v>1</v>
      </c>
      <c r="AC37" s="1352">
        <f t="shared" si="5"/>
        <v>1</v>
      </c>
    </row>
    <row r="38" spans="1:29" ht="15">
      <c r="A38" s="423" t="s">
        <v>1676</v>
      </c>
      <c r="B38" s="407" t="s">
        <v>1856</v>
      </c>
      <c r="C38" s="627"/>
      <c r="D38" s="418">
        <v>100</v>
      </c>
      <c r="E38" s="627"/>
      <c r="F38" s="418" t="e">
        <f>LOOKUP(E38,116:116,117:117)-LOOKUP(C38,116:116,117:117)+100</f>
        <v>#N/A</v>
      </c>
      <c r="G38" s="627"/>
      <c r="H38" s="418" t="e">
        <f>LOOKUP(G38,116:116,117:117)-LOOKUP(C38,116:116,117:117)+100</f>
        <v>#N/A</v>
      </c>
      <c r="I38" s="479"/>
      <c r="J38" s="418" t="e">
        <f>LOOKUP(I38,116:116,117:117)-LOOKUP(C38,116:116,117:117)+100</f>
        <v>#N/A</v>
      </c>
      <c r="K38" s="562"/>
      <c r="L38" s="2696"/>
      <c r="M38" s="2690"/>
      <c r="N38" s="2690"/>
      <c r="O38" s="2748"/>
      <c r="P38" s="3713"/>
      <c r="Q38" s="1351" t="str">
        <f>B38</f>
        <v>宗地面积</v>
      </c>
      <c r="R38" s="705" t="s">
        <v>14</v>
      </c>
      <c r="S38" s="706" t="e">
        <f t="shared" si="10"/>
        <v>#N/A</v>
      </c>
      <c r="T38" s="705" t="s">
        <v>14</v>
      </c>
      <c r="U38" s="706" t="e">
        <f t="shared" si="11"/>
        <v>#N/A</v>
      </c>
      <c r="V38" s="705" t="s">
        <v>14</v>
      </c>
      <c r="W38" s="706" t="e">
        <f t="shared" si="12"/>
        <v>#N/A</v>
      </c>
      <c r="X38" s="1354"/>
      <c r="Y38" s="3713"/>
      <c r="Z38" s="1355" t="str">
        <f t="shared" si="13"/>
        <v>宗地面积</v>
      </c>
      <c r="AA38" s="1352" t="e">
        <f t="shared" si="3"/>
        <v>#N/A</v>
      </c>
      <c r="AB38" s="1352" t="e">
        <f t="shared" si="4"/>
        <v>#N/A</v>
      </c>
      <c r="AC38" s="1352" t="e">
        <f t="shared" si="5"/>
        <v>#N/A</v>
      </c>
    </row>
    <row r="39" spans="1:29" ht="15">
      <c r="A39" s="423"/>
      <c r="B39" s="375" t="s">
        <v>1857</v>
      </c>
      <c r="C39" s="1905"/>
      <c r="D39" s="386">
        <v>100</v>
      </c>
      <c r="E39" s="1905"/>
      <c r="F39" s="386">
        <f>SUMIF(118:118,E39,119:119)-SUMIF(118:118,C39,119:119)+100</f>
        <v>100</v>
      </c>
      <c r="G39" s="1905"/>
      <c r="H39" s="386">
        <f>SUMIF(118:118,G39,119:119)-SUMIF(118:118,C39,119:119)+100</f>
        <v>100</v>
      </c>
      <c r="I39" s="1905"/>
      <c r="J39" s="386">
        <f>SUMIF(118:118,I39,119:119)-SUMIF(118:118,C39,119:119)+100</f>
        <v>100</v>
      </c>
      <c r="K39" s="561"/>
      <c r="L39" s="2696"/>
      <c r="M39" s="2690"/>
      <c r="N39" s="2690"/>
      <c r="O39" s="2748"/>
      <c r="P39" s="3713"/>
      <c r="Q39" s="1351" t="str">
        <f t="shared" ref="Q39:Q45" si="14">B39</f>
        <v>宗地形状</v>
      </c>
      <c r="R39" s="705" t="s">
        <v>14</v>
      </c>
      <c r="S39" s="706">
        <f t="shared" si="10"/>
        <v>100</v>
      </c>
      <c r="T39" s="705" t="s">
        <v>14</v>
      </c>
      <c r="U39" s="706">
        <f t="shared" si="11"/>
        <v>100</v>
      </c>
      <c r="V39" s="705" t="s">
        <v>14</v>
      </c>
      <c r="W39" s="706">
        <f t="shared" si="12"/>
        <v>100</v>
      </c>
      <c r="X39" s="1354"/>
      <c r="Y39" s="3713"/>
      <c r="Z39" s="1355" t="str">
        <f t="shared" si="13"/>
        <v>宗地形状</v>
      </c>
      <c r="AA39" s="1352">
        <f t="shared" si="3"/>
        <v>1</v>
      </c>
      <c r="AB39" s="1352">
        <f t="shared" si="4"/>
        <v>1</v>
      </c>
      <c r="AC39" s="1352">
        <f t="shared" si="5"/>
        <v>1</v>
      </c>
    </row>
    <row r="40" spans="1:29" ht="15">
      <c r="A40" s="423"/>
      <c r="B40" s="375" t="s">
        <v>1858</v>
      </c>
      <c r="C40" s="1905"/>
      <c r="D40" s="386">
        <v>100</v>
      </c>
      <c r="E40" s="1905"/>
      <c r="F40" s="386">
        <f>SUMIF(120:120,E40,121:121)-SUMIF(120:120,C40,121:121)+100</f>
        <v>100</v>
      </c>
      <c r="G40" s="1905"/>
      <c r="H40" s="386">
        <f>SUMIF(120:120,G40,121:121)-SUMIF(120:120,C40,121:121)+100</f>
        <v>100</v>
      </c>
      <c r="I40" s="1905"/>
      <c r="J40" s="386">
        <f>SUMIF(120:120,I40,121:121)-SUMIF(120:120,C40,121:121)+100</f>
        <v>100</v>
      </c>
      <c r="K40" s="561"/>
      <c r="L40" s="2696"/>
      <c r="M40" s="2690"/>
      <c r="N40" s="2690"/>
      <c r="O40" s="2748"/>
      <c r="P40" s="3713"/>
      <c r="Q40" s="1351" t="str">
        <f t="shared" si="14"/>
        <v>临街宽度及深度</v>
      </c>
      <c r="R40" s="705" t="s">
        <v>14</v>
      </c>
      <c r="S40" s="706">
        <f t="shared" si="10"/>
        <v>100</v>
      </c>
      <c r="T40" s="705" t="s">
        <v>14</v>
      </c>
      <c r="U40" s="706">
        <f t="shared" si="11"/>
        <v>100</v>
      </c>
      <c r="V40" s="705" t="s">
        <v>14</v>
      </c>
      <c r="W40" s="706">
        <f t="shared" si="12"/>
        <v>100</v>
      </c>
      <c r="X40" s="1354"/>
      <c r="Y40" s="3713"/>
      <c r="Z40" s="1355" t="str">
        <f t="shared" si="13"/>
        <v>临街宽度及深度</v>
      </c>
      <c r="AA40" s="1352">
        <f t="shared" si="3"/>
        <v>1</v>
      </c>
      <c r="AB40" s="1352">
        <f t="shared" si="4"/>
        <v>1</v>
      </c>
      <c r="AC40" s="1352">
        <f t="shared" si="5"/>
        <v>1</v>
      </c>
    </row>
    <row r="41" spans="1:29" s="108" customFormat="1" ht="15">
      <c r="A41" s="424"/>
      <c r="B41" s="375" t="s">
        <v>1859</v>
      </c>
      <c r="C41" s="1979"/>
      <c r="D41" s="127">
        <v>100</v>
      </c>
      <c r="E41" s="1979"/>
      <c r="F41" s="386">
        <f>SUMIF(122:122,E41,123:123)-SUMIF(122:122,C41,123:123)+100</f>
        <v>100</v>
      </c>
      <c r="G41" s="1979"/>
      <c r="H41" s="386">
        <f>SUMIF(122:122,G41,123:123)-SUMIF(122:122,C41,123:123)+100</f>
        <v>100</v>
      </c>
      <c r="I41" s="1979"/>
      <c r="J41" s="386">
        <f>SUMIF(122:122,I41,123:123)-SUMIF(122:122,C41,123:123)+100</f>
        <v>100</v>
      </c>
      <c r="K41" s="561"/>
      <c r="L41" s="2691"/>
      <c r="M41" s="2692"/>
      <c r="N41" s="2692"/>
      <c r="O41" s="2746"/>
      <c r="P41" s="3713"/>
      <c r="Q41" s="1351" t="str">
        <f t="shared" si="14"/>
        <v>宗地开发程度</v>
      </c>
      <c r="R41" s="701" t="s">
        <v>14</v>
      </c>
      <c r="S41" s="702">
        <f t="shared" si="10"/>
        <v>100</v>
      </c>
      <c r="T41" s="701" t="s">
        <v>14</v>
      </c>
      <c r="U41" s="702">
        <f t="shared" si="11"/>
        <v>100</v>
      </c>
      <c r="V41" s="701" t="s">
        <v>14</v>
      </c>
      <c r="W41" s="702">
        <f t="shared" si="12"/>
        <v>100</v>
      </c>
      <c r="X41" s="703"/>
      <c r="Y41" s="3713"/>
      <c r="Z41" s="52" t="str">
        <f t="shared" si="13"/>
        <v>宗地开发程度</v>
      </c>
      <c r="AA41" s="704">
        <f t="shared" si="3"/>
        <v>1</v>
      </c>
      <c r="AB41" s="704">
        <f t="shared" si="4"/>
        <v>1</v>
      </c>
      <c r="AC41" s="704">
        <f t="shared" si="5"/>
        <v>1</v>
      </c>
    </row>
    <row r="42" spans="1:29" ht="15">
      <c r="A42" s="423"/>
      <c r="B42" s="375" t="s">
        <v>1860</v>
      </c>
      <c r="C42" s="1905"/>
      <c r="D42" s="386">
        <v>100</v>
      </c>
      <c r="E42" s="1905"/>
      <c r="F42" s="386">
        <f>SUMIF(124:124,E42,125:125)-SUMIF(124:124,C42,125:125)+100</f>
        <v>100</v>
      </c>
      <c r="G42" s="1905"/>
      <c r="H42" s="386">
        <f>SUMIF(124:124,G42,125:125)-SUMIF(124:124,C42,125:125)+100</f>
        <v>100</v>
      </c>
      <c r="I42" s="1905"/>
      <c r="J42" s="386">
        <f>SUMIF(124:124,I42,125:125)-SUMIF(124:124,C42,125:125)+100</f>
        <v>100</v>
      </c>
      <c r="K42" s="561"/>
      <c r="L42" s="2696"/>
      <c r="M42" s="2690"/>
      <c r="N42" s="2690"/>
      <c r="O42" s="2748"/>
      <c r="P42" s="3713" t="s">
        <v>1678</v>
      </c>
      <c r="Q42" s="1351" t="str">
        <f t="shared" si="14"/>
        <v>工程地质条件</v>
      </c>
      <c r="R42" s="705" t="s">
        <v>14</v>
      </c>
      <c r="S42" s="706">
        <f t="shared" si="10"/>
        <v>100</v>
      </c>
      <c r="T42" s="705" t="s">
        <v>14</v>
      </c>
      <c r="U42" s="706">
        <f t="shared" si="11"/>
        <v>100</v>
      </c>
      <c r="V42" s="705" t="s">
        <v>14</v>
      </c>
      <c r="W42" s="706">
        <f t="shared" si="12"/>
        <v>100</v>
      </c>
      <c r="X42" s="1354"/>
      <c r="Y42" s="3713" t="s">
        <v>1678</v>
      </c>
      <c r="Z42" s="1355" t="str">
        <f t="shared" si="13"/>
        <v>工程地质条件</v>
      </c>
      <c r="AA42" s="1352">
        <f t="shared" si="3"/>
        <v>1</v>
      </c>
      <c r="AB42" s="1352">
        <f t="shared" si="4"/>
        <v>1</v>
      </c>
      <c r="AC42" s="1352">
        <f t="shared" si="5"/>
        <v>1</v>
      </c>
    </row>
    <row r="43" spans="1:29" ht="15">
      <c r="A43" s="423"/>
      <c r="B43" s="1134">
        <v>111</v>
      </c>
      <c r="C43" s="622"/>
      <c r="D43" s="386">
        <v>100</v>
      </c>
      <c r="E43" s="622"/>
      <c r="F43" s="386">
        <f>SUMIF(126:126,E43,127:127)-SUMIF(126:126,C43,127:127)+100</f>
        <v>100</v>
      </c>
      <c r="G43" s="622"/>
      <c r="H43" s="386">
        <f>SUMIF(126:126,G43,127:127)-SUMIF(126:126,C43,127:127)+100</f>
        <v>100</v>
      </c>
      <c r="I43" s="498"/>
      <c r="J43" s="386">
        <f>SUMIF(126:126,I43,127:127)-SUMIF(126:126,C43,127:127)+100</f>
        <v>100</v>
      </c>
      <c r="K43" s="562"/>
      <c r="L43" s="2696"/>
      <c r="M43" s="2690"/>
      <c r="N43" s="2690"/>
      <c r="O43" s="2748"/>
      <c r="P43" s="3713"/>
      <c r="Q43" s="1351">
        <f t="shared" si="14"/>
        <v>111</v>
      </c>
      <c r="R43" s="705" t="s">
        <v>14</v>
      </c>
      <c r="S43" s="706">
        <f t="shared" si="10"/>
        <v>100</v>
      </c>
      <c r="T43" s="705" t="s">
        <v>14</v>
      </c>
      <c r="U43" s="706">
        <f t="shared" si="11"/>
        <v>100</v>
      </c>
      <c r="V43" s="705" t="s">
        <v>14</v>
      </c>
      <c r="W43" s="706">
        <f t="shared" si="12"/>
        <v>100</v>
      </c>
      <c r="X43" s="1354"/>
      <c r="Y43" s="3713"/>
      <c r="Z43" s="1355">
        <f t="shared" si="13"/>
        <v>111</v>
      </c>
      <c r="AA43" s="1352">
        <f t="shared" si="3"/>
        <v>1</v>
      </c>
      <c r="AB43" s="1352">
        <f t="shared" si="4"/>
        <v>1</v>
      </c>
      <c r="AC43" s="1352">
        <f t="shared" si="5"/>
        <v>1</v>
      </c>
    </row>
    <row r="44" spans="1:29" ht="15">
      <c r="A44" s="423"/>
      <c r="B44" s="1134">
        <v>111</v>
      </c>
      <c r="C44" s="622"/>
      <c r="D44" s="386">
        <v>100</v>
      </c>
      <c r="E44" s="622"/>
      <c r="F44" s="386">
        <f>SUMIF(128:128,E44,129:129)-SUMIF(128:128,C44,129:129)+100</f>
        <v>100</v>
      </c>
      <c r="G44" s="622"/>
      <c r="H44" s="386">
        <f>SUMIF(128:128,G44,129:129)-SUMIF(128:128,C44,129:129)+100</f>
        <v>100</v>
      </c>
      <c r="I44" s="498"/>
      <c r="J44" s="386">
        <f>SUMIF(128:128,I44,129:129)-SUMIF(128:128,C44,129:129)+100</f>
        <v>100</v>
      </c>
      <c r="K44" s="562"/>
      <c r="L44" s="2696"/>
      <c r="M44" s="2690"/>
      <c r="N44" s="2690"/>
      <c r="O44" s="2748"/>
      <c r="P44" s="3713"/>
      <c r="Q44" s="1351">
        <f t="shared" si="14"/>
        <v>111</v>
      </c>
      <c r="R44" s="705" t="s">
        <v>14</v>
      </c>
      <c r="S44" s="706">
        <f t="shared" si="10"/>
        <v>100</v>
      </c>
      <c r="T44" s="705" t="s">
        <v>14</v>
      </c>
      <c r="U44" s="706">
        <f t="shared" si="11"/>
        <v>100</v>
      </c>
      <c r="V44" s="705" t="s">
        <v>14</v>
      </c>
      <c r="W44" s="706">
        <f t="shared" si="12"/>
        <v>100</v>
      </c>
      <c r="X44" s="1354"/>
      <c r="Y44" s="3713"/>
      <c r="Z44" s="1355">
        <f t="shared" si="13"/>
        <v>111</v>
      </c>
      <c r="AA44" s="1352">
        <f t="shared" si="3"/>
        <v>1</v>
      </c>
      <c r="AB44" s="1352">
        <f t="shared" si="4"/>
        <v>1</v>
      </c>
      <c r="AC44" s="1352">
        <f t="shared" si="5"/>
        <v>1</v>
      </c>
    </row>
    <row r="45" spans="1:29" s="422" customFormat="1" ht="15.75" thickBot="1">
      <c r="A45" s="419"/>
      <c r="B45" s="1134">
        <v>111</v>
      </c>
      <c r="C45" s="1980"/>
      <c r="D45" s="628">
        <v>100</v>
      </c>
      <c r="E45" s="622"/>
      <c r="F45" s="389">
        <f>SUMIF(130:130,E45,131:131)-SUMIF(130:130,C45,131:131)+100</f>
        <v>100</v>
      </c>
      <c r="G45" s="622"/>
      <c r="H45" s="389">
        <f>SUMIF(130:130,G45,131:131)-SUMIF(130:130,C45,131:131)+100</f>
        <v>100</v>
      </c>
      <c r="I45" s="622"/>
      <c r="J45" s="389">
        <f>SUMIF(130:130,I45,131:131)-SUMIF(130:130,C45,131:131)+100</f>
        <v>100</v>
      </c>
      <c r="K45" s="629"/>
      <c r="L45" s="2695"/>
      <c r="M45" s="2697"/>
      <c r="N45" s="2697"/>
      <c r="O45" s="2749"/>
      <c r="P45" s="3713"/>
      <c r="Q45" s="1351">
        <f t="shared" si="14"/>
        <v>111</v>
      </c>
      <c r="R45" s="708" t="s">
        <v>14</v>
      </c>
      <c r="S45" s="709">
        <f t="shared" si="10"/>
        <v>100</v>
      </c>
      <c r="T45" s="708" t="s">
        <v>14</v>
      </c>
      <c r="U45" s="709">
        <f t="shared" si="11"/>
        <v>100</v>
      </c>
      <c r="V45" s="708" t="s">
        <v>14</v>
      </c>
      <c r="W45" s="709">
        <f t="shared" si="12"/>
        <v>100</v>
      </c>
      <c r="X45" s="710"/>
      <c r="Y45" s="3713"/>
      <c r="Z45" s="711">
        <f t="shared" si="13"/>
        <v>111</v>
      </c>
      <c r="AA45" s="1352">
        <f t="shared" si="3"/>
        <v>1</v>
      </c>
      <c r="AB45" s="1352">
        <f t="shared" si="4"/>
        <v>1</v>
      </c>
      <c r="AC45" s="1352">
        <f t="shared" si="5"/>
        <v>1</v>
      </c>
    </row>
    <row r="46" spans="1:29" ht="15">
      <c r="A46" s="430" t="s">
        <v>1826</v>
      </c>
      <c r="B46" s="1981" t="s">
        <v>1861</v>
      </c>
      <c r="C46" s="630" t="s">
        <v>0</v>
      </c>
      <c r="D46" s="432"/>
      <c r="E46" s="433"/>
      <c r="F46" s="434"/>
      <c r="G46" s="435"/>
      <c r="H46" s="436"/>
      <c r="I46" s="433"/>
      <c r="J46" s="436"/>
      <c r="K46" s="714"/>
      <c r="L46" s="2698"/>
      <c r="M46" s="2699"/>
      <c r="N46" s="2690"/>
      <c r="O46" s="2699"/>
      <c r="P46" s="3706" t="str">
        <f>A46</f>
        <v>成交单价</v>
      </c>
      <c r="Q46" s="3706"/>
      <c r="R46" s="3737">
        <f>E46</f>
        <v>0</v>
      </c>
      <c r="S46" s="3737"/>
      <c r="T46" s="3737">
        <f>G46</f>
        <v>0</v>
      </c>
      <c r="U46" s="3737"/>
      <c r="V46" s="3737">
        <f>I46</f>
        <v>0</v>
      </c>
      <c r="W46" s="3737"/>
      <c r="X46" s="690"/>
      <c r="Y46" s="712"/>
      <c r="Z46" s="690"/>
      <c r="AA46" s="690"/>
      <c r="AB46" s="690"/>
      <c r="AC46" s="690"/>
    </row>
    <row r="47" spans="1:29" ht="15.75" thickBot="1">
      <c r="A47" s="437" t="s">
        <v>1775</v>
      </c>
      <c r="B47" s="631"/>
      <c r="C47" s="440" t="e">
        <f>R48</f>
        <v>#DIV/0!</v>
      </c>
      <c r="D47" s="2316" t="s">
        <v>2119</v>
      </c>
      <c r="E47" s="440" t="e">
        <f>R47</f>
        <v>#DIV/0!</v>
      </c>
      <c r="F47" s="2317"/>
      <c r="G47" s="439" t="e">
        <f>T47</f>
        <v>#DIV/0!</v>
      </c>
      <c r="H47" s="2317"/>
      <c r="I47" s="440" t="e">
        <f>V47</f>
        <v>#DIV/0!</v>
      </c>
      <c r="J47" s="2317"/>
      <c r="K47" s="2319">
        <f>F47+H47+J47</f>
        <v>0</v>
      </c>
      <c r="L47" s="2698"/>
      <c r="M47" s="2699"/>
      <c r="N47" s="2699"/>
      <c r="O47" s="2699"/>
      <c r="P47" s="3706" t="str">
        <f>A47</f>
        <v>比较价值（元/平方米）</v>
      </c>
      <c r="Q47" s="3706"/>
      <c r="R47" s="3766" t="e">
        <f>ROUND(PRODUCT(R46,AA7:AA45),0)</f>
        <v>#DIV/0!</v>
      </c>
      <c r="S47" s="3766"/>
      <c r="T47" s="3766" t="e">
        <f>ROUND(PRODUCT(T46,AB7:AB45),0)</f>
        <v>#DIV/0!</v>
      </c>
      <c r="U47" s="3766"/>
      <c r="V47" s="3766" t="e">
        <f>ROUND(PRODUCT(V46,AC7:AC45),0)</f>
        <v>#DIV/0!</v>
      </c>
      <c r="W47" s="3766"/>
      <c r="X47" s="690"/>
      <c r="Y47" s="690"/>
      <c r="Z47" s="690"/>
      <c r="AA47" s="690"/>
      <c r="AB47" s="690"/>
      <c r="AC47" s="690"/>
    </row>
    <row r="48" spans="1:29" ht="15.75" thickBot="1">
      <c r="A48" s="441" t="s">
        <v>1862</v>
      </c>
      <c r="B48" s="442"/>
      <c r="C48" s="443" t="e">
        <f>R48</f>
        <v>#DIV/0!</v>
      </c>
      <c r="D48" s="443"/>
      <c r="E48" s="443"/>
      <c r="F48" s="443"/>
      <c r="G48" s="443"/>
      <c r="H48" s="443"/>
      <c r="I48" s="443"/>
      <c r="J48" s="443"/>
      <c r="K48" s="715"/>
      <c r="L48" s="2698"/>
      <c r="M48" s="2699"/>
      <c r="N48" s="2699"/>
      <c r="O48" s="2699"/>
      <c r="P48" s="3703" t="str">
        <f>A48</f>
        <v>估价对象XX用房的比较价值（楼面单价，元/平方米）</v>
      </c>
      <c r="Q48" s="3704"/>
      <c r="R48" s="3767" t="e">
        <f>ROUND(IF(D47="简单平均",AVERAGE(R47:W47),R47*F47+T47*H47+V47*J47),0)</f>
        <v>#DIV/0!</v>
      </c>
      <c r="S48" s="3767"/>
      <c r="T48" s="3767"/>
      <c r="U48" s="3767"/>
      <c r="V48" s="3767"/>
      <c r="W48" s="3767"/>
      <c r="X48" s="690"/>
      <c r="Y48" s="690"/>
      <c r="Z48" s="690"/>
      <c r="AA48" s="690"/>
      <c r="AB48" s="690"/>
      <c r="AC48" s="690"/>
    </row>
    <row r="49" spans="1:29">
      <c r="A49" s="2699"/>
      <c r="B49" s="2699"/>
      <c r="C49" s="2699"/>
      <c r="D49" s="2699"/>
      <c r="E49" s="2699"/>
      <c r="F49" s="2699"/>
      <c r="G49" s="2703"/>
      <c r="H49" s="2699"/>
      <c r="I49" s="2699"/>
      <c r="J49" s="2699"/>
      <c r="K49" s="2704"/>
      <c r="L49" s="2700"/>
      <c r="M49" s="2699"/>
      <c r="N49" s="2699"/>
      <c r="O49" s="2699"/>
      <c r="P49" s="2699"/>
      <c r="Q49" s="2699"/>
      <c r="R49" s="2699"/>
      <c r="S49" s="2699"/>
      <c r="T49" s="2699"/>
      <c r="U49" s="2699"/>
      <c r="V49" s="2699"/>
      <c r="W49" s="2699"/>
      <c r="X49" s="2699"/>
      <c r="Y49" s="2699"/>
      <c r="Z49" s="2699"/>
      <c r="AA49" s="2699"/>
      <c r="AB49" s="2699"/>
      <c r="AC49" s="2699"/>
    </row>
    <row r="50" spans="1:29">
      <c r="A50" s="2699"/>
      <c r="B50" s="2699"/>
      <c r="C50" s="2699"/>
      <c r="D50" s="2699"/>
      <c r="E50" s="2699"/>
      <c r="F50" s="2699"/>
      <c r="G50" s="2699"/>
      <c r="H50" s="2699"/>
      <c r="I50" s="2699"/>
      <c r="J50" s="2699"/>
      <c r="K50" s="2704"/>
      <c r="L50" s="2700"/>
      <c r="M50" s="2699"/>
      <c r="N50" s="2699"/>
      <c r="O50" s="2699"/>
      <c r="P50" s="2699"/>
      <c r="Q50" s="2699"/>
      <c r="R50" s="2699"/>
      <c r="S50" s="2699"/>
      <c r="T50" s="2699"/>
      <c r="U50" s="2699"/>
      <c r="V50" s="2699"/>
      <c r="W50" s="2699"/>
      <c r="X50" s="2699"/>
      <c r="Y50" s="2699"/>
      <c r="Z50" s="2699"/>
      <c r="AA50" s="2699"/>
      <c r="AB50" s="2699"/>
      <c r="AC50" s="2699"/>
    </row>
    <row r="51" spans="1:29" ht="13.5" customHeight="1">
      <c r="A51" s="2699"/>
      <c r="B51" s="2699"/>
      <c r="C51" s="446" t="s">
        <v>1777</v>
      </c>
      <c r="D51" s="447"/>
      <c r="E51" s="448" t="e">
        <f>IF(E46&lt;E47,E47/E46-1,E46/E47-1)</f>
        <v>#DIV/0!</v>
      </c>
      <c r="F51" s="449" t="e">
        <f>IF(OR(E51&gt;=0.3,E51&lt;=-0.3),"超过30%","")</f>
        <v>#DIV/0!</v>
      </c>
      <c r="G51" s="448" t="e">
        <f>IF(G46&lt;G47,G47/G46-1,G46/G47-1)</f>
        <v>#DIV/0!</v>
      </c>
      <c r="H51" s="449" t="e">
        <f>IF(OR(G51&gt;=0.3,G51&lt;=-0.3),"超过30%","")</f>
        <v>#DIV/0!</v>
      </c>
      <c r="I51" s="448" t="e">
        <f>IF(I46&lt;I47,I47/I46-1,I46/I47-1)</f>
        <v>#DIV/0!</v>
      </c>
      <c r="J51" s="449" t="e">
        <f>IF(OR(I51&gt;=0.3,I51&lt;=-0.3),"超过30%","")</f>
        <v>#DIV/0!</v>
      </c>
      <c r="K51" s="2704"/>
      <c r="L51" s="2700"/>
      <c r="M51" s="2699"/>
      <c r="N51" s="2699"/>
      <c r="O51" s="2699"/>
      <c r="P51" s="2699"/>
      <c r="Q51" s="2699"/>
      <c r="R51" s="2699"/>
      <c r="S51" s="2699"/>
      <c r="T51" s="2699"/>
      <c r="U51" s="2699"/>
      <c r="V51" s="2699"/>
      <c r="W51" s="2699"/>
      <c r="X51" s="2699"/>
      <c r="Y51" s="2699"/>
      <c r="Z51" s="2699"/>
      <c r="AA51" s="2699"/>
      <c r="AB51" s="2699"/>
      <c r="AC51" s="2699"/>
    </row>
    <row r="52" spans="1:29" ht="13.5" customHeight="1">
      <c r="A52" s="2699"/>
      <c r="B52" s="2699"/>
      <c r="C52" s="446" t="s">
        <v>1778</v>
      </c>
      <c r="D52" s="450"/>
      <c r="E52" s="448" t="e">
        <f>IF(E47&lt;G47,G47/E47-1,E47/G47-1)</f>
        <v>#DIV/0!</v>
      </c>
      <c r="F52" s="449" t="e">
        <f>IF(OR(E52&gt;=0.2,E52&lt;=-0.2),"超过20%","")</f>
        <v>#DIV/0!</v>
      </c>
      <c r="G52" s="448" t="e">
        <f>IF(G47&lt;I47,I47/G47-1,G47/I47-1)</f>
        <v>#DIV/0!</v>
      </c>
      <c r="H52" s="449" t="e">
        <f>IF(OR(G52&gt;=0.2,G52&lt;=-0.2),"超过20%","")</f>
        <v>#DIV/0!</v>
      </c>
      <c r="I52" s="448" t="e">
        <f>IF(I47&lt;E47,E47/I47-1,I47/E47-1)</f>
        <v>#DIV/0!</v>
      </c>
      <c r="J52" s="449" t="e">
        <f>IF(OR(I52&gt;=0.2,I52&lt;=-0.2),"超过20%","")</f>
        <v>#DIV/0!</v>
      </c>
      <c r="K52" s="2704"/>
      <c r="L52" s="2700"/>
      <c r="M52" s="2699"/>
      <c r="N52" s="2699"/>
      <c r="O52" s="2699"/>
      <c r="P52" s="2699"/>
      <c r="Q52" s="2699"/>
      <c r="R52" s="2699"/>
      <c r="S52" s="2699"/>
      <c r="T52" s="2699"/>
      <c r="U52" s="2699"/>
      <c r="V52" s="2699"/>
      <c r="W52" s="2699"/>
      <c r="X52" s="2699"/>
      <c r="Y52" s="2699"/>
      <c r="Z52" s="2699"/>
      <c r="AA52" s="2699"/>
      <c r="AB52" s="2699"/>
      <c r="AC52" s="2699"/>
    </row>
    <row r="53" spans="1:29" s="451" customFormat="1" ht="13.5" customHeight="1">
      <c r="A53" s="2702"/>
      <c r="B53" s="2702"/>
      <c r="C53" s="446" t="s">
        <v>1779</v>
      </c>
      <c r="D53" s="450"/>
      <c r="E53" s="448" t="e">
        <f>IF(E46&lt;G46,G46/E46-1,E46/G46-1)</f>
        <v>#DIV/0!</v>
      </c>
      <c r="F53" s="449" t="e">
        <f>IF(OR(E53&gt;=0.3,E53&lt;=-0.3),"超过30%","")</f>
        <v>#DIV/0!</v>
      </c>
      <c r="G53" s="448" t="e">
        <f>IF(G46&lt;I46,I46/G46-1,G46/I46-1)</f>
        <v>#DIV/0!</v>
      </c>
      <c r="H53" s="449" t="e">
        <f>IF(OR(G53&gt;=0.3,G53&lt;=-0.3),"超过30%","")</f>
        <v>#DIV/0!</v>
      </c>
      <c r="I53" s="448" t="e">
        <f>IF(I46&lt;E46,E46/I46-1,I46/E46-1)</f>
        <v>#DIV/0!</v>
      </c>
      <c r="J53" s="449" t="e">
        <f>IF(OR(I53&gt;=0.3,I53&lt;=-0.3),"超过30%","")</f>
        <v>#DIV/0!</v>
      </c>
      <c r="K53" s="2707"/>
      <c r="L53" s="2701"/>
      <c r="M53" s="2702"/>
      <c r="N53" s="2702"/>
      <c r="O53" s="2702"/>
      <c r="P53" s="2702"/>
      <c r="Q53" s="2702"/>
      <c r="R53" s="2702"/>
      <c r="S53" s="2702"/>
      <c r="T53" s="2702"/>
      <c r="U53" s="2702"/>
      <c r="V53" s="2702"/>
      <c r="W53" s="2702"/>
      <c r="X53" s="2702"/>
      <c r="Y53" s="2702"/>
      <c r="Z53" s="2702"/>
      <c r="AA53" s="2702"/>
      <c r="AB53" s="2702"/>
      <c r="AC53" s="2702"/>
    </row>
    <row r="54" spans="1:29" s="451" customFormat="1" ht="15" thickBot="1">
      <c r="A54" s="2702"/>
      <c r="B54" s="2705"/>
      <c r="C54" s="693"/>
      <c r="D54" s="691"/>
      <c r="E54" s="691"/>
      <c r="F54" s="691"/>
      <c r="G54" s="691"/>
      <c r="H54" s="691"/>
      <c r="I54" s="691"/>
      <c r="J54" s="691"/>
      <c r="K54" s="2707"/>
      <c r="L54" s="2701"/>
      <c r="M54" s="2702"/>
      <c r="N54" s="2702"/>
      <c r="O54" s="2702"/>
      <c r="P54" s="2702"/>
      <c r="Q54" s="2702"/>
      <c r="R54" s="2702"/>
      <c r="S54" s="2702"/>
      <c r="T54" s="2702"/>
      <c r="U54" s="2702"/>
      <c r="V54" s="2702"/>
      <c r="W54" s="2702"/>
      <c r="X54" s="2702"/>
      <c r="Y54" s="2702"/>
      <c r="Z54" s="2702"/>
      <c r="AA54" s="2702"/>
      <c r="AB54" s="2702"/>
      <c r="AC54" s="2702"/>
    </row>
    <row r="55" spans="1:29" ht="27" customHeight="1">
      <c r="A55" s="632" t="s">
        <v>1863</v>
      </c>
      <c r="B55" s="633" t="s">
        <v>1864</v>
      </c>
      <c r="C55" s="1982" t="s">
        <v>1865</v>
      </c>
      <c r="D55" s="1983" t="s">
        <v>1866</v>
      </c>
      <c r="E55" s="634" t="s">
        <v>1867</v>
      </c>
      <c r="F55" s="890" t="s">
        <v>1868</v>
      </c>
      <c r="G55" s="3721" t="s">
        <v>1869</v>
      </c>
      <c r="H55" s="3768"/>
      <c r="I55" s="135" t="s">
        <v>1870</v>
      </c>
      <c r="J55" s="1984">
        <f>项目基本情况!F35</f>
        <v>0</v>
      </c>
      <c r="K55" s="1985" t="s">
        <v>1871</v>
      </c>
      <c r="L55" s="2700"/>
      <c r="M55" s="2699"/>
      <c r="N55" s="2699"/>
      <c r="O55" s="2699"/>
      <c r="P55" s="2699"/>
      <c r="Q55" s="2699"/>
      <c r="R55" s="2699"/>
      <c r="S55" s="2699"/>
      <c r="T55" s="2699"/>
      <c r="U55" s="2699"/>
      <c r="V55" s="2699"/>
      <c r="W55" s="2699"/>
      <c r="X55" s="2699"/>
      <c r="Y55" s="2699"/>
      <c r="Z55" s="2699"/>
      <c r="AA55" s="2699"/>
      <c r="AB55" s="2699"/>
      <c r="AC55" s="2699"/>
    </row>
    <row r="56" spans="1:29" s="640" customFormat="1">
      <c r="A56" s="636" t="s">
        <v>1872</v>
      </c>
      <c r="B56" s="637" t="e">
        <f>C48</f>
        <v>#DIV/0!</v>
      </c>
      <c r="C56" s="638">
        <v>1</v>
      </c>
      <c r="D56" s="944">
        <v>1</v>
      </c>
      <c r="E56" s="638">
        <f>'数据-汇总表'!E8+'数据-汇总表'!E9</f>
        <v>76.040000000000006</v>
      </c>
      <c r="F56" s="886" t="e">
        <f t="shared" ref="F56:F64" si="15">ROUND(B56*E56/10000,0)</f>
        <v>#DIV/0!</v>
      </c>
      <c r="G56" s="3717"/>
      <c r="H56" s="3706"/>
      <c r="I56" s="891">
        <v>1</v>
      </c>
      <c r="J56" s="894">
        <v>1</v>
      </c>
      <c r="K56" s="2702"/>
      <c r="L56" s="2756"/>
      <c r="M56" s="2756"/>
      <c r="N56" s="2756"/>
      <c r="O56" s="2756"/>
      <c r="P56" s="2756"/>
      <c r="Q56" s="2756"/>
      <c r="R56" s="2756"/>
      <c r="S56" s="2756"/>
      <c r="T56" s="2756"/>
      <c r="U56" s="2756"/>
      <c r="V56" s="2756"/>
      <c r="W56" s="2756"/>
      <c r="X56" s="2756"/>
      <c r="Y56" s="2756"/>
      <c r="Z56" s="2756"/>
      <c r="AA56" s="2756"/>
      <c r="AB56" s="2756"/>
      <c r="AC56" s="2756"/>
    </row>
    <row r="57" spans="1:29" s="640" customFormat="1">
      <c r="A57" s="641" t="s">
        <v>1873</v>
      </c>
      <c r="B57" s="218" t="e">
        <f>ROUND($C$48*C57*D57,0)</f>
        <v>#DIV/0!</v>
      </c>
      <c r="C57" s="171">
        <f t="shared" ref="C57:C64" si="16">IF($C$55="北京市系数",I57,J57)</f>
        <v>0</v>
      </c>
      <c r="D57" s="945">
        <v>0.25</v>
      </c>
      <c r="E57" s="642"/>
      <c r="F57" s="886" t="e">
        <f t="shared" si="15"/>
        <v>#DIV/0!</v>
      </c>
      <c r="G57" s="2980" t="s">
        <v>1874</v>
      </c>
      <c r="H57" s="887">
        <f>项目基本情况!B37</f>
        <v>0</v>
      </c>
      <c r="I57" s="891">
        <f>SUMIF(修正!A57:A68,H57,修正!B57:B68)</f>
        <v>0</v>
      </c>
      <c r="J57" s="895"/>
      <c r="K57" s="2699"/>
      <c r="L57" s="2756"/>
      <c r="M57" s="2756"/>
      <c r="N57" s="2756"/>
      <c r="O57" s="2756"/>
      <c r="P57" s="2756"/>
      <c r="Q57" s="2756"/>
      <c r="R57" s="2756"/>
      <c r="S57" s="2756"/>
      <c r="T57" s="2756"/>
      <c r="U57" s="2756"/>
      <c r="V57" s="2756"/>
      <c r="W57" s="2756"/>
      <c r="X57" s="2756"/>
      <c r="Y57" s="2756"/>
      <c r="Z57" s="2756"/>
      <c r="AA57" s="2756"/>
      <c r="AB57" s="2756"/>
      <c r="AC57" s="2756"/>
    </row>
    <row r="58" spans="1:29" s="640" customFormat="1">
      <c r="A58" s="641" t="s">
        <v>1875</v>
      </c>
      <c r="B58" s="218" t="e">
        <f t="shared" ref="B58:B64" si="17">ROUND($C$48*C58*D58,0)</f>
        <v>#DIV/0!</v>
      </c>
      <c r="C58" s="171">
        <f t="shared" si="16"/>
        <v>0</v>
      </c>
      <c r="D58" s="945">
        <v>0.25</v>
      </c>
      <c r="E58" s="642"/>
      <c r="F58" s="886" t="e">
        <f t="shared" si="15"/>
        <v>#DIV/0!</v>
      </c>
      <c r="G58" s="2981"/>
      <c r="H58" s="887">
        <f>项目基本情况!B37</f>
        <v>0</v>
      </c>
      <c r="I58" s="891">
        <f>SUMIF(修正!A57:A68,H58,修正!C57:C68)</f>
        <v>0</v>
      </c>
      <c r="J58" s="895"/>
      <c r="K58" s="2702"/>
      <c r="L58" s="2756"/>
      <c r="M58" s="2756"/>
      <c r="N58" s="2756"/>
      <c r="O58" s="2756"/>
      <c r="P58" s="2756"/>
      <c r="Q58" s="2756"/>
      <c r="R58" s="2756"/>
      <c r="S58" s="2756"/>
      <c r="T58" s="2756"/>
      <c r="U58" s="2756"/>
      <c r="V58" s="2756"/>
      <c r="W58" s="2756"/>
      <c r="X58" s="2756"/>
      <c r="Y58" s="2756"/>
      <c r="Z58" s="2756"/>
      <c r="AA58" s="2756"/>
      <c r="AB58" s="2756"/>
      <c r="AC58" s="2756"/>
    </row>
    <row r="59" spans="1:29" s="640" customFormat="1">
      <c r="A59" s="641" t="s">
        <v>1876</v>
      </c>
      <c r="B59" s="218" t="e">
        <f t="shared" si="17"/>
        <v>#DIV/0!</v>
      </c>
      <c r="C59" s="171">
        <f t="shared" si="16"/>
        <v>0</v>
      </c>
      <c r="D59" s="945">
        <v>0.25</v>
      </c>
      <c r="E59" s="642"/>
      <c r="F59" s="886" t="e">
        <f t="shared" si="15"/>
        <v>#DIV/0!</v>
      </c>
      <c r="G59" s="2981"/>
      <c r="H59" s="887">
        <f>项目基本情况!B37</f>
        <v>0</v>
      </c>
      <c r="I59" s="891">
        <f>SUMIF(修正!A57:A68,H59,修正!D57:D68)</f>
        <v>0</v>
      </c>
      <c r="J59" s="895"/>
      <c r="K59" s="2699"/>
      <c r="L59" s="2756"/>
      <c r="M59" s="2756"/>
      <c r="N59" s="2756"/>
      <c r="O59" s="2756"/>
      <c r="P59" s="2756"/>
      <c r="Q59" s="2756"/>
      <c r="R59" s="2756"/>
      <c r="S59" s="2756"/>
      <c r="T59" s="2756"/>
      <c r="U59" s="2756"/>
      <c r="V59" s="2756"/>
      <c r="W59" s="2756"/>
      <c r="X59" s="2756"/>
      <c r="Y59" s="2756"/>
      <c r="Z59" s="2756"/>
      <c r="AA59" s="2756"/>
      <c r="AB59" s="2756"/>
      <c r="AC59" s="2756"/>
    </row>
    <row r="60" spans="1:29" s="640" customFormat="1">
      <c r="A60" s="641" t="s">
        <v>1877</v>
      </c>
      <c r="B60" s="218" t="e">
        <f t="shared" si="17"/>
        <v>#DIV/0!</v>
      </c>
      <c r="C60" s="171">
        <f t="shared" si="16"/>
        <v>0.25</v>
      </c>
      <c r="D60" s="945">
        <v>0.25</v>
      </c>
      <c r="E60" s="217">
        <f>'数据-汇总表'!E11</f>
        <v>0</v>
      </c>
      <c r="F60" s="886" t="e">
        <f t="shared" si="15"/>
        <v>#DIV/0!</v>
      </c>
      <c r="G60" s="1986" t="s">
        <v>1878</v>
      </c>
      <c r="H60" s="887" t="str">
        <f>项目基本情况!C37</f>
        <v>六级</v>
      </c>
      <c r="I60" s="891">
        <f>SUMIF(修正!A57:A68,H60,修正!E57:E68)</f>
        <v>0.25</v>
      </c>
      <c r="J60" s="895"/>
      <c r="K60" s="2699"/>
      <c r="L60" s="2756"/>
      <c r="M60" s="2756"/>
      <c r="N60" s="2756"/>
      <c r="O60" s="2756"/>
      <c r="P60" s="2756"/>
      <c r="Q60" s="2756"/>
      <c r="R60" s="2756"/>
      <c r="S60" s="2756"/>
      <c r="T60" s="2756"/>
      <c r="U60" s="2756"/>
      <c r="V60" s="2756"/>
      <c r="W60" s="2756"/>
      <c r="X60" s="2756"/>
      <c r="Y60" s="2756"/>
      <c r="Z60" s="2756"/>
      <c r="AA60" s="2756"/>
      <c r="AB60" s="2756"/>
      <c r="AC60" s="2756"/>
    </row>
    <row r="61" spans="1:29" s="640" customFormat="1">
      <c r="A61" s="641" t="s">
        <v>1879</v>
      </c>
      <c r="B61" s="218" t="e">
        <f t="shared" si="17"/>
        <v>#DIV/0!</v>
      </c>
      <c r="C61" s="171">
        <f t="shared" si="16"/>
        <v>0.25</v>
      </c>
      <c r="D61" s="945">
        <v>0.25</v>
      </c>
      <c r="E61" s="217">
        <f>'数据-汇总表'!E12</f>
        <v>0</v>
      </c>
      <c r="F61" s="886" t="e">
        <f t="shared" si="15"/>
        <v>#DIV/0!</v>
      </c>
      <c r="G61" s="892" t="s">
        <v>1880</v>
      </c>
      <c r="H61" s="887" t="str">
        <f>IF(G61="商业",项目基本情况!B37,IF(G61="办公",项目基本情况!C37,IF(G61="住宅",项目基本情况!D37,项目基本情况!E37)))</f>
        <v>六级</v>
      </c>
      <c r="I61" s="891">
        <f>SUMIF(修正!A57:A68,H61,修正!F57:F68)</f>
        <v>0.25</v>
      </c>
      <c r="J61" s="895"/>
      <c r="K61" s="2702"/>
      <c r="L61" s="2756"/>
      <c r="M61" s="2756"/>
      <c r="N61" s="2756"/>
      <c r="O61" s="2756"/>
      <c r="P61" s="2756"/>
      <c r="Q61" s="2756"/>
      <c r="R61" s="2756"/>
      <c r="S61" s="2756"/>
      <c r="T61" s="2756"/>
      <c r="U61" s="2756"/>
      <c r="V61" s="2756"/>
      <c r="W61" s="2756"/>
      <c r="X61" s="2756"/>
      <c r="Y61" s="2756"/>
      <c r="Z61" s="2756"/>
      <c r="AA61" s="2756"/>
      <c r="AB61" s="2756"/>
      <c r="AC61" s="2756"/>
    </row>
    <row r="62" spans="1:29" s="640" customFormat="1">
      <c r="A62" s="641" t="s">
        <v>1881</v>
      </c>
      <c r="B62" s="218" t="e">
        <f t="shared" si="17"/>
        <v>#DIV/0!</v>
      </c>
      <c r="C62" s="171">
        <f t="shared" si="16"/>
        <v>0</v>
      </c>
      <c r="D62" s="945">
        <v>0.25</v>
      </c>
      <c r="E62" s="217">
        <f>'数据-汇总表'!E13</f>
        <v>0</v>
      </c>
      <c r="F62" s="886" t="e">
        <f t="shared" si="15"/>
        <v>#DIV/0!</v>
      </c>
      <c r="G62" s="892" t="s">
        <v>1882</v>
      </c>
      <c r="H62" s="887">
        <f>IF(G62="商业",项目基本情况!B37,IF(G62="办公",项目基本情况!C37,IF(G62="住宅",项目基本情况!D37,项目基本情况!E37)))</f>
        <v>0</v>
      </c>
      <c r="I62" s="891">
        <f>SUMIF(修正!A57:A68,H62,修正!G57:G68)</f>
        <v>0</v>
      </c>
      <c r="J62" s="895"/>
      <c r="K62" s="2699"/>
      <c r="L62" s="2756"/>
      <c r="M62" s="2756"/>
      <c r="N62" s="2756"/>
      <c r="O62" s="2756"/>
      <c r="P62" s="2756"/>
      <c r="Q62" s="2756"/>
      <c r="R62" s="2756"/>
      <c r="S62" s="2756"/>
      <c r="T62" s="2756"/>
      <c r="U62" s="2756"/>
      <c r="V62" s="2756"/>
      <c r="W62" s="2756"/>
      <c r="X62" s="2756"/>
      <c r="Y62" s="2756"/>
      <c r="Z62" s="2756"/>
      <c r="AA62" s="2756"/>
      <c r="AB62" s="2756"/>
      <c r="AC62" s="2756"/>
    </row>
    <row r="63" spans="1:29" s="640" customFormat="1">
      <c r="A63" s="641" t="s">
        <v>1883</v>
      </c>
      <c r="B63" s="218" t="e">
        <f t="shared" si="17"/>
        <v>#DIV/0!</v>
      </c>
      <c r="C63" s="171">
        <f t="shared" si="16"/>
        <v>0</v>
      </c>
      <c r="D63" s="945">
        <v>0.25</v>
      </c>
      <c r="E63" s="217">
        <f>'数据-汇总表'!E14</f>
        <v>0</v>
      </c>
      <c r="F63" s="886" t="e">
        <f t="shared" si="15"/>
        <v>#DIV/0!</v>
      </c>
      <c r="G63" s="1986" t="s">
        <v>1874</v>
      </c>
      <c r="H63" s="887">
        <f>项目基本情况!B37</f>
        <v>0</v>
      </c>
      <c r="I63" s="891">
        <f>SUMIF(修正!A57:A68,H63,修正!G57:G68)</f>
        <v>0</v>
      </c>
      <c r="J63" s="895"/>
      <c r="K63" s="2702"/>
      <c r="L63" s="2756"/>
      <c r="M63" s="2756"/>
      <c r="N63" s="2756"/>
      <c r="O63" s="2756"/>
      <c r="P63" s="2756"/>
      <c r="Q63" s="2756"/>
      <c r="R63" s="2756"/>
      <c r="S63" s="2756"/>
      <c r="T63" s="2756"/>
      <c r="U63" s="2756"/>
      <c r="V63" s="2756"/>
      <c r="W63" s="2756"/>
      <c r="X63" s="2756"/>
      <c r="Y63" s="2756"/>
      <c r="Z63" s="2756"/>
      <c r="AA63" s="2756"/>
      <c r="AB63" s="2756"/>
      <c r="AC63" s="2756"/>
    </row>
    <row r="64" spans="1:29" s="640" customFormat="1" ht="15" thickBot="1">
      <c r="A64" s="641" t="s">
        <v>1884</v>
      </c>
      <c r="B64" s="218" t="e">
        <f t="shared" si="17"/>
        <v>#DIV/0!</v>
      </c>
      <c r="C64" s="171">
        <f t="shared" si="16"/>
        <v>0.15</v>
      </c>
      <c r="D64" s="945">
        <v>0.25</v>
      </c>
      <c r="E64" s="217">
        <f>'数据-汇总表'!E15</f>
        <v>0</v>
      </c>
      <c r="F64" s="886" t="e">
        <f t="shared" si="15"/>
        <v>#DIV/0!</v>
      </c>
      <c r="G64" s="1987" t="s">
        <v>1878</v>
      </c>
      <c r="H64" s="897" t="str">
        <f>项目基本情况!C37</f>
        <v>六级</v>
      </c>
      <c r="I64" s="893">
        <f>SUMIF(修正!A57:A68,H64,修正!G57:G68)</f>
        <v>0.15</v>
      </c>
      <c r="J64" s="896"/>
      <c r="K64" s="2699"/>
      <c r="L64" s="2756"/>
      <c r="M64" s="2756"/>
      <c r="N64" s="2756"/>
      <c r="O64" s="2756"/>
      <c r="P64" s="2756"/>
      <c r="Q64" s="2756"/>
      <c r="R64" s="2756"/>
      <c r="S64" s="2756"/>
      <c r="T64" s="2756"/>
      <c r="U64" s="2756"/>
      <c r="V64" s="2756"/>
      <c r="W64" s="2756"/>
      <c r="X64" s="2756"/>
      <c r="Y64" s="2756"/>
      <c r="Z64" s="2756"/>
      <c r="AA64" s="2756"/>
      <c r="AB64" s="2756"/>
      <c r="AC64" s="2756"/>
    </row>
    <row r="65" spans="1:29" s="640" customFormat="1" ht="13.5" thickBot="1">
      <c r="A65" s="643" t="s">
        <v>1885</v>
      </c>
      <c r="B65" s="644" t="s">
        <v>22</v>
      </c>
      <c r="C65" s="644" t="s">
        <v>23</v>
      </c>
      <c r="D65" s="644" t="s">
        <v>392</v>
      </c>
      <c r="E65" s="644">
        <f>IF(B46="楼面地价",SUM(E56:E64),'数据-汇总表'!D3)</f>
        <v>76.040000000000006</v>
      </c>
      <c r="F65" s="645" t="e">
        <f>IF(B46="楼面地价",SUM(F56:F64),ROUND(C48*E65/10000,0))</f>
        <v>#DIV/0!</v>
      </c>
      <c r="G65" s="717"/>
      <c r="H65" s="717"/>
      <c r="I65" s="717"/>
      <c r="J65" s="717"/>
      <c r="K65" s="2757"/>
      <c r="L65" s="2756"/>
      <c r="M65" s="2756"/>
      <c r="N65" s="2756"/>
      <c r="O65" s="2756"/>
      <c r="P65" s="2756"/>
      <c r="Q65" s="2756"/>
      <c r="R65" s="2756"/>
      <c r="S65" s="2756"/>
      <c r="T65" s="2756"/>
      <c r="U65" s="2756"/>
      <c r="V65" s="2756"/>
      <c r="W65" s="2756"/>
      <c r="X65" s="2756"/>
      <c r="Y65" s="2756"/>
      <c r="Z65" s="2756"/>
      <c r="AA65" s="2756"/>
      <c r="AB65" s="2756"/>
      <c r="AC65" s="2756"/>
    </row>
    <row r="66" spans="1:29">
      <c r="A66" s="690"/>
      <c r="B66" s="692"/>
      <c r="C66" s="693"/>
      <c r="D66" s="690"/>
      <c r="E66" s="690"/>
      <c r="F66" s="690"/>
      <c r="G66" s="690"/>
      <c r="H66" s="690"/>
      <c r="I66" s="690"/>
      <c r="J66" s="927"/>
      <c r="K66" s="888"/>
      <c r="L66" s="889"/>
      <c r="M66" s="927"/>
      <c r="N66" s="927"/>
      <c r="O66" s="927"/>
      <c r="P66" s="2699"/>
      <c r="Q66" s="2699"/>
      <c r="R66" s="2699"/>
      <c r="S66" s="2699"/>
      <c r="T66" s="2699"/>
      <c r="U66" s="2699"/>
      <c r="V66" s="2699"/>
      <c r="W66" s="2699"/>
      <c r="X66" s="2699"/>
      <c r="Y66" s="2699"/>
      <c r="Z66" s="2699"/>
      <c r="AA66" s="2699"/>
      <c r="AB66" s="2699"/>
      <c r="AC66" s="2699"/>
    </row>
    <row r="67" spans="1:29">
      <c r="A67" s="690"/>
      <c r="B67" s="692"/>
      <c r="C67" s="692" t="str">
        <f>YEAR(C7)&amp;"-"&amp;MONTH(C7)&amp;"-1"</f>
        <v>2024-4-1</v>
      </c>
      <c r="D67" s="692">
        <f>EDATE(C67,-3)</f>
        <v>45292</v>
      </c>
      <c r="E67" s="692">
        <f>EDATE(D67,-3)</f>
        <v>45200</v>
      </c>
      <c r="F67" s="692">
        <f t="shared" ref="F67:O67" si="18">EDATE(E67,-3)</f>
        <v>45108</v>
      </c>
      <c r="G67" s="692">
        <f t="shared" si="18"/>
        <v>45017</v>
      </c>
      <c r="H67" s="692">
        <f t="shared" si="18"/>
        <v>44927</v>
      </c>
      <c r="I67" s="692">
        <f t="shared" si="18"/>
        <v>44835</v>
      </c>
      <c r="J67" s="692">
        <f t="shared" si="18"/>
        <v>44743</v>
      </c>
      <c r="K67" s="692">
        <f t="shared" si="18"/>
        <v>44652</v>
      </c>
      <c r="L67" s="692">
        <f t="shared" si="18"/>
        <v>44562</v>
      </c>
      <c r="M67" s="692">
        <f t="shared" si="18"/>
        <v>44470</v>
      </c>
      <c r="N67" s="692">
        <f t="shared" si="18"/>
        <v>44378</v>
      </c>
      <c r="O67" s="692">
        <f t="shared" si="18"/>
        <v>44287</v>
      </c>
      <c r="P67" s="2699"/>
      <c r="Q67" s="2699"/>
      <c r="R67" s="2699"/>
      <c r="S67" s="2699"/>
      <c r="T67" s="2699"/>
      <c r="U67" s="2699"/>
      <c r="V67" s="2699"/>
      <c r="W67" s="2699"/>
      <c r="X67" s="2699"/>
      <c r="Y67" s="2699"/>
      <c r="Z67" s="2699"/>
      <c r="AA67" s="2699"/>
      <c r="AB67" s="2699"/>
      <c r="AC67" s="2699"/>
    </row>
    <row r="68" spans="1:29" ht="21.75" thickBot="1">
      <c r="A68" s="694" t="s">
        <v>1780</v>
      </c>
      <c r="B68" s="690"/>
      <c r="C68" s="695"/>
      <c r="D68" s="695"/>
      <c r="E68" s="695"/>
      <c r="F68" s="696"/>
      <c r="G68" s="696"/>
      <c r="H68" s="695"/>
      <c r="I68" s="695"/>
      <c r="J68" s="940"/>
      <c r="K68" s="941"/>
      <c r="L68" s="942"/>
      <c r="M68" s="940"/>
      <c r="N68" s="2743"/>
      <c r="O68" s="2743"/>
      <c r="P68" s="2743"/>
      <c r="Q68" s="2713"/>
      <c r="R68" s="2699"/>
      <c r="S68" s="2699"/>
      <c r="T68" s="2699"/>
      <c r="U68" s="2699"/>
      <c r="V68" s="2699"/>
      <c r="W68" s="2699"/>
      <c r="X68" s="2699"/>
      <c r="Y68" s="2699"/>
      <c r="Z68" s="2699"/>
      <c r="AA68" s="2699"/>
      <c r="AB68" s="2699"/>
      <c r="AC68" s="2699"/>
    </row>
    <row r="69" spans="1:29" s="457" customFormat="1" ht="15">
      <c r="A69" s="1988" t="s">
        <v>1886</v>
      </c>
      <c r="B69" s="1109"/>
      <c r="C69" s="1181" t="str">
        <f>YEAR(C67)&amp;"-"&amp;ROUNDUP(MONTH(C67)/3,0)</f>
        <v>2024-2</v>
      </c>
      <c r="D69" s="1181" t="str">
        <f>YEAR(D67)&amp;"-"&amp;ROUNDUP(MONTH(D67)/3,0)</f>
        <v>2024-1</v>
      </c>
      <c r="E69" s="1181" t="str">
        <f t="shared" ref="E69:O69" si="19">YEAR(E67)&amp;"-"&amp;ROUNDUP(MONTH(E67)/3,0)</f>
        <v>2023-4</v>
      </c>
      <c r="F69" s="1181" t="str">
        <f t="shared" si="19"/>
        <v>2023-3</v>
      </c>
      <c r="G69" s="1181" t="str">
        <f t="shared" si="19"/>
        <v>2023-2</v>
      </c>
      <c r="H69" s="1181" t="str">
        <f t="shared" si="19"/>
        <v>2023-1</v>
      </c>
      <c r="I69" s="1181" t="str">
        <f t="shared" si="19"/>
        <v>2022-4</v>
      </c>
      <c r="J69" s="1181" t="str">
        <f t="shared" si="19"/>
        <v>2022-3</v>
      </c>
      <c r="K69" s="1181" t="str">
        <f t="shared" si="19"/>
        <v>2022-2</v>
      </c>
      <c r="L69" s="1181" t="str">
        <f t="shared" si="19"/>
        <v>2022-1</v>
      </c>
      <c r="M69" s="1181" t="str">
        <f t="shared" si="19"/>
        <v>2021-4</v>
      </c>
      <c r="N69" s="1181" t="str">
        <f t="shared" si="19"/>
        <v>2021-3</v>
      </c>
      <c r="O69" s="1181" t="str">
        <f t="shared" si="19"/>
        <v>2021-2</v>
      </c>
      <c r="P69" s="2750"/>
      <c r="Q69" s="2715"/>
      <c r="R69" s="2715"/>
      <c r="S69" s="2715"/>
      <c r="T69" s="2715"/>
      <c r="U69" s="2715"/>
      <c r="V69" s="2715"/>
      <c r="W69" s="2715"/>
      <c r="X69" s="2715"/>
      <c r="Y69" s="2715"/>
      <c r="Z69" s="2715"/>
      <c r="AA69" s="2715"/>
      <c r="AB69" s="2715"/>
      <c r="AC69" s="2715"/>
    </row>
    <row r="70" spans="1:29" s="108" customFormat="1" ht="30" customHeight="1">
      <c r="A70" s="1989" t="s">
        <v>1887</v>
      </c>
      <c r="B70" s="288" t="str">
        <f>"北京市平均增长率"&amp;TEXT(SUMIF(基准地价修正!N25:N29,A70,基准地价修正!P25:P29),"0.00%")</f>
        <v>北京市平均增长率0.00%</v>
      </c>
      <c r="C70" s="552">
        <v>100</v>
      </c>
      <c r="D70" s="544"/>
      <c r="E70" s="544"/>
      <c r="F70" s="544"/>
      <c r="G70" s="544"/>
      <c r="H70" s="544"/>
      <c r="I70" s="544"/>
      <c r="J70" s="544"/>
      <c r="K70" s="544"/>
      <c r="L70" s="544"/>
      <c r="M70" s="1178"/>
      <c r="N70" s="544"/>
      <c r="O70" s="1179"/>
      <c r="P70" s="2713"/>
      <c r="Q70" s="2635"/>
      <c r="R70" s="2635"/>
      <c r="S70" s="2635"/>
      <c r="T70" s="2635"/>
      <c r="U70" s="2635"/>
      <c r="V70" s="2635"/>
      <c r="W70" s="2635"/>
      <c r="X70" s="2635"/>
      <c r="Y70" s="2635"/>
      <c r="Z70" s="2635"/>
      <c r="AA70" s="2635"/>
      <c r="AB70" s="2635"/>
      <c r="AC70" s="2635"/>
    </row>
    <row r="71" spans="1:29" s="108" customFormat="1" ht="15.75" thickBot="1">
      <c r="A71" s="464" t="s">
        <v>1698</v>
      </c>
      <c r="B71" s="465"/>
      <c r="C71" s="466"/>
      <c r="D71" s="467"/>
      <c r="E71" s="467"/>
      <c r="F71" s="467"/>
      <c r="G71" s="467"/>
      <c r="H71" s="467"/>
      <c r="I71" s="467"/>
      <c r="J71" s="467"/>
      <c r="K71" s="467"/>
      <c r="L71" s="467"/>
      <c r="M71" s="468"/>
      <c r="N71" s="467"/>
      <c r="O71" s="943"/>
      <c r="P71" s="2713"/>
      <c r="Q71" s="2713"/>
      <c r="R71" s="2635"/>
      <c r="S71" s="2635"/>
      <c r="T71" s="2635"/>
      <c r="U71" s="2635"/>
      <c r="V71" s="2635"/>
      <c r="W71" s="2635"/>
      <c r="X71" s="2635"/>
      <c r="Y71" s="2635"/>
      <c r="Z71" s="2635"/>
      <c r="AA71" s="2635"/>
      <c r="AB71" s="2635"/>
      <c r="AC71" s="2635"/>
    </row>
    <row r="72" spans="1:29" s="108" customFormat="1" ht="15">
      <c r="A72" s="470" t="s">
        <v>1663</v>
      </c>
      <c r="B72" s="459"/>
      <c r="C72" s="471" t="s">
        <v>1758</v>
      </c>
      <c r="D72" s="472"/>
      <c r="E72" s="472"/>
      <c r="F72" s="472"/>
      <c r="G72" s="472"/>
      <c r="H72" s="472"/>
      <c r="I72" s="472"/>
      <c r="J72" s="472"/>
      <c r="K72" s="472"/>
      <c r="L72" s="473"/>
      <c r="M72" s="474"/>
      <c r="N72" s="2726"/>
      <c r="O72" s="2726"/>
      <c r="P72" s="2751"/>
      <c r="Q72" s="2713"/>
      <c r="R72" s="2635"/>
      <c r="S72" s="2635"/>
      <c r="T72" s="2635"/>
      <c r="U72" s="2635"/>
      <c r="V72" s="2635"/>
      <c r="W72" s="2635"/>
      <c r="X72" s="2635"/>
      <c r="Y72" s="2635"/>
      <c r="Z72" s="2635"/>
      <c r="AA72" s="2635"/>
      <c r="AB72" s="2635"/>
      <c r="AC72" s="2635"/>
    </row>
    <row r="73" spans="1:29" s="108" customFormat="1" ht="15.75" thickBot="1">
      <c r="A73" s="470"/>
      <c r="B73" s="459"/>
      <c r="C73" s="587">
        <v>100</v>
      </c>
      <c r="D73" s="461"/>
      <c r="E73" s="461"/>
      <c r="F73" s="461"/>
      <c r="G73" s="461"/>
      <c r="H73" s="461"/>
      <c r="I73" s="461"/>
      <c r="J73" s="461"/>
      <c r="K73" s="461"/>
      <c r="L73" s="461"/>
      <c r="M73" s="463"/>
      <c r="N73" s="2726"/>
      <c r="O73" s="2726"/>
      <c r="P73" s="2713"/>
      <c r="Q73" s="2713"/>
      <c r="R73" s="2635"/>
      <c r="S73" s="2635"/>
      <c r="T73" s="2635"/>
      <c r="U73" s="2635"/>
      <c r="V73" s="2635"/>
      <c r="W73" s="2635"/>
      <c r="X73" s="2635"/>
      <c r="Y73" s="2635"/>
      <c r="Z73" s="2635"/>
      <c r="AA73" s="2635"/>
      <c r="AB73" s="2635"/>
      <c r="AC73" s="2635"/>
    </row>
    <row r="74" spans="1:29">
      <c r="A74" s="476" t="s">
        <v>1701</v>
      </c>
      <c r="B74" s="477" t="s">
        <v>1667</v>
      </c>
      <c r="C74" s="479"/>
      <c r="D74" s="479"/>
      <c r="E74" s="479"/>
      <c r="F74" s="479"/>
      <c r="G74" s="479"/>
      <c r="H74" s="479"/>
      <c r="I74" s="479"/>
      <c r="J74" s="479"/>
      <c r="K74" s="480"/>
      <c r="L74" s="481"/>
      <c r="M74" s="482"/>
      <c r="N74" s="2727"/>
      <c r="O74" s="2727"/>
      <c r="P74" s="2752"/>
      <c r="Q74" s="2713"/>
      <c r="R74" s="2699"/>
      <c r="S74" s="2699"/>
      <c r="T74" s="2699"/>
      <c r="U74" s="2699"/>
      <c r="V74" s="2699"/>
      <c r="W74" s="2699"/>
      <c r="X74" s="2699"/>
      <c r="Y74" s="2699"/>
      <c r="Z74" s="2699"/>
      <c r="AA74" s="2699"/>
      <c r="AB74" s="2699"/>
      <c r="AC74" s="2699"/>
    </row>
    <row r="75" spans="1:29" ht="15.75" thickBot="1">
      <c r="A75" s="483"/>
      <c r="B75" s="484"/>
      <c r="C75" s="485"/>
      <c r="D75" s="485"/>
      <c r="E75" s="485"/>
      <c r="F75" s="485"/>
      <c r="G75" s="485"/>
      <c r="H75" s="485"/>
      <c r="I75" s="485"/>
      <c r="J75" s="485"/>
      <c r="K75" s="485"/>
      <c r="L75" s="485"/>
      <c r="M75" s="486"/>
      <c r="N75" s="2728"/>
      <c r="O75" s="2728"/>
      <c r="P75" s="2752"/>
      <c r="Q75" s="2713"/>
      <c r="R75" s="2699"/>
      <c r="S75" s="2699"/>
      <c r="T75" s="2699"/>
      <c r="U75" s="2699"/>
      <c r="V75" s="2699"/>
      <c r="W75" s="2699"/>
      <c r="X75" s="2699"/>
      <c r="Y75" s="2699"/>
      <c r="Z75" s="2699"/>
      <c r="AA75" s="2699"/>
      <c r="AB75" s="2699"/>
      <c r="AC75" s="2699"/>
    </row>
    <row r="76" spans="1:29" ht="27.75" thickTop="1">
      <c r="A76" s="483"/>
      <c r="B76" s="487" t="s">
        <v>1670</v>
      </c>
      <c r="C76" s="488"/>
      <c r="D76" s="488"/>
      <c r="E76" s="488"/>
      <c r="F76" s="488"/>
      <c r="G76" s="488"/>
      <c r="H76" s="488"/>
      <c r="I76" s="488"/>
      <c r="J76" s="488"/>
      <c r="K76" s="489"/>
      <c r="L76" s="490"/>
      <c r="M76" s="491"/>
      <c r="N76" s="2727"/>
      <c r="O76" s="2727"/>
      <c r="P76" s="2752"/>
      <c r="Q76" s="2713"/>
      <c r="R76" s="2699"/>
      <c r="S76" s="2699"/>
      <c r="T76" s="2699"/>
      <c r="U76" s="2699"/>
      <c r="V76" s="2699"/>
      <c r="W76" s="2699"/>
      <c r="X76" s="2699"/>
      <c r="Y76" s="2699"/>
      <c r="Z76" s="2699"/>
      <c r="AA76" s="2699"/>
      <c r="AB76" s="2699"/>
      <c r="AC76" s="2699"/>
    </row>
    <row r="77" spans="1:29" ht="15.75" thickBot="1">
      <c r="A77" s="483"/>
      <c r="B77" s="492"/>
      <c r="C77" s="493"/>
      <c r="D77" s="493"/>
      <c r="E77" s="493"/>
      <c r="F77" s="493"/>
      <c r="G77" s="493"/>
      <c r="H77" s="493"/>
      <c r="I77" s="493"/>
      <c r="J77" s="493"/>
      <c r="K77" s="493"/>
      <c r="L77" s="493"/>
      <c r="M77" s="494"/>
      <c r="N77" s="2728"/>
      <c r="O77" s="2728"/>
      <c r="P77" s="2752"/>
      <c r="Q77" s="2713"/>
      <c r="R77" s="2699"/>
      <c r="S77" s="2699"/>
      <c r="T77" s="2699"/>
      <c r="U77" s="2699"/>
      <c r="V77" s="2699"/>
      <c r="W77" s="2699"/>
      <c r="X77" s="2699"/>
      <c r="Y77" s="2699"/>
      <c r="Z77" s="2699"/>
      <c r="AA77" s="2699"/>
      <c r="AB77" s="2699"/>
      <c r="AC77" s="2699"/>
    </row>
    <row r="78" spans="1:29" ht="15.75" thickTop="1">
      <c r="A78" s="483"/>
      <c r="B78" s="495" t="s">
        <v>1671</v>
      </c>
      <c r="C78" s="496" t="str">
        <f>C79&amp;"（含）"&amp;"-"&amp;D79</f>
        <v>（含）-</v>
      </c>
      <c r="D78" s="496" t="str">
        <f t="shared" ref="D78:L78" si="20">D79&amp;"（含）"&amp;"-"&amp;E79</f>
        <v>（含）-</v>
      </c>
      <c r="E78" s="496" t="str">
        <f t="shared" si="20"/>
        <v>（含）-</v>
      </c>
      <c r="F78" s="496" t="str">
        <f t="shared" si="20"/>
        <v>（含）-</v>
      </c>
      <c r="G78" s="496" t="str">
        <f t="shared" si="20"/>
        <v>（含）-</v>
      </c>
      <c r="H78" s="496" t="str">
        <f t="shared" si="20"/>
        <v>（含）-</v>
      </c>
      <c r="I78" s="496" t="str">
        <f t="shared" si="20"/>
        <v>（含）-</v>
      </c>
      <c r="J78" s="496" t="str">
        <f t="shared" si="20"/>
        <v>（含）-</v>
      </c>
      <c r="K78" s="496" t="str">
        <f t="shared" si="20"/>
        <v>（含）-</v>
      </c>
      <c r="L78" s="496" t="str">
        <f t="shared" si="20"/>
        <v>（含）-</v>
      </c>
      <c r="M78" s="399" t="str">
        <f>M79&amp;"（含）"&amp;"-"&amp;P79</f>
        <v>（含）-</v>
      </c>
      <c r="N78" s="2728"/>
      <c r="O78" s="2728"/>
      <c r="P78" s="2752"/>
      <c r="Q78" s="2713"/>
      <c r="R78" s="2699"/>
      <c r="S78" s="2699"/>
      <c r="T78" s="2699"/>
      <c r="U78" s="2699"/>
      <c r="V78" s="2699"/>
      <c r="W78" s="2699"/>
      <c r="X78" s="2699"/>
      <c r="Y78" s="2699"/>
      <c r="Z78" s="2699"/>
      <c r="AA78" s="2699"/>
      <c r="AB78" s="2699"/>
      <c r="AC78" s="2699"/>
    </row>
    <row r="79" spans="1:29" ht="15">
      <c r="A79" s="483"/>
      <c r="B79" s="497"/>
      <c r="C79" s="498"/>
      <c r="D79" s="498"/>
      <c r="E79" s="498"/>
      <c r="F79" s="498"/>
      <c r="G79" s="498"/>
      <c r="H79" s="498"/>
      <c r="I79" s="498"/>
      <c r="J79" s="498"/>
      <c r="K79" s="499"/>
      <c r="L79" s="500"/>
      <c r="M79" s="501"/>
      <c r="N79" s="2727"/>
      <c r="O79" s="2727"/>
      <c r="P79" s="2752"/>
      <c r="Q79" s="2713"/>
      <c r="R79" s="2699"/>
      <c r="S79" s="2699"/>
      <c r="T79" s="2699"/>
      <c r="U79" s="2699"/>
      <c r="V79" s="2699"/>
      <c r="W79" s="2699"/>
      <c r="X79" s="2699"/>
      <c r="Y79" s="2699"/>
      <c r="Z79" s="2699"/>
      <c r="AA79" s="2699"/>
      <c r="AB79" s="2699"/>
      <c r="AC79" s="2699"/>
    </row>
    <row r="80" spans="1:29" ht="15.75" thickBot="1">
      <c r="A80" s="483"/>
      <c r="B80" s="484"/>
      <c r="C80" s="493">
        <v>100</v>
      </c>
      <c r="D80" s="493">
        <f t="shared" ref="D80:M80" si="21">IF($B$46="单位面积地价",C80+$K11,C80-$K11)</f>
        <v>100</v>
      </c>
      <c r="E80" s="493">
        <f t="shared" si="21"/>
        <v>100</v>
      </c>
      <c r="F80" s="493">
        <f t="shared" si="21"/>
        <v>100</v>
      </c>
      <c r="G80" s="493">
        <f t="shared" si="21"/>
        <v>100</v>
      </c>
      <c r="H80" s="493">
        <f t="shared" si="21"/>
        <v>100</v>
      </c>
      <c r="I80" s="493">
        <f t="shared" si="21"/>
        <v>100</v>
      </c>
      <c r="J80" s="493">
        <f t="shared" si="21"/>
        <v>100</v>
      </c>
      <c r="K80" s="493">
        <f t="shared" si="21"/>
        <v>100</v>
      </c>
      <c r="L80" s="493">
        <f t="shared" si="21"/>
        <v>100</v>
      </c>
      <c r="M80" s="493">
        <f t="shared" si="21"/>
        <v>100</v>
      </c>
      <c r="N80" s="2728"/>
      <c r="O80" s="2728"/>
      <c r="P80" s="2752"/>
      <c r="Q80" s="2713"/>
      <c r="R80" s="2699"/>
      <c r="S80" s="2699"/>
      <c r="T80" s="2699"/>
      <c r="U80" s="2699"/>
      <c r="V80" s="2699"/>
      <c r="W80" s="2699"/>
      <c r="X80" s="2699"/>
      <c r="Y80" s="2699"/>
      <c r="Z80" s="2699"/>
      <c r="AA80" s="2699"/>
      <c r="AB80" s="2699"/>
      <c r="AC80" s="2699"/>
    </row>
    <row r="81" spans="1:29" s="422" customFormat="1" ht="15.75" thickTop="1">
      <c r="A81" s="502"/>
      <c r="B81" s="487" t="str">
        <f>B12</f>
        <v>配建</v>
      </c>
      <c r="C81" s="503"/>
      <c r="D81" s="503"/>
      <c r="E81" s="503"/>
      <c r="F81" s="503"/>
      <c r="G81" s="503"/>
      <c r="H81" s="504"/>
      <c r="I81" s="504"/>
      <c r="J81" s="504"/>
      <c r="K81" s="504"/>
      <c r="L81" s="505"/>
      <c r="M81" s="506"/>
      <c r="N81" s="2729"/>
      <c r="O81" s="2729"/>
      <c r="P81" s="2753"/>
      <c r="Q81" s="2720"/>
      <c r="R81" s="2721"/>
      <c r="S81" s="2721"/>
      <c r="T81" s="2721"/>
      <c r="U81" s="2721"/>
      <c r="V81" s="2721"/>
      <c r="W81" s="2721"/>
      <c r="X81" s="2721"/>
      <c r="Y81" s="2721"/>
      <c r="Z81" s="2721"/>
      <c r="AA81" s="2721"/>
      <c r="AB81" s="2721"/>
      <c r="AC81" s="2721"/>
    </row>
    <row r="82" spans="1:29" s="422" customFormat="1" ht="15.75" thickBot="1">
      <c r="A82" s="502"/>
      <c r="B82" s="492"/>
      <c r="C82" s="509"/>
      <c r="D82" s="485"/>
      <c r="E82" s="485"/>
      <c r="F82" s="485"/>
      <c r="G82" s="485"/>
      <c r="H82" s="485"/>
      <c r="I82" s="485"/>
      <c r="J82" s="485"/>
      <c r="K82" s="485"/>
      <c r="L82" s="485"/>
      <c r="M82" s="486"/>
      <c r="N82" s="2728"/>
      <c r="O82" s="2728"/>
      <c r="P82" s="2753"/>
      <c r="Q82" s="2720"/>
      <c r="R82" s="2721"/>
      <c r="S82" s="2721"/>
      <c r="T82" s="2721"/>
      <c r="U82" s="2721"/>
      <c r="V82" s="2721"/>
      <c r="W82" s="2721"/>
      <c r="X82" s="2721"/>
      <c r="Y82" s="2721"/>
      <c r="Z82" s="2721"/>
      <c r="AA82" s="2721"/>
      <c r="AB82" s="2721"/>
      <c r="AC82" s="2721"/>
    </row>
    <row r="83" spans="1:29" s="422" customFormat="1" ht="15.75" thickTop="1">
      <c r="A83" s="502"/>
      <c r="B83" s="487">
        <f>B13</f>
        <v>111</v>
      </c>
      <c r="C83" s="503"/>
      <c r="D83" s="503"/>
      <c r="E83" s="503"/>
      <c r="F83" s="503"/>
      <c r="G83" s="503"/>
      <c r="H83" s="504"/>
      <c r="I83" s="504"/>
      <c r="J83" s="504"/>
      <c r="K83" s="504"/>
      <c r="L83" s="505"/>
      <c r="M83" s="506"/>
      <c r="N83" s="2729"/>
      <c r="O83" s="2729"/>
      <c r="P83" s="2697"/>
      <c r="Q83" s="2723"/>
      <c r="R83" s="2721"/>
      <c r="S83" s="2721"/>
      <c r="T83" s="2721"/>
      <c r="U83" s="2721"/>
      <c r="V83" s="2721"/>
      <c r="W83" s="2721"/>
      <c r="X83" s="2721"/>
      <c r="Y83" s="2721"/>
      <c r="Z83" s="2721"/>
      <c r="AA83" s="2721"/>
      <c r="AB83" s="2721"/>
      <c r="AC83" s="2721"/>
    </row>
    <row r="84" spans="1:29" s="422" customFormat="1" ht="15.75" thickBot="1">
      <c r="A84" s="502"/>
      <c r="B84" s="492"/>
      <c r="C84" s="509"/>
      <c r="D84" s="509"/>
      <c r="E84" s="509"/>
      <c r="F84" s="509"/>
      <c r="G84" s="509"/>
      <c r="H84" s="511"/>
      <c r="I84" s="511"/>
      <c r="J84" s="511"/>
      <c r="K84" s="511"/>
      <c r="L84" s="511"/>
      <c r="M84" s="512"/>
      <c r="N84" s="2729"/>
      <c r="O84" s="2729"/>
      <c r="P84" s="2753"/>
      <c r="Q84" s="2720"/>
      <c r="R84" s="2721"/>
      <c r="S84" s="2721"/>
      <c r="T84" s="2721"/>
      <c r="U84" s="2721"/>
      <c r="V84" s="2721"/>
      <c r="W84" s="2721"/>
      <c r="X84" s="2721"/>
      <c r="Y84" s="2721"/>
      <c r="Z84" s="2721"/>
      <c r="AA84" s="2721"/>
      <c r="AB84" s="2721"/>
      <c r="AC84" s="2721"/>
    </row>
    <row r="85" spans="1:29" s="422" customFormat="1" ht="15.75" thickTop="1">
      <c r="A85" s="502"/>
      <c r="B85" s="495">
        <f>B14</f>
        <v>111</v>
      </c>
      <c r="C85" s="472"/>
      <c r="D85" s="472"/>
      <c r="E85" s="472"/>
      <c r="F85" s="472"/>
      <c r="G85" s="472"/>
      <c r="H85" s="513"/>
      <c r="I85" s="513"/>
      <c r="J85" s="513"/>
      <c r="K85" s="513"/>
      <c r="L85" s="514"/>
      <c r="M85" s="515"/>
      <c r="N85" s="2729"/>
      <c r="O85" s="2729"/>
      <c r="P85" s="2758"/>
      <c r="Q85" s="2720"/>
      <c r="R85" s="2721"/>
      <c r="S85" s="2721"/>
      <c r="T85" s="2721"/>
      <c r="U85" s="2721"/>
      <c r="V85" s="2721"/>
      <c r="W85" s="2721"/>
      <c r="X85" s="2721"/>
      <c r="Y85" s="2721"/>
      <c r="Z85" s="2721"/>
      <c r="AA85" s="2721"/>
      <c r="AB85" s="2721"/>
      <c r="AC85" s="2721"/>
    </row>
    <row r="86" spans="1:29" s="422" customFormat="1" ht="15.75" thickBot="1">
      <c r="A86" s="517"/>
      <c r="B86" s="518"/>
      <c r="C86" s="519"/>
      <c r="D86" s="519"/>
      <c r="E86" s="519"/>
      <c r="F86" s="519"/>
      <c r="G86" s="519"/>
      <c r="H86" s="520"/>
      <c r="I86" s="520"/>
      <c r="J86" s="520"/>
      <c r="K86" s="520"/>
      <c r="L86" s="520"/>
      <c r="M86" s="521"/>
      <c r="N86" s="2729"/>
      <c r="O86" s="2729"/>
      <c r="P86" s="2753"/>
      <c r="Q86" s="2720"/>
      <c r="R86" s="2721"/>
      <c r="S86" s="2721"/>
      <c r="T86" s="2721"/>
      <c r="U86" s="2721"/>
      <c r="V86" s="2721"/>
      <c r="W86" s="2721"/>
      <c r="X86" s="2721"/>
      <c r="Y86" s="2721"/>
      <c r="Z86" s="2721"/>
      <c r="AA86" s="2721"/>
      <c r="AB86" s="2721"/>
      <c r="AC86" s="2721"/>
    </row>
    <row r="87" spans="1:29">
      <c r="A87" s="476" t="s">
        <v>1672</v>
      </c>
      <c r="B87" s="477" t="s">
        <v>1702</v>
      </c>
      <c r="C87" s="522" t="s">
        <v>1703</v>
      </c>
      <c r="D87" s="522" t="s">
        <v>1704</v>
      </c>
      <c r="E87" s="522" t="s">
        <v>1705</v>
      </c>
      <c r="F87" s="522" t="s">
        <v>1706</v>
      </c>
      <c r="G87" s="522" t="s">
        <v>1707</v>
      </c>
      <c r="H87" s="478"/>
      <c r="I87" s="478"/>
      <c r="J87" s="478"/>
      <c r="K87" s="523"/>
      <c r="L87" s="524"/>
      <c r="M87" s="525"/>
      <c r="N87" s="2727"/>
      <c r="O87" s="2727"/>
      <c r="P87" s="2754"/>
      <c r="Q87" s="2713"/>
      <c r="R87" s="2699"/>
      <c r="S87" s="2699"/>
      <c r="T87" s="2699"/>
      <c r="U87" s="2699"/>
      <c r="V87" s="2699"/>
      <c r="W87" s="2699"/>
      <c r="X87" s="2699"/>
      <c r="Y87" s="2699"/>
      <c r="Z87" s="2699"/>
      <c r="AA87" s="2699"/>
      <c r="AB87" s="2699"/>
      <c r="AC87" s="2699"/>
    </row>
    <row r="88" spans="1:29" ht="15.75" thickBot="1">
      <c r="A88" s="483"/>
      <c r="B88" s="492"/>
      <c r="C88" s="493">
        <v>100</v>
      </c>
      <c r="D88" s="493">
        <f>C88-$K15</f>
        <v>100</v>
      </c>
      <c r="E88" s="493">
        <f>D88-$K15</f>
        <v>100</v>
      </c>
      <c r="F88" s="493">
        <f>E88-$K15</f>
        <v>100</v>
      </c>
      <c r="G88" s="493">
        <f>F88-$K15</f>
        <v>100</v>
      </c>
      <c r="H88" s="493"/>
      <c r="I88" s="493"/>
      <c r="J88" s="493"/>
      <c r="K88" s="493"/>
      <c r="L88" s="493"/>
      <c r="M88" s="494"/>
      <c r="N88" s="2728"/>
      <c r="O88" s="2728"/>
      <c r="P88" s="2752"/>
      <c r="Q88" s="2713"/>
      <c r="R88" s="2699"/>
      <c r="S88" s="2699"/>
      <c r="T88" s="2699"/>
      <c r="U88" s="2699"/>
      <c r="V88" s="2699"/>
      <c r="W88" s="2699"/>
      <c r="X88" s="2699"/>
      <c r="Y88" s="2699"/>
      <c r="Z88" s="2699"/>
      <c r="AA88" s="2699"/>
      <c r="AB88" s="2699"/>
      <c r="AC88" s="2699"/>
    </row>
    <row r="89" spans="1:29" ht="15.75" thickTop="1">
      <c r="A89" s="483"/>
      <c r="B89" s="487" t="s">
        <v>1888</v>
      </c>
      <c r="C89" s="527" t="s">
        <v>1703</v>
      </c>
      <c r="D89" s="527" t="s">
        <v>1704</v>
      </c>
      <c r="E89" s="527" t="s">
        <v>1705</v>
      </c>
      <c r="F89" s="527" t="s">
        <v>1706</v>
      </c>
      <c r="G89" s="527" t="s">
        <v>1707</v>
      </c>
      <c r="H89" s="488"/>
      <c r="I89" s="488"/>
      <c r="J89" s="488"/>
      <c r="K89" s="489"/>
      <c r="L89" s="490"/>
      <c r="M89" s="491"/>
      <c r="N89" s="2727"/>
      <c r="O89" s="2727"/>
      <c r="P89" s="2752"/>
      <c r="Q89" s="2713"/>
      <c r="R89" s="2699"/>
      <c r="S89" s="2699"/>
      <c r="T89" s="2699"/>
      <c r="U89" s="2699"/>
      <c r="V89" s="2699"/>
      <c r="W89" s="2699"/>
      <c r="X89" s="2699"/>
      <c r="Y89" s="2699"/>
      <c r="Z89" s="2699"/>
      <c r="AA89" s="2699"/>
      <c r="AB89" s="2699"/>
      <c r="AC89" s="2699"/>
    </row>
    <row r="90" spans="1:29" ht="15.75" thickBot="1">
      <c r="A90" s="483"/>
      <c r="B90" s="492"/>
      <c r="C90" s="493">
        <v>100</v>
      </c>
      <c r="D90" s="493">
        <f>C90-$K17</f>
        <v>100</v>
      </c>
      <c r="E90" s="493">
        <f>D90-$K17</f>
        <v>100</v>
      </c>
      <c r="F90" s="493">
        <f>E90-$K17</f>
        <v>100</v>
      </c>
      <c r="G90" s="493">
        <f>F90-$K17</f>
        <v>100</v>
      </c>
      <c r="H90" s="493"/>
      <c r="I90" s="493"/>
      <c r="J90" s="493"/>
      <c r="K90" s="493"/>
      <c r="L90" s="493"/>
      <c r="M90" s="494"/>
      <c r="N90" s="2728"/>
      <c r="O90" s="2728"/>
      <c r="P90" s="2752"/>
      <c r="Q90" s="2713"/>
      <c r="R90" s="2699"/>
      <c r="S90" s="2699"/>
      <c r="T90" s="2699"/>
      <c r="U90" s="2699"/>
      <c r="V90" s="2699"/>
      <c r="W90" s="2699"/>
      <c r="X90" s="2699"/>
      <c r="Y90" s="2699"/>
      <c r="Z90" s="2699"/>
      <c r="AA90" s="2699"/>
      <c r="AB90" s="2699"/>
      <c r="AC90" s="2699"/>
    </row>
    <row r="91" spans="1:29" ht="15.75" thickTop="1">
      <c r="A91" s="483"/>
      <c r="B91" s="487" t="s">
        <v>1803</v>
      </c>
      <c r="C91" s="527" t="s">
        <v>1703</v>
      </c>
      <c r="D91" s="527" t="s">
        <v>1704</v>
      </c>
      <c r="E91" s="527" t="s">
        <v>1705</v>
      </c>
      <c r="F91" s="527" t="s">
        <v>1706</v>
      </c>
      <c r="G91" s="527" t="s">
        <v>1707</v>
      </c>
      <c r="H91" s="488"/>
      <c r="I91" s="488"/>
      <c r="J91" s="488"/>
      <c r="K91" s="489"/>
      <c r="L91" s="490"/>
      <c r="M91" s="491"/>
      <c r="N91" s="2727"/>
      <c r="O91" s="2727"/>
      <c r="P91" s="2752"/>
      <c r="Q91" s="2713"/>
      <c r="R91" s="2699"/>
      <c r="S91" s="2699"/>
      <c r="T91" s="2699"/>
      <c r="U91" s="2699"/>
      <c r="V91" s="2699"/>
      <c r="W91" s="2699"/>
      <c r="X91" s="2699"/>
      <c r="Y91" s="2699"/>
      <c r="Z91" s="2699"/>
      <c r="AA91" s="2699"/>
      <c r="AB91" s="2699"/>
      <c r="AC91" s="2699"/>
    </row>
    <row r="92" spans="1:29" ht="15.75" thickBot="1">
      <c r="A92" s="483"/>
      <c r="B92" s="492"/>
      <c r="C92" s="493">
        <v>100</v>
      </c>
      <c r="D92" s="493">
        <f>C92-$K19</f>
        <v>100</v>
      </c>
      <c r="E92" s="493">
        <f>D92-$K19</f>
        <v>100</v>
      </c>
      <c r="F92" s="493">
        <f>E92-$K19</f>
        <v>100</v>
      </c>
      <c r="G92" s="493">
        <f>F92-$K19</f>
        <v>100</v>
      </c>
      <c r="H92" s="493"/>
      <c r="I92" s="493"/>
      <c r="J92" s="493"/>
      <c r="K92" s="493"/>
      <c r="L92" s="493"/>
      <c r="M92" s="494"/>
      <c r="N92" s="2728"/>
      <c r="O92" s="2728"/>
      <c r="P92" s="2752"/>
      <c r="Q92" s="2713"/>
      <c r="R92" s="2699"/>
      <c r="S92" s="2699"/>
      <c r="T92" s="2699"/>
      <c r="U92" s="2699"/>
      <c r="V92" s="2699"/>
      <c r="W92" s="2699"/>
      <c r="X92" s="2699"/>
      <c r="Y92" s="2699"/>
      <c r="Z92" s="2699"/>
      <c r="AA92" s="2699"/>
      <c r="AB92" s="2699"/>
      <c r="AC92" s="2699"/>
    </row>
    <row r="93" spans="1:29" ht="15.75" thickTop="1">
      <c r="A93" s="483"/>
      <c r="B93" s="487" t="s">
        <v>1708</v>
      </c>
      <c r="C93" s="527" t="s">
        <v>1703</v>
      </c>
      <c r="D93" s="527" t="s">
        <v>1704</v>
      </c>
      <c r="E93" s="527" t="s">
        <v>1705</v>
      </c>
      <c r="F93" s="527" t="s">
        <v>1706</v>
      </c>
      <c r="G93" s="527" t="s">
        <v>1707</v>
      </c>
      <c r="H93" s="488"/>
      <c r="I93" s="488"/>
      <c r="J93" s="488"/>
      <c r="K93" s="489"/>
      <c r="L93" s="490"/>
      <c r="M93" s="491"/>
      <c r="N93" s="2727"/>
      <c r="O93" s="2727"/>
      <c r="P93" s="2752"/>
      <c r="Q93" s="2713"/>
      <c r="R93" s="2699"/>
      <c r="S93" s="2699"/>
      <c r="T93" s="2699"/>
      <c r="U93" s="2699"/>
      <c r="V93" s="2699"/>
      <c r="W93" s="2699"/>
      <c r="X93" s="2699"/>
      <c r="Y93" s="2699"/>
      <c r="Z93" s="2699"/>
      <c r="AA93" s="2699"/>
      <c r="AB93" s="2699"/>
      <c r="AC93" s="2699"/>
    </row>
    <row r="94" spans="1:29" ht="15.75" thickBot="1">
      <c r="A94" s="483"/>
      <c r="B94" s="492"/>
      <c r="C94" s="493">
        <v>100</v>
      </c>
      <c r="D94" s="493">
        <f>C94-$K21</f>
        <v>100</v>
      </c>
      <c r="E94" s="493">
        <f>D94-$K21</f>
        <v>100</v>
      </c>
      <c r="F94" s="493">
        <f>E94-$K21</f>
        <v>100</v>
      </c>
      <c r="G94" s="493">
        <f>F94-$K21</f>
        <v>100</v>
      </c>
      <c r="H94" s="493"/>
      <c r="I94" s="493"/>
      <c r="J94" s="493"/>
      <c r="K94" s="493"/>
      <c r="L94" s="493"/>
      <c r="M94" s="494"/>
      <c r="N94" s="2728"/>
      <c r="O94" s="2728"/>
      <c r="P94" s="2752"/>
      <c r="Q94" s="2713"/>
      <c r="R94" s="2699"/>
      <c r="S94" s="2699"/>
      <c r="T94" s="2699"/>
      <c r="U94" s="2699"/>
      <c r="V94" s="2699"/>
      <c r="W94" s="2699"/>
      <c r="X94" s="2699"/>
      <c r="Y94" s="2699"/>
      <c r="Z94" s="2699"/>
      <c r="AA94" s="2699"/>
      <c r="AB94" s="2699"/>
      <c r="AC94" s="2699"/>
    </row>
    <row r="95" spans="1:29" s="108" customFormat="1" ht="15.75" thickTop="1">
      <c r="A95" s="528"/>
      <c r="B95" s="487" t="s">
        <v>1889</v>
      </c>
      <c r="C95" s="527" t="s">
        <v>1703</v>
      </c>
      <c r="D95" s="527" t="s">
        <v>1704</v>
      </c>
      <c r="E95" s="527" t="s">
        <v>1705</v>
      </c>
      <c r="F95" s="527" t="s">
        <v>1706</v>
      </c>
      <c r="G95" s="527" t="s">
        <v>1707</v>
      </c>
      <c r="H95" s="527"/>
      <c r="I95" s="527"/>
      <c r="J95" s="527"/>
      <c r="K95" s="527"/>
      <c r="L95" s="646"/>
      <c r="M95" s="570"/>
      <c r="N95" s="2726"/>
      <c r="O95" s="2726"/>
      <c r="P95" s="2752"/>
      <c r="Q95" s="2713"/>
      <c r="R95" s="2635"/>
      <c r="S95" s="2635"/>
      <c r="T95" s="2635"/>
      <c r="U95" s="2635"/>
      <c r="V95" s="2635"/>
      <c r="W95" s="2635"/>
      <c r="X95" s="2635"/>
      <c r="Y95" s="2635"/>
      <c r="Z95" s="2635"/>
      <c r="AA95" s="2635"/>
      <c r="AB95" s="2635"/>
      <c r="AC95" s="2635"/>
    </row>
    <row r="96" spans="1:29" s="108" customFormat="1" ht="15.75" thickBot="1">
      <c r="A96" s="528"/>
      <c r="B96" s="492"/>
      <c r="C96" s="531">
        <v>100</v>
      </c>
      <c r="D96" s="493">
        <f>C96-$K23</f>
        <v>100</v>
      </c>
      <c r="E96" s="493">
        <f>D96-$K23</f>
        <v>100</v>
      </c>
      <c r="F96" s="493">
        <f>E96-$K23</f>
        <v>100</v>
      </c>
      <c r="G96" s="493">
        <f>F96-$K23</f>
        <v>100</v>
      </c>
      <c r="H96" s="493"/>
      <c r="I96" s="493"/>
      <c r="J96" s="493"/>
      <c r="K96" s="493"/>
      <c r="L96" s="493"/>
      <c r="M96" s="494"/>
      <c r="N96" s="2728"/>
      <c r="O96" s="2728"/>
      <c r="P96" s="2752"/>
      <c r="Q96" s="2713"/>
      <c r="R96" s="2635"/>
      <c r="S96" s="2635"/>
      <c r="T96" s="2635"/>
      <c r="U96" s="2635"/>
      <c r="V96" s="2635"/>
      <c r="W96" s="2635"/>
      <c r="X96" s="2635"/>
      <c r="Y96" s="2635"/>
      <c r="Z96" s="2635"/>
      <c r="AA96" s="2635"/>
      <c r="AB96" s="2635"/>
      <c r="AC96" s="2635"/>
    </row>
    <row r="97" spans="1:29" s="108" customFormat="1" ht="27.75" thickTop="1">
      <c r="A97" s="528"/>
      <c r="B97" s="487" t="s">
        <v>1890</v>
      </c>
      <c r="C97" s="522" t="s">
        <v>1703</v>
      </c>
      <c r="D97" s="522" t="s">
        <v>1704</v>
      </c>
      <c r="E97" s="522" t="s">
        <v>1705</v>
      </c>
      <c r="F97" s="522" t="s">
        <v>1706</v>
      </c>
      <c r="G97" s="522" t="s">
        <v>1707</v>
      </c>
      <c r="H97" s="527"/>
      <c r="I97" s="527"/>
      <c r="J97" s="527"/>
      <c r="K97" s="527"/>
      <c r="L97" s="527"/>
      <c r="M97" s="570"/>
      <c r="N97" s="2726"/>
      <c r="O97" s="2726"/>
      <c r="P97" s="2752"/>
      <c r="Q97" s="2713"/>
      <c r="R97" s="2635"/>
      <c r="S97" s="2635"/>
      <c r="T97" s="2635"/>
      <c r="U97" s="2635"/>
      <c r="V97" s="2635"/>
      <c r="W97" s="2635"/>
      <c r="X97" s="2635"/>
      <c r="Y97" s="2635"/>
      <c r="Z97" s="2635"/>
      <c r="AA97" s="2635"/>
      <c r="AB97" s="2635"/>
      <c r="AC97" s="2635"/>
    </row>
    <row r="98" spans="1:29" s="108" customFormat="1" ht="15.75" thickBot="1">
      <c r="A98" s="528"/>
      <c r="B98" s="492"/>
      <c r="C98" s="493">
        <v>100</v>
      </c>
      <c r="D98" s="493">
        <f>C98-$K25</f>
        <v>100</v>
      </c>
      <c r="E98" s="493">
        <f>D98-$K25</f>
        <v>100</v>
      </c>
      <c r="F98" s="493">
        <f>E98-$K25</f>
        <v>100</v>
      </c>
      <c r="G98" s="493">
        <f>F98-$K25</f>
        <v>100</v>
      </c>
      <c r="H98" s="493"/>
      <c r="I98" s="493"/>
      <c r="J98" s="493"/>
      <c r="K98" s="493"/>
      <c r="L98" s="493"/>
      <c r="M98" s="494"/>
      <c r="N98" s="2728"/>
      <c r="O98" s="2728"/>
      <c r="P98" s="2752"/>
      <c r="Q98" s="2713"/>
      <c r="R98" s="2635"/>
      <c r="S98" s="2635"/>
      <c r="T98" s="2635"/>
      <c r="U98" s="2635"/>
      <c r="V98" s="2635"/>
      <c r="W98" s="2635"/>
      <c r="X98" s="2635"/>
      <c r="Y98" s="2635"/>
      <c r="Z98" s="2635"/>
      <c r="AA98" s="2635"/>
      <c r="AB98" s="2635"/>
      <c r="AC98" s="2635"/>
    </row>
    <row r="99" spans="1:29" s="422" customFormat="1" ht="15.75" thickTop="1">
      <c r="A99" s="502"/>
      <c r="B99" s="487" t="s">
        <v>1760</v>
      </c>
      <c r="C99" s="522" t="s">
        <v>1703</v>
      </c>
      <c r="D99" s="522" t="s">
        <v>1704</v>
      </c>
      <c r="E99" s="522" t="s">
        <v>1705</v>
      </c>
      <c r="F99" s="522" t="s">
        <v>1706</v>
      </c>
      <c r="G99" s="522" t="s">
        <v>1707</v>
      </c>
      <c r="H99" s="549"/>
      <c r="I99" s="549"/>
      <c r="J99" s="549"/>
      <c r="K99" s="549"/>
      <c r="L99" s="550"/>
      <c r="M99" s="551"/>
      <c r="N99" s="2729"/>
      <c r="O99" s="2729"/>
      <c r="P99" s="2753"/>
      <c r="Q99" s="2720"/>
      <c r="R99" s="2721"/>
      <c r="S99" s="2721"/>
      <c r="T99" s="2721"/>
      <c r="U99" s="2721"/>
      <c r="V99" s="2721"/>
      <c r="W99" s="2721"/>
      <c r="X99" s="2721"/>
      <c r="Y99" s="2721"/>
      <c r="Z99" s="2721"/>
      <c r="AA99" s="2721"/>
      <c r="AB99" s="2721"/>
      <c r="AC99" s="2721"/>
    </row>
    <row r="100" spans="1:29" s="422" customFormat="1" ht="15.75" thickBot="1">
      <c r="A100" s="502"/>
      <c r="B100" s="492"/>
      <c r="C100" s="493">
        <v>100</v>
      </c>
      <c r="D100" s="493">
        <f>C100-$K27</f>
        <v>100</v>
      </c>
      <c r="E100" s="493">
        <f>D100-$K27</f>
        <v>100</v>
      </c>
      <c r="F100" s="493">
        <f>E100-$K27</f>
        <v>100</v>
      </c>
      <c r="G100" s="493">
        <f>F100-$K27</f>
        <v>100</v>
      </c>
      <c r="H100" s="556"/>
      <c r="I100" s="556"/>
      <c r="J100" s="556"/>
      <c r="K100" s="556"/>
      <c r="L100" s="556"/>
      <c r="M100" s="557"/>
      <c r="N100" s="2729"/>
      <c r="O100" s="2729"/>
      <c r="P100" s="2753"/>
      <c r="Q100" s="2720"/>
      <c r="R100" s="2721"/>
      <c r="S100" s="2721"/>
      <c r="T100" s="2721"/>
      <c r="U100" s="2721"/>
      <c r="V100" s="2721"/>
      <c r="W100" s="2721"/>
      <c r="X100" s="2721"/>
      <c r="Y100" s="2721"/>
      <c r="Z100" s="2721"/>
      <c r="AA100" s="2721"/>
      <c r="AB100" s="2721"/>
      <c r="AC100" s="2721"/>
    </row>
    <row r="101" spans="1:29" s="422" customFormat="1" ht="15.75" thickTop="1">
      <c r="A101" s="502"/>
      <c r="B101" s="495" t="s">
        <v>1761</v>
      </c>
      <c r="C101" s="608" t="s">
        <v>1781</v>
      </c>
      <c r="D101" s="608" t="s">
        <v>1782</v>
      </c>
      <c r="E101" s="608" t="s">
        <v>1783</v>
      </c>
      <c r="F101" s="608" t="s">
        <v>1784</v>
      </c>
      <c r="G101" s="608" t="s">
        <v>1785</v>
      </c>
      <c r="H101" s="549"/>
      <c r="I101" s="549"/>
      <c r="J101" s="549"/>
      <c r="K101" s="549"/>
      <c r="L101" s="549"/>
      <c r="M101" s="1132"/>
      <c r="N101" s="2729"/>
      <c r="O101" s="2729"/>
      <c r="P101" s="2753"/>
      <c r="Q101" s="2720"/>
      <c r="R101" s="2721"/>
      <c r="S101" s="2721"/>
      <c r="T101" s="2721"/>
      <c r="U101" s="2721"/>
      <c r="V101" s="2721"/>
      <c r="W101" s="2721"/>
      <c r="X101" s="2721"/>
      <c r="Y101" s="2721"/>
      <c r="Z101" s="2721"/>
      <c r="AA101" s="2721"/>
      <c r="AB101" s="2721"/>
      <c r="AC101" s="2721"/>
    </row>
    <row r="102" spans="1:29" s="422" customFormat="1" ht="15.75" thickBot="1">
      <c r="A102" s="502"/>
      <c r="B102" s="495"/>
      <c r="C102" s="493">
        <v>100</v>
      </c>
      <c r="D102" s="493">
        <f>C102-$K29</f>
        <v>100</v>
      </c>
      <c r="E102" s="493">
        <f>D102-$K29</f>
        <v>100</v>
      </c>
      <c r="F102" s="493">
        <f>E102-$K29</f>
        <v>100</v>
      </c>
      <c r="G102" s="493">
        <f>F102-$K29</f>
        <v>100</v>
      </c>
      <c r="H102" s="497"/>
      <c r="I102" s="497"/>
      <c r="J102" s="497"/>
      <c r="K102" s="497"/>
      <c r="L102" s="497"/>
      <c r="M102" s="1132"/>
      <c r="N102" s="2729"/>
      <c r="O102" s="2729"/>
      <c r="P102" s="2753"/>
      <c r="Q102" s="2720"/>
      <c r="R102" s="2721"/>
      <c r="S102" s="2721"/>
      <c r="T102" s="2721"/>
      <c r="U102" s="2721"/>
      <c r="V102" s="2721"/>
      <c r="W102" s="2721"/>
      <c r="X102" s="2721"/>
      <c r="Y102" s="2721"/>
      <c r="Z102" s="2721"/>
      <c r="AA102" s="2721"/>
      <c r="AB102" s="2721"/>
      <c r="AC102" s="2721"/>
    </row>
    <row r="103" spans="1:29" ht="15.75" thickTop="1">
      <c r="A103" s="483"/>
      <c r="B103" s="487" t="str">
        <f>B31</f>
        <v>临街状况</v>
      </c>
      <c r="C103" s="488" t="s">
        <v>1891</v>
      </c>
      <c r="D103" s="488" t="s">
        <v>1892</v>
      </c>
      <c r="E103" s="488" t="s">
        <v>1893</v>
      </c>
      <c r="F103" s="488" t="s">
        <v>1894</v>
      </c>
      <c r="G103" s="488"/>
      <c r="H103" s="488"/>
      <c r="I103" s="488"/>
      <c r="J103" s="488"/>
      <c r="K103" s="489"/>
      <c r="L103" s="490"/>
      <c r="M103" s="491"/>
      <c r="N103" s="2727"/>
      <c r="O103" s="2727"/>
      <c r="P103" s="2752"/>
      <c r="Q103" s="2713"/>
      <c r="R103" s="2699"/>
      <c r="S103" s="2699"/>
      <c r="T103" s="2699"/>
      <c r="U103" s="2699"/>
      <c r="V103" s="2699"/>
      <c r="W103" s="2699"/>
      <c r="X103" s="2699"/>
      <c r="Y103" s="2699"/>
      <c r="Z103" s="2699"/>
      <c r="AA103" s="2699"/>
      <c r="AB103" s="2699"/>
      <c r="AC103" s="2699"/>
    </row>
    <row r="104" spans="1:29" ht="15.75" thickBot="1">
      <c r="A104" s="483"/>
      <c r="B104" s="492"/>
      <c r="C104" s="493">
        <v>100</v>
      </c>
      <c r="D104" s="493">
        <f t="shared" ref="D104:M104" si="22">C104-$K31</f>
        <v>100</v>
      </c>
      <c r="E104" s="493">
        <f t="shared" si="22"/>
        <v>100</v>
      </c>
      <c r="F104" s="493">
        <f t="shared" si="22"/>
        <v>100</v>
      </c>
      <c r="G104" s="493">
        <f t="shared" si="22"/>
        <v>100</v>
      </c>
      <c r="H104" s="493">
        <f t="shared" si="22"/>
        <v>100</v>
      </c>
      <c r="I104" s="493">
        <f t="shared" si="22"/>
        <v>100</v>
      </c>
      <c r="J104" s="493">
        <f t="shared" si="22"/>
        <v>100</v>
      </c>
      <c r="K104" s="493">
        <f t="shared" si="22"/>
        <v>100</v>
      </c>
      <c r="L104" s="493">
        <f t="shared" si="22"/>
        <v>100</v>
      </c>
      <c r="M104" s="493">
        <f t="shared" si="22"/>
        <v>100</v>
      </c>
      <c r="N104" s="2728"/>
      <c r="O104" s="2728"/>
      <c r="P104" s="2752"/>
      <c r="Q104" s="2713"/>
      <c r="R104" s="2699"/>
      <c r="S104" s="2699"/>
      <c r="T104" s="2699"/>
      <c r="U104" s="2699"/>
      <c r="V104" s="2699"/>
      <c r="W104" s="2699"/>
      <c r="X104" s="2699"/>
      <c r="Y104" s="2699"/>
      <c r="Z104" s="2699"/>
      <c r="AA104" s="2699"/>
      <c r="AB104" s="2699"/>
      <c r="AC104" s="2699"/>
    </row>
    <row r="105" spans="1:29" ht="27.75" thickTop="1">
      <c r="A105" s="483"/>
      <c r="B105" s="487" t="s">
        <v>1797</v>
      </c>
      <c r="C105" s="503"/>
      <c r="D105" s="503"/>
      <c r="E105" s="503"/>
      <c r="F105" s="503"/>
      <c r="G105" s="503"/>
      <c r="H105" s="532"/>
      <c r="I105" s="532"/>
      <c r="J105" s="532"/>
      <c r="K105" s="533"/>
      <c r="L105" s="534"/>
      <c r="M105" s="535"/>
      <c r="N105" s="2727"/>
      <c r="O105" s="2727"/>
      <c r="P105" s="2752"/>
      <c r="Q105" s="2713"/>
      <c r="R105" s="2699"/>
      <c r="S105" s="2699"/>
      <c r="T105" s="2699"/>
      <c r="U105" s="2699"/>
      <c r="V105" s="2699"/>
      <c r="W105" s="2699"/>
      <c r="X105" s="2699"/>
      <c r="Y105" s="2699"/>
      <c r="Z105" s="2699"/>
      <c r="AA105" s="2699"/>
      <c r="AB105" s="2699"/>
      <c r="AC105" s="2699"/>
    </row>
    <row r="106" spans="1:29" ht="15.75" thickBot="1">
      <c r="A106" s="483"/>
      <c r="B106" s="492"/>
      <c r="C106" s="493">
        <v>100</v>
      </c>
      <c r="D106" s="493">
        <f t="shared" ref="D106:M106" si="23">C106-$K32</f>
        <v>100</v>
      </c>
      <c r="E106" s="493">
        <f t="shared" si="23"/>
        <v>100</v>
      </c>
      <c r="F106" s="493">
        <f t="shared" si="23"/>
        <v>100</v>
      </c>
      <c r="G106" s="493">
        <f t="shared" si="23"/>
        <v>100</v>
      </c>
      <c r="H106" s="493">
        <f t="shared" si="23"/>
        <v>100</v>
      </c>
      <c r="I106" s="493">
        <f t="shared" si="23"/>
        <v>100</v>
      </c>
      <c r="J106" s="493">
        <f t="shared" si="23"/>
        <v>100</v>
      </c>
      <c r="K106" s="493">
        <f t="shared" si="23"/>
        <v>100</v>
      </c>
      <c r="L106" s="493">
        <f t="shared" si="23"/>
        <v>100</v>
      </c>
      <c r="M106" s="493">
        <f t="shared" si="23"/>
        <v>100</v>
      </c>
      <c r="N106" s="2728"/>
      <c r="O106" s="2728"/>
      <c r="P106" s="2752"/>
      <c r="Q106" s="2713"/>
      <c r="R106" s="2699"/>
      <c r="S106" s="2699"/>
      <c r="T106" s="2699"/>
      <c r="U106" s="2699"/>
      <c r="V106" s="2699"/>
      <c r="W106" s="2699"/>
      <c r="X106" s="2699"/>
      <c r="Y106" s="2699"/>
      <c r="Z106" s="2699"/>
      <c r="AA106" s="2699"/>
      <c r="AB106" s="2699"/>
      <c r="AC106" s="2699"/>
    </row>
    <row r="107" spans="1:29" ht="15.75" thickTop="1">
      <c r="A107" s="483"/>
      <c r="B107" s="487" t="s">
        <v>1855</v>
      </c>
      <c r="C107" s="532"/>
      <c r="D107" s="532"/>
      <c r="E107" s="532"/>
      <c r="F107" s="532"/>
      <c r="G107" s="532"/>
      <c r="H107" s="532"/>
      <c r="I107" s="532"/>
      <c r="J107" s="532"/>
      <c r="K107" s="533"/>
      <c r="L107" s="534"/>
      <c r="M107" s="535"/>
      <c r="N107" s="2727"/>
      <c r="O107" s="2727"/>
      <c r="P107" s="2752"/>
      <c r="Q107" s="2713"/>
      <c r="R107" s="2699"/>
      <c r="S107" s="2699"/>
      <c r="T107" s="2699"/>
      <c r="U107" s="2699"/>
      <c r="V107" s="2699"/>
      <c r="W107" s="2699"/>
      <c r="X107" s="2699"/>
      <c r="Y107" s="2699"/>
      <c r="Z107" s="2699"/>
      <c r="AA107" s="2699"/>
      <c r="AB107" s="2699"/>
      <c r="AC107" s="2699"/>
    </row>
    <row r="108" spans="1:29" ht="15.75" thickBot="1">
      <c r="A108" s="483"/>
      <c r="B108" s="492"/>
      <c r="C108" s="493">
        <v>100</v>
      </c>
      <c r="D108" s="493">
        <f t="shared" ref="D108:M108" si="24">C108-$K34</f>
        <v>100</v>
      </c>
      <c r="E108" s="493">
        <f t="shared" si="24"/>
        <v>100</v>
      </c>
      <c r="F108" s="493">
        <f t="shared" si="24"/>
        <v>100</v>
      </c>
      <c r="G108" s="493">
        <f t="shared" si="24"/>
        <v>100</v>
      </c>
      <c r="H108" s="493">
        <f t="shared" si="24"/>
        <v>100</v>
      </c>
      <c r="I108" s="493">
        <f t="shared" si="24"/>
        <v>100</v>
      </c>
      <c r="J108" s="493">
        <f t="shared" si="24"/>
        <v>100</v>
      </c>
      <c r="K108" s="493">
        <f t="shared" si="24"/>
        <v>100</v>
      </c>
      <c r="L108" s="493">
        <f t="shared" si="24"/>
        <v>100</v>
      </c>
      <c r="M108" s="493">
        <f t="shared" si="24"/>
        <v>100</v>
      </c>
      <c r="N108" s="2728"/>
      <c r="O108" s="2728"/>
      <c r="P108" s="2752"/>
      <c r="Q108" s="2713"/>
      <c r="R108" s="2699"/>
      <c r="S108" s="2699"/>
      <c r="T108" s="2699"/>
      <c r="U108" s="2699"/>
      <c r="V108" s="2699"/>
      <c r="W108" s="2699"/>
      <c r="X108" s="2699"/>
      <c r="Y108" s="2699"/>
      <c r="Z108" s="2699"/>
      <c r="AA108" s="2699"/>
      <c r="AB108" s="2699"/>
      <c r="AC108" s="2699"/>
    </row>
    <row r="109" spans="1:29" ht="15.75" thickTop="1">
      <c r="A109" s="483"/>
      <c r="B109" s="495">
        <f>B35</f>
        <v>111</v>
      </c>
      <c r="C109" s="503"/>
      <c r="D109" s="503"/>
      <c r="E109" s="503"/>
      <c r="F109" s="503"/>
      <c r="G109" s="536"/>
      <c r="H109" s="536"/>
      <c r="I109" s="536"/>
      <c r="J109" s="536"/>
      <c r="K109" s="537"/>
      <c r="L109" s="538"/>
      <c r="M109" s="539"/>
      <c r="N109" s="2727"/>
      <c r="O109" s="2727"/>
      <c r="P109" s="2752"/>
      <c r="Q109" s="2713"/>
      <c r="R109" s="2699"/>
      <c r="S109" s="2699"/>
      <c r="T109" s="2699"/>
      <c r="U109" s="2699"/>
      <c r="V109" s="2699"/>
      <c r="W109" s="2699"/>
      <c r="X109" s="2699"/>
      <c r="Y109" s="2699"/>
      <c r="Z109" s="2699"/>
      <c r="AA109" s="2699"/>
      <c r="AB109" s="2699"/>
      <c r="AC109" s="2699"/>
    </row>
    <row r="110" spans="1:29" ht="15.75" thickBot="1">
      <c r="A110" s="483"/>
      <c r="B110" s="518"/>
      <c r="C110" s="509"/>
      <c r="D110" s="509"/>
      <c r="E110" s="509"/>
      <c r="F110" s="509"/>
      <c r="G110" s="540"/>
      <c r="H110" s="540"/>
      <c r="I110" s="540"/>
      <c r="J110" s="540"/>
      <c r="K110" s="540"/>
      <c r="L110" s="540"/>
      <c r="M110" s="541"/>
      <c r="N110" s="2728"/>
      <c r="O110" s="2728"/>
      <c r="P110" s="2752"/>
      <c r="Q110" s="2713"/>
      <c r="R110" s="2699"/>
      <c r="S110" s="2699"/>
      <c r="T110" s="2699"/>
      <c r="U110" s="2699"/>
      <c r="V110" s="2699"/>
      <c r="W110" s="2699"/>
      <c r="X110" s="2699"/>
      <c r="Y110" s="2699"/>
      <c r="Z110" s="2699"/>
      <c r="AA110" s="2699"/>
      <c r="AB110" s="2699"/>
      <c r="AC110" s="2699"/>
    </row>
    <row r="111" spans="1:29" ht="15" thickTop="1">
      <c r="A111" s="623"/>
      <c r="B111" s="487">
        <f>B36</f>
        <v>111</v>
      </c>
      <c r="C111" s="472"/>
      <c r="D111" s="472"/>
      <c r="E111" s="472"/>
      <c r="F111" s="472"/>
      <c r="G111" s="532"/>
      <c r="H111" s="532"/>
      <c r="I111" s="532"/>
      <c r="J111" s="532"/>
      <c r="K111" s="533"/>
      <c r="L111" s="534"/>
      <c r="M111" s="535"/>
      <c r="N111" s="2727"/>
      <c r="O111" s="2727"/>
      <c r="P111" s="2752"/>
      <c r="Q111" s="2713"/>
      <c r="R111" s="2699"/>
      <c r="S111" s="2699"/>
      <c r="T111" s="2699"/>
      <c r="U111" s="2699"/>
      <c r="V111" s="2699"/>
      <c r="W111" s="2699"/>
      <c r="X111" s="2699"/>
      <c r="Y111" s="2699"/>
      <c r="Z111" s="2699"/>
      <c r="AA111" s="2699"/>
      <c r="AB111" s="2699"/>
      <c r="AC111" s="2699"/>
    </row>
    <row r="112" spans="1:29" ht="15.75" thickBot="1">
      <c r="A112" s="483"/>
      <c r="B112" s="492"/>
      <c r="C112" s="519"/>
      <c r="D112" s="519"/>
      <c r="E112" s="519"/>
      <c r="F112" s="519"/>
      <c r="G112" s="485"/>
      <c r="H112" s="485"/>
      <c r="I112" s="485"/>
      <c r="J112" s="485"/>
      <c r="K112" s="485"/>
      <c r="L112" s="485"/>
      <c r="M112" s="486"/>
      <c r="N112" s="2728"/>
      <c r="O112" s="2728"/>
      <c r="P112" s="2752"/>
      <c r="Q112" s="2713"/>
      <c r="R112" s="2699"/>
      <c r="S112" s="2699"/>
      <c r="T112" s="2699"/>
      <c r="U112" s="2699"/>
      <c r="V112" s="2699"/>
      <c r="W112" s="2699"/>
      <c r="X112" s="2699"/>
      <c r="Y112" s="2699"/>
      <c r="Z112" s="2699"/>
      <c r="AA112" s="2699"/>
      <c r="AB112" s="2699"/>
      <c r="AC112" s="2699"/>
    </row>
    <row r="113" spans="1:29" s="422" customFormat="1" ht="15" thickTop="1">
      <c r="A113" s="542"/>
      <c r="B113" s="543">
        <f>B37</f>
        <v>111</v>
      </c>
      <c r="C113" s="544"/>
      <c r="D113" s="544"/>
      <c r="E113" s="544"/>
      <c r="F113" s="544"/>
      <c r="G113" s="544"/>
      <c r="H113" s="544"/>
      <c r="I113" s="544"/>
      <c r="J113" s="545"/>
      <c r="K113" s="545"/>
      <c r="L113" s="546"/>
      <c r="M113" s="547"/>
      <c r="N113" s="2729"/>
      <c r="O113" s="2729"/>
      <c r="P113" s="2753"/>
      <c r="Q113" s="2720"/>
      <c r="R113" s="2721"/>
      <c r="S113" s="2721"/>
      <c r="T113" s="2721"/>
      <c r="U113" s="2721"/>
      <c r="V113" s="2721"/>
      <c r="W113" s="2721"/>
      <c r="X113" s="2721"/>
      <c r="Y113" s="2721"/>
      <c r="Z113" s="2721"/>
      <c r="AA113" s="2721"/>
      <c r="AB113" s="2721"/>
      <c r="AC113" s="2721"/>
    </row>
    <row r="114" spans="1:29" s="422" customFormat="1" ht="15.75" thickBot="1">
      <c r="A114" s="502"/>
      <c r="B114" s="495"/>
      <c r="C114" s="461"/>
      <c r="D114" s="625"/>
      <c r="E114" s="625"/>
      <c r="F114" s="625"/>
      <c r="G114" s="625"/>
      <c r="H114" s="625"/>
      <c r="I114" s="625"/>
      <c r="J114" s="625"/>
      <c r="K114" s="625"/>
      <c r="L114" s="625"/>
      <c r="M114" s="647"/>
      <c r="N114" s="2728"/>
      <c r="O114" s="2728"/>
      <c r="P114" s="2753"/>
      <c r="Q114" s="2720"/>
      <c r="R114" s="2721"/>
      <c r="S114" s="2721"/>
      <c r="T114" s="2721"/>
      <c r="U114" s="2721"/>
      <c r="V114" s="2721"/>
      <c r="W114" s="2721"/>
      <c r="X114" s="2721"/>
      <c r="Y114" s="2721"/>
      <c r="Z114" s="2721"/>
      <c r="AA114" s="2721"/>
      <c r="AB114" s="2721"/>
      <c r="AC114" s="2721"/>
    </row>
    <row r="115" spans="1:29">
      <c r="A115" s="476" t="s">
        <v>1676</v>
      </c>
      <c r="B115" s="477" t="s">
        <v>1895</v>
      </c>
      <c r="C115" s="478" t="str">
        <f>C116&amp;"(含)"&amp;"-"&amp;D116</f>
        <v>(含)-</v>
      </c>
      <c r="D115" s="478" t="str">
        <f t="shared" ref="D115:M115" si="25">D116&amp;"(含)"&amp;"-"&amp;E116</f>
        <v>(含)-</v>
      </c>
      <c r="E115" s="478" t="str">
        <f t="shared" si="25"/>
        <v>(含)-</v>
      </c>
      <c r="F115" s="478" t="str">
        <f t="shared" si="25"/>
        <v>(含)-</v>
      </c>
      <c r="G115" s="478" t="str">
        <f t="shared" si="25"/>
        <v>(含)-</v>
      </c>
      <c r="H115" s="478" t="str">
        <f t="shared" si="25"/>
        <v>(含)-</v>
      </c>
      <c r="I115" s="478" t="str">
        <f t="shared" si="25"/>
        <v>(含)-</v>
      </c>
      <c r="J115" s="478" t="str">
        <f t="shared" si="25"/>
        <v>(含)-</v>
      </c>
      <c r="K115" s="478" t="str">
        <f t="shared" si="25"/>
        <v>(含)-</v>
      </c>
      <c r="L115" s="478" t="str">
        <f t="shared" si="25"/>
        <v>(含)-</v>
      </c>
      <c r="M115" s="478" t="str">
        <f t="shared" si="25"/>
        <v>(含)-</v>
      </c>
      <c r="N115" s="2727"/>
      <c r="O115" s="2727"/>
      <c r="P115" s="2752"/>
      <c r="Q115" s="2713"/>
      <c r="R115" s="2699"/>
      <c r="S115" s="2699"/>
      <c r="T115" s="2699"/>
      <c r="U115" s="2699"/>
      <c r="V115" s="2699"/>
      <c r="W115" s="2699"/>
      <c r="X115" s="2699"/>
      <c r="Y115" s="2699"/>
      <c r="Z115" s="2699"/>
      <c r="AA115" s="2699"/>
      <c r="AB115" s="2699"/>
      <c r="AC115" s="2699"/>
    </row>
    <row r="116" spans="1:29" ht="15">
      <c r="A116" s="483"/>
      <c r="B116" s="495"/>
      <c r="C116" s="544"/>
      <c r="D116" s="544"/>
      <c r="E116" s="544"/>
      <c r="F116" s="544"/>
      <c r="G116" s="544"/>
      <c r="H116" s="544"/>
      <c r="I116" s="544"/>
      <c r="J116" s="545"/>
      <c r="K116" s="545"/>
      <c r="L116" s="546"/>
      <c r="M116" s="547"/>
      <c r="N116" s="2727"/>
      <c r="O116" s="2727"/>
      <c r="P116" s="2752"/>
      <c r="Q116" s="2713"/>
      <c r="R116" s="2699"/>
      <c r="S116" s="2699"/>
      <c r="T116" s="2699"/>
      <c r="U116" s="2699"/>
      <c r="V116" s="2699"/>
      <c r="W116" s="2699"/>
      <c r="X116" s="2699"/>
      <c r="Y116" s="2699"/>
      <c r="Z116" s="2699"/>
      <c r="AA116" s="2699"/>
      <c r="AB116" s="2699"/>
      <c r="AC116" s="2699"/>
    </row>
    <row r="117" spans="1:29" ht="15.75" thickBot="1">
      <c r="A117" s="483"/>
      <c r="B117" s="492"/>
      <c r="C117" s="519"/>
      <c r="D117" s="540"/>
      <c r="E117" s="540"/>
      <c r="F117" s="540"/>
      <c r="G117" s="540"/>
      <c r="H117" s="540"/>
      <c r="I117" s="540"/>
      <c r="J117" s="540"/>
      <c r="K117" s="540"/>
      <c r="L117" s="540"/>
      <c r="M117" s="541"/>
      <c r="N117" s="2728"/>
      <c r="O117" s="2728"/>
      <c r="P117" s="2752"/>
      <c r="Q117" s="2713"/>
      <c r="R117" s="2699"/>
      <c r="S117" s="2699"/>
      <c r="T117" s="2699"/>
      <c r="U117" s="2699"/>
      <c r="V117" s="2699"/>
      <c r="W117" s="2699"/>
      <c r="X117" s="2699"/>
      <c r="Y117" s="2699"/>
      <c r="Z117" s="2699"/>
      <c r="AA117" s="2699"/>
      <c r="AB117" s="2699"/>
      <c r="AC117" s="2699"/>
    </row>
    <row r="118" spans="1:29" ht="15" thickTop="1">
      <c r="A118" s="548"/>
      <c r="B118" s="487" t="s">
        <v>1896</v>
      </c>
      <c r="C118" s="532"/>
      <c r="D118" s="532"/>
      <c r="E118" s="532"/>
      <c r="F118" s="532"/>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row>
    <row r="119" spans="1:29" ht="15.75" thickBot="1">
      <c r="A119" s="483"/>
      <c r="B119" s="492"/>
      <c r="C119" s="493">
        <v>100</v>
      </c>
      <c r="D119" s="493">
        <f t="shared" ref="D119:M119" si="26">C119-$K39</f>
        <v>100</v>
      </c>
      <c r="E119" s="493">
        <f t="shared" si="26"/>
        <v>100</v>
      </c>
      <c r="F119" s="493">
        <f t="shared" si="26"/>
        <v>100</v>
      </c>
      <c r="G119" s="493">
        <f t="shared" si="26"/>
        <v>100</v>
      </c>
      <c r="H119" s="493">
        <f t="shared" si="26"/>
        <v>100</v>
      </c>
      <c r="I119" s="493">
        <f t="shared" si="26"/>
        <v>100</v>
      </c>
      <c r="J119" s="493">
        <f t="shared" si="26"/>
        <v>100</v>
      </c>
      <c r="K119" s="493">
        <f t="shared" si="26"/>
        <v>100</v>
      </c>
      <c r="L119" s="493">
        <f t="shared" si="26"/>
        <v>100</v>
      </c>
      <c r="M119" s="494">
        <f t="shared" si="26"/>
        <v>100</v>
      </c>
      <c r="N119" s="2728"/>
      <c r="O119" s="2728"/>
      <c r="P119" s="2752"/>
      <c r="Q119" s="2713"/>
      <c r="R119" s="2699"/>
      <c r="S119" s="2699"/>
      <c r="T119" s="2699"/>
      <c r="U119" s="2699"/>
      <c r="V119" s="2699"/>
      <c r="W119" s="2699"/>
      <c r="X119" s="2699"/>
      <c r="Y119" s="2699"/>
      <c r="Z119" s="2699"/>
      <c r="AA119" s="2699"/>
      <c r="AB119" s="2699"/>
      <c r="AC119" s="2699"/>
    </row>
    <row r="120" spans="1:29" ht="15" thickTop="1">
      <c r="A120" s="548"/>
      <c r="B120" s="487" t="s">
        <v>1897</v>
      </c>
      <c r="C120" s="503"/>
      <c r="D120" s="503"/>
      <c r="E120" s="503"/>
      <c r="F120" s="532"/>
      <c r="G120" s="532"/>
      <c r="H120" s="532"/>
      <c r="I120" s="532"/>
      <c r="J120" s="532"/>
      <c r="K120" s="533"/>
      <c r="L120" s="534"/>
      <c r="M120" s="535"/>
      <c r="N120" s="2727"/>
      <c r="O120" s="2727"/>
      <c r="P120" s="2752"/>
      <c r="Q120" s="2713"/>
      <c r="R120" s="2699"/>
      <c r="S120" s="2699"/>
      <c r="T120" s="2699"/>
      <c r="U120" s="2699"/>
      <c r="V120" s="2699"/>
      <c r="W120" s="2699"/>
      <c r="X120" s="2699"/>
      <c r="Y120" s="2699"/>
      <c r="Z120" s="2699"/>
      <c r="AA120" s="2699"/>
      <c r="AB120" s="2699"/>
      <c r="AC120" s="2699"/>
    </row>
    <row r="121" spans="1:29" ht="15.75" thickBot="1">
      <c r="A121" s="483"/>
      <c r="B121" s="492"/>
      <c r="C121" s="493">
        <v>100</v>
      </c>
      <c r="D121" s="493">
        <f t="shared" ref="D121:M121" si="27">C121-$K40</f>
        <v>100</v>
      </c>
      <c r="E121" s="493">
        <f t="shared" si="27"/>
        <v>100</v>
      </c>
      <c r="F121" s="493">
        <f t="shared" si="27"/>
        <v>100</v>
      </c>
      <c r="G121" s="493">
        <f t="shared" si="27"/>
        <v>100</v>
      </c>
      <c r="H121" s="493">
        <f t="shared" si="27"/>
        <v>100</v>
      </c>
      <c r="I121" s="493">
        <f t="shared" si="27"/>
        <v>100</v>
      </c>
      <c r="J121" s="493">
        <f t="shared" si="27"/>
        <v>100</v>
      </c>
      <c r="K121" s="493">
        <f t="shared" si="27"/>
        <v>100</v>
      </c>
      <c r="L121" s="493">
        <f t="shared" si="27"/>
        <v>100</v>
      </c>
      <c r="M121" s="494">
        <f t="shared" si="27"/>
        <v>100</v>
      </c>
      <c r="N121" s="2728"/>
      <c r="O121" s="2728"/>
      <c r="P121" s="2752"/>
      <c r="Q121" s="2713"/>
      <c r="R121" s="2699"/>
      <c r="S121" s="2699"/>
      <c r="T121" s="2699"/>
      <c r="U121" s="2699"/>
      <c r="V121" s="2699"/>
      <c r="W121" s="2699"/>
      <c r="X121" s="2699"/>
      <c r="Y121" s="2699"/>
      <c r="Z121" s="2699"/>
      <c r="AA121" s="2699"/>
      <c r="AB121" s="2699"/>
      <c r="AC121" s="2699"/>
    </row>
    <row r="122" spans="1:29" s="422" customFormat="1" ht="15" thickTop="1">
      <c r="A122" s="542"/>
      <c r="B122" s="487" t="s">
        <v>1898</v>
      </c>
      <c r="C122" s="503"/>
      <c r="D122" s="503"/>
      <c r="E122" s="503"/>
      <c r="F122" s="503"/>
      <c r="G122" s="503"/>
      <c r="H122" s="532"/>
      <c r="I122" s="532"/>
      <c r="J122" s="532"/>
      <c r="K122" s="533"/>
      <c r="L122" s="534"/>
      <c r="M122" s="535"/>
      <c r="N122" s="2729"/>
      <c r="O122" s="2729"/>
      <c r="P122" s="2753"/>
      <c r="Q122" s="2720"/>
      <c r="R122" s="2721"/>
      <c r="S122" s="2721"/>
      <c r="T122" s="2721"/>
      <c r="U122" s="2721"/>
      <c r="V122" s="2721"/>
      <c r="W122" s="2721"/>
      <c r="X122" s="2721"/>
      <c r="Y122" s="2721"/>
      <c r="Z122" s="2721"/>
      <c r="AA122" s="2721"/>
      <c r="AB122" s="2721"/>
      <c r="AC122" s="2721"/>
    </row>
    <row r="123" spans="1:29" s="422" customFormat="1" ht="15.75" thickBot="1">
      <c r="A123" s="502"/>
      <c r="B123" s="492"/>
      <c r="C123" s="493">
        <v>100</v>
      </c>
      <c r="D123" s="493">
        <f t="shared" ref="D123:M123" si="28">C123-$K41</f>
        <v>100</v>
      </c>
      <c r="E123" s="493">
        <f t="shared" si="28"/>
        <v>100</v>
      </c>
      <c r="F123" s="493">
        <f t="shared" si="28"/>
        <v>100</v>
      </c>
      <c r="G123" s="493">
        <f t="shared" si="28"/>
        <v>100</v>
      </c>
      <c r="H123" s="493">
        <f t="shared" si="28"/>
        <v>100</v>
      </c>
      <c r="I123" s="493">
        <f t="shared" si="28"/>
        <v>100</v>
      </c>
      <c r="J123" s="493">
        <f t="shared" si="28"/>
        <v>100</v>
      </c>
      <c r="K123" s="493">
        <f t="shared" si="28"/>
        <v>100</v>
      </c>
      <c r="L123" s="493">
        <f t="shared" si="28"/>
        <v>100</v>
      </c>
      <c r="M123" s="494">
        <f t="shared" si="28"/>
        <v>100</v>
      </c>
      <c r="N123" s="2729"/>
      <c r="O123" s="2729"/>
      <c r="P123" s="2753"/>
      <c r="Q123" s="2720"/>
      <c r="R123" s="2721"/>
      <c r="S123" s="2721"/>
      <c r="T123" s="2721"/>
      <c r="U123" s="2721"/>
      <c r="V123" s="2721"/>
      <c r="W123" s="2721"/>
      <c r="X123" s="2721"/>
      <c r="Y123" s="2721"/>
      <c r="Z123" s="2721"/>
      <c r="AA123" s="2721"/>
      <c r="AB123" s="2721"/>
      <c r="AC123" s="2721"/>
    </row>
    <row r="124" spans="1:29" ht="15" thickTop="1">
      <c r="A124" s="548"/>
      <c r="B124" s="487" t="s">
        <v>1899</v>
      </c>
      <c r="C124" s="503"/>
      <c r="D124" s="503"/>
      <c r="E124" s="532"/>
      <c r="F124" s="532"/>
      <c r="G124" s="532"/>
      <c r="H124" s="532"/>
      <c r="I124" s="532"/>
      <c r="J124" s="532"/>
      <c r="K124" s="533"/>
      <c r="L124" s="534"/>
      <c r="M124" s="535"/>
      <c r="N124" s="2727"/>
      <c r="O124" s="2727"/>
      <c r="P124" s="2752"/>
      <c r="Q124" s="2713"/>
      <c r="R124" s="2699"/>
      <c r="S124" s="2699"/>
      <c r="T124" s="2699"/>
      <c r="U124" s="2699"/>
      <c r="V124" s="2699"/>
      <c r="W124" s="2699"/>
      <c r="X124" s="2699"/>
      <c r="Y124" s="2699"/>
      <c r="Z124" s="2699"/>
      <c r="AA124" s="2699"/>
      <c r="AB124" s="2699"/>
      <c r="AC124" s="2699"/>
    </row>
    <row r="125" spans="1:29" ht="15.75" thickBot="1">
      <c r="A125" s="483"/>
      <c r="B125" s="492"/>
      <c r="C125" s="493">
        <v>100</v>
      </c>
      <c r="D125" s="493">
        <f t="shared" ref="D125:M125" si="29">C125-$K42</f>
        <v>100</v>
      </c>
      <c r="E125" s="493">
        <f t="shared" si="29"/>
        <v>100</v>
      </c>
      <c r="F125" s="493">
        <f t="shared" si="29"/>
        <v>100</v>
      </c>
      <c r="G125" s="493">
        <f t="shared" si="29"/>
        <v>100</v>
      </c>
      <c r="H125" s="493">
        <f t="shared" si="29"/>
        <v>100</v>
      </c>
      <c r="I125" s="493">
        <f t="shared" si="29"/>
        <v>100</v>
      </c>
      <c r="J125" s="493">
        <f t="shared" si="29"/>
        <v>100</v>
      </c>
      <c r="K125" s="493">
        <f t="shared" si="29"/>
        <v>100</v>
      </c>
      <c r="L125" s="493">
        <f t="shared" si="29"/>
        <v>100</v>
      </c>
      <c r="M125" s="494">
        <f t="shared" si="29"/>
        <v>100</v>
      </c>
      <c r="N125" s="2728"/>
      <c r="O125" s="2728"/>
      <c r="P125" s="2752"/>
      <c r="Q125" s="2713"/>
      <c r="R125" s="2699"/>
      <c r="S125" s="2699"/>
      <c r="T125" s="2699"/>
      <c r="U125" s="2699"/>
      <c r="V125" s="2699"/>
      <c r="W125" s="2699"/>
      <c r="X125" s="2699"/>
      <c r="Y125" s="2699"/>
      <c r="Z125" s="2699"/>
      <c r="AA125" s="2699"/>
      <c r="AB125" s="2699"/>
      <c r="AC125" s="2699"/>
    </row>
    <row r="126" spans="1:29" ht="15" thickTop="1">
      <c r="A126" s="548"/>
      <c r="B126" s="487">
        <f>B43</f>
        <v>111</v>
      </c>
      <c r="C126" s="503"/>
      <c r="D126" s="503"/>
      <c r="E126" s="503"/>
      <c r="F126" s="503"/>
      <c r="G126" s="503"/>
      <c r="H126" s="532"/>
      <c r="I126" s="532"/>
      <c r="J126" s="532"/>
      <c r="K126" s="533"/>
      <c r="L126" s="534"/>
      <c r="M126" s="535"/>
      <c r="N126" s="2727"/>
      <c r="O126" s="2727"/>
      <c r="P126" s="2752"/>
      <c r="Q126" s="2713"/>
      <c r="R126" s="2699"/>
      <c r="S126" s="2699"/>
      <c r="T126" s="2699"/>
      <c r="U126" s="2699"/>
      <c r="V126" s="2699"/>
      <c r="W126" s="2699"/>
      <c r="X126" s="2699"/>
      <c r="Y126" s="2699"/>
      <c r="Z126" s="2699"/>
      <c r="AA126" s="2699"/>
      <c r="AB126" s="2699"/>
      <c r="AC126" s="2699"/>
    </row>
    <row r="127" spans="1:29" ht="15.75" thickBot="1">
      <c r="A127" s="483"/>
      <c r="B127" s="492"/>
      <c r="C127" s="509"/>
      <c r="D127" s="509"/>
      <c r="E127" s="509"/>
      <c r="F127" s="509"/>
      <c r="G127" s="485"/>
      <c r="H127" s="485"/>
      <c r="I127" s="485"/>
      <c r="J127" s="485"/>
      <c r="K127" s="485"/>
      <c r="L127" s="485"/>
      <c r="M127" s="486"/>
      <c r="N127" s="2728"/>
      <c r="O127" s="2728"/>
      <c r="P127" s="2752"/>
      <c r="Q127" s="2713"/>
      <c r="R127" s="2699"/>
      <c r="S127" s="2699"/>
      <c r="T127" s="2699"/>
      <c r="U127" s="2699"/>
      <c r="V127" s="2699"/>
      <c r="W127" s="2699"/>
      <c r="X127" s="2699"/>
      <c r="Y127" s="2699"/>
      <c r="Z127" s="2699"/>
      <c r="AA127" s="2699"/>
      <c r="AB127" s="2699"/>
      <c r="AC127" s="2699"/>
    </row>
    <row r="128" spans="1:29" ht="15" thickTop="1">
      <c r="A128" s="548"/>
      <c r="B128" s="487">
        <f>B44</f>
        <v>111</v>
      </c>
      <c r="C128" s="472"/>
      <c r="D128" s="472"/>
      <c r="E128" s="472"/>
      <c r="F128" s="472"/>
      <c r="G128" s="532"/>
      <c r="H128" s="532"/>
      <c r="I128" s="532"/>
      <c r="J128" s="532"/>
      <c r="K128" s="533"/>
      <c r="L128" s="534"/>
      <c r="M128" s="535"/>
      <c r="N128" s="2727"/>
      <c r="O128" s="2727"/>
      <c r="P128" s="2752"/>
      <c r="Q128" s="2713"/>
      <c r="R128" s="2699"/>
      <c r="S128" s="2699"/>
      <c r="T128" s="2699"/>
      <c r="U128" s="2699"/>
      <c r="V128" s="2699"/>
      <c r="W128" s="2699"/>
      <c r="X128" s="2699"/>
      <c r="Y128" s="2699"/>
      <c r="Z128" s="2699"/>
      <c r="AA128" s="2699"/>
      <c r="AB128" s="2699"/>
      <c r="AC128" s="2699"/>
    </row>
    <row r="129" spans="1:29" ht="15.75" thickBot="1">
      <c r="A129" s="483"/>
      <c r="B129" s="492"/>
      <c r="C129" s="519"/>
      <c r="D129" s="519"/>
      <c r="E129" s="519"/>
      <c r="F129" s="519"/>
      <c r="G129" s="485"/>
      <c r="H129" s="485"/>
      <c r="I129" s="485"/>
      <c r="J129" s="485"/>
      <c r="K129" s="485"/>
      <c r="L129" s="485"/>
      <c r="M129" s="486"/>
      <c r="N129" s="2728"/>
      <c r="O129" s="2728"/>
      <c r="P129" s="2752"/>
      <c r="Q129" s="2713"/>
      <c r="R129" s="2699"/>
      <c r="S129" s="2699"/>
      <c r="T129" s="2699"/>
      <c r="U129" s="2699"/>
      <c r="V129" s="2699"/>
      <c r="W129" s="2699"/>
      <c r="X129" s="2699"/>
      <c r="Y129" s="2699"/>
      <c r="Z129" s="2699"/>
      <c r="AA129" s="2699"/>
      <c r="AB129" s="2699"/>
      <c r="AC129" s="2699"/>
    </row>
    <row r="130" spans="1:29" s="422" customFormat="1" ht="15" thickTop="1">
      <c r="A130" s="542"/>
      <c r="B130" s="487">
        <f>B45</f>
        <v>111</v>
      </c>
      <c r="C130" s="472"/>
      <c r="D130" s="472"/>
      <c r="E130" s="472"/>
      <c r="F130" s="472"/>
      <c r="G130" s="504"/>
      <c r="H130" s="504"/>
      <c r="I130" s="504"/>
      <c r="J130" s="504"/>
      <c r="K130" s="504"/>
      <c r="L130" s="505"/>
      <c r="M130" s="506"/>
      <c r="N130" s="2729"/>
      <c r="O130" s="2729"/>
      <c r="P130" s="2753"/>
      <c r="Q130" s="2720"/>
      <c r="R130" s="2721"/>
      <c r="S130" s="2721"/>
      <c r="T130" s="2721"/>
      <c r="U130" s="2721"/>
      <c r="V130" s="2721"/>
      <c r="W130" s="2721"/>
      <c r="X130" s="2721"/>
      <c r="Y130" s="2721"/>
      <c r="Z130" s="2721"/>
      <c r="AA130" s="2721"/>
      <c r="AB130" s="2721"/>
      <c r="AC130" s="2721"/>
    </row>
    <row r="131" spans="1:29" s="422" customFormat="1" ht="15.75" thickBot="1">
      <c r="A131" s="517"/>
      <c r="B131" s="648"/>
      <c r="C131" s="519"/>
      <c r="D131" s="519"/>
      <c r="E131" s="519"/>
      <c r="F131" s="519"/>
      <c r="G131" s="540"/>
      <c r="H131" s="540"/>
      <c r="I131" s="540"/>
      <c r="J131" s="540"/>
      <c r="K131" s="540"/>
      <c r="L131" s="540"/>
      <c r="M131" s="541"/>
      <c r="N131" s="2729"/>
      <c r="O131" s="2729"/>
      <c r="P131" s="2753"/>
      <c r="Q131" s="2720"/>
      <c r="R131" s="2721"/>
      <c r="S131" s="2721"/>
      <c r="T131" s="2721"/>
      <c r="U131" s="2721"/>
      <c r="V131" s="2721"/>
      <c r="W131" s="2721"/>
      <c r="X131" s="2721"/>
      <c r="Y131" s="2721"/>
      <c r="Z131" s="2721"/>
      <c r="AA131" s="2721"/>
      <c r="AB131" s="2721"/>
      <c r="AC131" s="2721"/>
    </row>
  </sheetData>
  <sheetProtection password="CEE9" sheet="1" objects="1" scenarios="1" formatCells="0" formatColumns="0" formatRows="0"/>
  <mergeCells count="41">
    <mergeCell ref="AA4:AA6"/>
    <mergeCell ref="AB4:AB6"/>
    <mergeCell ref="Y7:Z7"/>
    <mergeCell ref="R4:S6"/>
    <mergeCell ref="E5:F5"/>
    <mergeCell ref="C5:D5"/>
    <mergeCell ref="C6:D6"/>
    <mergeCell ref="I5:J5"/>
    <mergeCell ref="E6:F6"/>
    <mergeCell ref="G6:H6"/>
    <mergeCell ref="P9:P14"/>
    <mergeCell ref="Y9:Y14"/>
    <mergeCell ref="AC4:AC6"/>
    <mergeCell ref="C4:D4"/>
    <mergeCell ref="E4:F4"/>
    <mergeCell ref="G4:H4"/>
    <mergeCell ref="I4:J4"/>
    <mergeCell ref="P4:Q6"/>
    <mergeCell ref="T4:U6"/>
    <mergeCell ref="V4:W6"/>
    <mergeCell ref="I6:J6"/>
    <mergeCell ref="G5:H5"/>
    <mergeCell ref="P8:Q8"/>
    <mergeCell ref="Y8:Z8"/>
    <mergeCell ref="Y4:Z6"/>
    <mergeCell ref="P7:Q7"/>
    <mergeCell ref="P15:P35"/>
    <mergeCell ref="Y15:Y35"/>
    <mergeCell ref="P36:P45"/>
    <mergeCell ref="Y36:Y45"/>
    <mergeCell ref="P46:Q46"/>
    <mergeCell ref="R46:S46"/>
    <mergeCell ref="T46:U46"/>
    <mergeCell ref="V46:W46"/>
    <mergeCell ref="V47:W47"/>
    <mergeCell ref="P48:Q48"/>
    <mergeCell ref="R48:W48"/>
    <mergeCell ref="G55:H56"/>
    <mergeCell ref="P47:Q47"/>
    <mergeCell ref="R47:S47"/>
    <mergeCell ref="T47:U47"/>
  </mergeCells>
  <phoneticPr fontId="30" type="noConversion"/>
  <conditionalFormatting sqref="F51 H51 J51">
    <cfRule type="containsText" dxfId="47" priority="18" stopIfTrue="1" operator="containsText" text="超过">
      <formula>NOT(ISERROR(SEARCH("超过",F51)))</formula>
    </cfRule>
  </conditionalFormatting>
  <conditionalFormatting sqref="J53">
    <cfRule type="containsText" dxfId="46" priority="17" stopIfTrue="1" operator="containsText" text="超过">
      <formula>NOT(ISERROR(SEARCH("超过",J53)))</formula>
    </cfRule>
  </conditionalFormatting>
  <conditionalFormatting sqref="H53">
    <cfRule type="containsText" dxfId="45" priority="16" stopIfTrue="1" operator="containsText" text="超过">
      <formula>NOT(ISERROR(SEARCH("超过",H53)))</formula>
    </cfRule>
  </conditionalFormatting>
  <conditionalFormatting sqref="F53">
    <cfRule type="containsText" dxfId="44" priority="15" stopIfTrue="1" operator="containsText" text="超过">
      <formula>NOT(ISERROR(SEARCH("超过",F53)))</formula>
    </cfRule>
  </conditionalFormatting>
  <conditionalFormatting sqref="F52 H52 J52">
    <cfRule type="containsText" dxfId="43" priority="14" stopIfTrue="1" operator="containsText" text="超过">
      <formula>NOT(ISERROR(SEARCH("超过",F52)))</formula>
    </cfRule>
  </conditionalFormatting>
  <conditionalFormatting sqref="E51">
    <cfRule type="expression" dxfId="42" priority="13" stopIfTrue="1">
      <formula>$F$51="超过30%"</formula>
    </cfRule>
  </conditionalFormatting>
  <conditionalFormatting sqref="G53">
    <cfRule type="expression" dxfId="41" priority="12" stopIfTrue="1">
      <formula>$H$53="超过30%"</formula>
    </cfRule>
  </conditionalFormatting>
  <conditionalFormatting sqref="E52">
    <cfRule type="expression" dxfId="40" priority="11" stopIfTrue="1">
      <formula>$F$52="超过20%"</formula>
    </cfRule>
  </conditionalFormatting>
  <conditionalFormatting sqref="E53">
    <cfRule type="expression" dxfId="39" priority="10" stopIfTrue="1">
      <formula>$F$53="超过30%"</formula>
    </cfRule>
  </conditionalFormatting>
  <conditionalFormatting sqref="G51">
    <cfRule type="expression" dxfId="38" priority="9" stopIfTrue="1">
      <formula>$H$53+$H$51="超过30%"</formula>
    </cfRule>
  </conditionalFormatting>
  <conditionalFormatting sqref="G52">
    <cfRule type="expression" dxfId="37" priority="8" stopIfTrue="1">
      <formula>$H$52="超过20%"</formula>
    </cfRule>
  </conditionalFormatting>
  <conditionalFormatting sqref="I51">
    <cfRule type="expression" dxfId="36" priority="7" stopIfTrue="1">
      <formula>$J$51="超过30%"</formula>
    </cfRule>
  </conditionalFormatting>
  <conditionalFormatting sqref="I52">
    <cfRule type="expression" dxfId="35" priority="6" stopIfTrue="1">
      <formula>$J$52="超过20%"</formula>
    </cfRule>
  </conditionalFormatting>
  <conditionalFormatting sqref="I53">
    <cfRule type="expression" dxfId="34" priority="5" stopIfTrue="1">
      <formula>$J$53="超过30%"</formula>
    </cfRule>
  </conditionalFormatting>
  <conditionalFormatting sqref="F47">
    <cfRule type="expression" dxfId="33" priority="4">
      <formula>$D$47="简单平均"</formula>
    </cfRule>
  </conditionalFormatting>
  <conditionalFormatting sqref="H47">
    <cfRule type="expression" dxfId="32" priority="3">
      <formula>$D$47="简单平均"</formula>
    </cfRule>
  </conditionalFormatting>
  <conditionalFormatting sqref="J47">
    <cfRule type="expression" dxfId="31" priority="2">
      <formula>$D$47="简单平均"</formula>
    </cfRule>
  </conditionalFormatting>
  <conditionalFormatting sqref="F7:F45 H7:H45 J7:J45">
    <cfRule type="cellIs" dxfId="30" priority="1" operator="notEqual">
      <formula>100</formula>
    </cfRule>
  </conditionalFormatting>
  <dataValidations count="25">
    <dataValidation type="list" allowBlank="1" showInputMessage="1" showErrorMessage="1" sqref="C25">
      <formula1>住宅朝向</formula1>
    </dataValidation>
    <dataValidation type="list" allowBlank="1" showInputMessage="1" showErrorMessage="1" sqref="E28 C28 G28 I28">
      <formula1>公共配套设施</formula1>
    </dataValidation>
    <dataValidation type="list" allowBlank="1" showInputMessage="1" showErrorMessage="1" sqref="E22 C22 G22 I22">
      <formula1>交通便捷度</formula1>
    </dataValidation>
    <dataValidation type="list" allowBlank="1" showInputMessage="1" showErrorMessage="1" sqref="E16 G16 I16 C16">
      <formula1>居住社区成熟度</formula1>
    </dataValidation>
    <dataValidation type="list" allowBlank="1" showInputMessage="1" showErrorMessage="1" sqref="C26 E26 G26 I26">
      <formula1>环境</formula1>
    </dataValidation>
    <dataValidation type="list" allowBlank="1" showInputMessage="1" showErrorMessage="1" sqref="B46">
      <formula1>单价内涵</formula1>
    </dataValidation>
    <dataValidation type="list" allowBlank="1" showInputMessage="1" showErrorMessage="1" sqref="C8 E8 G8 I8">
      <formula1>套综交易情况</formula1>
    </dataValidation>
    <dataValidation type="list" allowBlank="1" showInputMessage="1" showErrorMessage="1" sqref="C9 E9 G9 I9">
      <formula1>套综用途</formula1>
    </dataValidation>
    <dataValidation type="list" allowBlank="1" showInputMessage="1" showErrorMessage="1" sqref="E18 C18 G18 I18">
      <formula1>商业繁华度</formula1>
    </dataValidation>
    <dataValidation type="list" allowBlank="1" showInputMessage="1" showErrorMessage="1" sqref="E20 C20 G20 I20">
      <formula1>办公集聚程度</formula1>
    </dataValidation>
    <dataValidation type="list" allowBlank="1" showInputMessage="1" showErrorMessage="1" sqref="C33 E33 G33 I33">
      <formula1>套综道路等级</formula1>
    </dataValidation>
    <dataValidation type="list" allowBlank="1" showInputMessage="1" showErrorMessage="1" sqref="C34 E34 G34 I34">
      <formula1>套综土地级别</formula1>
    </dataValidation>
    <dataValidation type="list" allowBlank="1" showInputMessage="1" showErrorMessage="1" sqref="C39 E39 G39 I39">
      <formula1>套综宗地形状</formula1>
    </dataValidation>
    <dataValidation type="list" allowBlank="1" showInputMessage="1" showErrorMessage="1" sqref="C40 E40 G40 I40">
      <formula1>套综临街宽度及深度</formula1>
    </dataValidation>
    <dataValidation type="list" allowBlank="1" showInputMessage="1" showErrorMessage="1" sqref="C41 E41 G41 I41">
      <formula1>套综宗地内开发程度</formula1>
    </dataValidation>
    <dataValidation type="list" allowBlank="1" showInputMessage="1" showErrorMessage="1" sqref="C42 E42 G42 I42">
      <formula1>套综工程地质条件</formula1>
    </dataValidation>
    <dataValidation type="list" allowBlank="1" showInputMessage="1" showErrorMessage="1" sqref="C31 E31 G31 I31">
      <formula1>临街状况</formula1>
    </dataValidation>
    <dataValidation type="list" allowBlank="1" showInputMessage="1" showErrorMessage="1" sqref="E24 G24 I24 C24">
      <formula1>区域土地利用方向</formula1>
    </dataValidation>
    <dataValidation type="list" allowBlank="1" showInputMessage="1" showErrorMessage="1" sqref="C55">
      <formula1>"北京市系数,其他省市系数"</formula1>
    </dataValidation>
    <dataValidation type="list" allowBlank="1" showInputMessage="1" showErrorMessage="1" sqref="G61">
      <formula1>"商业,办公,住宅,工业"</formula1>
    </dataValidation>
    <dataValidation type="list" allowBlank="1" showInputMessage="1" showErrorMessage="1" sqref="G62">
      <formula1>"住宅,工业"</formula1>
    </dataValidation>
    <dataValidation type="list" allowBlank="1" showInputMessage="1" showErrorMessage="1" sqref="C30 E30 G30 I30">
      <formula1>基础设施水平</formula1>
    </dataValidation>
    <dataValidation type="list" allowBlank="1" showInputMessage="1" showErrorMessage="1" sqref="A70">
      <formula1>"综合,商业,办公,住宅"</formula1>
    </dataValidation>
    <dataValidation type="list" allowBlank="1" showInputMessage="1" showErrorMessage="1" sqref="D47">
      <formula1>"简单平均,加权平均"</formula1>
    </dataValidation>
    <dataValidation type="list" allowBlank="1" showInputMessage="1" showErrorMessage="1" sqref="D57:D64">
      <formula1>"25%,1"</formula1>
    </dataValidation>
  </dataValidations>
  <pageMargins left="0.70866141732283472" right="0.70866141732283472" top="1.0629921259842521" bottom="0.94488188976377963" header="0.31496062992125984" footer="0.31496062992125984"/>
  <pageSetup paperSize="9" scale="50" orientation="portrait" r:id="rId1"/>
  <legacyDrawing r:id="rId2"/>
</worksheet>
</file>

<file path=xl/worksheets/sheet3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16">
    <tabColor rgb="FF92D050"/>
    <pageSetUpPr fitToPage="1"/>
  </sheetPr>
  <dimension ref="A1:AE123"/>
  <sheetViews>
    <sheetView view="pageBreakPreview" topLeftCell="A18" zoomScale="80" zoomScaleNormal="60" zoomScaleSheetLayoutView="80" workbookViewId="0">
      <selection activeCell="C7" sqref="C7:K42"/>
    </sheetView>
  </sheetViews>
  <sheetFormatPr defaultColWidth="9" defaultRowHeight="14.25"/>
  <cols>
    <col min="1" max="1" width="14.375" style="357" customWidth="1"/>
    <col min="2" max="2" width="15.75" style="357" customWidth="1"/>
    <col min="3" max="3" width="14.375" style="357" customWidth="1"/>
    <col min="4" max="4" width="12.25" style="357" customWidth="1"/>
    <col min="5" max="5" width="14.375" style="357" customWidth="1"/>
    <col min="6" max="6" width="12.25" style="357" customWidth="1"/>
    <col min="7" max="7" width="14.5" style="357" customWidth="1"/>
    <col min="8" max="8" width="12.25" style="357" customWidth="1"/>
    <col min="9" max="9" width="14.5" style="357" customWidth="1"/>
    <col min="10" max="10" width="12.25" style="357" customWidth="1"/>
    <col min="11" max="11" width="12.25" style="444" customWidth="1"/>
    <col min="12" max="12" width="12.25" style="445" customWidth="1"/>
    <col min="13" max="15" width="12.25" style="357" customWidth="1"/>
    <col min="16" max="16" width="4.75" style="357" customWidth="1"/>
    <col min="17" max="17" width="19.5" style="357" customWidth="1"/>
    <col min="18" max="22" width="6.125" style="357" customWidth="1"/>
    <col min="23" max="23" width="5.75" style="357" customWidth="1"/>
    <col min="24" max="24" width="4.25" style="357" customWidth="1"/>
    <col min="25" max="25" width="3.5" style="357" customWidth="1"/>
    <col min="26" max="26" width="19.75" style="357" customWidth="1"/>
    <col min="27" max="28" width="9.375" style="357" customWidth="1"/>
    <col min="29" max="16384" width="9" style="357"/>
  </cols>
  <sheetData>
    <row r="1" spans="1:29" s="352" customFormat="1" ht="28.5" customHeight="1">
      <c r="A1" s="348" t="s">
        <v>1849</v>
      </c>
      <c r="B1" s="349"/>
      <c r="C1" s="350" t="s">
        <v>1900</v>
      </c>
      <c r="D1" s="686"/>
      <c r="E1" s="686"/>
      <c r="F1" s="685" t="s">
        <v>1749</v>
      </c>
      <c r="G1" s="686"/>
      <c r="H1" s="686"/>
      <c r="I1" s="686"/>
      <c r="J1" s="686"/>
      <c r="K1" s="687"/>
      <c r="L1" s="688"/>
      <c r="M1" s="689"/>
      <c r="N1" s="689"/>
      <c r="O1" s="689"/>
      <c r="P1" s="699"/>
      <c r="Q1" s="699"/>
      <c r="R1" s="699"/>
      <c r="S1" s="699"/>
      <c r="T1" s="699"/>
      <c r="U1" s="699"/>
      <c r="V1" s="699"/>
      <c r="W1" s="699"/>
      <c r="X1" s="699"/>
      <c r="Y1" s="699"/>
      <c r="Z1" s="699"/>
      <c r="AA1" s="699"/>
      <c r="AB1" s="699"/>
      <c r="AC1" s="700"/>
    </row>
    <row r="2" spans="1:29" s="352" customFormat="1" ht="28.5" customHeight="1">
      <c r="A2" s="201" t="s">
        <v>1444</v>
      </c>
      <c r="B2" s="619">
        <f>F61</f>
        <v>83</v>
      </c>
      <c r="C2" s="908"/>
      <c r="D2" s="908"/>
      <c r="E2" s="908"/>
      <c r="F2" s="909"/>
      <c r="G2" s="908"/>
      <c r="H2" s="908"/>
      <c r="I2" s="908"/>
      <c r="J2" s="908"/>
      <c r="K2" s="910"/>
      <c r="L2" s="2708"/>
      <c r="M2" s="2709"/>
      <c r="N2" s="2709"/>
      <c r="O2" s="2709"/>
      <c r="P2" s="699"/>
      <c r="Q2" s="699"/>
      <c r="R2" s="699"/>
      <c r="S2" s="699"/>
      <c r="T2" s="699"/>
      <c r="U2" s="699"/>
      <c r="V2" s="699"/>
      <c r="W2" s="699"/>
      <c r="X2" s="699"/>
      <c r="Y2" s="699"/>
      <c r="Z2" s="699"/>
      <c r="AA2" s="699"/>
      <c r="AB2" s="699"/>
      <c r="AC2" s="700"/>
    </row>
    <row r="3" spans="1:29" s="352" customFormat="1" ht="28.5" customHeight="1" thickBot="1">
      <c r="A3" s="203" t="s">
        <v>1446</v>
      </c>
      <c r="B3" s="558">
        <f>ROUND(IF(D3="",B2*10000/'数据-汇总表'!E3,B2*10000/D3),0)</f>
        <v>47</v>
      </c>
      <c r="C3" s="203" t="s">
        <v>1851</v>
      </c>
      <c r="D3" s="1192"/>
      <c r="E3" s="908"/>
      <c r="F3" s="909"/>
      <c r="G3" s="908"/>
      <c r="H3" s="908"/>
      <c r="I3" s="908"/>
      <c r="J3" s="908"/>
      <c r="K3" s="910"/>
      <c r="L3" s="2708"/>
      <c r="M3" s="2709"/>
      <c r="N3" s="2709"/>
      <c r="O3" s="2709"/>
      <c r="P3" s="699"/>
      <c r="Q3" s="699"/>
      <c r="R3" s="699"/>
      <c r="S3" s="699"/>
      <c r="T3" s="699"/>
      <c r="U3" s="699"/>
      <c r="V3" s="699"/>
      <c r="W3" s="699"/>
      <c r="X3" s="699"/>
      <c r="Y3" s="699"/>
      <c r="Z3" s="699"/>
      <c r="AA3" s="699"/>
      <c r="AB3" s="716"/>
      <c r="AC3" s="713"/>
    </row>
    <row r="4" spans="1:29" ht="15">
      <c r="A4" s="355" t="s">
        <v>1751</v>
      </c>
      <c r="B4" s="356"/>
      <c r="C4" s="3721" t="s">
        <v>1752</v>
      </c>
      <c r="D4" s="3722"/>
      <c r="E4" s="3723" t="s">
        <v>1753</v>
      </c>
      <c r="F4" s="3724"/>
      <c r="G4" s="3721" t="s">
        <v>1754</v>
      </c>
      <c r="H4" s="3722"/>
      <c r="I4" s="3721" t="s">
        <v>1755</v>
      </c>
      <c r="J4" s="3722"/>
      <c r="K4" s="559" t="s">
        <v>1756</v>
      </c>
      <c r="L4" s="2689"/>
      <c r="M4" s="2690"/>
      <c r="N4" s="2690"/>
      <c r="O4" s="2690"/>
      <c r="P4" s="3725" t="s">
        <v>1757</v>
      </c>
      <c r="Q4" s="3726"/>
      <c r="R4" s="3731" t="s">
        <v>1753</v>
      </c>
      <c r="S4" s="3732"/>
      <c r="T4" s="3731" t="s">
        <v>1754</v>
      </c>
      <c r="U4" s="3732"/>
      <c r="V4" s="3737" t="s">
        <v>1755</v>
      </c>
      <c r="W4" s="3737"/>
      <c r="X4" s="1354"/>
      <c r="Y4" s="3731" t="s">
        <v>1757</v>
      </c>
      <c r="Z4" s="3732"/>
      <c r="AA4" s="3718" t="s">
        <v>1753</v>
      </c>
      <c r="AB4" s="3719" t="s">
        <v>1754</v>
      </c>
      <c r="AC4" s="3718" t="s">
        <v>1755</v>
      </c>
    </row>
    <row r="5" spans="1:29" ht="60.75" customHeight="1">
      <c r="A5" s="358"/>
      <c r="B5" s="359"/>
      <c r="C5" s="3769" t="str">
        <f>项目基本情况!F10</f>
        <v>昌平区生命园路20号院1号楼-1至4层101</v>
      </c>
      <c r="D5" s="3741"/>
      <c r="E5" s="3747" t="str">
        <f>土地案例!A2</f>
        <v>北京市海淀区中关村翠湖科技园A1地块HD00-0302-0175、6008地块F3其他类多功能用地、B23研发设计用地</v>
      </c>
      <c r="F5" s="3748"/>
      <c r="G5" s="3740" t="str">
        <f>土地案例!A3</f>
        <v>北京市石景山区中关村科技园区石景山园北I区1605-650地块B23研发设计用地</v>
      </c>
      <c r="H5" s="3741"/>
      <c r="I5" s="3740" t="str">
        <f>土地案例!A4</f>
        <v>北京市石景山区中关村科技园石景山园北Ⅱ区西井地块土地一级开发项目1606-605地块B23研发设计用地</v>
      </c>
      <c r="J5" s="3741"/>
      <c r="K5" s="559"/>
      <c r="L5" s="2689"/>
      <c r="M5" s="2690"/>
      <c r="N5" s="2690"/>
      <c r="O5" s="2690"/>
      <c r="P5" s="3727"/>
      <c r="Q5" s="3728"/>
      <c r="R5" s="3733"/>
      <c r="S5" s="3734"/>
      <c r="T5" s="3733"/>
      <c r="U5" s="3734"/>
      <c r="V5" s="3737"/>
      <c r="W5" s="3737"/>
      <c r="X5" s="1354"/>
      <c r="Y5" s="3733"/>
      <c r="Z5" s="3734"/>
      <c r="AA5" s="3719"/>
      <c r="AB5" s="3719"/>
      <c r="AC5" s="3719"/>
    </row>
    <row r="6" spans="1:29" ht="29.25" customHeight="1" thickBot="1">
      <c r="A6" s="360"/>
      <c r="B6" s="361"/>
      <c r="C6" s="3770" t="s">
        <v>1901</v>
      </c>
      <c r="D6" s="3771"/>
      <c r="E6" s="3772" t="s">
        <v>1901</v>
      </c>
      <c r="F6" s="3773"/>
      <c r="G6" s="3770" t="s">
        <v>1901</v>
      </c>
      <c r="H6" s="3771"/>
      <c r="I6" s="3770" t="s">
        <v>1901</v>
      </c>
      <c r="J6" s="3771"/>
      <c r="K6" s="559" t="s">
        <v>1660</v>
      </c>
      <c r="L6" s="2689"/>
      <c r="M6" s="2690"/>
      <c r="N6" s="2690"/>
      <c r="O6" s="2690"/>
      <c r="P6" s="3729"/>
      <c r="Q6" s="3730"/>
      <c r="R6" s="3733"/>
      <c r="S6" s="3734"/>
      <c r="T6" s="3735"/>
      <c r="U6" s="3736"/>
      <c r="V6" s="3737"/>
      <c r="W6" s="3737"/>
      <c r="X6" s="1354"/>
      <c r="Y6" s="3735"/>
      <c r="Z6" s="3736"/>
      <c r="AA6" s="3720"/>
      <c r="AB6" s="3720"/>
      <c r="AC6" s="3720"/>
    </row>
    <row r="7" spans="1:29" s="108" customFormat="1" ht="15.75" thickBot="1">
      <c r="A7" s="362" t="s">
        <v>1661</v>
      </c>
      <c r="B7" s="363"/>
      <c r="C7" s="364">
        <f>'数据-取费表'!B2</f>
        <v>45400</v>
      </c>
      <c r="D7" s="365">
        <v>100</v>
      </c>
      <c r="E7" s="366">
        <f>土地案例!AE2</f>
        <v>45366.000497685185</v>
      </c>
      <c r="F7" s="367">
        <f>SUMIF(65:65,YEAR(E7)&amp;"-"&amp;INT((MONTH(E7)+2)/3),66:66)</f>
        <v>99.8</v>
      </c>
      <c r="G7" s="1973">
        <f>土地案例!AE3</f>
        <v>45308.000497685185</v>
      </c>
      <c r="H7" s="365">
        <f>SUMIF(65:65,YEAR(G7)&amp;"-"&amp;INT((MONTH(G7)+2)/3),66:66)</f>
        <v>99.8</v>
      </c>
      <c r="I7" s="1973">
        <f>土地案例!AE4</f>
        <v>44931.000497685185</v>
      </c>
      <c r="J7" s="365">
        <f>SUMIF(65:65,YEAR(I7)&amp;"-"&amp;INT((MONTH(I7)+2)/3),66:66)</f>
        <v>98.999999999999986</v>
      </c>
      <c r="K7" s="560"/>
      <c r="L7" s="2691"/>
      <c r="M7" s="2692"/>
      <c r="N7" s="2692"/>
      <c r="O7" s="2692"/>
      <c r="P7" s="3742" t="s">
        <v>1662</v>
      </c>
      <c r="Q7" s="3744"/>
      <c r="R7" s="701" t="s">
        <v>14</v>
      </c>
      <c r="S7" s="702">
        <f t="shared" ref="S7:S15" si="0">F7</f>
        <v>99.8</v>
      </c>
      <c r="T7" s="701" t="s">
        <v>14</v>
      </c>
      <c r="U7" s="702">
        <f t="shared" ref="U7:U15" si="1">H7</f>
        <v>99.8</v>
      </c>
      <c r="V7" s="701" t="s">
        <v>14</v>
      </c>
      <c r="W7" s="702">
        <f t="shared" ref="W7:W15" si="2">J7</f>
        <v>98.999999999999986</v>
      </c>
      <c r="X7" s="703"/>
      <c r="Y7" s="3742" t="s">
        <v>1662</v>
      </c>
      <c r="Z7" s="3743"/>
      <c r="AA7" s="704">
        <f>D7/F7</f>
        <v>1.0020040080160322</v>
      </c>
      <c r="AB7" s="704">
        <f>D7/H7</f>
        <v>1.0020040080160322</v>
      </c>
      <c r="AC7" s="704">
        <f>D7/J7</f>
        <v>1.0101010101010102</v>
      </c>
    </row>
    <row r="8" spans="1:29" s="108" customFormat="1" ht="15.75" thickBot="1">
      <c r="A8" s="362" t="s">
        <v>1663</v>
      </c>
      <c r="B8" s="363"/>
      <c r="C8" s="368" t="s">
        <v>1664</v>
      </c>
      <c r="D8" s="365">
        <v>100</v>
      </c>
      <c r="E8" s="368" t="s">
        <v>1664</v>
      </c>
      <c r="F8" s="367">
        <f>SUMIF(68:68,E8,69:69)-SUMIF(68:68,C8,69:69)+100</f>
        <v>100</v>
      </c>
      <c r="G8" s="368" t="s">
        <v>1664</v>
      </c>
      <c r="H8" s="365">
        <f>SUMIF(68:68,G8,69:69)-SUMIF(68:68,C8,69:69)+100</f>
        <v>100</v>
      </c>
      <c r="I8" s="368" t="s">
        <v>1664</v>
      </c>
      <c r="J8" s="365">
        <f>SUMIF(68:68,I8,69:69)-SUMIF(68:68,C8,69:69)+100</f>
        <v>100</v>
      </c>
      <c r="K8" s="560"/>
      <c r="L8" s="2691"/>
      <c r="M8" s="2692"/>
      <c r="N8" s="2692"/>
      <c r="O8" s="2692"/>
      <c r="P8" s="3742" t="s">
        <v>1665</v>
      </c>
      <c r="Q8" s="3743"/>
      <c r="R8" s="701" t="s">
        <v>14</v>
      </c>
      <c r="S8" s="702">
        <f t="shared" si="0"/>
        <v>100</v>
      </c>
      <c r="T8" s="701" t="s">
        <v>14</v>
      </c>
      <c r="U8" s="702">
        <f t="shared" si="1"/>
        <v>100</v>
      </c>
      <c r="V8" s="701" t="s">
        <v>14</v>
      </c>
      <c r="W8" s="702">
        <f t="shared" si="2"/>
        <v>100</v>
      </c>
      <c r="X8" s="703"/>
      <c r="Y8" s="3742" t="s">
        <v>1665</v>
      </c>
      <c r="Z8" s="3743"/>
      <c r="AA8" s="704">
        <f t="shared" ref="AA8:AA40" si="3">D8/F8</f>
        <v>1</v>
      </c>
      <c r="AB8" s="704">
        <f t="shared" ref="AB8:AB40" si="4">D8/H8</f>
        <v>1</v>
      </c>
      <c r="AC8" s="704">
        <f t="shared" ref="AC8:AC40" si="5">D8/J8</f>
        <v>1</v>
      </c>
    </row>
    <row r="9" spans="1:29" s="108" customFormat="1" ht="42.75">
      <c r="A9" s="369" t="s">
        <v>1666</v>
      </c>
      <c r="B9" s="63" t="s">
        <v>1667</v>
      </c>
      <c r="C9" s="1976" t="s">
        <v>3607</v>
      </c>
      <c r="D9" s="126">
        <v>100</v>
      </c>
      <c r="E9" s="1976" t="s">
        <v>3516</v>
      </c>
      <c r="F9" s="126">
        <f>SUMIF(70:70,E9,71:71)-SUMIF(70:70,C9,71:71)+100</f>
        <v>102</v>
      </c>
      <c r="G9" s="1976" t="s">
        <v>3607</v>
      </c>
      <c r="H9" s="126">
        <f>SUMIF(70:70,G9,71:71)-SUMIF(70:70,C9,71:71)+100</f>
        <v>100</v>
      </c>
      <c r="I9" s="1976" t="s">
        <v>3607</v>
      </c>
      <c r="J9" s="126">
        <f>SUMIF(70:70,I9,71:71)-SUMIF(70:70,C9,71:71)+100</f>
        <v>100</v>
      </c>
      <c r="K9" s="560"/>
      <c r="L9" s="2691"/>
      <c r="M9" s="2692"/>
      <c r="N9" s="2692"/>
      <c r="O9" s="2746"/>
      <c r="P9" s="3706" t="s">
        <v>1668</v>
      </c>
      <c r="Q9" s="1342" t="str">
        <f t="shared" ref="Q9:Q15" si="6">B9</f>
        <v>用途</v>
      </c>
      <c r="R9" s="701" t="s">
        <v>14</v>
      </c>
      <c r="S9" s="702">
        <f t="shared" si="0"/>
        <v>102</v>
      </c>
      <c r="T9" s="701" t="s">
        <v>14</v>
      </c>
      <c r="U9" s="702">
        <f t="shared" si="1"/>
        <v>100</v>
      </c>
      <c r="V9" s="701" t="s">
        <v>14</v>
      </c>
      <c r="W9" s="702">
        <f t="shared" si="2"/>
        <v>100</v>
      </c>
      <c r="X9" s="703"/>
      <c r="Y9" s="3580" t="s">
        <v>1669</v>
      </c>
      <c r="Z9" s="52" t="str">
        <f t="shared" ref="Z9:Z15" si="7">Q9</f>
        <v>用途</v>
      </c>
      <c r="AA9" s="704">
        <f t="shared" si="3"/>
        <v>0.98039215686274506</v>
      </c>
      <c r="AB9" s="704">
        <f t="shared" si="4"/>
        <v>1</v>
      </c>
      <c r="AC9" s="704">
        <f t="shared" si="5"/>
        <v>1</v>
      </c>
    </row>
    <row r="10" spans="1:29" s="378" customFormat="1" ht="27">
      <c r="A10" s="374"/>
      <c r="B10" s="375" t="s">
        <v>1670</v>
      </c>
      <c r="C10" s="383">
        <f>项目基本情况!E15</f>
        <v>28.5</v>
      </c>
      <c r="D10" s="127">
        <v>100</v>
      </c>
      <c r="E10" s="383">
        <v>50</v>
      </c>
      <c r="F10" s="127">
        <f>ROUND(100/'数据-取费表'!G16,0)</f>
        <v>124</v>
      </c>
      <c r="G10" s="383">
        <v>50</v>
      </c>
      <c r="H10" s="127">
        <f>ROUND(100/'数据-取费表'!G16,0)</f>
        <v>124</v>
      </c>
      <c r="I10" s="383">
        <v>50</v>
      </c>
      <c r="J10" s="127">
        <f>ROUND(100/'数据-取费表'!G16,0)</f>
        <v>124</v>
      </c>
      <c r="K10" s="620"/>
      <c r="L10" s="2693"/>
      <c r="M10" s="2694"/>
      <c r="N10" s="2694"/>
      <c r="O10" s="2747"/>
      <c r="P10" s="3706"/>
      <c r="Q10" s="1342" t="str">
        <f t="shared" si="6"/>
        <v>土地使用年限（年）</v>
      </c>
      <c r="R10" s="701" t="s">
        <v>14</v>
      </c>
      <c r="S10" s="702">
        <f t="shared" si="0"/>
        <v>124</v>
      </c>
      <c r="T10" s="701" t="s">
        <v>14</v>
      </c>
      <c r="U10" s="702">
        <f t="shared" si="1"/>
        <v>124</v>
      </c>
      <c r="V10" s="701" t="s">
        <v>14</v>
      </c>
      <c r="W10" s="702">
        <f t="shared" si="2"/>
        <v>124</v>
      </c>
      <c r="X10" s="703"/>
      <c r="Y10" s="3580"/>
      <c r="Z10" s="52" t="str">
        <f t="shared" si="7"/>
        <v>土地使用年限（年）</v>
      </c>
      <c r="AA10" s="704">
        <f t="shared" si="3"/>
        <v>0.80645161290322576</v>
      </c>
      <c r="AB10" s="704">
        <f t="shared" si="4"/>
        <v>0.80645161290322576</v>
      </c>
      <c r="AC10" s="704">
        <f t="shared" si="5"/>
        <v>0.80645161290322576</v>
      </c>
    </row>
    <row r="11" spans="1:29" ht="15.75" thickBot="1">
      <c r="A11" s="379"/>
      <c r="B11" s="375" t="s">
        <v>1671</v>
      </c>
      <c r="C11" s="380">
        <f>'数据-汇总表'!I4</f>
        <v>0.78</v>
      </c>
      <c r="D11" s="127">
        <v>100</v>
      </c>
      <c r="E11" s="380">
        <f>土地案例!K2</f>
        <v>1.5</v>
      </c>
      <c r="F11" s="127">
        <f>LOOKUP(E11,75:75,76:76)-LOOKUP(C11,75:75,76:76)+100</f>
        <v>95</v>
      </c>
      <c r="G11" s="381">
        <f>土地案例!K3</f>
        <v>2.4</v>
      </c>
      <c r="H11" s="127">
        <f>LOOKUP(G11,75:75,76:76)-LOOKUP(C11,75:75,76:76)+100</f>
        <v>90</v>
      </c>
      <c r="I11" s="380">
        <f>土地案例!K4</f>
        <v>3</v>
      </c>
      <c r="J11" s="127">
        <f>LOOKUP(I11,75:75,76:76)-LOOKUP(C11,75:75,76:76)+100</f>
        <v>85</v>
      </c>
      <c r="K11" s="621">
        <v>5</v>
      </c>
      <c r="L11" s="2695"/>
      <c r="M11" s="2690"/>
      <c r="N11" s="2690"/>
      <c r="O11" s="2748"/>
      <c r="P11" s="3706"/>
      <c r="Q11" s="1342" t="str">
        <f t="shared" si="6"/>
        <v>容积率</v>
      </c>
      <c r="R11" s="701" t="s">
        <v>14</v>
      </c>
      <c r="S11" s="702">
        <f t="shared" si="0"/>
        <v>95</v>
      </c>
      <c r="T11" s="701" t="s">
        <v>14</v>
      </c>
      <c r="U11" s="702">
        <f t="shared" si="1"/>
        <v>90</v>
      </c>
      <c r="V11" s="701" t="s">
        <v>14</v>
      </c>
      <c r="W11" s="702">
        <f t="shared" si="2"/>
        <v>85</v>
      </c>
      <c r="X11" s="703"/>
      <c r="Y11" s="3580"/>
      <c r="Z11" s="52" t="str">
        <f t="shared" si="7"/>
        <v>容积率</v>
      </c>
      <c r="AA11" s="704">
        <f t="shared" si="3"/>
        <v>1.0526315789473684</v>
      </c>
      <c r="AB11" s="704">
        <f t="shared" si="4"/>
        <v>1.1111111111111112</v>
      </c>
      <c r="AC11" s="704">
        <f t="shared" si="5"/>
        <v>1.1764705882352942</v>
      </c>
    </row>
    <row r="12" spans="1:29" s="108" customFormat="1" ht="15" hidden="1">
      <c r="A12" s="382"/>
      <c r="B12" s="1892">
        <v>111</v>
      </c>
      <c r="C12" s="383"/>
      <c r="D12" s="384">
        <v>100</v>
      </c>
      <c r="E12" s="498"/>
      <c r="F12" s="127">
        <f>SUMIF(77:77,E12,78:78)-SUMIF(77:77,C12,78:78)+100</f>
        <v>100</v>
      </c>
      <c r="G12" s="622"/>
      <c r="H12" s="127">
        <f>SUMIF(77:77,G12,78:78)-SUMIF(77:77,C12,78:78)+100</f>
        <v>100</v>
      </c>
      <c r="I12" s="498"/>
      <c r="J12" s="127">
        <f>SUMIF(77:77,I12,78:78)-SUMIF(77:77,C12,78:78)+100</f>
        <v>100</v>
      </c>
      <c r="K12" s="620"/>
      <c r="L12" s="2691"/>
      <c r="M12" s="2692"/>
      <c r="N12" s="2692"/>
      <c r="O12" s="2746"/>
      <c r="P12" s="3706"/>
      <c r="Q12" s="1342">
        <f t="shared" si="6"/>
        <v>111</v>
      </c>
      <c r="R12" s="701" t="s">
        <v>14</v>
      </c>
      <c r="S12" s="702">
        <f t="shared" si="0"/>
        <v>100</v>
      </c>
      <c r="T12" s="701" t="s">
        <v>14</v>
      </c>
      <c r="U12" s="702">
        <f t="shared" si="1"/>
        <v>100</v>
      </c>
      <c r="V12" s="701" t="s">
        <v>14</v>
      </c>
      <c r="W12" s="702">
        <f t="shared" si="2"/>
        <v>100</v>
      </c>
      <c r="X12" s="703"/>
      <c r="Y12" s="3580"/>
      <c r="Z12" s="52">
        <f t="shared" si="7"/>
        <v>111</v>
      </c>
      <c r="AA12" s="704">
        <f>D12/F12</f>
        <v>1</v>
      </c>
      <c r="AB12" s="704">
        <f>D12/H12</f>
        <v>1</v>
      </c>
      <c r="AC12" s="704">
        <f>D12/J12</f>
        <v>1</v>
      </c>
    </row>
    <row r="13" spans="1:29" ht="15" hidden="1">
      <c r="A13" s="379"/>
      <c r="B13" s="1892">
        <v>111</v>
      </c>
      <c r="C13" s="385"/>
      <c r="D13" s="386">
        <v>100</v>
      </c>
      <c r="E13" s="498"/>
      <c r="F13" s="127">
        <f>SUMIF(79:79,E13,80:80)-SUMIF(79:79,C13,80:80)+100</f>
        <v>100</v>
      </c>
      <c r="G13" s="622"/>
      <c r="H13" s="386">
        <f>SUMIF(79:79,G13,80:80)-SUMIF(79:79,C13,80:80)+100</f>
        <v>100</v>
      </c>
      <c r="I13" s="498"/>
      <c r="J13" s="386">
        <f>SUMIF(79:79,I13,80:80)-SUMIF(79:79,C13,80:80)+100</f>
        <v>100</v>
      </c>
      <c r="K13" s="620"/>
      <c r="L13" s="2696"/>
      <c r="M13" s="2690"/>
      <c r="N13" s="2690"/>
      <c r="O13" s="2748"/>
      <c r="P13" s="3706"/>
      <c r="Q13" s="1342">
        <f t="shared" si="6"/>
        <v>111</v>
      </c>
      <c r="R13" s="701" t="s">
        <v>14</v>
      </c>
      <c r="S13" s="702">
        <f t="shared" si="0"/>
        <v>100</v>
      </c>
      <c r="T13" s="701" t="s">
        <v>14</v>
      </c>
      <c r="U13" s="702">
        <f t="shared" si="1"/>
        <v>100</v>
      </c>
      <c r="V13" s="701" t="s">
        <v>14</v>
      </c>
      <c r="W13" s="702">
        <f t="shared" si="2"/>
        <v>100</v>
      </c>
      <c r="X13" s="703"/>
      <c r="Y13" s="3580"/>
      <c r="Z13" s="52">
        <f t="shared" si="7"/>
        <v>111</v>
      </c>
      <c r="AA13" s="704">
        <f t="shared" si="3"/>
        <v>1</v>
      </c>
      <c r="AB13" s="704">
        <f t="shared" si="4"/>
        <v>1</v>
      </c>
      <c r="AC13" s="704">
        <f t="shared" si="5"/>
        <v>1</v>
      </c>
    </row>
    <row r="14" spans="1:29" ht="15.75" hidden="1" thickBot="1">
      <c r="A14" s="387"/>
      <c r="B14" s="1894">
        <v>111</v>
      </c>
      <c r="C14" s="388"/>
      <c r="D14" s="389">
        <v>100</v>
      </c>
      <c r="E14" s="498"/>
      <c r="F14" s="389">
        <f>SUMIF(81:81,E14,82:82)-SUMIF(81:81,C14,82:82)+100</f>
        <v>100</v>
      </c>
      <c r="G14" s="622"/>
      <c r="H14" s="389">
        <f>SUMIF(81:81,G14,82:82)-SUMIF(81:81,C14,82:82)+100</f>
        <v>100</v>
      </c>
      <c r="I14" s="498"/>
      <c r="J14" s="389">
        <f>SUMIF(81:81,I14,82:82)-SUMIF(81:81,C14,82:82)+100</f>
        <v>100</v>
      </c>
      <c r="K14" s="620"/>
      <c r="L14" s="2696"/>
      <c r="M14" s="2690"/>
      <c r="N14" s="2690"/>
      <c r="O14" s="2748"/>
      <c r="P14" s="3706"/>
      <c r="Q14" s="1342">
        <f t="shared" si="6"/>
        <v>111</v>
      </c>
      <c r="R14" s="701" t="s">
        <v>14</v>
      </c>
      <c r="S14" s="702">
        <f t="shared" si="0"/>
        <v>100</v>
      </c>
      <c r="T14" s="701" t="s">
        <v>14</v>
      </c>
      <c r="U14" s="702">
        <f t="shared" si="1"/>
        <v>100</v>
      </c>
      <c r="V14" s="701" t="s">
        <v>14</v>
      </c>
      <c r="W14" s="702">
        <f t="shared" si="2"/>
        <v>100</v>
      </c>
      <c r="X14" s="703"/>
      <c r="Y14" s="3580"/>
      <c r="Z14" s="52">
        <f t="shared" si="7"/>
        <v>111</v>
      </c>
      <c r="AA14" s="704">
        <f t="shared" si="3"/>
        <v>1</v>
      </c>
      <c r="AB14" s="704">
        <f t="shared" si="4"/>
        <v>1</v>
      </c>
      <c r="AC14" s="704">
        <f t="shared" si="5"/>
        <v>1</v>
      </c>
    </row>
    <row r="15" spans="1:29" ht="15">
      <c r="A15" s="391" t="s">
        <v>1672</v>
      </c>
      <c r="B15" s="577" t="s">
        <v>1902</v>
      </c>
      <c r="C15" s="1970" t="str">
        <f>估价对象房地状况!G15</f>
        <v>较好</v>
      </c>
      <c r="D15" s="392">
        <v>100</v>
      </c>
      <c r="E15" s="393" t="s">
        <v>3601</v>
      </c>
      <c r="F15" s="392">
        <f>SUMIF(83:83,E16,84:84)-SUMIF(83:83,C16,84:84)+100</f>
        <v>100</v>
      </c>
      <c r="G15" s="393" t="s">
        <v>3601</v>
      </c>
      <c r="H15" s="392">
        <f>SUMIF(83:83,G16,84:84)-SUMIF(83:83,C16,84:84)+100</f>
        <v>100</v>
      </c>
      <c r="I15" s="393" t="s">
        <v>3601</v>
      </c>
      <c r="J15" s="392">
        <f>SUMIF(83:83,I16,84:84)-SUMIF(83:83,C16,84:84)+100</f>
        <v>100</v>
      </c>
      <c r="K15" s="621">
        <v>2</v>
      </c>
      <c r="L15" s="2696"/>
      <c r="M15" s="2690"/>
      <c r="N15" s="2690"/>
      <c r="O15" s="2748"/>
      <c r="P15" s="3708" t="s">
        <v>1673</v>
      </c>
      <c r="Q15" s="1351" t="str">
        <f t="shared" si="6"/>
        <v>产业集聚程度</v>
      </c>
      <c r="R15" s="705" t="s">
        <v>14</v>
      </c>
      <c r="S15" s="706">
        <f t="shared" si="0"/>
        <v>100</v>
      </c>
      <c r="T15" s="705" t="s">
        <v>14</v>
      </c>
      <c r="U15" s="706">
        <f t="shared" si="1"/>
        <v>100</v>
      </c>
      <c r="V15" s="705" t="s">
        <v>14</v>
      </c>
      <c r="W15" s="706">
        <f t="shared" si="2"/>
        <v>100</v>
      </c>
      <c r="X15" s="1354"/>
      <c r="Y15" s="3708" t="s">
        <v>1673</v>
      </c>
      <c r="Z15" s="1355" t="str">
        <f t="shared" si="7"/>
        <v>产业集聚程度</v>
      </c>
      <c r="AA15" s="1352">
        <f t="shared" si="3"/>
        <v>1</v>
      </c>
      <c r="AB15" s="1352">
        <f t="shared" si="4"/>
        <v>1</v>
      </c>
      <c r="AC15" s="1352">
        <f t="shared" si="5"/>
        <v>1</v>
      </c>
    </row>
    <row r="16" spans="1:29" ht="15">
      <c r="A16" s="379"/>
      <c r="B16" s="578"/>
      <c r="C16" s="398" t="s">
        <v>3601</v>
      </c>
      <c r="D16" s="399"/>
      <c r="E16" s="1903" t="s">
        <v>3601</v>
      </c>
      <c r="F16" s="399"/>
      <c r="G16" s="1903" t="s">
        <v>3601</v>
      </c>
      <c r="H16" s="401"/>
      <c r="I16" s="1903" t="s">
        <v>3601</v>
      </c>
      <c r="J16" s="399"/>
      <c r="K16" s="620"/>
      <c r="L16" s="2696"/>
      <c r="M16" s="2690"/>
      <c r="N16" s="2690"/>
      <c r="O16" s="2748"/>
      <c r="P16" s="3709"/>
      <c r="Q16" s="1351"/>
      <c r="R16" s="705"/>
      <c r="S16" s="706"/>
      <c r="T16" s="705"/>
      <c r="U16" s="706"/>
      <c r="V16" s="705"/>
      <c r="W16" s="706"/>
      <c r="X16" s="1354"/>
      <c r="Y16" s="3709"/>
      <c r="Z16" s="1355"/>
      <c r="AA16" s="1352">
        <v>1</v>
      </c>
      <c r="AB16" s="1352">
        <v>1</v>
      </c>
      <c r="AC16" s="1352">
        <v>1</v>
      </c>
    </row>
    <row r="17" spans="1:29" ht="15">
      <c r="A17" s="379"/>
      <c r="B17" s="579" t="s">
        <v>1815</v>
      </c>
      <c r="C17" s="1899" t="str">
        <f>估价对象房地状况!G16</f>
        <v>较好</v>
      </c>
      <c r="D17" s="401">
        <v>100</v>
      </c>
      <c r="E17" s="403" t="s">
        <v>3601</v>
      </c>
      <c r="F17" s="406">
        <f>SUMIF(85:85,E18,86:86)-SUMIF(85:85,C18,86:86)+100</f>
        <v>100</v>
      </c>
      <c r="G17" s="403" t="s">
        <v>3601</v>
      </c>
      <c r="H17" s="406">
        <f>SUMIF(85:85,G18,86:86)-SUMIF(85:85,C18,86:86)+100</f>
        <v>100</v>
      </c>
      <c r="I17" s="403" t="s">
        <v>3601</v>
      </c>
      <c r="J17" s="401">
        <f>SUMIF(85:85,I18,86:86)-SUMIF(85:85,C18,86:86)+100</f>
        <v>100</v>
      </c>
      <c r="K17" s="621">
        <v>2</v>
      </c>
      <c r="L17" s="2696"/>
      <c r="M17" s="2690"/>
      <c r="N17" s="2690"/>
      <c r="O17" s="2748"/>
      <c r="P17" s="3709"/>
      <c r="Q17" s="1351" t="str">
        <f>B17</f>
        <v>交通便捷度</v>
      </c>
      <c r="R17" s="705" t="s">
        <v>14</v>
      </c>
      <c r="S17" s="706">
        <f>F17</f>
        <v>100</v>
      </c>
      <c r="T17" s="705" t="s">
        <v>14</v>
      </c>
      <c r="U17" s="706">
        <f>H17</f>
        <v>100</v>
      </c>
      <c r="V17" s="705" t="s">
        <v>14</v>
      </c>
      <c r="W17" s="706">
        <f>J17</f>
        <v>100</v>
      </c>
      <c r="X17" s="1354"/>
      <c r="Y17" s="3709"/>
      <c r="Z17" s="1355" t="str">
        <f>Q17</f>
        <v>交通便捷度</v>
      </c>
      <c r="AA17" s="1352">
        <f t="shared" si="3"/>
        <v>1</v>
      </c>
      <c r="AB17" s="1352">
        <f t="shared" si="4"/>
        <v>1</v>
      </c>
      <c r="AC17" s="1352">
        <f t="shared" si="5"/>
        <v>1</v>
      </c>
    </row>
    <row r="18" spans="1:29" ht="15">
      <c r="A18" s="379"/>
      <c r="B18" s="580"/>
      <c r="C18" s="398" t="s">
        <v>3601</v>
      </c>
      <c r="D18" s="399"/>
      <c r="E18" s="1897" t="s">
        <v>3601</v>
      </c>
      <c r="F18" s="399"/>
      <c r="G18" s="1897" t="s">
        <v>3601</v>
      </c>
      <c r="H18" s="399"/>
      <c r="I18" s="1897" t="s">
        <v>3601</v>
      </c>
      <c r="J18" s="399"/>
      <c r="K18" s="620"/>
      <c r="L18" s="2696"/>
      <c r="M18" s="2690"/>
      <c r="N18" s="2690"/>
      <c r="O18" s="2748"/>
      <c r="P18" s="3709"/>
      <c r="Q18" s="1351"/>
      <c r="R18" s="705"/>
      <c r="S18" s="706"/>
      <c r="T18" s="705"/>
      <c r="U18" s="706"/>
      <c r="V18" s="705"/>
      <c r="W18" s="706"/>
      <c r="X18" s="1354"/>
      <c r="Y18" s="3709"/>
      <c r="Z18" s="1355"/>
      <c r="AA18" s="1352">
        <v>1</v>
      </c>
      <c r="AB18" s="1352">
        <v>1</v>
      </c>
      <c r="AC18" s="1352">
        <v>1</v>
      </c>
    </row>
    <row r="19" spans="1:29" ht="15">
      <c r="A19" s="379"/>
      <c r="B19" s="579" t="s">
        <v>1853</v>
      </c>
      <c r="C19" s="1899">
        <f>估价对象房地状况!G17</f>
        <v>0</v>
      </c>
      <c r="D19" s="401">
        <v>100</v>
      </c>
      <c r="E19" s="403">
        <v>0</v>
      </c>
      <c r="F19" s="406">
        <f>SUMIF(87:87,E20,88:88)-SUMIF(87:87,C20,88:88)+100</f>
        <v>100</v>
      </c>
      <c r="G19" s="403">
        <v>0</v>
      </c>
      <c r="H19" s="406">
        <f>SUMIF(87:87,G20,88:88)-SUMIF(87:87,C20,88:88)+100</f>
        <v>100</v>
      </c>
      <c r="I19" s="403">
        <v>0</v>
      </c>
      <c r="J19" s="406">
        <f>SUMIF(87:87,I20,88:88)-SUMIF(87:87,C20,88:88)+100</f>
        <v>100</v>
      </c>
      <c r="K19" s="621">
        <v>2</v>
      </c>
      <c r="L19" s="2696"/>
      <c r="M19" s="2690"/>
      <c r="N19" s="2690"/>
      <c r="O19" s="2748"/>
      <c r="P19" s="3709"/>
      <c r="Q19" s="1351" t="str">
        <f t="shared" ref="Q19:Q33" si="8">B19</f>
        <v>区域土地利用方向</v>
      </c>
      <c r="R19" s="705" t="s">
        <v>14</v>
      </c>
      <c r="S19" s="706">
        <f>F19</f>
        <v>100</v>
      </c>
      <c r="T19" s="705" t="s">
        <v>14</v>
      </c>
      <c r="U19" s="706">
        <f>H19</f>
        <v>100</v>
      </c>
      <c r="V19" s="705" t="s">
        <v>14</v>
      </c>
      <c r="W19" s="706">
        <f>J19</f>
        <v>100</v>
      </c>
      <c r="X19" s="1354"/>
      <c r="Y19" s="3709"/>
      <c r="Z19" s="1355" t="str">
        <f>Q19</f>
        <v>区域土地利用方向</v>
      </c>
      <c r="AA19" s="1352">
        <f t="shared" si="3"/>
        <v>1</v>
      </c>
      <c r="AB19" s="1352">
        <f t="shared" si="4"/>
        <v>1</v>
      </c>
      <c r="AC19" s="1352">
        <f t="shared" si="5"/>
        <v>1</v>
      </c>
    </row>
    <row r="20" spans="1:29" ht="15">
      <c r="A20" s="358"/>
      <c r="B20" s="580"/>
      <c r="C20" s="398" t="s">
        <v>3601</v>
      </c>
      <c r="D20" s="399"/>
      <c r="E20" s="1897" t="s">
        <v>3601</v>
      </c>
      <c r="F20" s="399"/>
      <c r="G20" s="1897" t="s">
        <v>3601</v>
      </c>
      <c r="H20" s="399"/>
      <c r="I20" s="1897" t="s">
        <v>3601</v>
      </c>
      <c r="J20" s="399"/>
      <c r="K20" s="740"/>
      <c r="L20" s="2696"/>
      <c r="M20" s="2690"/>
      <c r="N20" s="2690"/>
      <c r="O20" s="2748"/>
      <c r="P20" s="3709"/>
      <c r="Q20" s="1351"/>
      <c r="R20" s="705"/>
      <c r="S20" s="706"/>
      <c r="T20" s="705"/>
      <c r="U20" s="706"/>
      <c r="V20" s="705"/>
      <c r="W20" s="706"/>
      <c r="X20" s="1354"/>
      <c r="Y20" s="3709"/>
      <c r="Z20" s="1355"/>
      <c r="AA20" s="1352"/>
      <c r="AB20" s="1352"/>
      <c r="AC20" s="1352"/>
    </row>
    <row r="21" spans="1:29" ht="15">
      <c r="A21" s="358"/>
      <c r="B21" s="579" t="s">
        <v>1903</v>
      </c>
      <c r="C21" s="1899" t="str">
        <f>估价对象房地状况!G18</f>
        <v>较好</v>
      </c>
      <c r="D21" s="401">
        <v>100</v>
      </c>
      <c r="E21" s="403" t="s">
        <v>3601</v>
      </c>
      <c r="F21" s="401">
        <f>SUMIF(89:89,E22,90:90)-SUMIF(89:89,C22,90:90)+100</f>
        <v>100</v>
      </c>
      <c r="G21" s="403" t="s">
        <v>3601</v>
      </c>
      <c r="H21" s="401">
        <f>SUMIF(89:89,G22,90:90)-SUMIF(89:89,C22,90:90)+100</f>
        <v>100</v>
      </c>
      <c r="I21" s="403" t="s">
        <v>3601</v>
      </c>
      <c r="J21" s="401">
        <f>SUMIF(89:89,I22,90:90)-SUMIF(89:89,C22,90:90)+100</f>
        <v>100</v>
      </c>
      <c r="K21" s="621">
        <v>2</v>
      </c>
      <c r="L21" s="2696"/>
      <c r="M21" s="2690"/>
      <c r="N21" s="2690"/>
      <c r="O21" s="2748"/>
      <c r="P21" s="3709"/>
      <c r="Q21" s="1351" t="str">
        <f t="shared" si="8"/>
        <v>环境状况</v>
      </c>
      <c r="R21" s="705" t="s">
        <v>14</v>
      </c>
      <c r="S21" s="706">
        <f>F21</f>
        <v>100</v>
      </c>
      <c r="T21" s="705" t="s">
        <v>14</v>
      </c>
      <c r="U21" s="706">
        <f>H21</f>
        <v>100</v>
      </c>
      <c r="V21" s="705" t="s">
        <v>14</v>
      </c>
      <c r="W21" s="706">
        <f>J21</f>
        <v>100</v>
      </c>
      <c r="X21" s="1354"/>
      <c r="Y21" s="3709"/>
      <c r="Z21" s="1355" t="str">
        <f>Q21</f>
        <v>环境状况</v>
      </c>
      <c r="AA21" s="1352">
        <f t="shared" si="3"/>
        <v>1</v>
      </c>
      <c r="AB21" s="1352">
        <f t="shared" si="4"/>
        <v>1</v>
      </c>
      <c r="AC21" s="1352">
        <f t="shared" si="5"/>
        <v>1</v>
      </c>
    </row>
    <row r="22" spans="1:29" ht="15">
      <c r="A22" s="358"/>
      <c r="B22" s="580"/>
      <c r="C22" s="398" t="s">
        <v>3601</v>
      </c>
      <c r="D22" s="399"/>
      <c r="E22" s="1903" t="s">
        <v>3601</v>
      </c>
      <c r="F22" s="399"/>
      <c r="G22" s="1903" t="s">
        <v>3601</v>
      </c>
      <c r="H22" s="399"/>
      <c r="I22" s="1903" t="s">
        <v>3601</v>
      </c>
      <c r="J22" s="399"/>
      <c r="K22" s="620"/>
      <c r="L22" s="2696"/>
      <c r="M22" s="2690"/>
      <c r="N22" s="2690"/>
      <c r="O22" s="2748"/>
      <c r="P22" s="3709"/>
      <c r="Q22" s="1351"/>
      <c r="R22" s="705"/>
      <c r="S22" s="706"/>
      <c r="T22" s="705"/>
      <c r="U22" s="706"/>
      <c r="V22" s="705"/>
      <c r="W22" s="706"/>
      <c r="X22" s="1354"/>
      <c r="Y22" s="3709"/>
      <c r="Z22" s="1355"/>
      <c r="AA22" s="1352">
        <v>1</v>
      </c>
      <c r="AB22" s="1352">
        <v>1</v>
      </c>
      <c r="AC22" s="1352">
        <v>1</v>
      </c>
    </row>
    <row r="23" spans="1:29" s="108" customFormat="1" ht="15">
      <c r="A23" s="597"/>
      <c r="B23" s="581" t="s">
        <v>1760</v>
      </c>
      <c r="C23" s="1899" t="str">
        <f>估价对象房地状况!G19</f>
        <v>较好</v>
      </c>
      <c r="D23" s="401">
        <v>100</v>
      </c>
      <c r="E23" s="403" t="s">
        <v>3598</v>
      </c>
      <c r="F23" s="401">
        <f>SUMIF(91:91,E24,92:92)-SUMIF(91:91,C24,92:92)+100</f>
        <v>98</v>
      </c>
      <c r="G23" s="403" t="s">
        <v>3601</v>
      </c>
      <c r="H23" s="401">
        <f>SUMIF(91:91,G24,92:92)-SUMIF(91:91,C24,92:92)+100</f>
        <v>100</v>
      </c>
      <c r="I23" s="403" t="s">
        <v>3601</v>
      </c>
      <c r="J23" s="401">
        <f>SUMIF(91:91,I24,92:92)-SUMIF(91:91,C24,92:92)+100</f>
        <v>100</v>
      </c>
      <c r="K23" s="621">
        <v>2</v>
      </c>
      <c r="L23" s="2691"/>
      <c r="M23" s="2692"/>
      <c r="N23" s="2692"/>
      <c r="O23" s="2746"/>
      <c r="P23" s="3709"/>
      <c r="Q23" s="1342" t="str">
        <f t="shared" si="8"/>
        <v>公共配套设施</v>
      </c>
      <c r="R23" s="701" t="s">
        <v>14</v>
      </c>
      <c r="S23" s="702">
        <f>F23</f>
        <v>98</v>
      </c>
      <c r="T23" s="701" t="s">
        <v>14</v>
      </c>
      <c r="U23" s="702">
        <f>H23</f>
        <v>100</v>
      </c>
      <c r="V23" s="701" t="s">
        <v>14</v>
      </c>
      <c r="W23" s="702">
        <f>J23</f>
        <v>100</v>
      </c>
      <c r="X23" s="703"/>
      <c r="Y23" s="3709"/>
      <c r="Z23" s="52" t="str">
        <f>Q23</f>
        <v>公共配套设施</v>
      </c>
      <c r="AA23" s="1352">
        <f>D23/F23</f>
        <v>1.0204081632653061</v>
      </c>
      <c r="AB23" s="1352">
        <f>D23/H23</f>
        <v>1</v>
      </c>
      <c r="AC23" s="1352">
        <f>D23/J23</f>
        <v>1</v>
      </c>
    </row>
    <row r="24" spans="1:29" s="108" customFormat="1" ht="15">
      <c r="A24" s="597"/>
      <c r="B24" s="580"/>
      <c r="C24" s="1977" t="s">
        <v>3601</v>
      </c>
      <c r="D24" s="399"/>
      <c r="E24" s="1903" t="s">
        <v>3598</v>
      </c>
      <c r="F24" s="399"/>
      <c r="G24" s="1903" t="s">
        <v>3601</v>
      </c>
      <c r="H24" s="399"/>
      <c r="I24" s="1903" t="s">
        <v>3601</v>
      </c>
      <c r="J24" s="399"/>
      <c r="K24" s="620"/>
      <c r="L24" s="2691"/>
      <c r="M24" s="2692"/>
      <c r="N24" s="2692"/>
      <c r="O24" s="2746"/>
      <c r="P24" s="3709"/>
      <c r="Q24" s="1342"/>
      <c r="R24" s="701"/>
      <c r="S24" s="702"/>
      <c r="T24" s="701"/>
      <c r="U24" s="702"/>
      <c r="V24" s="701"/>
      <c r="W24" s="702"/>
      <c r="X24" s="703"/>
      <c r="Y24" s="3709"/>
      <c r="Z24" s="52"/>
      <c r="AA24" s="704">
        <v>1</v>
      </c>
      <c r="AB24" s="704">
        <v>1</v>
      </c>
      <c r="AC24" s="704">
        <v>1</v>
      </c>
    </row>
    <row r="25" spans="1:29" s="108" customFormat="1" ht="15">
      <c r="A25" s="597"/>
      <c r="B25" s="581" t="s">
        <v>1761</v>
      </c>
      <c r="C25" s="1899" t="str">
        <f>估价对象房地状况!G20</f>
        <v>七通</v>
      </c>
      <c r="D25" s="401">
        <v>100</v>
      </c>
      <c r="E25" s="403" t="s">
        <v>3605</v>
      </c>
      <c r="F25" s="401">
        <f>SUMIF(93:93,E26,94:94)-SUMIF(93:93,C26,94:94)+100</f>
        <v>100</v>
      </c>
      <c r="G25" s="403" t="s">
        <v>3605</v>
      </c>
      <c r="H25" s="401">
        <f>SUMIF(93:93,G26,94:94)-SUMIF(93:93,C26,94:94)+100</f>
        <v>100</v>
      </c>
      <c r="I25" s="403" t="s">
        <v>3605</v>
      </c>
      <c r="J25" s="401">
        <f>SUMIF(93:93,I26,94:94)-SUMIF(93:93,C26,94:94)+100</f>
        <v>100</v>
      </c>
      <c r="K25" s="621">
        <v>1</v>
      </c>
      <c r="L25" s="2691"/>
      <c r="M25" s="2692"/>
      <c r="N25" s="2692"/>
      <c r="O25" s="2746"/>
      <c r="P25" s="3709"/>
      <c r="Q25" s="1342" t="str">
        <f t="shared" ref="Q25" si="9">B25</f>
        <v>基础设施水平</v>
      </c>
      <c r="R25" s="701" t="s">
        <v>14</v>
      </c>
      <c r="S25" s="702">
        <f>F25</f>
        <v>100</v>
      </c>
      <c r="T25" s="701" t="s">
        <v>14</v>
      </c>
      <c r="U25" s="702">
        <f>H25</f>
        <v>100</v>
      </c>
      <c r="V25" s="701" t="s">
        <v>14</v>
      </c>
      <c r="W25" s="702">
        <f>J25</f>
        <v>100</v>
      </c>
      <c r="X25" s="703"/>
      <c r="Y25" s="3709"/>
      <c r="Z25" s="52" t="str">
        <f>Q25</f>
        <v>基础设施水平</v>
      </c>
      <c r="AA25" s="1352">
        <f>D25/F25</f>
        <v>1</v>
      </c>
      <c r="AB25" s="1352">
        <f>D25/H25</f>
        <v>1</v>
      </c>
      <c r="AC25" s="1352">
        <f>D25/J25</f>
        <v>1</v>
      </c>
    </row>
    <row r="26" spans="1:29" s="108" customFormat="1" ht="15">
      <c r="A26" s="597"/>
      <c r="B26" s="580"/>
      <c r="C26" s="1977" t="s">
        <v>3605</v>
      </c>
      <c r="D26" s="399"/>
      <c r="E26" s="1978" t="s">
        <v>3605</v>
      </c>
      <c r="F26" s="399"/>
      <c r="G26" s="1978" t="s">
        <v>3605</v>
      </c>
      <c r="H26" s="399"/>
      <c r="I26" s="1978" t="s">
        <v>3605</v>
      </c>
      <c r="J26" s="399"/>
      <c r="K26" s="620"/>
      <c r="L26" s="2691"/>
      <c r="M26" s="2692"/>
      <c r="N26" s="2692"/>
      <c r="O26" s="2746"/>
      <c r="P26" s="3709"/>
      <c r="Q26" s="1342"/>
      <c r="R26" s="701"/>
      <c r="S26" s="702"/>
      <c r="T26" s="701"/>
      <c r="U26" s="702"/>
      <c r="V26" s="701"/>
      <c r="W26" s="702"/>
      <c r="X26" s="703"/>
      <c r="Y26" s="3709"/>
      <c r="Z26" s="52"/>
      <c r="AA26" s="704">
        <v>1</v>
      </c>
      <c r="AB26" s="704">
        <v>1</v>
      </c>
      <c r="AC26" s="704">
        <v>1</v>
      </c>
    </row>
    <row r="27" spans="1:29" ht="15.75" thickBot="1">
      <c r="A27" s="379"/>
      <c r="B27" s="580" t="s">
        <v>1762</v>
      </c>
      <c r="C27" s="565"/>
      <c r="D27" s="386">
        <v>100</v>
      </c>
      <c r="E27" s="582"/>
      <c r="F27" s="386">
        <f>SUMIF(95:95,E27,96:96)-SUMIF(95:95,C27,96:96)+100</f>
        <v>100</v>
      </c>
      <c r="G27" s="582"/>
      <c r="H27" s="386">
        <f>SUMIF(95:95,G27,96:96)-SUMIF(95:95,C27,96:96)+100</f>
        <v>100</v>
      </c>
      <c r="I27" s="582"/>
      <c r="J27" s="386">
        <f>SUMIF(95:95,I27,96:96)-SUMIF(95:95,C27,96:96)+100</f>
        <v>100</v>
      </c>
      <c r="K27" s="621"/>
      <c r="L27" s="2696"/>
      <c r="M27" s="2690"/>
      <c r="N27" s="2690"/>
      <c r="O27" s="2748"/>
      <c r="P27" s="3709"/>
      <c r="Q27" s="1351" t="str">
        <f t="shared" si="8"/>
        <v>临街状况</v>
      </c>
      <c r="R27" s="705" t="s">
        <v>14</v>
      </c>
      <c r="S27" s="706">
        <f t="shared" ref="S27:S40" si="10">F27</f>
        <v>100</v>
      </c>
      <c r="T27" s="705" t="s">
        <v>14</v>
      </c>
      <c r="U27" s="706">
        <f t="shared" ref="U27:U40" si="11">H27</f>
        <v>100</v>
      </c>
      <c r="V27" s="705" t="s">
        <v>14</v>
      </c>
      <c r="W27" s="706">
        <f t="shared" ref="W27:W40" si="12">J27</f>
        <v>100</v>
      </c>
      <c r="X27" s="1354"/>
      <c r="Y27" s="3709"/>
      <c r="Z27" s="1355" t="str">
        <f t="shared" ref="Z27:Z40" si="13">Q27</f>
        <v>临街状况</v>
      </c>
      <c r="AA27" s="1352">
        <f t="shared" si="3"/>
        <v>1</v>
      </c>
      <c r="AB27" s="1352">
        <f t="shared" si="4"/>
        <v>1</v>
      </c>
      <c r="AC27" s="1352">
        <f t="shared" si="5"/>
        <v>1</v>
      </c>
    </row>
    <row r="28" spans="1:29" ht="27" hidden="1">
      <c r="A28" s="379"/>
      <c r="B28" s="581" t="s">
        <v>1797</v>
      </c>
      <c r="C28" s="1990">
        <f>估价对象房地状况!G22</f>
        <v>0</v>
      </c>
      <c r="D28" s="401">
        <v>100</v>
      </c>
      <c r="E28" s="403"/>
      <c r="F28" s="401">
        <f>SUMIF(97:97,E29,98:98)-SUMIF(97:97,C29,98:98)+100</f>
        <v>100</v>
      </c>
      <c r="G28" s="403"/>
      <c r="H28" s="401">
        <f>SUMIF(97:97,G29,98:98)-SUMIF(97:97,C29,98:98)+100</f>
        <v>100</v>
      </c>
      <c r="I28" s="405"/>
      <c r="J28" s="401">
        <f>SUMIF(97:97,I29,98:98)-SUMIF(97:97,C29,98:98)+100</f>
        <v>100</v>
      </c>
      <c r="K28" s="621"/>
      <c r="L28" s="2696"/>
      <c r="M28" s="2690"/>
      <c r="N28" s="2690"/>
      <c r="O28" s="2748"/>
      <c r="P28" s="3709"/>
      <c r="Q28" s="1351" t="str">
        <f t="shared" si="8"/>
        <v>毗邻道路的类型与等级</v>
      </c>
      <c r="R28" s="705" t="s">
        <v>14</v>
      </c>
      <c r="S28" s="706">
        <f t="shared" si="10"/>
        <v>100</v>
      </c>
      <c r="T28" s="705" t="s">
        <v>14</v>
      </c>
      <c r="U28" s="706">
        <f t="shared" si="11"/>
        <v>100</v>
      </c>
      <c r="V28" s="705" t="s">
        <v>14</v>
      </c>
      <c r="W28" s="706">
        <f t="shared" si="12"/>
        <v>100</v>
      </c>
      <c r="X28" s="1354"/>
      <c r="Y28" s="3709"/>
      <c r="Z28" s="1355" t="str">
        <f t="shared" si="13"/>
        <v>毗邻道路的类型与等级</v>
      </c>
      <c r="AA28" s="1352">
        <f t="shared" si="3"/>
        <v>1</v>
      </c>
      <c r="AB28" s="1352">
        <f t="shared" si="4"/>
        <v>1</v>
      </c>
      <c r="AC28" s="1352">
        <f t="shared" si="5"/>
        <v>1</v>
      </c>
    </row>
    <row r="29" spans="1:29" ht="15" hidden="1">
      <c r="A29" s="379"/>
      <c r="B29" s="580"/>
      <c r="C29" s="398"/>
      <c r="D29" s="399"/>
      <c r="E29" s="1903"/>
      <c r="F29" s="399"/>
      <c r="G29" s="1903"/>
      <c r="H29" s="399"/>
      <c r="I29" s="1903"/>
      <c r="J29" s="399"/>
      <c r="K29" s="562"/>
      <c r="L29" s="2696"/>
      <c r="M29" s="2690"/>
      <c r="N29" s="2690"/>
      <c r="O29" s="2748"/>
      <c r="P29" s="3709"/>
      <c r="Q29" s="1351"/>
      <c r="R29" s="705"/>
      <c r="S29" s="706"/>
      <c r="T29" s="705"/>
      <c r="U29" s="706"/>
      <c r="V29" s="705"/>
      <c r="W29" s="706"/>
      <c r="X29" s="1354"/>
      <c r="Y29" s="3709"/>
      <c r="Z29" s="1355"/>
      <c r="AA29" s="1352">
        <v>1</v>
      </c>
      <c r="AB29" s="1352">
        <v>1</v>
      </c>
      <c r="AC29" s="1352">
        <v>1</v>
      </c>
    </row>
    <row r="30" spans="1:29" ht="15" hidden="1">
      <c r="A30" s="379"/>
      <c r="B30" s="602" t="s">
        <v>1855</v>
      </c>
      <c r="C30" s="1136">
        <f>估价对象房地状况!G23</f>
        <v>0</v>
      </c>
      <c r="D30" s="386">
        <v>100</v>
      </c>
      <c r="E30" s="582"/>
      <c r="F30" s="386">
        <f>SUMIF(99:99,E30,100:100)-SUMIF(99:99,C30,100:100)+100</f>
        <v>100</v>
      </c>
      <c r="G30" s="582"/>
      <c r="H30" s="386">
        <f>SUMIF(99:99,G30,100:100)-SUMIF(99:99,C30,100:100)+100</f>
        <v>100</v>
      </c>
      <c r="I30" s="582"/>
      <c r="J30" s="386">
        <f>SUMIF(99:99,I30,100:100)-SUMIF(99:99,C30,100:100)+100</f>
        <v>100</v>
      </c>
      <c r="K30" s="561"/>
      <c r="L30" s="2696"/>
      <c r="M30" s="2690"/>
      <c r="N30" s="2690"/>
      <c r="O30" s="2748"/>
      <c r="P30" s="3709"/>
      <c r="Q30" s="1351" t="str">
        <f t="shared" si="8"/>
        <v>土地级别</v>
      </c>
      <c r="R30" s="705" t="s">
        <v>14</v>
      </c>
      <c r="S30" s="706">
        <f t="shared" si="10"/>
        <v>100</v>
      </c>
      <c r="T30" s="705" t="s">
        <v>14</v>
      </c>
      <c r="U30" s="706">
        <f t="shared" si="11"/>
        <v>100</v>
      </c>
      <c r="V30" s="705" t="s">
        <v>14</v>
      </c>
      <c r="W30" s="706">
        <f t="shared" si="12"/>
        <v>100</v>
      </c>
      <c r="X30" s="1354"/>
      <c r="Y30" s="3709"/>
      <c r="Z30" s="1355" t="str">
        <f t="shared" si="13"/>
        <v>土地级别</v>
      </c>
      <c r="AA30" s="1352">
        <f t="shared" si="3"/>
        <v>1</v>
      </c>
      <c r="AB30" s="1352">
        <f t="shared" si="4"/>
        <v>1</v>
      </c>
      <c r="AC30" s="1352">
        <f t="shared" si="5"/>
        <v>1</v>
      </c>
    </row>
    <row r="31" spans="1:29" ht="15" hidden="1">
      <c r="A31" s="358"/>
      <c r="B31" s="1965">
        <v>111</v>
      </c>
      <c r="C31" s="622"/>
      <c r="D31" s="386">
        <v>100</v>
      </c>
      <c r="E31" s="428"/>
      <c r="F31" s="386">
        <f>SUMIF(101:101,E31,102:102)-SUMIF(101:101,C31,102:102)+100</f>
        <v>100</v>
      </c>
      <c r="G31" s="428"/>
      <c r="H31" s="386">
        <f>SUMIF(101:101,G31,102:102)-SUMIF(101:101,C31,102:102)+100</f>
        <v>100</v>
      </c>
      <c r="I31" s="498"/>
      <c r="J31" s="386">
        <f>SUMIF(101:101,I31,102:102)-SUMIF(101:101,C31,102:102)+100</f>
        <v>100</v>
      </c>
      <c r="K31" s="562"/>
      <c r="L31" s="2696"/>
      <c r="M31" s="2690"/>
      <c r="N31" s="2690"/>
      <c r="O31" s="2748"/>
      <c r="P31" s="3709"/>
      <c r="Q31" s="1351">
        <f t="shared" si="8"/>
        <v>111</v>
      </c>
      <c r="R31" s="705" t="s">
        <v>14</v>
      </c>
      <c r="S31" s="706">
        <f t="shared" si="10"/>
        <v>100</v>
      </c>
      <c r="T31" s="705" t="s">
        <v>14</v>
      </c>
      <c r="U31" s="706">
        <f t="shared" si="11"/>
        <v>100</v>
      </c>
      <c r="V31" s="705" t="s">
        <v>14</v>
      </c>
      <c r="W31" s="706">
        <f t="shared" si="12"/>
        <v>100</v>
      </c>
      <c r="X31" s="1354"/>
      <c r="Y31" s="3709"/>
      <c r="Z31" s="1355">
        <f t="shared" si="13"/>
        <v>111</v>
      </c>
      <c r="AA31" s="1352">
        <f t="shared" si="3"/>
        <v>1</v>
      </c>
      <c r="AB31" s="1352">
        <f t="shared" si="4"/>
        <v>1</v>
      </c>
      <c r="AC31" s="1352">
        <f t="shared" si="5"/>
        <v>1</v>
      </c>
    </row>
    <row r="32" spans="1:29" ht="15" hidden="1">
      <c r="A32" s="623"/>
      <c r="B32" s="1991">
        <v>111</v>
      </c>
      <c r="C32" s="622"/>
      <c r="D32" s="386">
        <v>100</v>
      </c>
      <c r="E32" s="428"/>
      <c r="F32" s="386">
        <f>SUMIF(103:103,E33,104:104)-SUMIF(103:103,C33,104:104)+100</f>
        <v>100</v>
      </c>
      <c r="G32" s="428"/>
      <c r="H32" s="386">
        <f>SUMIF(103:103,G32,104:104)-SUMIF(103:103,C32,104:104)+100</f>
        <v>100</v>
      </c>
      <c r="I32" s="622"/>
      <c r="J32" s="386">
        <f>SUMIF(103:103,I32,104:104)-SUMIF(103:103,C32,104:104)+100</f>
        <v>100</v>
      </c>
      <c r="K32" s="562"/>
      <c r="L32" s="2696"/>
      <c r="M32" s="2690"/>
      <c r="N32" s="2690"/>
      <c r="O32" s="2748"/>
      <c r="P32" s="3764" t="s">
        <v>1678</v>
      </c>
      <c r="Q32" s="1351">
        <f t="shared" si="8"/>
        <v>111</v>
      </c>
      <c r="R32" s="705" t="s">
        <v>14</v>
      </c>
      <c r="S32" s="706">
        <f t="shared" si="10"/>
        <v>100</v>
      </c>
      <c r="T32" s="705" t="s">
        <v>14</v>
      </c>
      <c r="U32" s="706">
        <f t="shared" si="11"/>
        <v>100</v>
      </c>
      <c r="V32" s="705" t="s">
        <v>14</v>
      </c>
      <c r="W32" s="706">
        <f t="shared" si="12"/>
        <v>100</v>
      </c>
      <c r="X32" s="1354"/>
      <c r="Y32" s="3713" t="s">
        <v>1678</v>
      </c>
      <c r="Z32" s="1355">
        <f t="shared" si="13"/>
        <v>111</v>
      </c>
      <c r="AA32" s="1352">
        <f t="shared" si="3"/>
        <v>1</v>
      </c>
      <c r="AB32" s="1352">
        <f t="shared" si="4"/>
        <v>1</v>
      </c>
      <c r="AC32" s="1352">
        <f t="shared" si="5"/>
        <v>1</v>
      </c>
    </row>
    <row r="33" spans="1:31" s="422" customFormat="1" ht="15.75" hidden="1" thickBot="1">
      <c r="A33" s="624"/>
      <c r="B33" s="1992">
        <v>111</v>
      </c>
      <c r="C33" s="626"/>
      <c r="D33" s="128">
        <v>100</v>
      </c>
      <c r="E33" s="649"/>
      <c r="F33" s="389">
        <f>SUMIF(105:105,E33,106:106)-SUMIF(105:105,C33,106:106)+100</f>
        <v>100</v>
      </c>
      <c r="G33" s="649"/>
      <c r="H33" s="389">
        <f>SUMIF(105:105,G33,106:106)-SUMIF(105:105,C33,106:106)+100</f>
        <v>100</v>
      </c>
      <c r="I33" s="626"/>
      <c r="J33" s="389">
        <f>SUMIF(105:105,I33,106:106)-SUMIF(105:105,C33,106:106)+100</f>
        <v>100</v>
      </c>
      <c r="K33" s="562"/>
      <c r="L33" s="2695"/>
      <c r="M33" s="2697"/>
      <c r="N33" s="2697"/>
      <c r="O33" s="2749"/>
      <c r="P33" s="3713"/>
      <c r="Q33" s="1351">
        <f t="shared" si="8"/>
        <v>111</v>
      </c>
      <c r="R33" s="708" t="s">
        <v>14</v>
      </c>
      <c r="S33" s="709">
        <f t="shared" si="10"/>
        <v>100</v>
      </c>
      <c r="T33" s="708" t="s">
        <v>14</v>
      </c>
      <c r="U33" s="709">
        <f t="shared" si="11"/>
        <v>100</v>
      </c>
      <c r="V33" s="708" t="s">
        <v>14</v>
      </c>
      <c r="W33" s="709">
        <f t="shared" si="12"/>
        <v>100</v>
      </c>
      <c r="X33" s="710"/>
      <c r="Y33" s="3713"/>
      <c r="Z33" s="711">
        <f t="shared" si="13"/>
        <v>111</v>
      </c>
      <c r="AA33" s="1352">
        <f t="shared" si="3"/>
        <v>1</v>
      </c>
      <c r="AB33" s="1352">
        <f t="shared" si="4"/>
        <v>1</v>
      </c>
      <c r="AC33" s="1352">
        <f t="shared" si="5"/>
        <v>1</v>
      </c>
    </row>
    <row r="34" spans="1:31" ht="15">
      <c r="A34" s="391" t="s">
        <v>1676</v>
      </c>
      <c r="B34" s="407" t="s">
        <v>1856</v>
      </c>
      <c r="C34" s="627">
        <f>'数据-基础表'!A3</f>
        <v>62378.94</v>
      </c>
      <c r="D34" s="418">
        <v>100</v>
      </c>
      <c r="E34" s="627">
        <f>土地案例!I2</f>
        <v>37655.61</v>
      </c>
      <c r="F34" s="418">
        <f>LOOKUP(E34,108:108,109:109)-LOOKUP(C34,108:108,109:109)+100</f>
        <v>98</v>
      </c>
      <c r="G34" s="627">
        <f>土地案例!I3</f>
        <v>32636.74</v>
      </c>
      <c r="H34" s="418">
        <f>LOOKUP(G34,108:108,109:109)-LOOKUP(C34,108:108,109:109)+100</f>
        <v>98</v>
      </c>
      <c r="I34" s="479">
        <f>土地案例!I4</f>
        <v>64012.4</v>
      </c>
      <c r="J34" s="418">
        <f>LOOKUP(I34,108:108,109:109)-LOOKUP(C34,108:108,109:109)+100</f>
        <v>100</v>
      </c>
      <c r="K34" s="562"/>
      <c r="L34" s="2696"/>
      <c r="M34" s="2690"/>
      <c r="N34" s="2690"/>
      <c r="O34" s="2748"/>
      <c r="P34" s="3713"/>
      <c r="Q34" s="1351" t="str">
        <f>B34</f>
        <v>宗地面积</v>
      </c>
      <c r="R34" s="705" t="s">
        <v>14</v>
      </c>
      <c r="S34" s="706">
        <f t="shared" si="10"/>
        <v>98</v>
      </c>
      <c r="T34" s="705" t="s">
        <v>14</v>
      </c>
      <c r="U34" s="706">
        <f t="shared" si="11"/>
        <v>98</v>
      </c>
      <c r="V34" s="705" t="s">
        <v>14</v>
      </c>
      <c r="W34" s="706">
        <f t="shared" si="12"/>
        <v>100</v>
      </c>
      <c r="X34" s="1354"/>
      <c r="Y34" s="3713"/>
      <c r="Z34" s="1355" t="str">
        <f t="shared" si="13"/>
        <v>宗地面积</v>
      </c>
      <c r="AA34" s="1352">
        <f t="shared" si="3"/>
        <v>1.0204081632653061</v>
      </c>
      <c r="AB34" s="1352">
        <f t="shared" si="4"/>
        <v>1.0204081632653061</v>
      </c>
      <c r="AC34" s="1352">
        <f t="shared" si="5"/>
        <v>1</v>
      </c>
    </row>
    <row r="35" spans="1:31" ht="15">
      <c r="A35" s="423"/>
      <c r="B35" s="375" t="s">
        <v>1857</v>
      </c>
      <c r="C35" s="1905" t="s">
        <v>3610</v>
      </c>
      <c r="D35" s="386">
        <v>100</v>
      </c>
      <c r="E35" s="1905" t="s">
        <v>3610</v>
      </c>
      <c r="F35" s="386">
        <f>SUMIF(110:110,E35,111:111)-SUMIF(110:110,C35,111:111)+100</f>
        <v>100</v>
      </c>
      <c r="G35" s="1905" t="s">
        <v>3610</v>
      </c>
      <c r="H35" s="386">
        <f>SUMIF(110:110,G35,111:111)-SUMIF(110:110,C35,111:111)+100</f>
        <v>100</v>
      </c>
      <c r="I35" s="1905" t="s">
        <v>3610</v>
      </c>
      <c r="J35" s="386">
        <f>SUMIF(110:110,I35,111:111)-SUMIF(110:110,C35,111:111)+100</f>
        <v>100</v>
      </c>
      <c r="K35" s="561">
        <v>2</v>
      </c>
      <c r="L35" s="2696"/>
      <c r="M35" s="2690"/>
      <c r="N35" s="2690"/>
      <c r="O35" s="2748"/>
      <c r="P35" s="3713"/>
      <c r="Q35" s="1351" t="str">
        <f t="shared" ref="Q35:Q40" si="14">B35</f>
        <v>宗地形状</v>
      </c>
      <c r="R35" s="705" t="s">
        <v>14</v>
      </c>
      <c r="S35" s="706">
        <f t="shared" si="10"/>
        <v>100</v>
      </c>
      <c r="T35" s="705" t="s">
        <v>14</v>
      </c>
      <c r="U35" s="706">
        <f t="shared" si="11"/>
        <v>100</v>
      </c>
      <c r="V35" s="705" t="s">
        <v>14</v>
      </c>
      <c r="W35" s="706">
        <f t="shared" si="12"/>
        <v>100</v>
      </c>
      <c r="X35" s="1354"/>
      <c r="Y35" s="3713"/>
      <c r="Z35" s="1355" t="str">
        <f t="shared" si="13"/>
        <v>宗地形状</v>
      </c>
      <c r="AA35" s="1352">
        <f t="shared" si="3"/>
        <v>1</v>
      </c>
      <c r="AB35" s="1352">
        <f t="shared" si="4"/>
        <v>1</v>
      </c>
      <c r="AC35" s="1352">
        <f t="shared" si="5"/>
        <v>1</v>
      </c>
    </row>
    <row r="36" spans="1:31" s="108" customFormat="1" ht="15">
      <c r="A36" s="424"/>
      <c r="B36" s="375" t="s">
        <v>1859</v>
      </c>
      <c r="C36" s="1979" t="s">
        <v>3613</v>
      </c>
      <c r="D36" s="127">
        <v>100</v>
      </c>
      <c r="E36" s="1979" t="s">
        <v>3614</v>
      </c>
      <c r="F36" s="386">
        <f>SUMIF(112:112,E36,113:113)-SUMIF(112:112,C36,113:113)+100</f>
        <v>98</v>
      </c>
      <c r="G36" s="1979" t="s">
        <v>3613</v>
      </c>
      <c r="H36" s="386">
        <f>SUMIF(112:112,G36,113:113)-SUMIF(112:112,C36,113:113)+100</f>
        <v>100</v>
      </c>
      <c r="I36" s="1979" t="s">
        <v>3615</v>
      </c>
      <c r="J36" s="386">
        <f>SUMIF(112:112,I36,113:113)-SUMIF(112:112,C36,113:113)+100</f>
        <v>94</v>
      </c>
      <c r="K36" s="561">
        <v>2</v>
      </c>
      <c r="L36" s="2691"/>
      <c r="M36" s="2692"/>
      <c r="N36" s="2692"/>
      <c r="O36" s="2746"/>
      <c r="P36" s="3713"/>
      <c r="Q36" s="1351" t="str">
        <f t="shared" si="14"/>
        <v>宗地开发程度</v>
      </c>
      <c r="R36" s="701" t="s">
        <v>14</v>
      </c>
      <c r="S36" s="702">
        <f t="shared" si="10"/>
        <v>98</v>
      </c>
      <c r="T36" s="701" t="s">
        <v>14</v>
      </c>
      <c r="U36" s="702">
        <f t="shared" si="11"/>
        <v>100</v>
      </c>
      <c r="V36" s="701" t="s">
        <v>14</v>
      </c>
      <c r="W36" s="702">
        <f t="shared" si="12"/>
        <v>94</v>
      </c>
      <c r="X36" s="703"/>
      <c r="Y36" s="3713"/>
      <c r="Z36" s="52" t="str">
        <f t="shared" si="13"/>
        <v>宗地开发程度</v>
      </c>
      <c r="AA36" s="704">
        <f t="shared" si="3"/>
        <v>1.0204081632653061</v>
      </c>
      <c r="AB36" s="704">
        <f t="shared" si="4"/>
        <v>1</v>
      </c>
      <c r="AC36" s="704">
        <f t="shared" si="5"/>
        <v>1.0638297872340425</v>
      </c>
    </row>
    <row r="37" spans="1:31" ht="15.75" thickBot="1">
      <c r="A37" s="423"/>
      <c r="B37" s="375" t="s">
        <v>1860</v>
      </c>
      <c r="C37" s="1905" t="s">
        <v>3601</v>
      </c>
      <c r="D37" s="386">
        <v>100</v>
      </c>
      <c r="E37" s="1905" t="s">
        <v>3601</v>
      </c>
      <c r="F37" s="386">
        <f>SUMIF(114:114,E37,115:115)-SUMIF(114:114,C37,115:115)+100</f>
        <v>100</v>
      </c>
      <c r="G37" s="1905" t="s">
        <v>3601</v>
      </c>
      <c r="H37" s="386">
        <f>SUMIF(114:114,G37,115:115)-SUMIF(114:114,C37,115:115)+100</f>
        <v>100</v>
      </c>
      <c r="I37" s="1905" t="s">
        <v>3601</v>
      </c>
      <c r="J37" s="386">
        <f>SUMIF(114:114,I37,115:115)-SUMIF(114:114,C37,115:115)+100</f>
        <v>100</v>
      </c>
      <c r="K37" s="561">
        <v>2</v>
      </c>
      <c r="L37" s="2696"/>
      <c r="M37" s="2690"/>
      <c r="N37" s="2690"/>
      <c r="O37" s="2748"/>
      <c r="P37" s="3713" t="s">
        <v>1678</v>
      </c>
      <c r="Q37" s="1351" t="str">
        <f t="shared" si="14"/>
        <v>工程地质条件</v>
      </c>
      <c r="R37" s="705" t="s">
        <v>14</v>
      </c>
      <c r="S37" s="706">
        <f t="shared" si="10"/>
        <v>100</v>
      </c>
      <c r="T37" s="705" t="s">
        <v>14</v>
      </c>
      <c r="U37" s="706">
        <f t="shared" si="11"/>
        <v>100</v>
      </c>
      <c r="V37" s="705" t="s">
        <v>14</v>
      </c>
      <c r="W37" s="706">
        <f t="shared" si="12"/>
        <v>100</v>
      </c>
      <c r="X37" s="1354"/>
      <c r="Y37" s="3713" t="s">
        <v>1678</v>
      </c>
      <c r="Z37" s="1355" t="str">
        <f t="shared" si="13"/>
        <v>工程地质条件</v>
      </c>
      <c r="AA37" s="1352">
        <f t="shared" si="3"/>
        <v>1</v>
      </c>
      <c r="AB37" s="1352">
        <f t="shared" si="4"/>
        <v>1</v>
      </c>
      <c r="AC37" s="1352">
        <f t="shared" si="5"/>
        <v>1</v>
      </c>
    </row>
    <row r="38" spans="1:31" ht="15" hidden="1">
      <c r="A38" s="423"/>
      <c r="B38" s="1134">
        <v>111</v>
      </c>
      <c r="C38" s="622"/>
      <c r="D38" s="386">
        <v>100</v>
      </c>
      <c r="E38" s="622"/>
      <c r="F38" s="386">
        <f>SUMIF(116:116,E38,117:117)-SUMIF(116:116,C38,117:117)+100</f>
        <v>100</v>
      </c>
      <c r="G38" s="622"/>
      <c r="H38" s="386">
        <f>SUMIF(116:116,G38,117:117)-SUMIF(116:116,C38,117:117)+100</f>
        <v>100</v>
      </c>
      <c r="I38" s="498"/>
      <c r="J38" s="386">
        <f>SUMIF(116:116,I38,117:117)-SUMIF(116:116,C38,117:117)+100</f>
        <v>100</v>
      </c>
      <c r="K38" s="562"/>
      <c r="L38" s="2696"/>
      <c r="M38" s="2690"/>
      <c r="N38" s="2690"/>
      <c r="O38" s="2748"/>
      <c r="P38" s="3713"/>
      <c r="Q38" s="1351">
        <f t="shared" si="14"/>
        <v>111</v>
      </c>
      <c r="R38" s="705" t="s">
        <v>14</v>
      </c>
      <c r="S38" s="706">
        <f t="shared" si="10"/>
        <v>100</v>
      </c>
      <c r="T38" s="705" t="s">
        <v>14</v>
      </c>
      <c r="U38" s="706">
        <f t="shared" si="11"/>
        <v>100</v>
      </c>
      <c r="V38" s="705" t="s">
        <v>14</v>
      </c>
      <c r="W38" s="706">
        <f t="shared" si="12"/>
        <v>100</v>
      </c>
      <c r="X38" s="1354"/>
      <c r="Y38" s="3713"/>
      <c r="Z38" s="1355">
        <f t="shared" si="13"/>
        <v>111</v>
      </c>
      <c r="AA38" s="1352">
        <f t="shared" si="3"/>
        <v>1</v>
      </c>
      <c r="AB38" s="1352">
        <f t="shared" si="4"/>
        <v>1</v>
      </c>
      <c r="AC38" s="1352">
        <f t="shared" si="5"/>
        <v>1</v>
      </c>
    </row>
    <row r="39" spans="1:31" ht="15" hidden="1">
      <c r="A39" s="423"/>
      <c r="B39" s="1134">
        <v>111</v>
      </c>
      <c r="C39" s="622"/>
      <c r="D39" s="386">
        <v>100</v>
      </c>
      <c r="E39" s="622"/>
      <c r="F39" s="386">
        <f>SUMIF(118:118,E39,119:119)-SUMIF(118:118,C39,119:119)+100</f>
        <v>100</v>
      </c>
      <c r="G39" s="622"/>
      <c r="H39" s="386">
        <f>SUMIF(118:118,G39,119:119)-SUMIF(118:118,C39,119:119)+100</f>
        <v>100</v>
      </c>
      <c r="I39" s="498"/>
      <c r="J39" s="386">
        <f>SUMIF(118:118,I39,119:119)-SUMIF(118:118,C39,119:119)+100</f>
        <v>100</v>
      </c>
      <c r="K39" s="562"/>
      <c r="L39" s="2696"/>
      <c r="M39" s="2690"/>
      <c r="N39" s="2690"/>
      <c r="O39" s="2748"/>
      <c r="P39" s="3713"/>
      <c r="Q39" s="1351">
        <f t="shared" si="14"/>
        <v>111</v>
      </c>
      <c r="R39" s="705" t="s">
        <v>14</v>
      </c>
      <c r="S39" s="706">
        <f t="shared" si="10"/>
        <v>100</v>
      </c>
      <c r="T39" s="705" t="s">
        <v>14</v>
      </c>
      <c r="U39" s="706">
        <f t="shared" si="11"/>
        <v>100</v>
      </c>
      <c r="V39" s="705" t="s">
        <v>14</v>
      </c>
      <c r="W39" s="706">
        <f t="shared" si="12"/>
        <v>100</v>
      </c>
      <c r="X39" s="1354"/>
      <c r="Y39" s="3713"/>
      <c r="Z39" s="1355">
        <f t="shared" si="13"/>
        <v>111</v>
      </c>
      <c r="AA39" s="1352">
        <f t="shared" si="3"/>
        <v>1</v>
      </c>
      <c r="AB39" s="1352">
        <f t="shared" si="4"/>
        <v>1</v>
      </c>
      <c r="AC39" s="1352">
        <f t="shared" si="5"/>
        <v>1</v>
      </c>
    </row>
    <row r="40" spans="1:31" s="422" customFormat="1" ht="15.75" hidden="1" thickBot="1">
      <c r="A40" s="419"/>
      <c r="B40" s="1134">
        <v>111</v>
      </c>
      <c r="C40" s="1980"/>
      <c r="D40" s="128">
        <v>100</v>
      </c>
      <c r="E40" s="622"/>
      <c r="F40" s="389">
        <f>SUMIF(120:120,E40,121:121)-SUMIF(120:120,C40,121:121)+100</f>
        <v>100</v>
      </c>
      <c r="G40" s="622"/>
      <c r="H40" s="389">
        <f>SUMIF(120:120,G40,121:121)-SUMIF(120:120,C40,121:121)+100</f>
        <v>100</v>
      </c>
      <c r="I40" s="498"/>
      <c r="J40" s="389">
        <f>SUMIF(120:120,I40,121:121)-SUMIF(120:120,C40,121:121)+100</f>
        <v>100</v>
      </c>
      <c r="K40" s="629"/>
      <c r="L40" s="2695"/>
      <c r="M40" s="2697"/>
      <c r="N40" s="2697"/>
      <c r="O40" s="2749"/>
      <c r="P40" s="3713"/>
      <c r="Q40" s="1351">
        <f t="shared" si="14"/>
        <v>111</v>
      </c>
      <c r="R40" s="708" t="s">
        <v>14</v>
      </c>
      <c r="S40" s="709">
        <f t="shared" si="10"/>
        <v>100</v>
      </c>
      <c r="T40" s="708" t="s">
        <v>14</v>
      </c>
      <c r="U40" s="709">
        <f t="shared" si="11"/>
        <v>100</v>
      </c>
      <c r="V40" s="708" t="s">
        <v>14</v>
      </c>
      <c r="W40" s="709">
        <f t="shared" si="12"/>
        <v>100</v>
      </c>
      <c r="X40" s="710"/>
      <c r="Y40" s="3713"/>
      <c r="Z40" s="711">
        <f t="shared" si="13"/>
        <v>111</v>
      </c>
      <c r="AA40" s="1352">
        <f t="shared" si="3"/>
        <v>1</v>
      </c>
      <c r="AB40" s="1352">
        <f t="shared" si="4"/>
        <v>1</v>
      </c>
      <c r="AC40" s="1352">
        <f t="shared" si="5"/>
        <v>1</v>
      </c>
    </row>
    <row r="41" spans="1:31" ht="15">
      <c r="A41" s="430" t="s">
        <v>1826</v>
      </c>
      <c r="B41" s="1981" t="s">
        <v>3616</v>
      </c>
      <c r="C41" s="630" t="s">
        <v>0</v>
      </c>
      <c r="D41" s="432"/>
      <c r="E41" s="433">
        <f>土地案例!AU2</f>
        <v>13189</v>
      </c>
      <c r="F41" s="434"/>
      <c r="G41" s="435">
        <f>土地案例!AU3</f>
        <v>12606</v>
      </c>
      <c r="H41" s="436"/>
      <c r="I41" s="433">
        <f>土地案例!AU4</f>
        <v>9217</v>
      </c>
      <c r="J41" s="436"/>
      <c r="K41" s="714"/>
      <c r="L41" s="2698"/>
      <c r="M41" s="2690"/>
      <c r="N41" s="2690"/>
      <c r="O41" s="2699"/>
      <c r="P41" s="3706" t="str">
        <f>A41</f>
        <v>成交单价</v>
      </c>
      <c r="Q41" s="3706"/>
      <c r="R41" s="3737">
        <f>E41</f>
        <v>13189</v>
      </c>
      <c r="S41" s="3737"/>
      <c r="T41" s="3737">
        <f>G41</f>
        <v>12606</v>
      </c>
      <c r="U41" s="3737"/>
      <c r="V41" s="3737">
        <f>I41</f>
        <v>9217</v>
      </c>
      <c r="W41" s="3737"/>
      <c r="X41" s="690"/>
      <c r="Y41" s="712"/>
      <c r="Z41" s="690"/>
      <c r="AA41" s="690"/>
      <c r="AB41" s="690"/>
      <c r="AC41" s="690"/>
    </row>
    <row r="42" spans="1:31" ht="15.75" thickBot="1">
      <c r="A42" s="437" t="s">
        <v>1775</v>
      </c>
      <c r="B42" s="631"/>
      <c r="C42" s="440">
        <f>R43</f>
        <v>10877</v>
      </c>
      <c r="D42" s="2316" t="s">
        <v>2119</v>
      </c>
      <c r="E42" s="440">
        <f>R42</f>
        <v>11686</v>
      </c>
      <c r="F42" s="2317"/>
      <c r="G42" s="439">
        <f>T42</f>
        <v>11549</v>
      </c>
      <c r="H42" s="2317"/>
      <c r="I42" s="440">
        <f>V42</f>
        <v>9397</v>
      </c>
      <c r="J42" s="2317"/>
      <c r="K42" s="2319">
        <f>F42+H42+J42</f>
        <v>0</v>
      </c>
      <c r="L42" s="2698"/>
      <c r="M42" s="2690"/>
      <c r="N42" s="2690"/>
      <c r="O42" s="2699"/>
      <c r="P42" s="3706" t="str">
        <f>A42</f>
        <v>比较价值（元/平方米）</v>
      </c>
      <c r="Q42" s="3706"/>
      <c r="R42" s="3766">
        <f>ROUND(PRODUCT(R41,AA7:AA40),0)</f>
        <v>11686</v>
      </c>
      <c r="S42" s="3766"/>
      <c r="T42" s="3766">
        <f>ROUND(PRODUCT(T41,AB7:AB40),0)</f>
        <v>11549</v>
      </c>
      <c r="U42" s="3766"/>
      <c r="V42" s="3766">
        <f>ROUND(PRODUCT(V41,AC7:AC40),0)</f>
        <v>9397</v>
      </c>
      <c r="W42" s="3766"/>
      <c r="X42" s="690"/>
      <c r="Y42" s="690"/>
      <c r="Z42" s="690"/>
      <c r="AA42" s="690"/>
      <c r="AB42" s="690"/>
      <c r="AC42" s="690"/>
    </row>
    <row r="43" spans="1:31" ht="15.75" thickBot="1">
      <c r="A43" s="441" t="s">
        <v>1776</v>
      </c>
      <c r="B43" s="442"/>
      <c r="C43" s="443">
        <f>R43</f>
        <v>10877</v>
      </c>
      <c r="D43" s="443"/>
      <c r="E43" s="443"/>
      <c r="F43" s="443"/>
      <c r="G43" s="443"/>
      <c r="H43" s="443"/>
      <c r="I43" s="443"/>
      <c r="J43" s="443"/>
      <c r="K43" s="715"/>
      <c r="L43" s="2698"/>
      <c r="M43" s="2690"/>
      <c r="N43" s="2690"/>
      <c r="O43" s="2699"/>
      <c r="P43" s="3703" t="str">
        <f>A43</f>
        <v>估价对象XX用房的比较价值（楼面单价，元/平方米）</v>
      </c>
      <c r="Q43" s="3704"/>
      <c r="R43" s="3767">
        <f>ROUND(IF(D42="简单平均",AVERAGE(R42:W42),R42*F42+T42*H42+V42*J42),0)</f>
        <v>10877</v>
      </c>
      <c r="S43" s="3767"/>
      <c r="T43" s="3767"/>
      <c r="U43" s="3767"/>
      <c r="V43" s="3767"/>
      <c r="W43" s="3767"/>
      <c r="X43" s="690"/>
      <c r="Y43" s="690"/>
      <c r="Z43" s="690"/>
      <c r="AA43" s="690"/>
      <c r="AB43" s="690"/>
      <c r="AC43" s="690"/>
    </row>
    <row r="44" spans="1:31">
      <c r="A44" s="2699"/>
      <c r="B44" s="2699"/>
      <c r="C44" s="2699"/>
      <c r="D44" s="2699"/>
      <c r="E44" s="2699"/>
      <c r="F44" s="2699"/>
      <c r="G44" s="2703"/>
      <c r="H44" s="2699"/>
      <c r="I44" s="2699"/>
      <c r="J44" s="2699"/>
      <c r="K44" s="2704"/>
      <c r="L44" s="2700"/>
      <c r="M44" s="2690"/>
      <c r="N44" s="2690"/>
      <c r="O44" s="2699"/>
      <c r="P44" s="2699"/>
      <c r="Q44" s="2699"/>
      <c r="R44" s="2699"/>
      <c r="S44" s="2699"/>
      <c r="T44" s="2699"/>
      <c r="U44" s="2699"/>
      <c r="V44" s="2699"/>
      <c r="W44" s="2699"/>
      <c r="X44" s="2699"/>
      <c r="Y44" s="2699"/>
      <c r="Z44" s="2699"/>
      <c r="AA44" s="2699"/>
      <c r="AB44" s="2699"/>
      <c r="AC44" s="2699"/>
      <c r="AD44" s="2699"/>
      <c r="AE44" s="2699"/>
    </row>
    <row r="45" spans="1:31">
      <c r="A45" s="2699"/>
      <c r="B45" s="2699"/>
      <c r="C45" s="2699"/>
      <c r="D45" s="2699"/>
      <c r="E45" s="2699"/>
      <c r="F45" s="2699"/>
      <c r="G45" s="2699"/>
      <c r="H45" s="2699"/>
      <c r="I45" s="2699"/>
      <c r="J45" s="2699"/>
      <c r="K45" s="2704"/>
      <c r="L45" s="2700"/>
      <c r="M45" s="2690"/>
      <c r="N45" s="2690"/>
      <c r="O45" s="2699"/>
      <c r="P45" s="2699"/>
      <c r="Q45" s="2699"/>
      <c r="R45" s="2699"/>
      <c r="S45" s="2699"/>
      <c r="T45" s="2699"/>
      <c r="U45" s="2699"/>
      <c r="V45" s="2699"/>
      <c r="W45" s="2699"/>
      <c r="X45" s="2699"/>
      <c r="Y45" s="2699"/>
      <c r="Z45" s="2699"/>
      <c r="AA45" s="2699"/>
      <c r="AB45" s="2699"/>
      <c r="AC45" s="2699"/>
      <c r="AD45" s="2699"/>
      <c r="AE45" s="2699"/>
    </row>
    <row r="46" spans="1:31" ht="13.5" customHeight="1">
      <c r="A46" s="2699"/>
      <c r="B46" s="2699"/>
      <c r="C46" s="446" t="s">
        <v>1777</v>
      </c>
      <c r="D46" s="447"/>
      <c r="E46" s="448">
        <f>IF(E41&lt;E42,E42/E41-1,E41/E42-1)</f>
        <v>0.12861543727537228</v>
      </c>
      <c r="F46" s="449" t="str">
        <f>IF(OR(E46&gt;=0.3,E46&lt;=-0.3),"超过30%","")</f>
        <v/>
      </c>
      <c r="G46" s="448">
        <f>IF(G41&lt;G42,G42/G41-1,G41/G42-1)</f>
        <v>9.1523075590960179E-2</v>
      </c>
      <c r="H46" s="449" t="str">
        <f>IF(OR(G46&gt;=0.3,G46&lt;=-0.3),"超过30%","")</f>
        <v/>
      </c>
      <c r="I46" s="448">
        <f>IF(I41&lt;I42,I42/I41-1,I41/I42-1)</f>
        <v>1.952913095367248E-2</v>
      </c>
      <c r="J46" s="449" t="str">
        <f>IF(OR(I46&gt;=0.3,I46&lt;=-0.3),"超过30%","")</f>
        <v/>
      </c>
      <c r="K46" s="2704"/>
      <c r="L46" s="2700"/>
      <c r="M46" s="2690"/>
      <c r="N46" s="2690"/>
      <c r="O46" s="2699"/>
      <c r="P46" s="2699"/>
      <c r="Q46" s="2699"/>
      <c r="R46" s="2699"/>
      <c r="S46" s="2699"/>
      <c r="T46" s="2699"/>
      <c r="U46" s="2699"/>
      <c r="V46" s="2699"/>
      <c r="W46" s="2699"/>
      <c r="X46" s="2699"/>
      <c r="Y46" s="2699"/>
      <c r="Z46" s="2699"/>
      <c r="AA46" s="2699"/>
      <c r="AB46" s="2699"/>
      <c r="AC46" s="2699"/>
      <c r="AD46" s="2699"/>
      <c r="AE46" s="2699"/>
    </row>
    <row r="47" spans="1:31" ht="13.5" customHeight="1">
      <c r="A47" s="2699"/>
      <c r="B47" s="2699"/>
      <c r="C47" s="446" t="s">
        <v>1778</v>
      </c>
      <c r="D47" s="450"/>
      <c r="E47" s="448">
        <f>IF(E42&lt;G42,G42/E42-1,E42/G42-1)</f>
        <v>1.1862498917655229E-2</v>
      </c>
      <c r="F47" s="449" t="str">
        <f>IF(OR(E47&gt;=0.2,E47&lt;=-0.2),"超过20%","")</f>
        <v/>
      </c>
      <c r="G47" s="448">
        <f>IF(G42&lt;I42,I42/G42-1,G42/I42-1)</f>
        <v>0.22900925827391716</v>
      </c>
      <c r="H47" s="449" t="str">
        <f>IF(OR(G47&gt;=0.2,G47&lt;=-0.2),"超过20%","")</f>
        <v>超过20%</v>
      </c>
      <c r="I47" s="448">
        <f>IF(I42&lt;E42,E42/I42-1,I42/E42-1)</f>
        <v>0.24358837926997978</v>
      </c>
      <c r="J47" s="449" t="str">
        <f>IF(OR(I47&gt;=0.2,I47&lt;=-0.2),"超过20%","")</f>
        <v>超过20%</v>
      </c>
      <c r="K47" s="2704"/>
      <c r="L47" s="2700"/>
      <c r="M47" s="2699"/>
      <c r="N47" s="2699"/>
      <c r="O47" s="2699"/>
      <c r="P47" s="2699"/>
      <c r="Q47" s="2699"/>
      <c r="R47" s="2699"/>
      <c r="S47" s="2699"/>
      <c r="T47" s="2699"/>
      <c r="U47" s="2699"/>
      <c r="V47" s="2699"/>
      <c r="W47" s="2699"/>
      <c r="X47" s="2699"/>
      <c r="Y47" s="2699"/>
      <c r="Z47" s="2699"/>
      <c r="AA47" s="2699"/>
      <c r="AB47" s="2699"/>
      <c r="AC47" s="2699"/>
      <c r="AD47" s="2699"/>
      <c r="AE47" s="2699"/>
    </row>
    <row r="48" spans="1:31" s="451" customFormat="1" ht="13.5" customHeight="1">
      <c r="A48" s="2702"/>
      <c r="B48" s="2702"/>
      <c r="C48" s="446" t="s">
        <v>1779</v>
      </c>
      <c r="D48" s="450"/>
      <c r="E48" s="448">
        <f>IF(E41&lt;G41,G41/E41-1,E41/G41-1)</f>
        <v>4.6247818499127291E-2</v>
      </c>
      <c r="F48" s="449" t="str">
        <f>IF(OR(E48&gt;=0.3,E48&lt;=-0.3),"超过30%","")</f>
        <v/>
      </c>
      <c r="G48" s="448">
        <f>IF(G41&lt;I41,I41/G41-1,G41/I41-1)</f>
        <v>0.36769013778886839</v>
      </c>
      <c r="H48" s="449" t="str">
        <f>IF(OR(G48&gt;=0.3,G48&lt;=-0.3),"超过30%","")</f>
        <v>超过30%</v>
      </c>
      <c r="I48" s="448">
        <f>IF(I41&lt;E41,E41/I41-1,I41/E41-1)</f>
        <v>0.43094282304437459</v>
      </c>
      <c r="J48" s="449" t="str">
        <f>IF(OR(I48&gt;=0.3,I48&lt;=-0.3),"超过30%","")</f>
        <v>超过30%</v>
      </c>
      <c r="K48" s="2707"/>
      <c r="L48" s="2701"/>
      <c r="M48" s="2702"/>
      <c r="N48" s="2702"/>
      <c r="O48" s="2702"/>
      <c r="P48" s="2702"/>
      <c r="Q48" s="2702"/>
      <c r="R48" s="2702"/>
      <c r="S48" s="2702"/>
      <c r="T48" s="2702"/>
      <c r="U48" s="2702"/>
      <c r="V48" s="2702"/>
      <c r="W48" s="2702"/>
      <c r="X48" s="2702"/>
      <c r="Y48" s="2702"/>
      <c r="Z48" s="2702"/>
      <c r="AA48" s="2702"/>
      <c r="AB48" s="2702"/>
      <c r="AC48" s="2702"/>
      <c r="AD48" s="2702"/>
      <c r="AE48" s="2702"/>
    </row>
    <row r="49" spans="1:31" s="451" customFormat="1" ht="15" thickBot="1">
      <c r="A49" s="2702"/>
      <c r="B49" s="2705"/>
      <c r="C49" s="693"/>
      <c r="D49" s="691"/>
      <c r="E49" s="691"/>
      <c r="F49" s="691"/>
      <c r="G49" s="691"/>
      <c r="H49" s="691"/>
      <c r="I49" s="691"/>
      <c r="J49" s="691"/>
      <c r="K49" s="2707"/>
      <c r="L49" s="2701"/>
      <c r="M49" s="2702"/>
      <c r="N49" s="2702"/>
      <c r="O49" s="2702"/>
      <c r="P49" s="2702"/>
      <c r="Q49" s="2702"/>
      <c r="R49" s="2702"/>
      <c r="S49" s="2702"/>
      <c r="T49" s="2702"/>
      <c r="U49" s="2702"/>
      <c r="V49" s="2702"/>
      <c r="W49" s="2702"/>
      <c r="X49" s="2702"/>
      <c r="Y49" s="2702"/>
      <c r="Z49" s="2702"/>
      <c r="AA49" s="2702"/>
      <c r="AB49" s="2702"/>
      <c r="AC49" s="2702"/>
      <c r="AD49" s="2702"/>
      <c r="AE49" s="2702"/>
    </row>
    <row r="50" spans="1:31" ht="27">
      <c r="A50" s="632" t="s">
        <v>1863</v>
      </c>
      <c r="B50" s="633" t="s">
        <v>1864</v>
      </c>
      <c r="C50" s="1982" t="s">
        <v>1865</v>
      </c>
      <c r="D50" s="1983" t="s">
        <v>1866</v>
      </c>
      <c r="E50" s="634" t="s">
        <v>1867</v>
      </c>
      <c r="F50" s="635" t="s">
        <v>1868</v>
      </c>
      <c r="G50" s="3721" t="s">
        <v>1869</v>
      </c>
      <c r="H50" s="3768"/>
      <c r="I50" s="1355" t="s">
        <v>1904</v>
      </c>
      <c r="J50" s="1355">
        <f>项目基本情况!F35</f>
        <v>0</v>
      </c>
      <c r="K50" s="1985" t="s">
        <v>1871</v>
      </c>
      <c r="L50" s="2700"/>
      <c r="M50" s="2699"/>
      <c r="N50" s="2699"/>
      <c r="O50" s="2699"/>
      <c r="P50" s="2699"/>
      <c r="Q50" s="2699"/>
      <c r="R50" s="2699"/>
      <c r="S50" s="2699"/>
      <c r="T50" s="2699"/>
      <c r="U50" s="2699"/>
      <c r="V50" s="2699"/>
      <c r="W50" s="2699"/>
      <c r="X50" s="2699"/>
      <c r="Y50" s="2699"/>
      <c r="Z50" s="2699"/>
      <c r="AA50" s="2699"/>
      <c r="AB50" s="2699"/>
      <c r="AC50" s="2699"/>
      <c r="AD50" s="2699"/>
      <c r="AE50" s="2699"/>
    </row>
    <row r="51" spans="1:31" s="640" customFormat="1">
      <c r="A51" s="636" t="s">
        <v>1872</v>
      </c>
      <c r="B51" s="637">
        <f>C43</f>
        <v>10877</v>
      </c>
      <c r="C51" s="638">
        <v>1</v>
      </c>
      <c r="D51" s="944">
        <v>1</v>
      </c>
      <c r="E51" s="638">
        <f>'数据-汇总表'!E8+'数据-汇总表'!E9</f>
        <v>76.040000000000006</v>
      </c>
      <c r="F51" s="639">
        <f t="shared" ref="F51:F60" si="15">ROUND(B51*E51/10000,0)</f>
        <v>83</v>
      </c>
      <c r="G51" s="3717"/>
      <c r="H51" s="3706"/>
      <c r="I51" s="773">
        <v>1</v>
      </c>
      <c r="J51" s="773">
        <v>1</v>
      </c>
      <c r="K51" s="2702"/>
      <c r="L51" s="2756"/>
      <c r="M51" s="2756"/>
      <c r="N51" s="2756"/>
      <c r="O51" s="2756"/>
      <c r="P51" s="2756"/>
      <c r="Q51" s="2756"/>
      <c r="R51" s="2756"/>
      <c r="S51" s="2756"/>
      <c r="T51" s="2756"/>
      <c r="U51" s="2756"/>
      <c r="V51" s="2756"/>
      <c r="W51" s="2756"/>
      <c r="X51" s="2756"/>
      <c r="Y51" s="2756"/>
      <c r="Z51" s="2756"/>
      <c r="AA51" s="2756"/>
      <c r="AB51" s="2756"/>
      <c r="AC51" s="2756"/>
      <c r="AD51" s="2756"/>
      <c r="AE51" s="2756"/>
    </row>
    <row r="52" spans="1:31" s="640" customFormat="1">
      <c r="A52" s="641" t="s">
        <v>1873</v>
      </c>
      <c r="B52" s="218">
        <f>ROUND($C$43*C52*D52,0)</f>
        <v>0</v>
      </c>
      <c r="C52" s="171">
        <f t="shared" ref="C52:C60" si="16">IF($C$50="北京市系数",I52,J52)</f>
        <v>0</v>
      </c>
      <c r="D52" s="945">
        <v>0.25</v>
      </c>
      <c r="E52" s="642"/>
      <c r="F52" s="639">
        <f t="shared" si="15"/>
        <v>0</v>
      </c>
      <c r="G52" s="2980" t="s">
        <v>1874</v>
      </c>
      <c r="H52" s="887">
        <f>项目基本情况!B37</f>
        <v>0</v>
      </c>
      <c r="I52" s="773">
        <f>SUMIF(修正!A57:A68,H52,修正!B57:B68)</f>
        <v>0</v>
      </c>
      <c r="J52" s="774"/>
      <c r="K52" s="2699"/>
      <c r="L52" s="2756"/>
      <c r="M52" s="2756"/>
      <c r="N52" s="2756"/>
      <c r="O52" s="2756"/>
      <c r="P52" s="2756"/>
      <c r="Q52" s="2756"/>
      <c r="R52" s="2756"/>
      <c r="S52" s="2756"/>
      <c r="T52" s="2756"/>
      <c r="U52" s="2756"/>
      <c r="V52" s="2756"/>
      <c r="W52" s="2756"/>
      <c r="X52" s="2756"/>
      <c r="Y52" s="2756"/>
      <c r="Z52" s="2756"/>
      <c r="AA52" s="2756"/>
      <c r="AB52" s="2756"/>
      <c r="AC52" s="2756"/>
      <c r="AD52" s="2756"/>
      <c r="AE52" s="2756"/>
    </row>
    <row r="53" spans="1:31" s="640" customFormat="1">
      <c r="A53" s="641" t="s">
        <v>1875</v>
      </c>
      <c r="B53" s="218">
        <f t="shared" ref="B53:B60" si="17">ROUND($C$43*C53*D53,0)</f>
        <v>0</v>
      </c>
      <c r="C53" s="171">
        <f t="shared" si="16"/>
        <v>0</v>
      </c>
      <c r="D53" s="945">
        <v>0.25</v>
      </c>
      <c r="E53" s="642"/>
      <c r="F53" s="639">
        <f t="shared" si="15"/>
        <v>0</v>
      </c>
      <c r="G53" s="2981"/>
      <c r="H53" s="887">
        <f>项目基本情况!B37</f>
        <v>0</v>
      </c>
      <c r="I53" s="773">
        <f>SUMIF(修正!A57:A68,H53,修正!C57:C68)</f>
        <v>0</v>
      </c>
      <c r="J53" s="774"/>
      <c r="K53" s="2702"/>
      <c r="L53" s="2756"/>
      <c r="M53" s="2756"/>
      <c r="N53" s="2756"/>
      <c r="O53" s="2756"/>
      <c r="P53" s="2756"/>
      <c r="Q53" s="2756"/>
      <c r="R53" s="2756"/>
      <c r="S53" s="2756"/>
      <c r="T53" s="2756"/>
      <c r="U53" s="2756"/>
      <c r="V53" s="2756"/>
      <c r="W53" s="2756"/>
      <c r="X53" s="2756"/>
      <c r="Y53" s="2756"/>
      <c r="Z53" s="2756"/>
      <c r="AA53" s="2756"/>
      <c r="AB53" s="2756"/>
      <c r="AC53" s="2756"/>
      <c r="AD53" s="2756"/>
      <c r="AE53" s="2756"/>
    </row>
    <row r="54" spans="1:31" s="640" customFormat="1">
      <c r="A54" s="641" t="s">
        <v>1876</v>
      </c>
      <c r="B54" s="218">
        <f t="shared" si="17"/>
        <v>0</v>
      </c>
      <c r="C54" s="171">
        <f t="shared" si="16"/>
        <v>0</v>
      </c>
      <c r="D54" s="945">
        <v>0.25</v>
      </c>
      <c r="E54" s="642"/>
      <c r="F54" s="639">
        <f t="shared" si="15"/>
        <v>0</v>
      </c>
      <c r="G54" s="2981"/>
      <c r="H54" s="887">
        <f>项目基本情况!B37</f>
        <v>0</v>
      </c>
      <c r="I54" s="773">
        <f>SUMIF(修正!A57:A68,H54,修正!D57:D68)</f>
        <v>0</v>
      </c>
      <c r="J54" s="774"/>
      <c r="K54" s="2699"/>
      <c r="L54" s="2756"/>
      <c r="M54" s="2756"/>
      <c r="N54" s="2756"/>
      <c r="O54" s="2756"/>
      <c r="P54" s="2756"/>
      <c r="Q54" s="2756"/>
      <c r="R54" s="2756"/>
      <c r="S54" s="2756"/>
      <c r="T54" s="2756"/>
      <c r="U54" s="2756"/>
      <c r="V54" s="2756"/>
      <c r="W54" s="2756"/>
      <c r="X54" s="2756"/>
      <c r="Y54" s="2756"/>
      <c r="Z54" s="2756"/>
      <c r="AA54" s="2756"/>
      <c r="AB54" s="2756"/>
      <c r="AC54" s="2756"/>
      <c r="AD54" s="2756"/>
      <c r="AE54" s="2756"/>
    </row>
    <row r="55" spans="1:31" s="640" customFormat="1" hidden="1">
      <c r="A55" s="641"/>
      <c r="B55" s="218"/>
      <c r="C55" s="171"/>
      <c r="D55" s="945"/>
      <c r="E55" s="642"/>
      <c r="F55" s="639"/>
      <c r="G55" s="2982"/>
      <c r="H55" s="887"/>
      <c r="I55" s="773"/>
      <c r="J55" s="774"/>
      <c r="K55" s="2702"/>
      <c r="L55" s="2756"/>
      <c r="M55" s="2756"/>
      <c r="N55" s="2756"/>
      <c r="O55" s="2756"/>
      <c r="P55" s="2756"/>
      <c r="Q55" s="2756"/>
      <c r="R55" s="2756"/>
      <c r="S55" s="2756"/>
      <c r="T55" s="2756"/>
      <c r="U55" s="2756"/>
      <c r="V55" s="2756"/>
      <c r="W55" s="2756"/>
      <c r="X55" s="2756"/>
      <c r="Y55" s="2756"/>
      <c r="Z55" s="2756"/>
      <c r="AA55" s="2756"/>
      <c r="AB55" s="2756"/>
      <c r="AC55" s="2756"/>
      <c r="AD55" s="2756"/>
      <c r="AE55" s="2756"/>
    </row>
    <row r="56" spans="1:31" s="640" customFormat="1">
      <c r="A56" s="641" t="s">
        <v>1877</v>
      </c>
      <c r="B56" s="218">
        <f t="shared" si="17"/>
        <v>680</v>
      </c>
      <c r="C56" s="171">
        <f t="shared" si="16"/>
        <v>0.25</v>
      </c>
      <c r="D56" s="945">
        <v>0.25</v>
      </c>
      <c r="E56" s="217">
        <f>'数据-汇总表'!E11</f>
        <v>0</v>
      </c>
      <c r="F56" s="639">
        <f t="shared" si="15"/>
        <v>0</v>
      </c>
      <c r="G56" s="1986" t="s">
        <v>1878</v>
      </c>
      <c r="H56" s="887" t="str">
        <f>项目基本情况!C37</f>
        <v>六级</v>
      </c>
      <c r="I56" s="773">
        <f>SUMIF(修正!A57:A68,H56,修正!E57:E68)</f>
        <v>0.25</v>
      </c>
      <c r="J56" s="774"/>
      <c r="K56" s="2699"/>
      <c r="L56" s="2756"/>
      <c r="M56" s="2756"/>
      <c r="N56" s="2756"/>
      <c r="O56" s="2756"/>
      <c r="P56" s="2756"/>
      <c r="Q56" s="2756"/>
      <c r="R56" s="2756"/>
      <c r="S56" s="2756"/>
      <c r="T56" s="2756"/>
      <c r="U56" s="2756"/>
      <c r="V56" s="2756"/>
      <c r="W56" s="2756"/>
      <c r="X56" s="2756"/>
      <c r="Y56" s="2756"/>
      <c r="Z56" s="2756"/>
      <c r="AA56" s="2756"/>
      <c r="AB56" s="2756"/>
      <c r="AC56" s="2756"/>
      <c r="AD56" s="2756"/>
      <c r="AE56" s="2756"/>
    </row>
    <row r="57" spans="1:31" s="640" customFormat="1">
      <c r="A57" s="641" t="s">
        <v>1879</v>
      </c>
      <c r="B57" s="218">
        <f t="shared" si="17"/>
        <v>680</v>
      </c>
      <c r="C57" s="171">
        <f t="shared" si="16"/>
        <v>0.25</v>
      </c>
      <c r="D57" s="945">
        <v>0.25</v>
      </c>
      <c r="E57" s="217">
        <f>'数据-汇总表'!E12</f>
        <v>0</v>
      </c>
      <c r="F57" s="639">
        <f t="shared" si="15"/>
        <v>0</v>
      </c>
      <c r="G57" s="892" t="s">
        <v>1880</v>
      </c>
      <c r="H57" s="887" t="str">
        <f>IF(G57="商业",项目基本情况!B37,IF(G57="办公",项目基本情况!C37,IF(G57="住宅",项目基本情况!D37,项目基本情况!E37)))</f>
        <v>六级</v>
      </c>
      <c r="I57" s="773">
        <f>SUMIF(修正!A57:A68,H57,修正!F57:F68)</f>
        <v>0.25</v>
      </c>
      <c r="J57" s="774"/>
      <c r="K57" s="2702"/>
      <c r="L57" s="2756"/>
      <c r="M57" s="2756"/>
      <c r="N57" s="2756"/>
      <c r="O57" s="2756"/>
      <c r="P57" s="2756"/>
      <c r="Q57" s="2756"/>
      <c r="R57" s="2756"/>
      <c r="S57" s="2756"/>
      <c r="T57" s="2756"/>
      <c r="U57" s="2756"/>
      <c r="V57" s="2756"/>
      <c r="W57" s="2756"/>
      <c r="X57" s="2756"/>
      <c r="Y57" s="2756"/>
      <c r="Z57" s="2756"/>
      <c r="AA57" s="2756"/>
      <c r="AB57" s="2756"/>
      <c r="AC57" s="2756"/>
      <c r="AD57" s="2756"/>
      <c r="AE57" s="2756"/>
    </row>
    <row r="58" spans="1:31" s="640" customFormat="1">
      <c r="A58" s="641" t="s">
        <v>1881</v>
      </c>
      <c r="B58" s="218">
        <f t="shared" si="17"/>
        <v>0</v>
      </c>
      <c r="C58" s="171">
        <f t="shared" si="16"/>
        <v>0</v>
      </c>
      <c r="D58" s="945">
        <v>0.25</v>
      </c>
      <c r="E58" s="217">
        <f>'数据-汇总表'!E13</f>
        <v>0</v>
      </c>
      <c r="F58" s="639">
        <f t="shared" si="15"/>
        <v>0</v>
      </c>
      <c r="G58" s="892" t="s">
        <v>1882</v>
      </c>
      <c r="H58" s="887">
        <f>IF(G58="商业",项目基本情况!B37,IF(G58="办公",项目基本情况!C37,IF(G58="住宅",项目基本情况!D37,项目基本情况!E37)))</f>
        <v>0</v>
      </c>
      <c r="I58" s="773">
        <f>SUMIF(修正!A57:A68,H58,修正!G57:G68)</f>
        <v>0</v>
      </c>
      <c r="J58" s="774"/>
      <c r="K58" s="2699"/>
      <c r="L58" s="2756"/>
      <c r="M58" s="2756"/>
      <c r="N58" s="2756"/>
      <c r="O58" s="2756"/>
      <c r="P58" s="2756"/>
      <c r="Q58" s="2756"/>
      <c r="R58" s="2756"/>
      <c r="S58" s="2756"/>
      <c r="T58" s="2756"/>
      <c r="U58" s="2756"/>
      <c r="V58" s="2756"/>
      <c r="W58" s="2756"/>
      <c r="X58" s="2756"/>
      <c r="Y58" s="2756"/>
      <c r="Z58" s="2756"/>
      <c r="AA58" s="2756"/>
      <c r="AB58" s="2756"/>
      <c r="AC58" s="2756"/>
      <c r="AD58" s="2756"/>
      <c r="AE58" s="2756"/>
    </row>
    <row r="59" spans="1:31" s="640" customFormat="1">
      <c r="A59" s="641" t="s">
        <v>1883</v>
      </c>
      <c r="B59" s="218">
        <f t="shared" si="17"/>
        <v>0</v>
      </c>
      <c r="C59" s="171">
        <f t="shared" si="16"/>
        <v>0</v>
      </c>
      <c r="D59" s="945">
        <v>0.25</v>
      </c>
      <c r="E59" s="217">
        <f>'数据-汇总表'!E14</f>
        <v>0</v>
      </c>
      <c r="F59" s="639">
        <f t="shared" si="15"/>
        <v>0</v>
      </c>
      <c r="G59" s="1986" t="s">
        <v>1874</v>
      </c>
      <c r="H59" s="887">
        <f>项目基本情况!B37</f>
        <v>0</v>
      </c>
      <c r="I59" s="773">
        <f>SUMIF(修正!A57:A68,H59,修正!G57:G68)</f>
        <v>0</v>
      </c>
      <c r="J59" s="774"/>
      <c r="K59" s="2702"/>
      <c r="L59" s="2756"/>
      <c r="M59" s="2756"/>
      <c r="N59" s="2756"/>
      <c r="O59" s="2756"/>
      <c r="P59" s="2756"/>
      <c r="Q59" s="2756"/>
      <c r="R59" s="2756"/>
      <c r="S59" s="2756"/>
      <c r="T59" s="2756"/>
      <c r="U59" s="2756"/>
      <c r="V59" s="2756"/>
      <c r="W59" s="2756"/>
      <c r="X59" s="2756"/>
      <c r="Y59" s="2756"/>
      <c r="Z59" s="2756"/>
      <c r="AA59" s="2756"/>
      <c r="AB59" s="2756"/>
      <c r="AC59" s="2756"/>
      <c r="AD59" s="2756"/>
      <c r="AE59" s="2756"/>
    </row>
    <row r="60" spans="1:31" s="640" customFormat="1" ht="15" thickBot="1">
      <c r="A60" s="641" t="s">
        <v>1884</v>
      </c>
      <c r="B60" s="218">
        <f t="shared" si="17"/>
        <v>408</v>
      </c>
      <c r="C60" s="171">
        <f t="shared" si="16"/>
        <v>0.15</v>
      </c>
      <c r="D60" s="945">
        <v>0.25</v>
      </c>
      <c r="E60" s="217">
        <f>'数据-汇总表'!E15</f>
        <v>0</v>
      </c>
      <c r="F60" s="639">
        <f t="shared" si="15"/>
        <v>0</v>
      </c>
      <c r="G60" s="1987" t="s">
        <v>1878</v>
      </c>
      <c r="H60" s="897" t="str">
        <f>项目基本情况!C37</f>
        <v>六级</v>
      </c>
      <c r="I60" s="773">
        <f>SUMIF(修正!A57:A68,H60,修正!G57:G68)</f>
        <v>0.15</v>
      </c>
      <c r="J60" s="774"/>
      <c r="K60" s="2699"/>
      <c r="L60" s="2756"/>
      <c r="M60" s="2756"/>
      <c r="N60" s="2756"/>
      <c r="O60" s="2756"/>
      <c r="P60" s="2756"/>
      <c r="Q60" s="2756"/>
      <c r="R60" s="2756"/>
      <c r="S60" s="2756"/>
      <c r="T60" s="2756"/>
      <c r="U60" s="2756"/>
      <c r="V60" s="2756"/>
      <c r="W60" s="2756"/>
      <c r="X60" s="2756"/>
      <c r="Y60" s="2756"/>
      <c r="Z60" s="2756"/>
      <c r="AA60" s="2756"/>
      <c r="AB60" s="2756"/>
      <c r="AC60" s="2756"/>
      <c r="AD60" s="2756"/>
      <c r="AE60" s="2756"/>
    </row>
    <row r="61" spans="1:31" s="640" customFormat="1" ht="15" thickBot="1">
      <c r="A61" s="643" t="s">
        <v>1885</v>
      </c>
      <c r="B61" s="644" t="s">
        <v>22</v>
      </c>
      <c r="C61" s="644" t="s">
        <v>23</v>
      </c>
      <c r="D61" s="644" t="s">
        <v>392</v>
      </c>
      <c r="E61" s="644">
        <f>IF(B41="楼面地价",SUM(E51:E60),'数据-汇总表'!D3)</f>
        <v>76.040000000000006</v>
      </c>
      <c r="F61" s="645">
        <f>IF(B41="楼面地价",SUM(F51:F60),ROUND(C43*E61/10000,0))</f>
        <v>83</v>
      </c>
      <c r="G61" s="939"/>
      <c r="H61" s="939"/>
      <c r="I61" s="939"/>
      <c r="J61" s="939"/>
      <c r="K61" s="2704"/>
      <c r="L61" s="2756"/>
      <c r="M61" s="2756"/>
      <c r="N61" s="2756"/>
      <c r="O61" s="2756"/>
      <c r="P61" s="2756"/>
      <c r="Q61" s="2756"/>
      <c r="R61" s="2756"/>
      <c r="S61" s="2756"/>
      <c r="T61" s="2756"/>
      <c r="U61" s="2756"/>
      <c r="V61" s="2756"/>
      <c r="W61" s="2756"/>
      <c r="X61" s="2756"/>
      <c r="Y61" s="2756"/>
      <c r="Z61" s="2756"/>
      <c r="AA61" s="2756"/>
      <c r="AB61" s="2756"/>
      <c r="AC61" s="2756"/>
      <c r="AD61" s="2756"/>
      <c r="AE61" s="2756"/>
    </row>
    <row r="62" spans="1:31">
      <c r="A62" s="927"/>
      <c r="B62" s="929"/>
      <c r="C62" s="931"/>
      <c r="D62" s="927"/>
      <c r="E62" s="927"/>
      <c r="F62" s="927"/>
      <c r="G62" s="927"/>
      <c r="H62" s="927"/>
      <c r="I62" s="927"/>
      <c r="J62" s="927"/>
      <c r="K62" s="888"/>
      <c r="L62" s="889"/>
      <c r="M62" s="927"/>
      <c r="N62" s="927"/>
      <c r="O62" s="927"/>
      <c r="P62" s="2699"/>
      <c r="Q62" s="2699"/>
      <c r="R62" s="2699"/>
      <c r="S62" s="2699"/>
      <c r="T62" s="2699"/>
      <c r="U62" s="2699"/>
      <c r="V62" s="2699"/>
      <c r="W62" s="2699"/>
      <c r="X62" s="2699"/>
      <c r="Y62" s="2699"/>
      <c r="Z62" s="2699"/>
      <c r="AA62" s="2699"/>
      <c r="AB62" s="2699"/>
      <c r="AC62" s="2699"/>
      <c r="AD62" s="2699"/>
      <c r="AE62" s="2699"/>
    </row>
    <row r="63" spans="1:31">
      <c r="A63" s="927"/>
      <c r="B63" s="929"/>
      <c r="C63" s="692" t="str">
        <f>YEAR(C7)&amp;"-"&amp;MONTH(C7)&amp;"-1"</f>
        <v>2024-4-1</v>
      </c>
      <c r="D63" s="692">
        <f>EDATE(C63,-3)</f>
        <v>45292</v>
      </c>
      <c r="E63" s="692">
        <f>EDATE(D63,-3)</f>
        <v>45200</v>
      </c>
      <c r="F63" s="692">
        <f t="shared" ref="F63:O63" si="18">EDATE(E63,-3)</f>
        <v>45108</v>
      </c>
      <c r="G63" s="692">
        <f t="shared" si="18"/>
        <v>45017</v>
      </c>
      <c r="H63" s="692">
        <f t="shared" si="18"/>
        <v>44927</v>
      </c>
      <c r="I63" s="692">
        <f t="shared" si="18"/>
        <v>44835</v>
      </c>
      <c r="J63" s="692">
        <f t="shared" si="18"/>
        <v>44743</v>
      </c>
      <c r="K63" s="692">
        <f t="shared" si="18"/>
        <v>44652</v>
      </c>
      <c r="L63" s="692">
        <f t="shared" si="18"/>
        <v>44562</v>
      </c>
      <c r="M63" s="692">
        <f t="shared" si="18"/>
        <v>44470</v>
      </c>
      <c r="N63" s="692">
        <f t="shared" si="18"/>
        <v>44378</v>
      </c>
      <c r="O63" s="692">
        <f t="shared" si="18"/>
        <v>44287</v>
      </c>
      <c r="P63" s="2699"/>
      <c r="Q63" s="2699"/>
      <c r="R63" s="2699"/>
      <c r="S63" s="2699"/>
      <c r="T63" s="2699"/>
      <c r="U63" s="2699"/>
      <c r="V63" s="2699"/>
      <c r="W63" s="2699"/>
      <c r="X63" s="2699"/>
      <c r="Y63" s="2699"/>
      <c r="Z63" s="2699"/>
      <c r="AA63" s="2699"/>
      <c r="AB63" s="2699"/>
      <c r="AC63" s="2699"/>
      <c r="AD63" s="2699"/>
      <c r="AE63" s="2699"/>
    </row>
    <row r="64" spans="1:31" ht="21.75" thickBot="1">
      <c r="A64" s="694" t="s">
        <v>1780</v>
      </c>
      <c r="B64" s="690"/>
      <c r="C64" s="695"/>
      <c r="D64" s="695"/>
      <c r="E64" s="695"/>
      <c r="F64" s="696"/>
      <c r="G64" s="696"/>
      <c r="H64" s="695"/>
      <c r="I64" s="695"/>
      <c r="J64" s="695"/>
      <c r="K64" s="697"/>
      <c r="L64" s="698"/>
      <c r="M64" s="695"/>
      <c r="N64" s="695"/>
      <c r="O64" s="940"/>
      <c r="P64" s="2743"/>
      <c r="Q64" s="2713"/>
      <c r="R64" s="2699"/>
      <c r="S64" s="2699"/>
      <c r="T64" s="2699"/>
      <c r="U64" s="2699"/>
      <c r="V64" s="2699"/>
      <c r="W64" s="2699"/>
      <c r="X64" s="2699"/>
      <c r="Y64" s="2699"/>
      <c r="Z64" s="2699"/>
      <c r="AA64" s="2699"/>
      <c r="AB64" s="2699"/>
      <c r="AC64" s="2699"/>
      <c r="AD64" s="2699"/>
      <c r="AE64" s="2699"/>
    </row>
    <row r="65" spans="1:31" s="457" customFormat="1" ht="15">
      <c r="A65" s="1988" t="s">
        <v>1886</v>
      </c>
      <c r="B65" s="1109"/>
      <c r="C65" s="1181" t="str">
        <f>YEAR(C63)&amp;"-"&amp;ROUNDUP(MONTH(C63)/3,0)</f>
        <v>2024-2</v>
      </c>
      <c r="D65" s="1181" t="str">
        <f t="shared" ref="D65:O65" si="19">YEAR(D63)&amp;"-"&amp;ROUNDUP(MONTH(D63)/3,0)</f>
        <v>2024-1</v>
      </c>
      <c r="E65" s="1181" t="str">
        <f t="shared" si="19"/>
        <v>2023-4</v>
      </c>
      <c r="F65" s="1181" t="str">
        <f t="shared" si="19"/>
        <v>2023-3</v>
      </c>
      <c r="G65" s="1181" t="str">
        <f t="shared" si="19"/>
        <v>2023-2</v>
      </c>
      <c r="H65" s="1181" t="str">
        <f t="shared" si="19"/>
        <v>2023-1</v>
      </c>
      <c r="I65" s="1181" t="str">
        <f t="shared" si="19"/>
        <v>2022-4</v>
      </c>
      <c r="J65" s="1181" t="str">
        <f t="shared" si="19"/>
        <v>2022-3</v>
      </c>
      <c r="K65" s="1181" t="str">
        <f t="shared" si="19"/>
        <v>2022-2</v>
      </c>
      <c r="L65" s="1181" t="str">
        <f t="shared" si="19"/>
        <v>2022-1</v>
      </c>
      <c r="M65" s="1181" t="str">
        <f t="shared" si="19"/>
        <v>2021-4</v>
      </c>
      <c r="N65" s="1181" t="str">
        <f t="shared" si="19"/>
        <v>2021-3</v>
      </c>
      <c r="O65" s="1181" t="str">
        <f t="shared" si="19"/>
        <v>2021-2</v>
      </c>
      <c r="P65" s="2750"/>
      <c r="Q65" s="2715"/>
      <c r="R65" s="2715"/>
      <c r="S65" s="2715"/>
      <c r="T65" s="2715"/>
      <c r="U65" s="2715"/>
      <c r="V65" s="2715"/>
      <c r="W65" s="2715"/>
      <c r="X65" s="2715"/>
      <c r="Y65" s="2715"/>
      <c r="Z65" s="2715"/>
      <c r="AA65" s="2715"/>
      <c r="AB65" s="2715"/>
      <c r="AC65" s="2715"/>
      <c r="AD65" s="2715"/>
      <c r="AE65" s="2715"/>
    </row>
    <row r="66" spans="1:31" s="108" customFormat="1" ht="30.75" customHeight="1">
      <c r="A66" s="1993" t="s">
        <v>1905</v>
      </c>
      <c r="B66" s="288" t="str">
        <f>"北京市平均增长率"&amp;TEXT(基准地价修正!P28,"0.00%")</f>
        <v>北京市平均增长率0.00%</v>
      </c>
      <c r="C66" s="552">
        <v>100</v>
      </c>
      <c r="D66" s="544">
        <f>C66-0.2</f>
        <v>99.8</v>
      </c>
      <c r="E66" s="544">
        <f t="shared" ref="E66:O66" si="20">D66-0.2</f>
        <v>99.6</v>
      </c>
      <c r="F66" s="544">
        <f t="shared" si="20"/>
        <v>99.399999999999991</v>
      </c>
      <c r="G66" s="544">
        <f t="shared" si="20"/>
        <v>99.199999999999989</v>
      </c>
      <c r="H66" s="544">
        <f t="shared" si="20"/>
        <v>98.999999999999986</v>
      </c>
      <c r="I66" s="544">
        <f t="shared" si="20"/>
        <v>98.799999999999983</v>
      </c>
      <c r="J66" s="544">
        <f t="shared" si="20"/>
        <v>98.59999999999998</v>
      </c>
      <c r="K66" s="544">
        <f t="shared" si="20"/>
        <v>98.399999999999977</v>
      </c>
      <c r="L66" s="544">
        <f t="shared" si="20"/>
        <v>98.199999999999974</v>
      </c>
      <c r="M66" s="544">
        <f t="shared" si="20"/>
        <v>97.999999999999972</v>
      </c>
      <c r="N66" s="544">
        <f t="shared" si="20"/>
        <v>97.799999999999969</v>
      </c>
      <c r="O66" s="544">
        <f t="shared" si="20"/>
        <v>97.599999999999966</v>
      </c>
      <c r="P66" s="2713"/>
      <c r="Q66" s="2635"/>
      <c r="R66" s="2635"/>
      <c r="S66" s="2635"/>
      <c r="T66" s="2635"/>
      <c r="U66" s="2635"/>
      <c r="V66" s="2635"/>
      <c r="W66" s="2635"/>
      <c r="X66" s="2635"/>
      <c r="Y66" s="2635"/>
      <c r="Z66" s="2635"/>
      <c r="AA66" s="2635"/>
      <c r="AB66" s="2635"/>
      <c r="AC66" s="2635"/>
      <c r="AD66" s="2635"/>
      <c r="AE66" s="2635"/>
    </row>
    <row r="67" spans="1:31" s="108" customFormat="1" ht="15.75" thickBot="1">
      <c r="A67" s="464" t="s">
        <v>1698</v>
      </c>
      <c r="B67" s="465"/>
      <c r="C67" s="466"/>
      <c r="D67" s="467"/>
      <c r="E67" s="467"/>
      <c r="F67" s="467"/>
      <c r="G67" s="467"/>
      <c r="H67" s="467"/>
      <c r="I67" s="467"/>
      <c r="J67" s="467"/>
      <c r="K67" s="467"/>
      <c r="L67" s="467"/>
      <c r="M67" s="468"/>
      <c r="N67" s="468"/>
      <c r="O67" s="469"/>
      <c r="P67" s="2713"/>
      <c r="Q67" s="2713"/>
      <c r="R67" s="2635"/>
      <c r="S67" s="2635"/>
      <c r="T67" s="2635"/>
      <c r="U67" s="2635"/>
      <c r="V67" s="2635"/>
      <c r="W67" s="2635"/>
      <c r="X67" s="2635"/>
      <c r="Y67" s="2635"/>
      <c r="Z67" s="2635"/>
      <c r="AA67" s="2635"/>
      <c r="AB67" s="2635"/>
      <c r="AC67" s="2635"/>
      <c r="AD67" s="2635"/>
      <c r="AE67" s="2635"/>
    </row>
    <row r="68" spans="1:31" s="108" customFormat="1" ht="15">
      <c r="A68" s="470" t="s">
        <v>1663</v>
      </c>
      <c r="B68" s="459"/>
      <c r="C68" s="471" t="s">
        <v>1758</v>
      </c>
      <c r="D68" s="472"/>
      <c r="E68" s="472"/>
      <c r="F68" s="472"/>
      <c r="G68" s="472"/>
      <c r="H68" s="472"/>
      <c r="I68" s="472"/>
      <c r="J68" s="472"/>
      <c r="K68" s="472"/>
      <c r="L68" s="473"/>
      <c r="M68" s="474"/>
      <c r="N68" s="2726"/>
      <c r="O68" s="2726"/>
      <c r="P68" s="2751"/>
      <c r="Q68" s="2713"/>
      <c r="R68" s="2635"/>
      <c r="S68" s="2635"/>
      <c r="T68" s="2635"/>
      <c r="U68" s="2635"/>
      <c r="V68" s="2635"/>
      <c r="W68" s="2635"/>
      <c r="X68" s="2635"/>
      <c r="Y68" s="2635"/>
      <c r="Z68" s="2635"/>
      <c r="AA68" s="2635"/>
      <c r="AB68" s="2635"/>
      <c r="AC68" s="2635"/>
      <c r="AD68" s="2635"/>
      <c r="AE68" s="2635"/>
    </row>
    <row r="69" spans="1:31" s="108" customFormat="1" ht="15.75" thickBot="1">
      <c r="A69" s="470"/>
      <c r="B69" s="459"/>
      <c r="C69" s="587">
        <v>100</v>
      </c>
      <c r="D69" s="461"/>
      <c r="E69" s="461"/>
      <c r="F69" s="461"/>
      <c r="G69" s="461"/>
      <c r="H69" s="461"/>
      <c r="I69" s="461"/>
      <c r="J69" s="461"/>
      <c r="K69" s="461"/>
      <c r="L69" s="461"/>
      <c r="M69" s="463"/>
      <c r="N69" s="2726"/>
      <c r="O69" s="2726"/>
      <c r="P69" s="2713"/>
      <c r="Q69" s="2713"/>
      <c r="R69" s="2635"/>
      <c r="S69" s="2635"/>
      <c r="T69" s="2635"/>
      <c r="U69" s="2635"/>
      <c r="V69" s="2635"/>
      <c r="W69" s="2635"/>
      <c r="X69" s="2635"/>
      <c r="Y69" s="2635"/>
      <c r="Z69" s="2635"/>
      <c r="AA69" s="2635"/>
      <c r="AB69" s="2635"/>
      <c r="AC69" s="2635"/>
      <c r="AD69" s="2635"/>
      <c r="AE69" s="2635"/>
    </row>
    <row r="70" spans="1:31" ht="57">
      <c r="A70" s="476" t="s">
        <v>1701</v>
      </c>
      <c r="B70" s="477" t="s">
        <v>1667</v>
      </c>
      <c r="C70" s="3455" t="s">
        <v>3608</v>
      </c>
      <c r="D70" s="479" t="str">
        <f>土地案例!O2</f>
        <v xml:space="preserve"> F3其他类多功能用地、B23研发设计用地 </v>
      </c>
      <c r="E70" s="479" t="str">
        <f>土地案例!O3</f>
        <v xml:space="preserve"> B23研发设计用地 </v>
      </c>
      <c r="F70" s="479" t="str">
        <f>土地案例!O4</f>
        <v xml:space="preserve"> B23研发设计用地 </v>
      </c>
      <c r="G70" s="479"/>
      <c r="H70" s="479"/>
      <c r="I70" s="479"/>
      <c r="J70" s="479"/>
      <c r="K70" s="480"/>
      <c r="L70" s="481"/>
      <c r="M70" s="482"/>
      <c r="N70" s="2727"/>
      <c r="O70" s="2727"/>
      <c r="P70" s="2752"/>
      <c r="Q70" s="2713"/>
      <c r="R70" s="2699"/>
      <c r="S70" s="2699"/>
      <c r="T70" s="2699"/>
      <c r="U70" s="2699"/>
      <c r="V70" s="2699"/>
      <c r="W70" s="2699"/>
      <c r="X70" s="2699"/>
      <c r="Y70" s="2699"/>
      <c r="Z70" s="2699"/>
      <c r="AA70" s="2699"/>
      <c r="AB70" s="2699"/>
      <c r="AC70" s="2699"/>
      <c r="AD70" s="2699"/>
      <c r="AE70" s="2699"/>
    </row>
    <row r="71" spans="1:31" ht="15.75" thickBot="1">
      <c r="A71" s="483"/>
      <c r="B71" s="484"/>
      <c r="C71" s="485">
        <v>100</v>
      </c>
      <c r="D71" s="485">
        <v>102</v>
      </c>
      <c r="E71" s="485">
        <v>100</v>
      </c>
      <c r="F71" s="485">
        <v>100</v>
      </c>
      <c r="G71" s="485"/>
      <c r="H71" s="485"/>
      <c r="I71" s="485"/>
      <c r="J71" s="485"/>
      <c r="K71" s="485"/>
      <c r="L71" s="485"/>
      <c r="M71" s="486"/>
      <c r="N71" s="2728"/>
      <c r="O71" s="2728"/>
      <c r="P71" s="2752"/>
      <c r="Q71" s="2713"/>
      <c r="R71" s="2699"/>
      <c r="S71" s="2699"/>
      <c r="T71" s="2699"/>
      <c r="U71" s="2699"/>
      <c r="V71" s="2699"/>
      <c r="W71" s="2699"/>
      <c r="X71" s="2699"/>
      <c r="Y71" s="2699"/>
      <c r="Z71" s="2699"/>
      <c r="AA71" s="2699"/>
      <c r="AB71" s="2699"/>
      <c r="AC71" s="2699"/>
      <c r="AD71" s="2699"/>
      <c r="AE71" s="2699"/>
    </row>
    <row r="72" spans="1:31" ht="27.75" thickTop="1">
      <c r="A72" s="483"/>
      <c r="B72" s="487" t="s">
        <v>1670</v>
      </c>
      <c r="C72" s="488"/>
      <c r="D72" s="488"/>
      <c r="E72" s="488"/>
      <c r="F72" s="488"/>
      <c r="G72" s="488"/>
      <c r="H72" s="488"/>
      <c r="I72" s="488"/>
      <c r="J72" s="488"/>
      <c r="K72" s="489"/>
      <c r="L72" s="490"/>
      <c r="M72" s="491"/>
      <c r="N72" s="2727"/>
      <c r="O72" s="2727"/>
      <c r="P72" s="2752"/>
      <c r="Q72" s="2713"/>
      <c r="R72" s="2699"/>
      <c r="S72" s="2699"/>
      <c r="T72" s="2699"/>
      <c r="U72" s="2699"/>
      <c r="V72" s="2699"/>
      <c r="W72" s="2699"/>
      <c r="X72" s="2699"/>
      <c r="Y72" s="2699"/>
      <c r="Z72" s="2699"/>
      <c r="AA72" s="2699"/>
      <c r="AB72" s="2699"/>
      <c r="AC72" s="2699"/>
      <c r="AD72" s="2699"/>
      <c r="AE72" s="2699"/>
    </row>
    <row r="73" spans="1:31" ht="15.75" thickBot="1">
      <c r="A73" s="483"/>
      <c r="B73" s="492"/>
      <c r="C73" s="493"/>
      <c r="D73" s="493"/>
      <c r="E73" s="493"/>
      <c r="F73" s="493"/>
      <c r="G73" s="493"/>
      <c r="H73" s="493"/>
      <c r="I73" s="493"/>
      <c r="J73" s="493"/>
      <c r="K73" s="493"/>
      <c r="L73" s="493"/>
      <c r="M73" s="494"/>
      <c r="N73" s="2728"/>
      <c r="O73" s="2728"/>
      <c r="P73" s="2752"/>
      <c r="Q73" s="2713"/>
      <c r="R73" s="2699"/>
      <c r="S73" s="2699"/>
      <c r="T73" s="2699"/>
      <c r="U73" s="2699"/>
      <c r="V73" s="2699"/>
      <c r="W73" s="2699"/>
      <c r="X73" s="2699"/>
      <c r="Y73" s="2699"/>
      <c r="Z73" s="2699"/>
      <c r="AA73" s="2699"/>
      <c r="AB73" s="2699"/>
      <c r="AC73" s="2699"/>
      <c r="AD73" s="2699"/>
      <c r="AE73" s="2699"/>
    </row>
    <row r="74" spans="1:31" ht="15.75" thickTop="1">
      <c r="A74" s="483"/>
      <c r="B74" s="495" t="s">
        <v>1671</v>
      </c>
      <c r="C74" s="496" t="str">
        <f>C75&amp;"（含）"&amp;"-"&amp;D75</f>
        <v>0（含）-1</v>
      </c>
      <c r="D74" s="496" t="str">
        <f t="shared" ref="D74:L74" si="21">D75&amp;"（含）"&amp;"-"&amp;E75</f>
        <v>1（含）-2</v>
      </c>
      <c r="E74" s="496" t="str">
        <f t="shared" si="21"/>
        <v>2（含）-3</v>
      </c>
      <c r="F74" s="496" t="str">
        <f t="shared" si="21"/>
        <v>3（含）-4</v>
      </c>
      <c r="G74" s="496" t="str">
        <f t="shared" si="21"/>
        <v>4（含）-5</v>
      </c>
      <c r="H74" s="496" t="str">
        <f t="shared" si="21"/>
        <v>5（含）-</v>
      </c>
      <c r="I74" s="496" t="str">
        <f t="shared" si="21"/>
        <v>（含）-</v>
      </c>
      <c r="J74" s="496" t="str">
        <f t="shared" si="21"/>
        <v>（含）-</v>
      </c>
      <c r="K74" s="496" t="str">
        <f t="shared" si="21"/>
        <v>（含）-</v>
      </c>
      <c r="L74" s="496" t="str">
        <f t="shared" si="21"/>
        <v>（含）-</v>
      </c>
      <c r="M74" s="399" t="str">
        <f>M75&amp;"（含）"&amp;"-"&amp;P75</f>
        <v>（含）-</v>
      </c>
      <c r="N74" s="2728"/>
      <c r="O74" s="2728"/>
      <c r="P74" s="2752"/>
      <c r="Q74" s="2713"/>
      <c r="R74" s="2699"/>
      <c r="S74" s="2699"/>
      <c r="T74" s="2699"/>
      <c r="U74" s="2699"/>
      <c r="V74" s="2699"/>
      <c r="W74" s="2699"/>
      <c r="X74" s="2699"/>
      <c r="Y74" s="2699"/>
      <c r="Z74" s="2699"/>
      <c r="AA74" s="2699"/>
      <c r="AB74" s="2699"/>
      <c r="AC74" s="2699"/>
      <c r="AD74" s="2699"/>
      <c r="AE74" s="2699"/>
    </row>
    <row r="75" spans="1:31" ht="15">
      <c r="A75" s="483"/>
      <c r="B75" s="497"/>
      <c r="C75" s="498">
        <v>0</v>
      </c>
      <c r="D75" s="498">
        <v>1</v>
      </c>
      <c r="E75" s="498">
        <v>2</v>
      </c>
      <c r="F75" s="498">
        <v>3</v>
      </c>
      <c r="G75" s="498">
        <v>4</v>
      </c>
      <c r="H75" s="498">
        <v>5</v>
      </c>
      <c r="I75" s="498"/>
      <c r="J75" s="498"/>
      <c r="K75" s="499"/>
      <c r="L75" s="500"/>
      <c r="M75" s="501"/>
      <c r="N75" s="2727"/>
      <c r="O75" s="2727"/>
      <c r="P75" s="2752"/>
      <c r="Q75" s="2713"/>
      <c r="R75" s="2699"/>
      <c r="S75" s="2699"/>
      <c r="T75" s="2699"/>
      <c r="U75" s="2699"/>
      <c r="V75" s="2699"/>
      <c r="W75" s="2699"/>
      <c r="X75" s="2699"/>
      <c r="Y75" s="2699"/>
      <c r="Z75" s="2699"/>
      <c r="AA75" s="2699"/>
      <c r="AB75" s="2699"/>
      <c r="AC75" s="2699"/>
      <c r="AD75" s="2699"/>
      <c r="AE75" s="2699"/>
    </row>
    <row r="76" spans="1:31" ht="15.75" thickBot="1">
      <c r="A76" s="483"/>
      <c r="B76" s="484"/>
      <c r="C76" s="493">
        <v>100</v>
      </c>
      <c r="D76" s="493">
        <f>IF($B$41="单位面积地价",C76+$K11,C76-$K11)</f>
        <v>95</v>
      </c>
      <c r="E76" s="493">
        <f t="shared" ref="E76:M76" si="22">IF($B$41="单位面积地价",D76+$K11,D76-$K11)</f>
        <v>90</v>
      </c>
      <c r="F76" s="493">
        <f t="shared" si="22"/>
        <v>85</v>
      </c>
      <c r="G76" s="493">
        <f t="shared" si="22"/>
        <v>80</v>
      </c>
      <c r="H76" s="493">
        <f t="shared" si="22"/>
        <v>75</v>
      </c>
      <c r="I76" s="493">
        <f t="shared" si="22"/>
        <v>70</v>
      </c>
      <c r="J76" s="493">
        <f t="shared" si="22"/>
        <v>65</v>
      </c>
      <c r="K76" s="493">
        <f t="shared" si="22"/>
        <v>60</v>
      </c>
      <c r="L76" s="493">
        <f t="shared" si="22"/>
        <v>55</v>
      </c>
      <c r="M76" s="493">
        <f t="shared" si="22"/>
        <v>50</v>
      </c>
      <c r="N76" s="2728"/>
      <c r="O76" s="2728"/>
      <c r="P76" s="2752"/>
      <c r="Q76" s="2713"/>
      <c r="R76" s="2699"/>
      <c r="S76" s="2699"/>
      <c r="T76" s="2699"/>
      <c r="U76" s="2699"/>
      <c r="V76" s="2699"/>
      <c r="W76" s="2699"/>
      <c r="X76" s="2699"/>
      <c r="Y76" s="2699"/>
      <c r="Z76" s="2699"/>
      <c r="AA76" s="2699"/>
      <c r="AB76" s="2699"/>
      <c r="AC76" s="2699"/>
      <c r="AD76" s="2699"/>
      <c r="AE76" s="2699"/>
    </row>
    <row r="77" spans="1:31" s="422" customFormat="1" ht="15.75" thickTop="1">
      <c r="A77" s="502"/>
      <c r="B77" s="487">
        <f>B12</f>
        <v>111</v>
      </c>
      <c r="C77" s="503"/>
      <c r="D77" s="503"/>
      <c r="E77" s="503"/>
      <c r="F77" s="503"/>
      <c r="G77" s="503"/>
      <c r="H77" s="504"/>
      <c r="I77" s="504"/>
      <c r="J77" s="504"/>
      <c r="K77" s="504"/>
      <c r="L77" s="505"/>
      <c r="M77" s="506"/>
      <c r="N77" s="2729"/>
      <c r="O77" s="2729"/>
      <c r="P77" s="2753"/>
      <c r="Q77" s="2720"/>
      <c r="R77" s="2721"/>
      <c r="S77" s="2721"/>
      <c r="T77" s="2721"/>
      <c r="U77" s="2721"/>
      <c r="V77" s="2721"/>
      <c r="W77" s="2721"/>
      <c r="X77" s="2721"/>
      <c r="Y77" s="2721"/>
      <c r="Z77" s="2721"/>
      <c r="AA77" s="2721"/>
      <c r="AB77" s="2721"/>
      <c r="AC77" s="2721"/>
      <c r="AD77" s="2721"/>
      <c r="AE77" s="2721"/>
    </row>
    <row r="78" spans="1:31" s="422" customFormat="1" ht="15.75" thickBot="1">
      <c r="A78" s="502"/>
      <c r="B78" s="492"/>
      <c r="C78" s="509"/>
      <c r="D78" s="485"/>
      <c r="E78" s="485"/>
      <c r="F78" s="485"/>
      <c r="G78" s="485"/>
      <c r="H78" s="485"/>
      <c r="I78" s="485"/>
      <c r="J78" s="485"/>
      <c r="K78" s="485"/>
      <c r="L78" s="485"/>
      <c r="M78" s="486"/>
      <c r="N78" s="2728"/>
      <c r="O78" s="2728"/>
      <c r="P78" s="2753"/>
      <c r="Q78" s="2720"/>
      <c r="R78" s="2721"/>
      <c r="S78" s="2721"/>
      <c r="T78" s="2721"/>
      <c r="U78" s="2721"/>
      <c r="V78" s="2721"/>
      <c r="W78" s="2721"/>
      <c r="X78" s="2721"/>
      <c r="Y78" s="2721"/>
      <c r="Z78" s="2721"/>
      <c r="AA78" s="2721"/>
      <c r="AB78" s="2721"/>
      <c r="AC78" s="2721"/>
      <c r="AD78" s="2721"/>
      <c r="AE78" s="2721"/>
    </row>
    <row r="79" spans="1:31" s="422" customFormat="1" ht="15.75" thickTop="1">
      <c r="A79" s="502"/>
      <c r="B79" s="487">
        <f>B13</f>
        <v>111</v>
      </c>
      <c r="C79" s="503"/>
      <c r="D79" s="503"/>
      <c r="E79" s="503"/>
      <c r="F79" s="503"/>
      <c r="G79" s="503"/>
      <c r="H79" s="504"/>
      <c r="I79" s="504"/>
      <c r="J79" s="504"/>
      <c r="K79" s="504"/>
      <c r="L79" s="505"/>
      <c r="M79" s="506"/>
      <c r="N79" s="2729"/>
      <c r="O79" s="2729"/>
      <c r="P79" s="2697"/>
      <c r="Q79" s="2723"/>
      <c r="R79" s="2721"/>
      <c r="S79" s="2721"/>
      <c r="T79" s="2721"/>
      <c r="U79" s="2721"/>
      <c r="V79" s="2721"/>
      <c r="W79" s="2721"/>
      <c r="X79" s="2721"/>
      <c r="Y79" s="2721"/>
      <c r="Z79" s="2721"/>
      <c r="AA79" s="2721"/>
      <c r="AB79" s="2721"/>
      <c r="AC79" s="2721"/>
      <c r="AD79" s="2721"/>
      <c r="AE79" s="2721"/>
    </row>
    <row r="80" spans="1:31" s="422" customFormat="1" ht="15.75" thickBot="1">
      <c r="A80" s="502"/>
      <c r="B80" s="492"/>
      <c r="C80" s="509"/>
      <c r="D80" s="509"/>
      <c r="E80" s="509"/>
      <c r="F80" s="509"/>
      <c r="G80" s="509"/>
      <c r="H80" s="511"/>
      <c r="I80" s="511"/>
      <c r="J80" s="511"/>
      <c r="K80" s="511"/>
      <c r="L80" s="511"/>
      <c r="M80" s="512"/>
      <c r="N80" s="2729"/>
      <c r="O80" s="2729"/>
      <c r="P80" s="2753"/>
      <c r="Q80" s="2720"/>
      <c r="R80" s="2721"/>
      <c r="S80" s="2721"/>
      <c r="T80" s="2721"/>
      <c r="U80" s="2721"/>
      <c r="V80" s="2721"/>
      <c r="W80" s="2721"/>
      <c r="X80" s="2721"/>
      <c r="Y80" s="2721"/>
      <c r="Z80" s="2721"/>
      <c r="AA80" s="2721"/>
      <c r="AB80" s="2721"/>
      <c r="AC80" s="2721"/>
      <c r="AD80" s="2721"/>
      <c r="AE80" s="2721"/>
    </row>
    <row r="81" spans="1:31" s="422" customFormat="1" ht="15.75" thickTop="1">
      <c r="A81" s="502"/>
      <c r="B81" s="495">
        <f>B14</f>
        <v>111</v>
      </c>
      <c r="C81" s="472"/>
      <c r="D81" s="472"/>
      <c r="E81" s="472"/>
      <c r="F81" s="472"/>
      <c r="G81" s="472"/>
      <c r="H81" s="513"/>
      <c r="I81" s="513"/>
      <c r="J81" s="513"/>
      <c r="K81" s="513"/>
      <c r="L81" s="514"/>
      <c r="M81" s="515"/>
      <c r="N81" s="2729"/>
      <c r="O81" s="2729"/>
      <c r="P81" s="2758"/>
      <c r="Q81" s="2720"/>
      <c r="R81" s="2721"/>
      <c r="S81" s="2721"/>
      <c r="T81" s="2721"/>
      <c r="U81" s="2721"/>
      <c r="V81" s="2721"/>
      <c r="W81" s="2721"/>
      <c r="X81" s="2721"/>
      <c r="Y81" s="2721"/>
      <c r="Z81" s="2721"/>
      <c r="AA81" s="2721"/>
      <c r="AB81" s="2721"/>
      <c r="AC81" s="2721"/>
      <c r="AD81" s="2721"/>
      <c r="AE81" s="2721"/>
    </row>
    <row r="82" spans="1:31" s="422" customFormat="1" ht="15.75" thickBot="1">
      <c r="A82" s="517"/>
      <c r="B82" s="518"/>
      <c r="C82" s="519"/>
      <c r="D82" s="519"/>
      <c r="E82" s="519"/>
      <c r="F82" s="519"/>
      <c r="G82" s="519"/>
      <c r="H82" s="520"/>
      <c r="I82" s="520"/>
      <c r="J82" s="520"/>
      <c r="K82" s="520"/>
      <c r="L82" s="520"/>
      <c r="M82" s="521"/>
      <c r="N82" s="2729"/>
      <c r="O82" s="2729"/>
      <c r="P82" s="2753"/>
      <c r="Q82" s="2720"/>
      <c r="R82" s="2721"/>
      <c r="S82" s="2721"/>
      <c r="T82" s="2721"/>
      <c r="U82" s="2721"/>
      <c r="V82" s="2721"/>
      <c r="W82" s="2721"/>
      <c r="X82" s="2721"/>
      <c r="Y82" s="2721"/>
      <c r="Z82" s="2721"/>
      <c r="AA82" s="2721"/>
      <c r="AB82" s="2721"/>
      <c r="AC82" s="2721"/>
      <c r="AD82" s="2721"/>
      <c r="AE82" s="2721"/>
    </row>
    <row r="83" spans="1:31">
      <c r="A83" s="476" t="s">
        <v>1672</v>
      </c>
      <c r="B83" s="477" t="s">
        <v>1811</v>
      </c>
      <c r="C83" s="522" t="s">
        <v>1703</v>
      </c>
      <c r="D83" s="522" t="s">
        <v>1704</v>
      </c>
      <c r="E83" s="522" t="s">
        <v>1705</v>
      </c>
      <c r="F83" s="522" t="s">
        <v>1706</v>
      </c>
      <c r="G83" s="522" t="s">
        <v>1707</v>
      </c>
      <c r="H83" s="478"/>
      <c r="I83" s="478"/>
      <c r="J83" s="478"/>
      <c r="K83" s="523"/>
      <c r="L83" s="524"/>
      <c r="M83" s="525"/>
      <c r="N83" s="2727"/>
      <c r="O83" s="2727"/>
      <c r="P83" s="2754"/>
      <c r="Q83" s="2713"/>
      <c r="R83" s="2699"/>
      <c r="S83" s="2699"/>
      <c r="T83" s="2699"/>
      <c r="U83" s="2699"/>
      <c r="V83" s="2699"/>
      <c r="W83" s="2699"/>
      <c r="X83" s="2699"/>
      <c r="Y83" s="2699"/>
      <c r="Z83" s="2699"/>
      <c r="AA83" s="2699"/>
      <c r="AB83" s="2699"/>
      <c r="AC83" s="2699"/>
      <c r="AD83" s="2699"/>
      <c r="AE83" s="2699"/>
    </row>
    <row r="84" spans="1:31" ht="15.75" thickBot="1">
      <c r="A84" s="483"/>
      <c r="B84" s="492"/>
      <c r="C84" s="493">
        <v>100</v>
      </c>
      <c r="D84" s="493">
        <f>C84-$K15</f>
        <v>98</v>
      </c>
      <c r="E84" s="493">
        <f>D84-$K15</f>
        <v>96</v>
      </c>
      <c r="F84" s="493">
        <f>E84-$K15</f>
        <v>94</v>
      </c>
      <c r="G84" s="493">
        <f>F84-$K15</f>
        <v>92</v>
      </c>
      <c r="H84" s="493"/>
      <c r="I84" s="493"/>
      <c r="J84" s="493"/>
      <c r="K84" s="493"/>
      <c r="L84" s="493"/>
      <c r="M84" s="494"/>
      <c r="N84" s="2728"/>
      <c r="O84" s="2728"/>
      <c r="P84" s="2752"/>
      <c r="Q84" s="2713"/>
      <c r="R84" s="2699"/>
      <c r="S84" s="2699"/>
      <c r="T84" s="2699"/>
      <c r="U84" s="2699"/>
      <c r="V84" s="2699"/>
      <c r="W84" s="2699"/>
      <c r="X84" s="2699"/>
      <c r="Y84" s="2699"/>
      <c r="Z84" s="2699"/>
      <c r="AA84" s="2699"/>
      <c r="AB84" s="2699"/>
      <c r="AC84" s="2699"/>
      <c r="AD84" s="2699"/>
      <c r="AE84" s="2699"/>
    </row>
    <row r="85" spans="1:31" ht="15.75" thickTop="1">
      <c r="A85" s="483"/>
      <c r="B85" s="487" t="s">
        <v>1708</v>
      </c>
      <c r="C85" s="527" t="s">
        <v>1703</v>
      </c>
      <c r="D85" s="527" t="s">
        <v>1704</v>
      </c>
      <c r="E85" s="527" t="s">
        <v>1705</v>
      </c>
      <c r="F85" s="527" t="s">
        <v>1706</v>
      </c>
      <c r="G85" s="527" t="s">
        <v>1707</v>
      </c>
      <c r="H85" s="488"/>
      <c r="I85" s="488"/>
      <c r="J85" s="488"/>
      <c r="K85" s="489"/>
      <c r="L85" s="490"/>
      <c r="M85" s="491"/>
      <c r="N85" s="2727"/>
      <c r="O85" s="2727"/>
      <c r="P85" s="2752"/>
      <c r="Q85" s="2713"/>
      <c r="R85" s="2699"/>
      <c r="S85" s="2699"/>
      <c r="T85" s="2699"/>
      <c r="U85" s="2699"/>
      <c r="V85" s="2699"/>
      <c r="W85" s="2699"/>
      <c r="X85" s="2699"/>
      <c r="Y85" s="2699"/>
      <c r="Z85" s="2699"/>
      <c r="AA85" s="2699"/>
      <c r="AB85" s="2699"/>
      <c r="AC85" s="2699"/>
      <c r="AD85" s="2699"/>
      <c r="AE85" s="2699"/>
    </row>
    <row r="86" spans="1:31" ht="15.75" thickBot="1">
      <c r="A86" s="483"/>
      <c r="B86" s="492"/>
      <c r="C86" s="493">
        <v>100</v>
      </c>
      <c r="D86" s="493">
        <f>C86-$K17</f>
        <v>98</v>
      </c>
      <c r="E86" s="493">
        <f>D86-$K17</f>
        <v>96</v>
      </c>
      <c r="F86" s="493">
        <f>E86-$K17</f>
        <v>94</v>
      </c>
      <c r="G86" s="493">
        <f>F86-$K17</f>
        <v>92</v>
      </c>
      <c r="H86" s="493"/>
      <c r="I86" s="493"/>
      <c r="J86" s="493"/>
      <c r="K86" s="493"/>
      <c r="L86" s="493"/>
      <c r="M86" s="494"/>
      <c r="N86" s="2728"/>
      <c r="O86" s="2728"/>
      <c r="P86" s="2752"/>
      <c r="Q86" s="2713"/>
      <c r="R86" s="2699"/>
      <c r="S86" s="2699"/>
      <c r="T86" s="2699"/>
      <c r="U86" s="2699"/>
      <c r="V86" s="2699"/>
      <c r="W86" s="2699"/>
      <c r="X86" s="2699"/>
      <c r="Y86" s="2699"/>
      <c r="Z86" s="2699"/>
      <c r="AA86" s="2699"/>
      <c r="AB86" s="2699"/>
      <c r="AC86" s="2699"/>
      <c r="AD86" s="2699"/>
      <c r="AE86" s="2699"/>
    </row>
    <row r="87" spans="1:31" s="108" customFormat="1" ht="15.75" thickTop="1">
      <c r="A87" s="528"/>
      <c r="B87" s="487" t="s">
        <v>1889</v>
      </c>
      <c r="C87" s="522" t="s">
        <v>1703</v>
      </c>
      <c r="D87" s="522" t="s">
        <v>1704</v>
      </c>
      <c r="E87" s="522" t="s">
        <v>1705</v>
      </c>
      <c r="F87" s="522" t="s">
        <v>1706</v>
      </c>
      <c r="G87" s="522" t="s">
        <v>1707</v>
      </c>
      <c r="H87" s="527"/>
      <c r="I87" s="527"/>
      <c r="J87" s="527"/>
      <c r="K87" s="527"/>
      <c r="L87" s="646"/>
      <c r="M87" s="570"/>
      <c r="N87" s="2726"/>
      <c r="O87" s="2726"/>
      <c r="P87" s="2752"/>
      <c r="Q87" s="2713"/>
      <c r="R87" s="2635"/>
      <c r="S87" s="2635"/>
      <c r="T87" s="2635"/>
      <c r="U87" s="2635"/>
      <c r="V87" s="2635"/>
      <c r="W87" s="2635"/>
      <c r="X87" s="2635"/>
      <c r="Y87" s="2635"/>
      <c r="Z87" s="2635"/>
      <c r="AA87" s="2635"/>
      <c r="AB87" s="2635"/>
      <c r="AC87" s="2635"/>
      <c r="AD87" s="2635"/>
      <c r="AE87" s="2635"/>
    </row>
    <row r="88" spans="1:31" s="108" customFormat="1" ht="15.75" thickBot="1">
      <c r="A88" s="528"/>
      <c r="B88" s="492"/>
      <c r="C88" s="531">
        <v>100</v>
      </c>
      <c r="D88" s="493">
        <f>C88-$K19</f>
        <v>98</v>
      </c>
      <c r="E88" s="493">
        <f>D88-$K19</f>
        <v>96</v>
      </c>
      <c r="F88" s="493">
        <f>E88-$K19</f>
        <v>94</v>
      </c>
      <c r="G88" s="493">
        <f>F88-$K19</f>
        <v>92</v>
      </c>
      <c r="H88" s="493"/>
      <c r="I88" s="493"/>
      <c r="J88" s="493"/>
      <c r="K88" s="493"/>
      <c r="L88" s="493"/>
      <c r="M88" s="494"/>
      <c r="N88" s="2728"/>
      <c r="O88" s="2728"/>
      <c r="P88" s="2752"/>
      <c r="Q88" s="2713"/>
      <c r="R88" s="2635"/>
      <c r="S88" s="2635"/>
      <c r="T88" s="2635"/>
      <c r="U88" s="2635"/>
      <c r="V88" s="2635"/>
      <c r="W88" s="2635"/>
      <c r="X88" s="2635"/>
      <c r="Y88" s="2635"/>
      <c r="Z88" s="2635"/>
      <c r="AA88" s="2635"/>
      <c r="AB88" s="2635"/>
      <c r="AC88" s="2635"/>
      <c r="AD88" s="2635"/>
      <c r="AE88" s="2635"/>
    </row>
    <row r="89" spans="1:31" s="108" customFormat="1" ht="27.75" thickTop="1">
      <c r="A89" s="528"/>
      <c r="B89" s="487" t="s">
        <v>1890</v>
      </c>
      <c r="C89" s="522" t="s">
        <v>1703</v>
      </c>
      <c r="D89" s="522" t="s">
        <v>1704</v>
      </c>
      <c r="E89" s="522" t="s">
        <v>1705</v>
      </c>
      <c r="F89" s="522" t="s">
        <v>1706</v>
      </c>
      <c r="G89" s="522" t="s">
        <v>1707</v>
      </c>
      <c r="H89" s="527"/>
      <c r="I89" s="527"/>
      <c r="J89" s="527"/>
      <c r="K89" s="527"/>
      <c r="L89" s="527"/>
      <c r="M89" s="570"/>
      <c r="N89" s="2726"/>
      <c r="O89" s="2726"/>
      <c r="P89" s="2752"/>
      <c r="Q89" s="2713"/>
      <c r="R89" s="2635"/>
      <c r="S89" s="2635"/>
      <c r="T89" s="2635"/>
      <c r="U89" s="2635"/>
      <c r="V89" s="2635"/>
      <c r="W89" s="2635"/>
      <c r="X89" s="2635"/>
      <c r="Y89" s="2635"/>
      <c r="Z89" s="2635"/>
      <c r="AA89" s="2635"/>
      <c r="AB89" s="2635"/>
      <c r="AC89" s="2635"/>
      <c r="AD89" s="2635"/>
      <c r="AE89" s="2635"/>
    </row>
    <row r="90" spans="1:31" s="108" customFormat="1" ht="15.75" thickBot="1">
      <c r="A90" s="528"/>
      <c r="B90" s="492"/>
      <c r="C90" s="493">
        <v>100</v>
      </c>
      <c r="D90" s="493">
        <f>C90-$K21</f>
        <v>98</v>
      </c>
      <c r="E90" s="493">
        <f>D90-$K21</f>
        <v>96</v>
      </c>
      <c r="F90" s="493">
        <f>E90-$K21</f>
        <v>94</v>
      </c>
      <c r="G90" s="493">
        <f>F90-$K21</f>
        <v>92</v>
      </c>
      <c r="H90" s="493"/>
      <c r="I90" s="493"/>
      <c r="J90" s="493"/>
      <c r="K90" s="493"/>
      <c r="L90" s="493"/>
      <c r="M90" s="494"/>
      <c r="N90" s="2728"/>
      <c r="O90" s="2728"/>
      <c r="P90" s="2752"/>
      <c r="Q90" s="2713"/>
      <c r="R90" s="2635"/>
      <c r="S90" s="2635"/>
      <c r="T90" s="2635"/>
      <c r="U90" s="2635"/>
      <c r="V90" s="2635"/>
      <c r="W90" s="2635"/>
      <c r="X90" s="2635"/>
      <c r="Y90" s="2635"/>
      <c r="Z90" s="2635"/>
      <c r="AA90" s="2635"/>
      <c r="AB90" s="2635"/>
      <c r="AC90" s="2635"/>
      <c r="AD90" s="2635"/>
      <c r="AE90" s="2635"/>
    </row>
    <row r="91" spans="1:31" s="422" customFormat="1" ht="15.75" thickTop="1">
      <c r="A91" s="502"/>
      <c r="B91" s="487" t="s">
        <v>1760</v>
      </c>
      <c r="C91" s="522" t="s">
        <v>1703</v>
      </c>
      <c r="D91" s="522" t="s">
        <v>1704</v>
      </c>
      <c r="E91" s="522" t="s">
        <v>1705</v>
      </c>
      <c r="F91" s="522" t="s">
        <v>1706</v>
      </c>
      <c r="G91" s="522" t="s">
        <v>1707</v>
      </c>
      <c r="H91" s="549"/>
      <c r="I91" s="549"/>
      <c r="J91" s="549"/>
      <c r="K91" s="549"/>
      <c r="L91" s="550"/>
      <c r="M91" s="551"/>
      <c r="N91" s="2729"/>
      <c r="O91" s="2729"/>
      <c r="P91" s="2753"/>
      <c r="Q91" s="2720"/>
      <c r="R91" s="2721"/>
      <c r="S91" s="2721"/>
      <c r="T91" s="2721"/>
      <c r="U91" s="2721"/>
      <c r="V91" s="2721"/>
      <c r="W91" s="2721"/>
      <c r="X91" s="2721"/>
      <c r="Y91" s="2721"/>
      <c r="Z91" s="2721"/>
      <c r="AA91" s="2721"/>
      <c r="AB91" s="2721"/>
      <c r="AC91" s="2721"/>
      <c r="AD91" s="2721"/>
      <c r="AE91" s="2721"/>
    </row>
    <row r="92" spans="1:31" s="422" customFormat="1" ht="15.75" thickBot="1">
      <c r="A92" s="502"/>
      <c r="B92" s="492"/>
      <c r="C92" s="493">
        <v>100</v>
      </c>
      <c r="D92" s="493">
        <f>C92-$K23</f>
        <v>98</v>
      </c>
      <c r="E92" s="493">
        <f>D92-$K23</f>
        <v>96</v>
      </c>
      <c r="F92" s="493">
        <f>E92-$K23</f>
        <v>94</v>
      </c>
      <c r="G92" s="493">
        <f>F92-$K23</f>
        <v>92</v>
      </c>
      <c r="H92" s="556"/>
      <c r="I92" s="556"/>
      <c r="J92" s="556"/>
      <c r="K92" s="556"/>
      <c r="L92" s="556"/>
      <c r="M92" s="557"/>
      <c r="N92" s="2729"/>
      <c r="O92" s="2729"/>
      <c r="P92" s="2753"/>
      <c r="Q92" s="2720"/>
      <c r="R92" s="2721"/>
      <c r="S92" s="2721"/>
      <c r="T92" s="2721"/>
      <c r="U92" s="2721"/>
      <c r="V92" s="2721"/>
      <c r="W92" s="2721"/>
      <c r="X92" s="2721"/>
      <c r="Y92" s="2721"/>
      <c r="Z92" s="2721"/>
      <c r="AA92" s="2721"/>
      <c r="AB92" s="2721"/>
      <c r="AC92" s="2721"/>
      <c r="AD92" s="2721"/>
      <c r="AE92" s="2721"/>
    </row>
    <row r="93" spans="1:31" s="422" customFormat="1" ht="15.75" thickTop="1">
      <c r="A93" s="502"/>
      <c r="B93" s="495" t="s">
        <v>1906</v>
      </c>
      <c r="C93" s="608" t="s">
        <v>1781</v>
      </c>
      <c r="D93" s="608" t="s">
        <v>1782</v>
      </c>
      <c r="E93" s="608" t="s">
        <v>1783</v>
      </c>
      <c r="F93" s="608" t="s">
        <v>1784</v>
      </c>
      <c r="G93" s="608" t="s">
        <v>1785</v>
      </c>
      <c r="H93" s="549"/>
      <c r="I93" s="549"/>
      <c r="J93" s="549"/>
      <c r="K93" s="549"/>
      <c r="L93" s="549"/>
      <c r="M93" s="551"/>
      <c r="N93" s="2729"/>
      <c r="O93" s="2729"/>
      <c r="P93" s="2753"/>
      <c r="Q93" s="2720"/>
      <c r="R93" s="2721"/>
      <c r="S93" s="2721"/>
      <c r="T93" s="2721"/>
      <c r="U93" s="2721"/>
      <c r="V93" s="2721"/>
      <c r="W93" s="2721"/>
      <c r="X93" s="2721"/>
      <c r="Y93" s="2721"/>
      <c r="Z93" s="2721"/>
      <c r="AA93" s="2721"/>
      <c r="AB93" s="2721"/>
      <c r="AC93" s="2721"/>
      <c r="AD93" s="2721"/>
      <c r="AE93" s="2721"/>
    </row>
    <row r="94" spans="1:31" s="422" customFormat="1" ht="15.75" thickBot="1">
      <c r="A94" s="502"/>
      <c r="B94" s="495"/>
      <c r="C94" s="493">
        <v>100</v>
      </c>
      <c r="D94" s="493">
        <f>C94-$K25</f>
        <v>99</v>
      </c>
      <c r="E94" s="493">
        <f>D94-$K25</f>
        <v>98</v>
      </c>
      <c r="F94" s="493">
        <f>E94-$K25</f>
        <v>97</v>
      </c>
      <c r="G94" s="493">
        <f>F94-$K25</f>
        <v>96</v>
      </c>
      <c r="H94" s="497"/>
      <c r="I94" s="497"/>
      <c r="J94" s="497"/>
      <c r="K94" s="497"/>
      <c r="L94" s="497"/>
      <c r="M94" s="1132"/>
      <c r="N94" s="2729"/>
      <c r="O94" s="2729"/>
      <c r="P94" s="2753"/>
      <c r="Q94" s="2720"/>
      <c r="R94" s="2721"/>
      <c r="S94" s="2721"/>
      <c r="T94" s="2721"/>
      <c r="U94" s="2721"/>
      <c r="V94" s="2721"/>
      <c r="W94" s="2721"/>
      <c r="X94" s="2721"/>
      <c r="Y94" s="2721"/>
      <c r="Z94" s="2721"/>
      <c r="AA94" s="2721"/>
      <c r="AB94" s="2721"/>
      <c r="AC94" s="2721"/>
      <c r="AD94" s="2721"/>
      <c r="AE94" s="2721"/>
    </row>
    <row r="95" spans="1:31" ht="15.75" thickTop="1">
      <c r="A95" s="483"/>
      <c r="B95" s="487" t="str">
        <f>B27</f>
        <v>临街状况</v>
      </c>
      <c r="C95" s="488" t="s">
        <v>1891</v>
      </c>
      <c r="D95" s="488" t="s">
        <v>1892</v>
      </c>
      <c r="E95" s="488" t="s">
        <v>1893</v>
      </c>
      <c r="F95" s="488" t="s">
        <v>1894</v>
      </c>
      <c r="G95" s="488"/>
      <c r="H95" s="488"/>
      <c r="I95" s="488"/>
      <c r="J95" s="488"/>
      <c r="K95" s="489"/>
      <c r="L95" s="490"/>
      <c r="M95" s="491"/>
      <c r="N95" s="2727"/>
      <c r="O95" s="2727"/>
      <c r="P95" s="2752"/>
      <c r="Q95" s="2713"/>
      <c r="R95" s="2699"/>
      <c r="S95" s="2699"/>
      <c r="T95" s="2699"/>
      <c r="U95" s="2699"/>
      <c r="V95" s="2699"/>
      <c r="W95" s="2699"/>
      <c r="X95" s="2699"/>
      <c r="Y95" s="2699"/>
      <c r="Z95" s="2699"/>
      <c r="AA95" s="2699"/>
      <c r="AB95" s="2699"/>
      <c r="AC95" s="2699"/>
      <c r="AD95" s="2699"/>
      <c r="AE95" s="2699"/>
    </row>
    <row r="96" spans="1:31" ht="15.75" thickBot="1">
      <c r="A96" s="483"/>
      <c r="B96" s="492"/>
      <c r="C96" s="493">
        <v>100</v>
      </c>
      <c r="D96" s="493">
        <f t="shared" ref="D96:M96" si="23">C96-$K27</f>
        <v>100</v>
      </c>
      <c r="E96" s="493">
        <f t="shared" si="23"/>
        <v>100</v>
      </c>
      <c r="F96" s="493">
        <f t="shared" si="23"/>
        <v>100</v>
      </c>
      <c r="G96" s="493">
        <f t="shared" si="23"/>
        <v>100</v>
      </c>
      <c r="H96" s="493">
        <f t="shared" si="23"/>
        <v>100</v>
      </c>
      <c r="I96" s="493">
        <f t="shared" si="23"/>
        <v>100</v>
      </c>
      <c r="J96" s="493">
        <f t="shared" si="23"/>
        <v>100</v>
      </c>
      <c r="K96" s="493">
        <f t="shared" si="23"/>
        <v>100</v>
      </c>
      <c r="L96" s="493">
        <f t="shared" si="23"/>
        <v>100</v>
      </c>
      <c r="M96" s="493">
        <f t="shared" si="23"/>
        <v>100</v>
      </c>
      <c r="N96" s="2728"/>
      <c r="O96" s="2728"/>
      <c r="P96" s="2752"/>
      <c r="Q96" s="2713"/>
      <c r="R96" s="2699"/>
      <c r="S96" s="2699"/>
      <c r="T96" s="2699"/>
      <c r="U96" s="2699"/>
      <c r="V96" s="2699"/>
      <c r="W96" s="2699"/>
      <c r="X96" s="2699"/>
      <c r="Y96" s="2699"/>
      <c r="Z96" s="2699"/>
      <c r="AA96" s="2699"/>
      <c r="AB96" s="2699"/>
      <c r="AC96" s="2699"/>
      <c r="AD96" s="2699"/>
      <c r="AE96" s="2699"/>
    </row>
    <row r="97" spans="1:31" ht="27.75" thickTop="1">
      <c r="A97" s="483"/>
      <c r="B97" s="487" t="s">
        <v>1797</v>
      </c>
      <c r="C97" s="503"/>
      <c r="D97" s="503"/>
      <c r="E97" s="503"/>
      <c r="F97" s="503"/>
      <c r="G97" s="503"/>
      <c r="H97" s="532"/>
      <c r="I97" s="532"/>
      <c r="J97" s="532"/>
      <c r="K97" s="533"/>
      <c r="L97" s="534"/>
      <c r="M97" s="535"/>
      <c r="N97" s="2727"/>
      <c r="O97" s="2727"/>
      <c r="P97" s="2752"/>
      <c r="Q97" s="2713"/>
      <c r="R97" s="2699"/>
      <c r="S97" s="2699"/>
      <c r="T97" s="2699"/>
      <c r="U97" s="2699"/>
      <c r="V97" s="2699"/>
      <c r="W97" s="2699"/>
      <c r="X97" s="2699"/>
      <c r="Y97" s="2699"/>
      <c r="Z97" s="2699"/>
      <c r="AA97" s="2699"/>
      <c r="AB97" s="2699"/>
      <c r="AC97" s="2699"/>
      <c r="AD97" s="2699"/>
      <c r="AE97" s="2699"/>
    </row>
    <row r="98" spans="1:31" ht="15.75" thickBot="1">
      <c r="A98" s="483"/>
      <c r="B98" s="492"/>
      <c r="C98" s="493">
        <v>100</v>
      </c>
      <c r="D98" s="493">
        <f t="shared" ref="D98:M98" si="24">C98-$K28</f>
        <v>100</v>
      </c>
      <c r="E98" s="493">
        <f t="shared" si="24"/>
        <v>100</v>
      </c>
      <c r="F98" s="493">
        <f t="shared" si="24"/>
        <v>100</v>
      </c>
      <c r="G98" s="493">
        <f t="shared" si="24"/>
        <v>100</v>
      </c>
      <c r="H98" s="493">
        <f t="shared" si="24"/>
        <v>100</v>
      </c>
      <c r="I98" s="493">
        <f t="shared" si="24"/>
        <v>100</v>
      </c>
      <c r="J98" s="493">
        <f t="shared" si="24"/>
        <v>100</v>
      </c>
      <c r="K98" s="493">
        <f t="shared" si="24"/>
        <v>100</v>
      </c>
      <c r="L98" s="493">
        <f t="shared" si="24"/>
        <v>100</v>
      </c>
      <c r="M98" s="493">
        <f t="shared" si="24"/>
        <v>100</v>
      </c>
      <c r="N98" s="2728"/>
      <c r="O98" s="2728"/>
      <c r="P98" s="2752"/>
      <c r="Q98" s="2713"/>
      <c r="R98" s="2699"/>
      <c r="S98" s="2699"/>
      <c r="T98" s="2699"/>
      <c r="U98" s="2699"/>
      <c r="V98" s="2699"/>
      <c r="W98" s="2699"/>
      <c r="X98" s="2699"/>
      <c r="Y98" s="2699"/>
      <c r="Z98" s="2699"/>
      <c r="AA98" s="2699"/>
      <c r="AB98" s="2699"/>
      <c r="AC98" s="2699"/>
      <c r="AD98" s="2699"/>
      <c r="AE98" s="2699"/>
    </row>
    <row r="99" spans="1:31" ht="15.75" thickTop="1">
      <c r="A99" s="483"/>
      <c r="B99" s="487" t="s">
        <v>1855</v>
      </c>
      <c r="C99" s="532"/>
      <c r="D99" s="532"/>
      <c r="E99" s="532"/>
      <c r="F99" s="532"/>
      <c r="G99" s="532"/>
      <c r="H99" s="532"/>
      <c r="I99" s="532"/>
      <c r="J99" s="532"/>
      <c r="K99" s="533"/>
      <c r="L99" s="534"/>
      <c r="M99" s="535"/>
      <c r="N99" s="2727"/>
      <c r="O99" s="2727"/>
      <c r="P99" s="2752"/>
      <c r="Q99" s="2713"/>
      <c r="R99" s="2699"/>
      <c r="S99" s="2699"/>
      <c r="T99" s="2699"/>
      <c r="U99" s="2699"/>
      <c r="V99" s="2699"/>
      <c r="W99" s="2699"/>
      <c r="X99" s="2699"/>
      <c r="Y99" s="2699"/>
      <c r="Z99" s="2699"/>
      <c r="AA99" s="2699"/>
      <c r="AB99" s="2699"/>
      <c r="AC99" s="2699"/>
      <c r="AD99" s="2699"/>
      <c r="AE99" s="2699"/>
    </row>
    <row r="100" spans="1:31" ht="15.75" thickBot="1">
      <c r="A100" s="483"/>
      <c r="B100" s="492"/>
      <c r="C100" s="493">
        <v>100</v>
      </c>
      <c r="D100" s="493">
        <f t="shared" ref="D100:M100" si="25">C100-$K30</f>
        <v>100</v>
      </c>
      <c r="E100" s="493">
        <f t="shared" si="25"/>
        <v>100</v>
      </c>
      <c r="F100" s="493">
        <f t="shared" si="25"/>
        <v>100</v>
      </c>
      <c r="G100" s="493">
        <f t="shared" si="25"/>
        <v>100</v>
      </c>
      <c r="H100" s="493">
        <f t="shared" si="25"/>
        <v>100</v>
      </c>
      <c r="I100" s="493">
        <f t="shared" si="25"/>
        <v>100</v>
      </c>
      <c r="J100" s="493">
        <f t="shared" si="25"/>
        <v>100</v>
      </c>
      <c r="K100" s="493">
        <f t="shared" si="25"/>
        <v>100</v>
      </c>
      <c r="L100" s="493">
        <f t="shared" si="25"/>
        <v>100</v>
      </c>
      <c r="M100" s="493">
        <f t="shared" si="25"/>
        <v>100</v>
      </c>
      <c r="N100" s="2728"/>
      <c r="O100" s="2728"/>
      <c r="P100" s="2752"/>
      <c r="Q100" s="2713"/>
      <c r="R100" s="2699"/>
      <c r="S100" s="2699"/>
      <c r="T100" s="2699"/>
      <c r="U100" s="2699"/>
      <c r="V100" s="2699"/>
      <c r="W100" s="2699"/>
      <c r="X100" s="2699"/>
      <c r="Y100" s="2699"/>
      <c r="Z100" s="2699"/>
      <c r="AA100" s="2699"/>
      <c r="AB100" s="2699"/>
      <c r="AC100" s="2699"/>
      <c r="AD100" s="2699"/>
      <c r="AE100" s="2699"/>
    </row>
    <row r="101" spans="1:31" ht="15.75" thickTop="1">
      <c r="A101" s="483"/>
      <c r="B101" s="495">
        <f>B31</f>
        <v>111</v>
      </c>
      <c r="C101" s="503"/>
      <c r="D101" s="503"/>
      <c r="E101" s="503"/>
      <c r="F101" s="503"/>
      <c r="G101" s="536"/>
      <c r="H101" s="536"/>
      <c r="I101" s="536"/>
      <c r="J101" s="536"/>
      <c r="K101" s="537"/>
      <c r="L101" s="538"/>
      <c r="M101" s="539"/>
      <c r="N101" s="2727"/>
      <c r="O101" s="2727"/>
      <c r="P101" s="2752"/>
      <c r="Q101" s="2713"/>
      <c r="R101" s="2699"/>
      <c r="S101" s="2699"/>
      <c r="T101" s="2699"/>
      <c r="U101" s="2699"/>
      <c r="V101" s="2699"/>
      <c r="W101" s="2699"/>
      <c r="X101" s="2699"/>
      <c r="Y101" s="2699"/>
      <c r="Z101" s="2699"/>
      <c r="AA101" s="2699"/>
      <c r="AB101" s="2699"/>
      <c r="AC101" s="2699"/>
      <c r="AD101" s="2699"/>
      <c r="AE101" s="2699"/>
    </row>
    <row r="102" spans="1:31" ht="15.75" thickBot="1">
      <c r="A102" s="483"/>
      <c r="B102" s="518"/>
      <c r="C102" s="509"/>
      <c r="D102" s="485"/>
      <c r="E102" s="485"/>
      <c r="F102" s="485"/>
      <c r="G102" s="540"/>
      <c r="H102" s="540"/>
      <c r="I102" s="540"/>
      <c r="J102" s="540"/>
      <c r="K102" s="540"/>
      <c r="L102" s="540"/>
      <c r="M102" s="541"/>
      <c r="N102" s="2728"/>
      <c r="O102" s="2728"/>
      <c r="P102" s="2752"/>
      <c r="Q102" s="2713"/>
      <c r="R102" s="2699"/>
      <c r="S102" s="2699"/>
      <c r="T102" s="2699"/>
      <c r="U102" s="2699"/>
      <c r="V102" s="2699"/>
      <c r="W102" s="2699"/>
      <c r="X102" s="2699"/>
      <c r="Y102" s="2699"/>
      <c r="Z102" s="2699"/>
      <c r="AA102" s="2699"/>
      <c r="AB102" s="2699"/>
      <c r="AC102" s="2699"/>
      <c r="AD102" s="2699"/>
      <c r="AE102" s="2699"/>
    </row>
    <row r="103" spans="1:31" ht="15" thickTop="1">
      <c r="A103" s="623"/>
      <c r="B103" s="487">
        <f>B32</f>
        <v>111</v>
      </c>
      <c r="C103" s="503"/>
      <c r="D103" s="503"/>
      <c r="E103" s="503"/>
      <c r="F103" s="503"/>
      <c r="G103" s="532"/>
      <c r="H103" s="532"/>
      <c r="I103" s="532"/>
      <c r="J103" s="532"/>
      <c r="K103" s="533"/>
      <c r="L103" s="534"/>
      <c r="M103" s="535"/>
      <c r="N103" s="2727"/>
      <c r="O103" s="2727"/>
      <c r="P103" s="2752"/>
      <c r="Q103" s="2713"/>
      <c r="R103" s="2699"/>
      <c r="S103" s="2699"/>
      <c r="T103" s="2699"/>
      <c r="U103" s="2699"/>
      <c r="V103" s="2699"/>
      <c r="W103" s="2699"/>
      <c r="X103" s="2699"/>
      <c r="Y103" s="2699"/>
      <c r="Z103" s="2699"/>
      <c r="AA103" s="2699"/>
      <c r="AB103" s="2699"/>
      <c r="AC103" s="2699"/>
      <c r="AD103" s="2699"/>
      <c r="AE103" s="2699"/>
    </row>
    <row r="104" spans="1:31" ht="15.75" thickBot="1">
      <c r="A104" s="483"/>
      <c r="B104" s="492"/>
      <c r="C104" s="509"/>
      <c r="D104" s="509"/>
      <c r="E104" s="509"/>
      <c r="F104" s="509"/>
      <c r="G104" s="485"/>
      <c r="H104" s="485"/>
      <c r="I104" s="485"/>
      <c r="J104" s="485"/>
      <c r="K104" s="485"/>
      <c r="L104" s="485"/>
      <c r="M104" s="486"/>
      <c r="N104" s="2728"/>
      <c r="O104" s="2728"/>
      <c r="P104" s="2752"/>
      <c r="Q104" s="2713"/>
      <c r="R104" s="2699"/>
      <c r="S104" s="2699"/>
      <c r="T104" s="2699"/>
      <c r="U104" s="2699"/>
      <c r="V104" s="2699"/>
      <c r="W104" s="2699"/>
      <c r="X104" s="2699"/>
      <c r="Y104" s="2699"/>
      <c r="Z104" s="2699"/>
      <c r="AA104" s="2699"/>
      <c r="AB104" s="2699"/>
      <c r="AC104" s="2699"/>
      <c r="AD104" s="2699"/>
      <c r="AE104" s="2699"/>
    </row>
    <row r="105" spans="1:31" s="422" customFormat="1" ht="15" thickTop="1">
      <c r="A105" s="542"/>
      <c r="B105" s="543">
        <f>B33</f>
        <v>111</v>
      </c>
      <c r="C105" s="472"/>
      <c r="D105" s="472"/>
      <c r="E105" s="472"/>
      <c r="F105" s="472"/>
      <c r="G105" s="544"/>
      <c r="H105" s="544"/>
      <c r="I105" s="544"/>
      <c r="J105" s="545"/>
      <c r="K105" s="545"/>
      <c r="L105" s="546"/>
      <c r="M105" s="547"/>
      <c r="N105" s="2729"/>
      <c r="O105" s="2729"/>
      <c r="P105" s="2753"/>
      <c r="Q105" s="2720"/>
      <c r="R105" s="2721"/>
      <c r="S105" s="2721"/>
      <c r="T105" s="2721"/>
      <c r="U105" s="2721"/>
      <c r="V105" s="2721"/>
      <c r="W105" s="2721"/>
      <c r="X105" s="2721"/>
      <c r="Y105" s="2721"/>
      <c r="Z105" s="2721"/>
      <c r="AA105" s="2721"/>
      <c r="AB105" s="2721"/>
      <c r="AC105" s="2721"/>
      <c r="AD105" s="2721"/>
      <c r="AE105" s="2721"/>
    </row>
    <row r="106" spans="1:31" s="422" customFormat="1" ht="15.75" thickBot="1">
      <c r="A106" s="502"/>
      <c r="B106" s="495"/>
      <c r="C106" s="519"/>
      <c r="D106" s="519"/>
      <c r="E106" s="519"/>
      <c r="F106" s="519"/>
      <c r="G106" s="625"/>
      <c r="H106" s="625"/>
      <c r="I106" s="625"/>
      <c r="J106" s="625"/>
      <c r="K106" s="625"/>
      <c r="L106" s="625"/>
      <c r="M106" s="647"/>
      <c r="N106" s="2728"/>
      <c r="O106" s="2728"/>
      <c r="P106" s="2753"/>
      <c r="Q106" s="2720"/>
      <c r="R106" s="2721"/>
      <c r="S106" s="2721"/>
      <c r="T106" s="2721"/>
      <c r="U106" s="2721"/>
      <c r="V106" s="2721"/>
      <c r="W106" s="2721"/>
      <c r="X106" s="2721"/>
      <c r="Y106" s="2721"/>
      <c r="Z106" s="2721"/>
      <c r="AA106" s="2721"/>
      <c r="AB106" s="2721"/>
      <c r="AC106" s="2721"/>
      <c r="AD106" s="2721"/>
      <c r="AE106" s="2721"/>
    </row>
    <row r="107" spans="1:31" ht="28.5">
      <c r="A107" s="476" t="s">
        <v>1676</v>
      </c>
      <c r="B107" s="477" t="s">
        <v>1895</v>
      </c>
      <c r="C107" s="478" t="str">
        <f t="shared" ref="C107:L107" si="26">C108&amp;"(含)"&amp;"-"&amp;D108</f>
        <v>0(含)-30000</v>
      </c>
      <c r="D107" s="478" t="str">
        <f t="shared" si="26"/>
        <v>30000(含)-60000</v>
      </c>
      <c r="E107" s="478" t="str">
        <f t="shared" si="26"/>
        <v>60000(含)-100000</v>
      </c>
      <c r="F107" s="478" t="str">
        <f t="shared" si="26"/>
        <v>100000(含)-</v>
      </c>
      <c r="G107" s="478" t="str">
        <f t="shared" si="26"/>
        <v>(含)-</v>
      </c>
      <c r="H107" s="478" t="str">
        <f t="shared" si="26"/>
        <v>(含)-</v>
      </c>
      <c r="I107" s="478" t="str">
        <f t="shared" si="26"/>
        <v>(含)-</v>
      </c>
      <c r="J107" s="478" t="str">
        <f t="shared" si="26"/>
        <v>(含)-</v>
      </c>
      <c r="K107" s="1332" t="str">
        <f t="shared" si="26"/>
        <v>(含)-</v>
      </c>
      <c r="L107" s="1332" t="str">
        <f t="shared" si="26"/>
        <v>(含)-</v>
      </c>
      <c r="M107" s="1333" t="str">
        <f>M108&amp;"(含)"&amp;"-"&amp;P108</f>
        <v>(含)-</v>
      </c>
      <c r="N107" s="2727"/>
      <c r="O107" s="2727"/>
      <c r="P107" s="2752"/>
      <c r="Q107" s="2713"/>
      <c r="R107" s="2699"/>
      <c r="S107" s="2699"/>
      <c r="T107" s="2699"/>
      <c r="U107" s="2699"/>
      <c r="V107" s="2699"/>
      <c r="W107" s="2699"/>
      <c r="X107" s="2699"/>
      <c r="Y107" s="2699"/>
      <c r="Z107" s="2699"/>
      <c r="AA107" s="2699"/>
      <c r="AB107" s="2699"/>
      <c r="AC107" s="2699"/>
      <c r="AD107" s="2699"/>
      <c r="AE107" s="2699"/>
    </row>
    <row r="108" spans="1:31" ht="15">
      <c r="A108" s="483"/>
      <c r="B108" s="495"/>
      <c r="C108" s="544">
        <v>0</v>
      </c>
      <c r="D108" s="544">
        <v>30000</v>
      </c>
      <c r="E108" s="544">
        <v>60000</v>
      </c>
      <c r="F108" s="544">
        <v>100000</v>
      </c>
      <c r="G108" s="544"/>
      <c r="H108" s="544"/>
      <c r="I108" s="544"/>
      <c r="J108" s="545"/>
      <c r="K108" s="545"/>
      <c r="L108" s="546"/>
      <c r="M108" s="547"/>
      <c r="N108" s="2727"/>
      <c r="O108" s="2727"/>
      <c r="P108" s="2752"/>
      <c r="Q108" s="2713"/>
      <c r="R108" s="2699"/>
      <c r="S108" s="2699"/>
      <c r="T108" s="2699"/>
      <c r="U108" s="2699"/>
      <c r="V108" s="2699"/>
      <c r="W108" s="2699"/>
      <c r="X108" s="2699"/>
      <c r="Y108" s="2699"/>
      <c r="Z108" s="2699"/>
      <c r="AA108" s="2699"/>
      <c r="AB108" s="2699"/>
      <c r="AC108" s="2699"/>
      <c r="AD108" s="2699"/>
      <c r="AE108" s="2699"/>
    </row>
    <row r="109" spans="1:31" ht="15.75" thickBot="1">
      <c r="A109" s="483"/>
      <c r="B109" s="492"/>
      <c r="C109" s="540">
        <f>D109-2</f>
        <v>96</v>
      </c>
      <c r="D109" s="540">
        <f>E109-2</f>
        <v>98</v>
      </c>
      <c r="E109" s="540">
        <v>100</v>
      </c>
      <c r="F109" s="540">
        <f>E109+2</f>
        <v>102</v>
      </c>
      <c r="G109" s="540"/>
      <c r="H109" s="540"/>
      <c r="I109" s="540"/>
      <c r="J109" s="540"/>
      <c r="K109" s="540"/>
      <c r="L109" s="540"/>
      <c r="M109" s="541"/>
      <c r="N109" s="2728"/>
      <c r="O109" s="2728"/>
      <c r="P109" s="2752"/>
      <c r="Q109" s="2713"/>
      <c r="R109" s="2699"/>
      <c r="S109" s="2699"/>
      <c r="T109" s="2699"/>
      <c r="U109" s="2699"/>
      <c r="V109" s="2699"/>
      <c r="W109" s="2699"/>
      <c r="X109" s="2699"/>
      <c r="Y109" s="2699"/>
      <c r="Z109" s="2699"/>
      <c r="AA109" s="2699"/>
      <c r="AB109" s="2699"/>
      <c r="AC109" s="2699"/>
      <c r="AD109" s="2699"/>
      <c r="AE109" s="2699"/>
    </row>
    <row r="110" spans="1:31" ht="15" thickTop="1">
      <c r="A110" s="548"/>
      <c r="B110" s="487" t="s">
        <v>1896</v>
      </c>
      <c r="C110" s="3456" t="s">
        <v>3609</v>
      </c>
      <c r="D110" s="3456" t="s">
        <v>3611</v>
      </c>
      <c r="E110" s="3456" t="s">
        <v>3612</v>
      </c>
      <c r="F110" s="532"/>
      <c r="G110" s="532"/>
      <c r="H110" s="532"/>
      <c r="I110" s="532"/>
      <c r="J110" s="532"/>
      <c r="K110" s="533"/>
      <c r="L110" s="534"/>
      <c r="M110" s="535"/>
      <c r="N110" s="2727"/>
      <c r="O110" s="2727"/>
      <c r="P110" s="2752"/>
      <c r="Q110" s="2713"/>
      <c r="R110" s="2699"/>
      <c r="S110" s="2699"/>
      <c r="T110" s="2699"/>
      <c r="U110" s="2699"/>
      <c r="V110" s="2699"/>
      <c r="W110" s="2699"/>
      <c r="X110" s="2699"/>
      <c r="Y110" s="2699"/>
      <c r="Z110" s="2699"/>
      <c r="AA110" s="2699"/>
      <c r="AB110" s="2699"/>
      <c r="AC110" s="2699"/>
      <c r="AD110" s="2699"/>
      <c r="AE110" s="2699"/>
    </row>
    <row r="111" spans="1:31" ht="15.75" thickBot="1">
      <c r="A111" s="483"/>
      <c r="B111" s="492"/>
      <c r="C111" s="493">
        <v>100</v>
      </c>
      <c r="D111" s="493">
        <f t="shared" ref="D111:M111" si="27">C111-$K35</f>
        <v>98</v>
      </c>
      <c r="E111" s="493">
        <f t="shared" si="27"/>
        <v>96</v>
      </c>
      <c r="F111" s="493">
        <f t="shared" si="27"/>
        <v>94</v>
      </c>
      <c r="G111" s="493">
        <f t="shared" si="27"/>
        <v>92</v>
      </c>
      <c r="H111" s="493">
        <f t="shared" si="27"/>
        <v>90</v>
      </c>
      <c r="I111" s="493">
        <f t="shared" si="27"/>
        <v>88</v>
      </c>
      <c r="J111" s="493">
        <f t="shared" si="27"/>
        <v>86</v>
      </c>
      <c r="K111" s="493">
        <f t="shared" si="27"/>
        <v>84</v>
      </c>
      <c r="L111" s="493">
        <f t="shared" si="27"/>
        <v>82</v>
      </c>
      <c r="M111" s="494">
        <f t="shared" si="27"/>
        <v>80</v>
      </c>
      <c r="N111" s="2728"/>
      <c r="O111" s="2728"/>
      <c r="P111" s="2752"/>
      <c r="Q111" s="2713"/>
      <c r="R111" s="2699"/>
      <c r="S111" s="2699"/>
      <c r="T111" s="2699"/>
      <c r="U111" s="2699"/>
      <c r="V111" s="2699"/>
      <c r="W111" s="2699"/>
      <c r="X111" s="2699"/>
      <c r="Y111" s="2699"/>
      <c r="Z111" s="2699"/>
      <c r="AA111" s="2699"/>
      <c r="AB111" s="2699"/>
      <c r="AC111" s="2699"/>
      <c r="AD111" s="2699"/>
      <c r="AE111" s="2699"/>
    </row>
    <row r="112" spans="1:31" s="422" customFormat="1" ht="15" thickTop="1">
      <c r="A112" s="542"/>
      <c r="B112" s="487" t="s">
        <v>1898</v>
      </c>
      <c r="C112" s="503" t="str">
        <f>C93</f>
        <v>七通</v>
      </c>
      <c r="D112" s="503" t="str">
        <f>D93</f>
        <v>六通</v>
      </c>
      <c r="E112" s="503" t="str">
        <f>E93</f>
        <v>五通</v>
      </c>
      <c r="F112" s="503" t="str">
        <f>F93</f>
        <v>四通</v>
      </c>
      <c r="G112" s="503" t="str">
        <f>G93</f>
        <v>三通</v>
      </c>
      <c r="H112" s="532"/>
      <c r="I112" s="532"/>
      <c r="J112" s="532"/>
      <c r="K112" s="533"/>
      <c r="L112" s="534"/>
      <c r="M112" s="535"/>
      <c r="N112" s="2729"/>
      <c r="O112" s="2729"/>
      <c r="P112" s="2753"/>
      <c r="Q112" s="2720"/>
      <c r="R112" s="2721"/>
      <c r="S112" s="2721"/>
      <c r="T112" s="2721"/>
      <c r="U112" s="2721"/>
      <c r="V112" s="2721"/>
      <c r="W112" s="2721"/>
      <c r="X112" s="2721"/>
      <c r="Y112" s="2721"/>
      <c r="Z112" s="2721"/>
      <c r="AA112" s="2721"/>
      <c r="AB112" s="2721"/>
      <c r="AC112" s="2721"/>
      <c r="AD112" s="2721"/>
      <c r="AE112" s="2721"/>
    </row>
    <row r="113" spans="1:31" s="422" customFormat="1" ht="15.75" thickBot="1">
      <c r="A113" s="502"/>
      <c r="B113" s="492"/>
      <c r="C113" s="493">
        <v>100</v>
      </c>
      <c r="D113" s="493">
        <f t="shared" ref="D113:M113" si="28">C113-$K36</f>
        <v>98</v>
      </c>
      <c r="E113" s="493">
        <f t="shared" si="28"/>
        <v>96</v>
      </c>
      <c r="F113" s="493">
        <f t="shared" si="28"/>
        <v>94</v>
      </c>
      <c r="G113" s="493">
        <f t="shared" si="28"/>
        <v>92</v>
      </c>
      <c r="H113" s="493">
        <f t="shared" si="28"/>
        <v>90</v>
      </c>
      <c r="I113" s="493">
        <f t="shared" si="28"/>
        <v>88</v>
      </c>
      <c r="J113" s="493">
        <f t="shared" si="28"/>
        <v>86</v>
      </c>
      <c r="K113" s="493">
        <f t="shared" si="28"/>
        <v>84</v>
      </c>
      <c r="L113" s="493">
        <f t="shared" si="28"/>
        <v>82</v>
      </c>
      <c r="M113" s="494">
        <f t="shared" si="28"/>
        <v>80</v>
      </c>
      <c r="N113" s="2729"/>
      <c r="O113" s="2729"/>
      <c r="P113" s="2753"/>
      <c r="Q113" s="2720"/>
      <c r="R113" s="2721"/>
      <c r="S113" s="2721"/>
      <c r="T113" s="2721"/>
      <c r="U113" s="2721"/>
      <c r="V113" s="2721"/>
      <c r="W113" s="2721"/>
      <c r="X113" s="2721"/>
      <c r="Y113" s="2721"/>
      <c r="Z113" s="2721"/>
      <c r="AA113" s="2721"/>
      <c r="AB113" s="2721"/>
      <c r="AC113" s="2721"/>
      <c r="AD113" s="2721"/>
      <c r="AE113" s="2721"/>
    </row>
    <row r="114" spans="1:31" ht="15" thickTop="1">
      <c r="A114" s="548"/>
      <c r="B114" s="487" t="s">
        <v>1899</v>
      </c>
      <c r="C114" s="503" t="str">
        <f>C91</f>
        <v>好</v>
      </c>
      <c r="D114" s="503" t="str">
        <f>D91</f>
        <v>较好</v>
      </c>
      <c r="E114" s="503" t="str">
        <f>E91</f>
        <v>一般</v>
      </c>
      <c r="F114" s="503" t="str">
        <f>F91</f>
        <v>较差</v>
      </c>
      <c r="G114" s="503" t="str">
        <f>G91</f>
        <v>差</v>
      </c>
      <c r="H114" s="532"/>
      <c r="I114" s="532"/>
      <c r="J114" s="532"/>
      <c r="K114" s="533"/>
      <c r="L114" s="534"/>
      <c r="M114" s="535"/>
      <c r="N114" s="2727"/>
      <c r="O114" s="2727"/>
      <c r="P114" s="2752"/>
      <c r="Q114" s="2713"/>
      <c r="R114" s="2699"/>
      <c r="S114" s="2699"/>
      <c r="T114" s="2699"/>
      <c r="U114" s="2699"/>
      <c r="V114" s="2699"/>
      <c r="W114" s="2699"/>
      <c r="X114" s="2699"/>
      <c r="Y114" s="2699"/>
      <c r="Z114" s="2699"/>
      <c r="AA114" s="2699"/>
      <c r="AB114" s="2699"/>
      <c r="AC114" s="2699"/>
      <c r="AD114" s="2699"/>
      <c r="AE114" s="2699"/>
    </row>
    <row r="115" spans="1:31" ht="15.75" thickBot="1">
      <c r="A115" s="483"/>
      <c r="B115" s="492"/>
      <c r="C115" s="493">
        <v>100</v>
      </c>
      <c r="D115" s="493">
        <f t="shared" ref="D115:M115" si="29">C115-$K37</f>
        <v>98</v>
      </c>
      <c r="E115" s="493">
        <f t="shared" si="29"/>
        <v>96</v>
      </c>
      <c r="F115" s="493">
        <f t="shared" si="29"/>
        <v>94</v>
      </c>
      <c r="G115" s="493">
        <f t="shared" si="29"/>
        <v>92</v>
      </c>
      <c r="H115" s="493">
        <f t="shared" si="29"/>
        <v>90</v>
      </c>
      <c r="I115" s="493">
        <f t="shared" si="29"/>
        <v>88</v>
      </c>
      <c r="J115" s="493">
        <f t="shared" si="29"/>
        <v>86</v>
      </c>
      <c r="K115" s="493">
        <f t="shared" si="29"/>
        <v>84</v>
      </c>
      <c r="L115" s="493">
        <f t="shared" si="29"/>
        <v>82</v>
      </c>
      <c r="M115" s="494">
        <f t="shared" si="29"/>
        <v>80</v>
      </c>
      <c r="N115" s="2728"/>
      <c r="O115" s="2728"/>
      <c r="P115" s="2752"/>
      <c r="Q115" s="2713"/>
      <c r="R115" s="2699"/>
      <c r="S115" s="2699"/>
      <c r="T115" s="2699"/>
      <c r="U115" s="2699"/>
      <c r="V115" s="2699"/>
      <c r="W115" s="2699"/>
      <c r="X115" s="2699"/>
      <c r="Y115" s="2699"/>
      <c r="Z115" s="2699"/>
      <c r="AA115" s="2699"/>
      <c r="AB115" s="2699"/>
      <c r="AC115" s="2699"/>
      <c r="AD115" s="2699"/>
      <c r="AE115" s="2699"/>
    </row>
    <row r="116" spans="1:31" ht="15" thickTop="1">
      <c r="A116" s="548"/>
      <c r="B116" s="487">
        <f>B38</f>
        <v>111</v>
      </c>
      <c r="C116" s="503"/>
      <c r="D116" s="503"/>
      <c r="E116" s="503"/>
      <c r="F116" s="503"/>
      <c r="G116" s="503"/>
      <c r="H116" s="532"/>
      <c r="I116" s="532"/>
      <c r="J116" s="532"/>
      <c r="K116" s="533"/>
      <c r="L116" s="534"/>
      <c r="M116" s="535"/>
      <c r="N116" s="2727"/>
      <c r="O116" s="2727"/>
      <c r="P116" s="2752"/>
      <c r="Q116" s="2713"/>
      <c r="R116" s="2699"/>
      <c r="S116" s="2699"/>
      <c r="T116" s="2699"/>
      <c r="U116" s="2699"/>
      <c r="V116" s="2699"/>
      <c r="W116" s="2699"/>
      <c r="X116" s="2699"/>
      <c r="Y116" s="2699"/>
      <c r="Z116" s="2699"/>
      <c r="AA116" s="2699"/>
      <c r="AB116" s="2699"/>
      <c r="AC116" s="2699"/>
      <c r="AD116" s="2699"/>
      <c r="AE116" s="2699"/>
    </row>
    <row r="117" spans="1:31" ht="15.75" thickBot="1">
      <c r="A117" s="483"/>
      <c r="B117" s="492"/>
      <c r="C117" s="509"/>
      <c r="D117" s="485"/>
      <c r="E117" s="485"/>
      <c r="F117" s="485"/>
      <c r="G117" s="485"/>
      <c r="H117" s="485"/>
      <c r="I117" s="485"/>
      <c r="J117" s="485"/>
      <c r="K117" s="485"/>
      <c r="L117" s="485"/>
      <c r="M117" s="486"/>
      <c r="N117" s="2728"/>
      <c r="O117" s="2728"/>
      <c r="P117" s="2752"/>
      <c r="Q117" s="2713"/>
      <c r="R117" s="2699"/>
      <c r="S117" s="2699"/>
      <c r="T117" s="2699"/>
      <c r="U117" s="2699"/>
      <c r="V117" s="2699"/>
      <c r="W117" s="2699"/>
      <c r="X117" s="2699"/>
      <c r="Y117" s="2699"/>
      <c r="Z117" s="2699"/>
      <c r="AA117" s="2699"/>
      <c r="AB117" s="2699"/>
      <c r="AC117" s="2699"/>
      <c r="AD117" s="2699"/>
      <c r="AE117" s="2699"/>
    </row>
    <row r="118" spans="1:31" ht="15" thickTop="1">
      <c r="A118" s="548"/>
      <c r="B118" s="487">
        <f>B39</f>
        <v>111</v>
      </c>
      <c r="C118" s="503"/>
      <c r="D118" s="503"/>
      <c r="E118" s="503"/>
      <c r="F118" s="503"/>
      <c r="G118" s="532"/>
      <c r="H118" s="532"/>
      <c r="I118" s="532"/>
      <c r="J118" s="532"/>
      <c r="K118" s="533"/>
      <c r="L118" s="534"/>
      <c r="M118" s="535"/>
      <c r="N118" s="2727"/>
      <c r="O118" s="2727"/>
      <c r="P118" s="2752"/>
      <c r="Q118" s="2713"/>
      <c r="R118" s="2699"/>
      <c r="S118" s="2699"/>
      <c r="T118" s="2699"/>
      <c r="U118" s="2699"/>
      <c r="V118" s="2699"/>
      <c r="W118" s="2699"/>
      <c r="X118" s="2699"/>
      <c r="Y118" s="2699"/>
      <c r="Z118" s="2699"/>
      <c r="AA118" s="2699"/>
      <c r="AB118" s="2699"/>
      <c r="AC118" s="2699"/>
      <c r="AD118" s="2699"/>
      <c r="AE118" s="2699"/>
    </row>
    <row r="119" spans="1:31" ht="15.75" thickBot="1">
      <c r="A119" s="483"/>
      <c r="B119" s="492"/>
      <c r="C119" s="509"/>
      <c r="D119" s="509"/>
      <c r="E119" s="509"/>
      <c r="F119" s="509"/>
      <c r="G119" s="485"/>
      <c r="H119" s="485"/>
      <c r="I119" s="485"/>
      <c r="J119" s="485"/>
      <c r="K119" s="485"/>
      <c r="L119" s="485"/>
      <c r="M119" s="486"/>
      <c r="N119" s="2728"/>
      <c r="O119" s="2728"/>
      <c r="P119" s="2752"/>
      <c r="Q119" s="2713"/>
      <c r="R119" s="2699"/>
      <c r="S119" s="2699"/>
      <c r="T119" s="2699"/>
      <c r="U119" s="2699"/>
      <c r="V119" s="2699"/>
      <c r="W119" s="2699"/>
      <c r="X119" s="2699"/>
      <c r="Y119" s="2699"/>
      <c r="Z119" s="2699"/>
      <c r="AA119" s="2699"/>
      <c r="AB119" s="2699"/>
      <c r="AC119" s="2699"/>
      <c r="AD119" s="2699"/>
      <c r="AE119" s="2699"/>
    </row>
    <row r="120" spans="1:31" s="422" customFormat="1" ht="15" thickTop="1">
      <c r="A120" s="542"/>
      <c r="B120" s="487">
        <f>B40</f>
        <v>111</v>
      </c>
      <c r="C120" s="472"/>
      <c r="D120" s="472"/>
      <c r="E120" s="472"/>
      <c r="F120" s="472"/>
      <c r="G120" s="504"/>
      <c r="H120" s="504"/>
      <c r="I120" s="504"/>
      <c r="J120" s="504"/>
      <c r="K120" s="504"/>
      <c r="L120" s="505"/>
      <c r="M120" s="506"/>
      <c r="N120" s="2729"/>
      <c r="O120" s="2729"/>
      <c r="P120" s="2753"/>
      <c r="Q120" s="2720"/>
      <c r="R120" s="2721"/>
      <c r="S120" s="2721"/>
      <c r="T120" s="2721"/>
      <c r="U120" s="2721"/>
      <c r="V120" s="2721"/>
      <c r="W120" s="2721"/>
      <c r="X120" s="2721"/>
      <c r="Y120" s="2721"/>
      <c r="Z120" s="2721"/>
      <c r="AA120" s="2721"/>
      <c r="AB120" s="2721"/>
      <c r="AC120" s="2721"/>
      <c r="AD120" s="2721"/>
      <c r="AE120" s="2721"/>
    </row>
    <row r="121" spans="1:31" s="422" customFormat="1" ht="15.75" thickBot="1">
      <c r="A121" s="517"/>
      <c r="B121" s="648"/>
      <c r="C121" s="519"/>
      <c r="D121" s="519"/>
      <c r="E121" s="519"/>
      <c r="F121" s="519"/>
      <c r="G121" s="540"/>
      <c r="H121" s="540"/>
      <c r="I121" s="540"/>
      <c r="J121" s="540"/>
      <c r="K121" s="540"/>
      <c r="L121" s="540"/>
      <c r="M121" s="541"/>
      <c r="N121" s="2729"/>
      <c r="O121" s="2729"/>
      <c r="P121" s="2753"/>
      <c r="Q121" s="2720"/>
      <c r="R121" s="2721"/>
      <c r="S121" s="2721"/>
      <c r="T121" s="2721"/>
      <c r="U121" s="2721"/>
      <c r="V121" s="2721"/>
      <c r="W121" s="2721"/>
      <c r="X121" s="2721"/>
      <c r="Y121" s="2721"/>
      <c r="Z121" s="2721"/>
      <c r="AA121" s="2721"/>
      <c r="AB121" s="2721"/>
      <c r="AC121" s="2721"/>
      <c r="AD121" s="2721"/>
      <c r="AE121" s="2721"/>
    </row>
    <row r="122" spans="1:31">
      <c r="N122" s="2699"/>
      <c r="O122" s="2699"/>
      <c r="P122" s="2699"/>
      <c r="Q122" s="2699"/>
      <c r="R122" s="2699"/>
      <c r="S122" s="2699"/>
      <c r="T122" s="2699"/>
      <c r="U122" s="2699"/>
      <c r="V122" s="2699"/>
      <c r="W122" s="2699"/>
      <c r="X122" s="2699"/>
      <c r="Y122" s="2699"/>
      <c r="Z122" s="2699"/>
      <c r="AA122" s="2699"/>
      <c r="AB122" s="2699"/>
      <c r="AC122" s="2699"/>
      <c r="AD122" s="2699"/>
      <c r="AE122" s="2699"/>
    </row>
    <row r="123" spans="1:31">
      <c r="P123" s="2699"/>
      <c r="Q123" s="2699"/>
      <c r="R123" s="2699"/>
      <c r="S123" s="2699"/>
      <c r="T123" s="2699"/>
      <c r="U123" s="2699"/>
      <c r="V123" s="2699"/>
      <c r="W123" s="2699"/>
      <c r="X123" s="2699"/>
      <c r="Y123" s="2699"/>
      <c r="Z123" s="2699"/>
      <c r="AA123" s="2699"/>
      <c r="AB123" s="2699"/>
      <c r="AC123" s="2699"/>
      <c r="AD123" s="2699"/>
      <c r="AE123" s="2699"/>
    </row>
  </sheetData>
  <sheetProtection password="CEE9" sheet="1" objects="1" scenarios="1" formatCells="0" formatColumns="0" formatRows="0"/>
  <mergeCells count="41">
    <mergeCell ref="P43:Q43"/>
    <mergeCell ref="R43:W43"/>
    <mergeCell ref="P42:Q42"/>
    <mergeCell ref="R42:S42"/>
    <mergeCell ref="T42:U42"/>
    <mergeCell ref="V42:W42"/>
    <mergeCell ref="P8:Q8"/>
    <mergeCell ref="Y8:Z8"/>
    <mergeCell ref="P9:P14"/>
    <mergeCell ref="Y9:Y14"/>
    <mergeCell ref="P41:Q41"/>
    <mergeCell ref="R41:S41"/>
    <mergeCell ref="T41:U41"/>
    <mergeCell ref="V41:W41"/>
    <mergeCell ref="P15:P31"/>
    <mergeCell ref="P32:P40"/>
    <mergeCell ref="AC4:AC6"/>
    <mergeCell ref="C4:D4"/>
    <mergeCell ref="E4:F4"/>
    <mergeCell ref="G4:H4"/>
    <mergeCell ref="I4:J4"/>
    <mergeCell ref="P4:Q6"/>
    <mergeCell ref="AA4:AA6"/>
    <mergeCell ref="AB4:AB6"/>
    <mergeCell ref="E5:F5"/>
    <mergeCell ref="G50:H51"/>
    <mergeCell ref="Y7:Z7"/>
    <mergeCell ref="R4:S6"/>
    <mergeCell ref="C5:D5"/>
    <mergeCell ref="C6:D6"/>
    <mergeCell ref="I5:J5"/>
    <mergeCell ref="P7:Q7"/>
    <mergeCell ref="E6:F6"/>
    <mergeCell ref="G6:H6"/>
    <mergeCell ref="I6:J6"/>
    <mergeCell ref="G5:H5"/>
    <mergeCell ref="T4:U6"/>
    <mergeCell ref="V4:W6"/>
    <mergeCell ref="Y4:Z6"/>
    <mergeCell ref="Y15:Y31"/>
    <mergeCell ref="Y32:Y40"/>
  </mergeCells>
  <phoneticPr fontId="32" type="noConversion"/>
  <conditionalFormatting sqref="F46 H46 J46">
    <cfRule type="containsText" dxfId="29" priority="18" stopIfTrue="1" operator="containsText" text="超过">
      <formula>NOT(ISERROR(SEARCH("超过",F46)))</formula>
    </cfRule>
  </conditionalFormatting>
  <conditionalFormatting sqref="J48">
    <cfRule type="containsText" dxfId="28" priority="17" stopIfTrue="1" operator="containsText" text="超过">
      <formula>NOT(ISERROR(SEARCH("超过",J48)))</formula>
    </cfRule>
  </conditionalFormatting>
  <conditionalFormatting sqref="H48">
    <cfRule type="containsText" dxfId="27" priority="16" stopIfTrue="1" operator="containsText" text="超过">
      <formula>NOT(ISERROR(SEARCH("超过",H48)))</formula>
    </cfRule>
  </conditionalFormatting>
  <conditionalFormatting sqref="F48">
    <cfRule type="containsText" dxfId="26" priority="15" stopIfTrue="1" operator="containsText" text="超过">
      <formula>NOT(ISERROR(SEARCH("超过",F48)))</formula>
    </cfRule>
  </conditionalFormatting>
  <conditionalFormatting sqref="F47 H47 J47">
    <cfRule type="containsText" dxfId="25" priority="14" stopIfTrue="1" operator="containsText" text="超过">
      <formula>NOT(ISERROR(SEARCH("超过",F47)))</formula>
    </cfRule>
  </conditionalFormatting>
  <conditionalFormatting sqref="E46">
    <cfRule type="expression" dxfId="24" priority="13" stopIfTrue="1">
      <formula>$F$46="超过30%"</formula>
    </cfRule>
  </conditionalFormatting>
  <conditionalFormatting sqref="G48">
    <cfRule type="expression" dxfId="23" priority="12" stopIfTrue="1">
      <formula>$H$48="超过30%"</formula>
    </cfRule>
  </conditionalFormatting>
  <conditionalFormatting sqref="E48">
    <cfRule type="expression" dxfId="22" priority="10" stopIfTrue="1">
      <formula>$F$48="超过30%"</formula>
    </cfRule>
  </conditionalFormatting>
  <conditionalFormatting sqref="G46">
    <cfRule type="expression" dxfId="21" priority="9" stopIfTrue="1">
      <formula>$H$46="超过30%"</formula>
    </cfRule>
  </conditionalFormatting>
  <conditionalFormatting sqref="G47">
    <cfRule type="expression" dxfId="20" priority="8" stopIfTrue="1">
      <formula>$H$47="超过20%"</formula>
    </cfRule>
  </conditionalFormatting>
  <conditionalFormatting sqref="I46">
    <cfRule type="expression" dxfId="19" priority="7" stopIfTrue="1">
      <formula>$J$46="超过30%"</formula>
    </cfRule>
  </conditionalFormatting>
  <conditionalFormatting sqref="I47">
    <cfRule type="expression" dxfId="18" priority="6" stopIfTrue="1">
      <formula>$J$47="超过20%"</formula>
    </cfRule>
  </conditionalFormatting>
  <conditionalFormatting sqref="I48">
    <cfRule type="expression" dxfId="17" priority="5" stopIfTrue="1">
      <formula>$J$48="超过30%"</formula>
    </cfRule>
  </conditionalFormatting>
  <conditionalFormatting sqref="E47">
    <cfRule type="expression" dxfId="16" priority="53" stopIfTrue="1">
      <formula>#REF!+$F$47="超过20%"</formula>
    </cfRule>
  </conditionalFormatting>
  <conditionalFormatting sqref="F42">
    <cfRule type="expression" dxfId="15" priority="4">
      <formula>$D$42="简单平均"</formula>
    </cfRule>
  </conditionalFormatting>
  <conditionalFormatting sqref="H42">
    <cfRule type="expression" dxfId="14" priority="3">
      <formula>$D$42="简单平均"</formula>
    </cfRule>
  </conditionalFormatting>
  <conditionalFormatting sqref="J42">
    <cfRule type="expression" dxfId="13" priority="2">
      <formula>$D$42="简单平均"</formula>
    </cfRule>
  </conditionalFormatting>
  <conditionalFormatting sqref="F7:F40 H7:H40 J7:J40">
    <cfRule type="cellIs" dxfId="12" priority="1" operator="notEqual">
      <formula>100</formula>
    </cfRule>
  </conditionalFormatting>
  <dataValidations count="20">
    <dataValidation type="list" allowBlank="1" showInputMessage="1" showErrorMessage="1" sqref="B41">
      <formula1>单价内涵</formula1>
    </dataValidation>
    <dataValidation type="list" allowBlank="1" showInputMessage="1" showErrorMessage="1" sqref="C22 E22 G22 I22">
      <formula1>环境</formula1>
    </dataValidation>
    <dataValidation type="list" allowBlank="1" showInputMessage="1" showErrorMessage="1" sqref="E18 C18 G18 I18">
      <formula1>交通便捷度</formula1>
    </dataValidation>
    <dataValidation type="list" allowBlank="1" showInputMessage="1" showErrorMessage="1" sqref="E24 C24 G24 I24">
      <formula1>公共配套设施</formula1>
    </dataValidation>
    <dataValidation type="list" allowBlank="1" showInputMessage="1" showErrorMessage="1" sqref="C8 E8 G8 I8">
      <formula1>套工交易情况</formula1>
    </dataValidation>
    <dataValidation type="list" allowBlank="1" showInputMessage="1" showErrorMessage="1" sqref="C9 E9 G9 I9">
      <formula1>套工用途</formula1>
    </dataValidation>
    <dataValidation type="list" allowBlank="1" showInputMessage="1" showErrorMessage="1" sqref="I30 E30 G30">
      <formula1>套工土地级别</formula1>
    </dataValidation>
    <dataValidation type="list" allowBlank="1" showInputMessage="1" showErrorMessage="1" sqref="C27 E27 G27 I27">
      <formula1>临街状况</formula1>
    </dataValidation>
    <dataValidation type="list" allowBlank="1" showInputMessage="1" showErrorMessage="1" sqref="E20 G20 I20 C20">
      <formula1>区域土地利用方向</formula1>
    </dataValidation>
    <dataValidation type="list" allowBlank="1" showInputMessage="1" showErrorMessage="1" sqref="C50">
      <formula1>"北京市系数,其他省市系数"</formula1>
    </dataValidation>
    <dataValidation type="list" allowBlank="1" showInputMessage="1" showErrorMessage="1" sqref="C16 E16 G16 I16">
      <formula1>产业集聚程度</formula1>
    </dataValidation>
    <dataValidation type="list" allowBlank="1" showInputMessage="1" showErrorMessage="1" sqref="C29 E29 G29 I29">
      <formula1>套工道路等级</formula1>
    </dataValidation>
    <dataValidation type="list" allowBlank="1" showInputMessage="1" showErrorMessage="1" sqref="C35 E35 G35 I35">
      <formula1>套工宗地形状</formula1>
    </dataValidation>
    <dataValidation type="list" allowBlank="1" showInputMessage="1" showErrorMessage="1" sqref="C36 E36 G36 I36">
      <formula1>套工宗地开发程度</formula1>
    </dataValidation>
    <dataValidation type="list" allowBlank="1" showInputMessage="1" showErrorMessage="1" sqref="C37 E37 G37 I37">
      <formula1>套工地质条件</formula1>
    </dataValidation>
    <dataValidation type="list" allowBlank="1" showInputMessage="1" showErrorMessage="1" sqref="G58">
      <formula1>"住宅,工业"</formula1>
    </dataValidation>
    <dataValidation type="list" allowBlank="1" showInputMessage="1" showErrorMessage="1" sqref="G57">
      <formula1>"商业,办公,住宅,工业"</formula1>
    </dataValidation>
    <dataValidation type="list" allowBlank="1" showInputMessage="1" showErrorMessage="1" sqref="D52:D60">
      <formula1>"25%,1"</formula1>
    </dataValidation>
    <dataValidation type="list" allowBlank="1" showInputMessage="1" showErrorMessage="1" sqref="C26 E26 G26 I26">
      <formula1>基础设施水平</formula1>
    </dataValidation>
    <dataValidation type="list" allowBlank="1" showInputMessage="1" showErrorMessage="1" sqref="D42">
      <formula1>"简单平均,加权平均"</formula1>
    </dataValidation>
  </dataValidations>
  <pageMargins left="0.70866141732283472" right="0.70866141732283472" top="1.0629921259842521" bottom="0.94488188976377963" header="0.31496062992125984" footer="0.31496062992125984"/>
  <pageSetup paperSize="9" scale="51" fitToHeight="0" orientation="portrait" r:id="rId1"/>
  <legacyDrawing r:id="rId2"/>
</worksheet>
</file>

<file path=xl/worksheets/sheet3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tabColor rgb="FF92D050"/>
  </sheetPr>
  <dimension ref="A1:AK122"/>
  <sheetViews>
    <sheetView view="pageBreakPreview" topLeftCell="A4" zoomScale="90" zoomScaleNormal="80" zoomScaleSheetLayoutView="90" workbookViewId="0">
      <selection activeCell="D40" sqref="D40"/>
    </sheetView>
  </sheetViews>
  <sheetFormatPr defaultColWidth="12" defaultRowHeight="12.75"/>
  <cols>
    <col min="1" max="1" width="9.75" style="2052" customWidth="1"/>
    <col min="2" max="2" width="22.5" style="2143" customWidth="1"/>
    <col min="3" max="3" width="12" style="1997"/>
    <col min="4" max="4" width="14.875" style="1997" customWidth="1"/>
    <col min="5" max="5" width="14.625" style="1997" customWidth="1"/>
    <col min="6" max="8" width="12" style="1997"/>
    <col min="9" max="9" width="12.25" style="1997" bestFit="1" customWidth="1"/>
    <col min="10" max="10" width="12" style="1997"/>
    <col min="11" max="11" width="8.125" style="2048" customWidth="1"/>
    <col min="12" max="12" width="19.5" style="1997" customWidth="1"/>
    <col min="13" max="13" width="8.5" style="1997" customWidth="1"/>
    <col min="14" max="14" width="9.75" style="1997" customWidth="1"/>
    <col min="15" max="25" width="12" style="1997"/>
    <col min="26" max="26" width="9.375" style="2052" customWidth="1"/>
    <col min="27" max="32" width="9.375" style="1121" customWidth="1"/>
    <col min="33" max="36" width="9.375" style="2052" customWidth="1"/>
    <col min="37" max="38" width="9.375" style="1997" customWidth="1"/>
    <col min="39" max="16384" width="12" style="1997"/>
  </cols>
  <sheetData>
    <row r="1" spans="1:36" ht="28.5">
      <c r="A1" s="196" t="s">
        <v>1907</v>
      </c>
      <c r="B1" s="197"/>
      <c r="C1" s="201" t="s">
        <v>1908</v>
      </c>
      <c r="D1" s="342">
        <f>SUM(D33:D34,D37:D42)</f>
        <v>17559.11</v>
      </c>
      <c r="E1" s="1994"/>
      <c r="F1" s="1994"/>
      <c r="G1" s="1994"/>
      <c r="H1" s="1994"/>
      <c r="I1" s="1994"/>
      <c r="J1" s="1994"/>
      <c r="K1" s="1119"/>
      <c r="L1" s="1995" t="s">
        <v>1909</v>
      </c>
      <c r="M1" s="863">
        <f>SUMPRODUCT((区片价!B5:B9=I2)*(区片价!C3:G3=E2)*(区片价!C5:G9))</f>
        <v>0</v>
      </c>
      <c r="N1" s="866">
        <f>SUMPRODUCT((因素修正幅度!B5:B9=I2)*(因素修正幅度!C3:G3=E2)*(因素修正幅度!C5:G9))</f>
        <v>0</v>
      </c>
      <c r="O1" s="1996"/>
      <c r="P1" s="1996"/>
      <c r="Q1" s="1119"/>
      <c r="R1" s="1211" t="s">
        <v>1910</v>
      </c>
      <c r="S1" s="1211" t="s">
        <v>1911</v>
      </c>
      <c r="T1" s="1211" t="s">
        <v>1912</v>
      </c>
      <c r="U1" s="1211" t="s">
        <v>1913</v>
      </c>
      <c r="V1" s="1211" t="s">
        <v>1914</v>
      </c>
      <c r="W1" s="1215"/>
      <c r="X1" s="1215"/>
      <c r="Y1" s="1215"/>
      <c r="Z1" s="1215"/>
      <c r="AA1" s="1215"/>
      <c r="AB1" s="1215"/>
      <c r="AC1" s="1216"/>
      <c r="AD1" s="1217"/>
      <c r="AE1" s="1217"/>
      <c r="AF1" s="1217"/>
      <c r="AG1" s="1217"/>
      <c r="AH1" s="1217"/>
      <c r="AI1" s="1217"/>
      <c r="AJ1" s="1218"/>
    </row>
    <row r="2" spans="1:36" ht="15.75">
      <c r="A2" s="201" t="s">
        <v>1915</v>
      </c>
      <c r="B2" s="204">
        <f>C30</f>
        <v>2143</v>
      </c>
      <c r="C2" s="1998" t="s">
        <v>1916</v>
      </c>
      <c r="D2" s="1999" t="s">
        <v>1917</v>
      </c>
      <c r="E2" s="3396" t="s">
        <v>3427</v>
      </c>
      <c r="F2" s="1999" t="s">
        <v>1918</v>
      </c>
      <c r="G2" s="2000" t="str">
        <f>IF(E2="商业",项目基本情况!B37,IF(E2="办公",项目基本情况!C37,IF(E2="住宅",项目基本情况!D37,IF(E2="工业",项目基本情况!E37,项目基本情况!F37))))</f>
        <v>六级</v>
      </c>
      <c r="H2" s="1999" t="s">
        <v>1919</v>
      </c>
      <c r="I2" s="2000" t="str">
        <f>IF(E2="商业",项目基本情况!B38,IF(E2="办公",项目基本情况!C38,IF(E2="住宅",项目基本情况!D38,IF(E2="工业",项目基本情况!E38,项目基本情况!F38))))</f>
        <v>Ⅵ-昌1</v>
      </c>
      <c r="J2" s="2001"/>
      <c r="K2" s="1119"/>
      <c r="L2" s="2002" t="s">
        <v>1920</v>
      </c>
      <c r="M2" s="864">
        <f>SUMPRODUCT((区片价!B10:B29=I2)*(区片价!C3:G3=E2)*(区片价!C10:G29))</f>
        <v>0</v>
      </c>
      <c r="N2" s="866">
        <f>SUMPRODUCT((因素修正幅度!B10:B29=I2)*(因素修正幅度!C3:G3=E2)*(因素修正幅度!C10:G29))</f>
        <v>0</v>
      </c>
      <c r="O2" s="1119"/>
      <c r="P2" s="1119"/>
      <c r="Q2" s="1119"/>
      <c r="R2" s="1211">
        <v>1</v>
      </c>
      <c r="S2" s="3335">
        <f>ROUND(SUMPRODUCT((B106:B110=R2)*(C105:N105=G2)*(C106:N110)),4)</f>
        <v>1.5019</v>
      </c>
      <c r="T2" s="3335">
        <f t="shared" ref="T2:T16" si="0">ROUND($C$5*$C$22*$C$23*$C$24*S2*$C$28,0)</f>
        <v>7220</v>
      </c>
      <c r="U2" s="1212"/>
      <c r="V2" s="3335">
        <f>ROUND(T2*U2/10000,0)</f>
        <v>0</v>
      </c>
      <c r="W2" s="1215"/>
      <c r="X2" s="1215"/>
      <c r="Y2" s="1215"/>
      <c r="Z2" s="1215"/>
      <c r="AA2" s="1215"/>
      <c r="AB2" s="1215"/>
      <c r="AC2" s="1216"/>
      <c r="AD2" s="1217"/>
      <c r="AE2" s="1217"/>
      <c r="AF2" s="1217"/>
      <c r="AG2" s="1217"/>
      <c r="AH2" s="1217"/>
      <c r="AI2" s="1217"/>
      <c r="AJ2" s="1218"/>
    </row>
    <row r="3" spans="1:36" ht="15.75">
      <c r="A3" s="203" t="s">
        <v>1921</v>
      </c>
      <c r="B3" s="204">
        <f>ROUND(B2*10000/D1,0)</f>
        <v>1220</v>
      </c>
      <c r="C3" s="1998" t="s">
        <v>1922</v>
      </c>
      <c r="D3" s="1999" t="s">
        <v>1923</v>
      </c>
      <c r="E3" s="3394" t="s">
        <v>2434</v>
      </c>
      <c r="F3" s="2003" t="s">
        <v>3678</v>
      </c>
      <c r="G3" s="752">
        <f>IF(F3="宗地容积率",'数据-汇总表'!I4,IF(F3="估价对象容积率",'数据-汇总表'!I6,'数据-汇总表'!I7))</f>
        <v>1</v>
      </c>
      <c r="H3" s="170" t="s">
        <v>1924</v>
      </c>
      <c r="I3" s="775"/>
      <c r="J3" s="2001" t="s">
        <v>1925</v>
      </c>
      <c r="K3" s="1119"/>
      <c r="L3" s="2002" t="s">
        <v>1926</v>
      </c>
      <c r="M3" s="864">
        <f>SUMPRODUCT((区片价!B30:B54=I2)*(区片价!C3:G3=E2)*(区片价!C30:G54))</f>
        <v>0</v>
      </c>
      <c r="N3" s="866">
        <f>SUMPRODUCT((因素修正幅度!B30:B54=I2)*(因素修正幅度!C3:G3=E2)*(因素修正幅度!C30:G54))</f>
        <v>0</v>
      </c>
      <c r="O3" s="1119"/>
      <c r="P3" s="1119"/>
      <c r="Q3" s="1119"/>
      <c r="R3" s="1211">
        <v>2</v>
      </c>
      <c r="S3" s="3335">
        <f>ROUND(SUMPRODUCT((B106:B110=R3)*(C105:N105=G2)*(C106:N110)),4)</f>
        <v>1.1838</v>
      </c>
      <c r="T3" s="3335">
        <f t="shared" si="0"/>
        <v>5691</v>
      </c>
      <c r="U3" s="1212"/>
      <c r="V3" s="3335">
        <f t="shared" ref="V3:V16" si="1">ROUND(T3*U3/10000,0)</f>
        <v>0</v>
      </c>
      <c r="W3" s="1215"/>
      <c r="X3" s="1215"/>
      <c r="Y3" s="1215"/>
      <c r="Z3" s="1215"/>
      <c r="AA3" s="1215"/>
      <c r="AB3" s="1215"/>
      <c r="AC3" s="1216"/>
      <c r="AD3" s="1217"/>
      <c r="AE3" s="1217"/>
      <c r="AF3" s="1217"/>
      <c r="AG3" s="1217"/>
      <c r="AH3" s="1217"/>
      <c r="AI3" s="1217"/>
      <c r="AJ3" s="1218"/>
    </row>
    <row r="4" spans="1:36" ht="15.75">
      <c r="A4" s="3781"/>
      <c r="B4" s="3782"/>
      <c r="C4" s="3782"/>
      <c r="D4" s="3783"/>
      <c r="E4" s="3783"/>
      <c r="F4" s="3783"/>
      <c r="G4" s="3783"/>
      <c r="H4" s="3783"/>
      <c r="I4" s="3783"/>
      <c r="J4" s="3784"/>
      <c r="K4" s="1119"/>
      <c r="L4" s="2002" t="s">
        <v>1927</v>
      </c>
      <c r="M4" s="864">
        <f>SUMPRODUCT((区片价!B55:B86=I2)*(区片价!C3:G3=E2)*(区片价!C55:G86))</f>
        <v>0</v>
      </c>
      <c r="N4" s="866">
        <f>SUMPRODUCT((因素修正幅度!B55:B86=I2)*(因素修正幅度!C3:G3=E2)*(因素修正幅度!C55:G86))</f>
        <v>0</v>
      </c>
      <c r="O4" s="1119"/>
      <c r="P4" s="1119"/>
      <c r="Q4" s="1119"/>
      <c r="R4" s="1211">
        <v>3</v>
      </c>
      <c r="S4" s="3335">
        <f>ROUND(SUMPRODUCT((B106:B110=R4)*(C105:N105=G2)*(C106:N110)),4)</f>
        <v>1.0004999999999999</v>
      </c>
      <c r="T4" s="3335">
        <f t="shared" si="0"/>
        <v>4809</v>
      </c>
      <c r="U4" s="1212"/>
      <c r="V4" s="3335">
        <f t="shared" si="1"/>
        <v>0</v>
      </c>
      <c r="W4" s="1215"/>
      <c r="X4" s="1215"/>
      <c r="Y4" s="1215"/>
      <c r="Z4" s="1215"/>
      <c r="AA4" s="1215"/>
      <c r="AB4" s="1215"/>
      <c r="AC4" s="1216"/>
      <c r="AD4" s="1217"/>
      <c r="AE4" s="1217"/>
      <c r="AF4" s="1217"/>
      <c r="AG4" s="1217"/>
      <c r="AH4" s="1217"/>
      <c r="AI4" s="1217"/>
      <c r="AJ4" s="1218"/>
    </row>
    <row r="5" spans="1:36" s="2013" customFormat="1" ht="15.75" thickBot="1">
      <c r="A5" s="2004" t="s">
        <v>362</v>
      </c>
      <c r="B5" s="2005" t="s">
        <v>1928</v>
      </c>
      <c r="C5" s="753">
        <f>ROUND(IF(E2="商业",C6*C7*C17+C20,(IF(E2="住宅",C6*C13*C17+C20,IF(E2="办公",C6*C12*C17+C20,C6+C20)))),0)</f>
        <v>6665</v>
      </c>
      <c r="D5" s="1338">
        <f>ROUND(C6*C17+C20,0)</f>
        <v>6665</v>
      </c>
      <c r="E5" s="1338"/>
      <c r="F5" s="2006"/>
      <c r="G5" s="2007"/>
      <c r="H5" s="2007"/>
      <c r="I5" s="2007"/>
      <c r="J5" s="2008"/>
      <c r="K5" s="2009"/>
      <c r="L5" s="2002" t="s">
        <v>1929</v>
      </c>
      <c r="M5" s="864">
        <f>SUMPRODUCT((区片价!B87:B126=I2)*(区片价!C3:G3=E2)*(区片价!C87:G126))</f>
        <v>0</v>
      </c>
      <c r="N5" s="866">
        <f>SUMPRODUCT((因素修正幅度!B87:B126=I2)*(因素修正幅度!C3:G3=E2)*(因素修正幅度!C87:G126))</f>
        <v>0</v>
      </c>
      <c r="O5" s="1119"/>
      <c r="P5" s="1119"/>
      <c r="Q5" s="1119"/>
      <c r="R5" s="1211">
        <v>4</v>
      </c>
      <c r="S5" s="3335">
        <f>ROUND(SUMPRODUCT((B106:B110=R5)*(C105:N105=G2)*(C106:N110)),4)</f>
        <v>0.88239999999999996</v>
      </c>
      <c r="T5" s="3335">
        <f t="shared" si="0"/>
        <v>4242</v>
      </c>
      <c r="U5" s="1212"/>
      <c r="V5" s="3335">
        <f t="shared" si="1"/>
        <v>0</v>
      </c>
      <c r="W5" s="1215"/>
      <c r="X5" s="1215"/>
      <c r="Y5" s="1215"/>
      <c r="Z5" s="1215"/>
      <c r="AA5" s="1215"/>
      <c r="AB5" s="1215"/>
      <c r="AC5" s="2010"/>
      <c r="AD5" s="2011"/>
      <c r="AE5" s="2011"/>
      <c r="AF5" s="2011"/>
      <c r="AG5" s="2011"/>
      <c r="AH5" s="2011"/>
      <c r="AI5" s="2011"/>
      <c r="AJ5" s="2012"/>
    </row>
    <row r="6" spans="1:36" ht="15.75" thickBot="1">
      <c r="A6" s="2014" t="s">
        <v>1930</v>
      </c>
      <c r="B6" s="2015" t="s">
        <v>1931</v>
      </c>
      <c r="C6" s="754">
        <f>SUMIF(L1:L12,G2,M1:M12)</f>
        <v>6690</v>
      </c>
      <c r="D6" s="2016"/>
      <c r="E6" s="2017"/>
      <c r="F6" s="2017"/>
      <c r="G6" s="2018"/>
      <c r="H6" s="2018"/>
      <c r="I6" s="2018"/>
      <c r="J6" s="2019"/>
      <c r="K6" s="1383"/>
      <c r="L6" s="2002" t="s">
        <v>1932</v>
      </c>
      <c r="M6" s="864">
        <f>SUMPRODUCT((区片价!B127:B189=I2)*(区片价!C3:G3=E2)*(区片价!C127:G189))</f>
        <v>6690</v>
      </c>
      <c r="N6" s="866">
        <f>SUMPRODUCT((因素修正幅度!B127:B189=I2)*(因素修正幅度!C3:G3=E2)*(因素修正幅度!C127:G189))</f>
        <v>0.13</v>
      </c>
      <c r="O6" s="1119"/>
      <c r="P6" s="1119"/>
      <c r="Q6" s="1119"/>
      <c r="R6" s="1211">
        <v>5</v>
      </c>
      <c r="S6" s="3335">
        <f>ROUND(SUMPRODUCT((B106:B110=R6)*(C105:N105=G2)*(C106:N110)),4)</f>
        <v>0.84799999999999998</v>
      </c>
      <c r="T6" s="3335">
        <f t="shared" si="0"/>
        <v>4076</v>
      </c>
      <c r="U6" s="1212"/>
      <c r="V6" s="3335">
        <f t="shared" si="1"/>
        <v>0</v>
      </c>
      <c r="W6" s="1215"/>
      <c r="X6" s="1215"/>
      <c r="Y6" s="1215"/>
      <c r="Z6" s="1215"/>
      <c r="AA6" s="1215"/>
      <c r="AB6" s="1215"/>
      <c r="AC6" s="2010"/>
      <c r="AD6" s="2011"/>
      <c r="AE6" s="2011"/>
      <c r="AF6" s="2011"/>
      <c r="AG6" s="2011"/>
      <c r="AH6" s="2011"/>
      <c r="AI6" s="2011"/>
      <c r="AJ6" s="2012"/>
    </row>
    <row r="7" spans="1:36" ht="24.75" thickBot="1">
      <c r="A7" s="3278" t="s">
        <v>3213</v>
      </c>
      <c r="B7" s="2020" t="s">
        <v>1933</v>
      </c>
      <c r="C7" s="755">
        <f>IF(C8="不临65条商业街",1,ROUND(1+(1.6*E8+1.2*E9+0.8*E10+0.4*E11)*C9,4))</f>
        <v>1</v>
      </c>
      <c r="D7" s="2021" t="s">
        <v>1934</v>
      </c>
      <c r="E7" s="776"/>
      <c r="F7" s="2022"/>
      <c r="G7" s="2023"/>
      <c r="H7" s="2023"/>
      <c r="I7" s="2023"/>
      <c r="J7" s="2024"/>
      <c r="K7" s="1383"/>
      <c r="L7" s="2002" t="s">
        <v>1935</v>
      </c>
      <c r="M7" s="864">
        <f>SUMPRODUCT((区片价!B190:B233=I2)*(区片价!C3:G3=E2)*(区片价!C190:G233))</f>
        <v>0</v>
      </c>
      <c r="N7" s="866">
        <f>SUMPRODUCT((因素修正幅度!B190:B233=I2)*(因素修正幅度!C3:G3=E2)*(因素修正幅度!C190:G233))</f>
        <v>0</v>
      </c>
      <c r="O7" s="1119"/>
      <c r="P7" s="1119"/>
      <c r="Q7" s="1119"/>
      <c r="R7" s="1211">
        <v>6</v>
      </c>
      <c r="S7" s="3393"/>
      <c r="T7" s="3335">
        <f t="shared" si="0"/>
        <v>0</v>
      </c>
      <c r="U7" s="1212"/>
      <c r="V7" s="3335">
        <f t="shared" si="1"/>
        <v>0</v>
      </c>
      <c r="W7" s="1357" t="s">
        <v>1936</v>
      </c>
      <c r="X7" s="1213" t="str">
        <f>G2</f>
        <v>六级</v>
      </c>
      <c r="Y7" s="1213" t="s">
        <v>1937</v>
      </c>
      <c r="Z7" s="1214">
        <f>G3</f>
        <v>1</v>
      </c>
      <c r="AA7" s="1215"/>
      <c r="AB7" s="1215"/>
      <c r="AC7" s="1216"/>
      <c r="AD7" s="1217"/>
      <c r="AE7" s="1217"/>
      <c r="AF7" s="1217"/>
      <c r="AG7" s="1217"/>
      <c r="AH7" s="1217"/>
      <c r="AI7" s="1217"/>
      <c r="AJ7" s="1218"/>
    </row>
    <row r="8" spans="1:36" ht="25.5">
      <c r="A8" s="3273"/>
      <c r="B8" s="170" t="s">
        <v>1938</v>
      </c>
      <c r="C8" s="2025" t="s">
        <v>3618</v>
      </c>
      <c r="D8" s="756" t="s">
        <v>112</v>
      </c>
      <c r="E8" s="757" t="e">
        <f>ROUND(C11/E7,4)</f>
        <v>#DIV/0!</v>
      </c>
      <c r="F8" s="2026" t="s">
        <v>1939</v>
      </c>
      <c r="G8" s="2027"/>
      <c r="H8" s="2027"/>
      <c r="I8" s="2027"/>
      <c r="J8" s="2028"/>
      <c r="K8" s="1119"/>
      <c r="L8" s="2002" t="s">
        <v>1940</v>
      </c>
      <c r="M8" s="864">
        <f>SUMPRODUCT((区片价!B234:B276=I2)*(区片价!C3:G3=E2)*(区片价!C234:G276))</f>
        <v>0</v>
      </c>
      <c r="N8" s="866">
        <f>SUMPRODUCT((因素修正幅度!B234:B276=I2)*(因素修正幅度!C3:G3=E2)*(因素修正幅度!C234:G276))</f>
        <v>0</v>
      </c>
      <c r="O8" s="1119"/>
      <c r="P8" s="1119"/>
      <c r="Q8" s="1119"/>
      <c r="R8" s="1211">
        <v>7</v>
      </c>
      <c r="S8" s="1212"/>
      <c r="T8" s="3335">
        <f t="shared" si="0"/>
        <v>0</v>
      </c>
      <c r="U8" s="1212"/>
      <c r="V8" s="3335">
        <f t="shared" si="1"/>
        <v>0</v>
      </c>
      <c r="W8" s="3778" t="s">
        <v>1941</v>
      </c>
      <c r="X8" s="3779"/>
      <c r="Y8" s="1219" t="s">
        <v>1942</v>
      </c>
      <c r="Z8" s="1219" t="s">
        <v>1943</v>
      </c>
      <c r="AA8" s="1219" t="s">
        <v>1944</v>
      </c>
      <c r="AB8" s="1219" t="s">
        <v>1945</v>
      </c>
      <c r="AC8" s="1219" t="s">
        <v>1946</v>
      </c>
      <c r="AD8" s="1219" t="s">
        <v>1947</v>
      </c>
      <c r="AE8" s="1219" t="s">
        <v>1948</v>
      </c>
      <c r="AF8" s="1219" t="s">
        <v>1949</v>
      </c>
      <c r="AG8" s="1219" t="s">
        <v>1950</v>
      </c>
      <c r="AH8" s="1219" t="s">
        <v>1951</v>
      </c>
      <c r="AI8" s="1219" t="s">
        <v>1952</v>
      </c>
      <c r="AJ8" s="1219" t="s">
        <v>1953</v>
      </c>
    </row>
    <row r="9" spans="1:36" ht="15">
      <c r="A9" s="3273"/>
      <c r="B9" s="170" t="s">
        <v>1954</v>
      </c>
      <c r="C9" s="758">
        <f>SUMIF(修正!C71:C138,C8,修正!E71:E138)</f>
        <v>0</v>
      </c>
      <c r="D9" s="171" t="s">
        <v>113</v>
      </c>
      <c r="E9" s="171" t="e">
        <f>ROUND(C11/E7,4)</f>
        <v>#DIV/0!</v>
      </c>
      <c r="F9" s="2026" t="s">
        <v>1955</v>
      </c>
      <c r="G9" s="2027"/>
      <c r="H9" s="2027"/>
      <c r="I9" s="2027"/>
      <c r="J9" s="2028"/>
      <c r="K9" s="1119"/>
      <c r="L9" s="2002" t="s">
        <v>1956</v>
      </c>
      <c r="M9" s="864">
        <f>SUMPRODUCT((区片价!B277:B326=I2)*(区片价!C3:G3=E2)*(区片价!C277:G326))</f>
        <v>0</v>
      </c>
      <c r="N9" s="866">
        <f>SUMPRODUCT((因素修正幅度!B277:B326=I2)*(因素修正幅度!C3:G3=E2)*(因素修正幅度!C277:G326))</f>
        <v>0</v>
      </c>
      <c r="O9" s="1119"/>
      <c r="P9" s="1119"/>
      <c r="Q9" s="1119"/>
      <c r="R9" s="1211">
        <v>8</v>
      </c>
      <c r="S9" s="1212"/>
      <c r="T9" s="3335">
        <f t="shared" si="0"/>
        <v>0</v>
      </c>
      <c r="U9" s="1212"/>
      <c r="V9" s="3335">
        <f t="shared" si="1"/>
        <v>0</v>
      </c>
      <c r="W9" s="3780"/>
      <c r="X9" s="3336" t="s">
        <v>3243</v>
      </c>
      <c r="Y9" s="3337">
        <v>6</v>
      </c>
      <c r="Z9" s="3338">
        <f>$Y$9</f>
        <v>6</v>
      </c>
      <c r="AA9" s="3338">
        <f t="shared" ref="AA9:AJ9" si="2">$Y$9</f>
        <v>6</v>
      </c>
      <c r="AB9" s="3338">
        <f t="shared" si="2"/>
        <v>6</v>
      </c>
      <c r="AC9" s="3338">
        <f t="shared" si="2"/>
        <v>6</v>
      </c>
      <c r="AD9" s="3338">
        <f t="shared" si="2"/>
        <v>6</v>
      </c>
      <c r="AE9" s="3338">
        <f t="shared" si="2"/>
        <v>6</v>
      </c>
      <c r="AF9" s="3338">
        <f t="shared" si="2"/>
        <v>6</v>
      </c>
      <c r="AG9" s="3338">
        <f t="shared" si="2"/>
        <v>6</v>
      </c>
      <c r="AH9" s="3338">
        <f t="shared" si="2"/>
        <v>6</v>
      </c>
      <c r="AI9" s="3338">
        <f t="shared" si="2"/>
        <v>6</v>
      </c>
      <c r="AJ9" s="3338">
        <f t="shared" si="2"/>
        <v>6</v>
      </c>
    </row>
    <row r="10" spans="1:36" ht="15">
      <c r="A10" s="3273"/>
      <c r="B10" s="170" t="s">
        <v>1957</v>
      </c>
      <c r="C10" s="171">
        <f>SUMIF(修正!C71:C138,C8,修正!F71:F138)</f>
        <v>0</v>
      </c>
      <c r="D10" s="171" t="s">
        <v>114</v>
      </c>
      <c r="E10" s="171" t="e">
        <f>ROUND(C11/E7,4)</f>
        <v>#DIV/0!</v>
      </c>
      <c r="F10" s="2026" t="s">
        <v>1958</v>
      </c>
      <c r="G10" s="2027"/>
      <c r="H10" s="2027"/>
      <c r="I10" s="2027"/>
      <c r="J10" s="2028"/>
      <c r="K10" s="1119"/>
      <c r="L10" s="2002" t="s">
        <v>1959</v>
      </c>
      <c r="M10" s="864">
        <f>SUMPRODUCT((区片价!B327:B357=I2)*(区片价!C3:G3=E2)*(区片价!C327:G357))</f>
        <v>0</v>
      </c>
      <c r="N10" s="866">
        <f>SUMPRODUCT((因素修正幅度!B327:B357=I2)*(因素修正幅度!C3:G3=E2)*(因素修正幅度!C327:G357))</f>
        <v>0</v>
      </c>
      <c r="O10" s="1119"/>
      <c r="P10" s="1119"/>
      <c r="Q10" s="1119"/>
      <c r="R10" s="1211">
        <v>9</v>
      </c>
      <c r="S10" s="1212"/>
      <c r="T10" s="3335">
        <f t="shared" si="0"/>
        <v>0</v>
      </c>
      <c r="U10" s="1212"/>
      <c r="V10" s="3335">
        <f t="shared" si="1"/>
        <v>0</v>
      </c>
      <c r="W10" s="3780"/>
      <c r="X10" s="3336">
        <v>6</v>
      </c>
      <c r="Y10" s="3339">
        <f>ROUND((-0.5556*(Y9^2)-0.2719*Y9+8944)*(10^(-4)),4)</f>
        <v>0.89219999999999999</v>
      </c>
      <c r="Z10" s="3339">
        <f>ROUND((-0.5556*(Z9^2)-0.2719*Z9+8944)*(10^(-4)),4)</f>
        <v>0.89219999999999999</v>
      </c>
      <c r="AA10" s="3339">
        <f>ROUND((-0.7912*(AA9^2)-11.3794*AA9+8482)*(10^(-4)),4)</f>
        <v>0.83850000000000002</v>
      </c>
      <c r="AB10" s="3339">
        <f>ROUND((-0.7912*(AB9^2)-11.3794*AB9+8482)*(10^(-4)),4)</f>
        <v>0.83850000000000002</v>
      </c>
      <c r="AC10" s="3339">
        <f>ROUND((-0.7912*(AC9^2)-11.3794*AC9+8482)*(10^(-4)),4)</f>
        <v>0.83850000000000002</v>
      </c>
      <c r="AD10" s="3339">
        <f>ROUND((-0.7912*(AD9^2)-11.3794*AD9+8482)*(10^(-4)),4)</f>
        <v>0.83850000000000002</v>
      </c>
      <c r="AE10" s="3339">
        <f>ROUND((-0.7912*(AE9^2)-11.3794*AE9+8482)*(10^(-4)),4)</f>
        <v>0.83850000000000002</v>
      </c>
      <c r="AF10" s="3339">
        <f>ROUND((-0.989*(AF9^2)-63.78*AF9+7771)*(10^(-4)),4)</f>
        <v>0.73529999999999995</v>
      </c>
      <c r="AG10" s="3339">
        <f>ROUND((-0.989*(AG9^2)-63.78*AG9+7771)*(10^(-4)),4)</f>
        <v>0.73529999999999995</v>
      </c>
      <c r="AH10" s="3339">
        <f>ROUND((-0.989*(AH9^2)-63.78*AH9+7771)*(10^(-4)),4)</f>
        <v>0.73529999999999995</v>
      </c>
      <c r="AI10" s="3339">
        <f>ROUND((-0.989*(AI9^2)-63.78*AI9+7771)*(10^(-4)),4)</f>
        <v>0.73529999999999995</v>
      </c>
      <c r="AJ10" s="3339">
        <f>ROUND((-0.989*(AJ9^2)-63.78*AJ9+7771)*(10^(-4)),4)</f>
        <v>0.73529999999999995</v>
      </c>
    </row>
    <row r="11" spans="1:36" ht="15.75" thickBot="1">
      <c r="A11" s="3277"/>
      <c r="B11" s="2029" t="s">
        <v>1960</v>
      </c>
      <c r="C11" s="759">
        <f>C10/4</f>
        <v>0</v>
      </c>
      <c r="D11" s="759" t="s">
        <v>115</v>
      </c>
      <c r="E11" s="759" t="e">
        <f>ROUND(C11/E7,4)</f>
        <v>#DIV/0!</v>
      </c>
      <c r="F11" s="2030" t="s">
        <v>1961</v>
      </c>
      <c r="G11" s="2031"/>
      <c r="H11" s="2031"/>
      <c r="I11" s="2031"/>
      <c r="J11" s="2032"/>
      <c r="K11" s="1119"/>
      <c r="L11" s="2002" t="s">
        <v>1962</v>
      </c>
      <c r="M11" s="864">
        <f>SUMPRODUCT((区片价!B358:B377=I2)*(区片价!C3:G3=E2)*(区片价!C358:G377))</f>
        <v>0</v>
      </c>
      <c r="N11" s="866">
        <f>SUMPRODUCT((因素修正幅度!B358:B377=I2)*(因素修正幅度!C3:G3=E2)*(因素修正幅度!C358:G377))</f>
        <v>0</v>
      </c>
      <c r="O11" s="1119"/>
      <c r="P11" s="1119"/>
      <c r="Q11" s="1119"/>
      <c r="R11" s="1211">
        <v>10</v>
      </c>
      <c r="S11" s="1212"/>
      <c r="T11" s="3335">
        <f t="shared" si="0"/>
        <v>0</v>
      </c>
      <c r="U11" s="1212"/>
      <c r="V11" s="3335">
        <f t="shared" si="1"/>
        <v>0</v>
      </c>
      <c r="W11" s="1215"/>
      <c r="X11" s="1215"/>
      <c r="Y11" s="1215"/>
      <c r="Z11" s="1215"/>
      <c r="AA11" s="1215"/>
      <c r="AB11" s="1215"/>
      <c r="AC11" s="1216"/>
      <c r="AD11" s="2763"/>
      <c r="AE11" s="2763"/>
      <c r="AF11" s="2763"/>
      <c r="AG11" s="2763"/>
      <c r="AH11" s="2763"/>
      <c r="AI11" s="2763"/>
      <c r="AJ11" s="2764"/>
    </row>
    <row r="12" spans="1:36" ht="25.5" thickBot="1">
      <c r="A12" s="3278" t="s">
        <v>3214</v>
      </c>
      <c r="B12" s="3279" t="s">
        <v>3215</v>
      </c>
      <c r="C12" s="3280">
        <v>1</v>
      </c>
      <c r="D12" s="3281" t="s">
        <v>3216</v>
      </c>
      <c r="E12" s="3282" t="s">
        <v>3217</v>
      </c>
      <c r="F12" s="3283"/>
      <c r="G12" s="3284"/>
      <c r="H12" s="3284"/>
      <c r="I12" s="3284"/>
      <c r="J12" s="3285"/>
      <c r="K12" s="1119"/>
      <c r="L12" s="2038" t="s">
        <v>1965</v>
      </c>
      <c r="M12" s="865">
        <f>SUMPRODUCT((区片价!B378:B384=I2)*(区片价!C3:G3=E2)*(区片价!C378:G384))</f>
        <v>0</v>
      </c>
      <c r="N12" s="866">
        <f>SUMPRODUCT((因素修正幅度!B378:B384=I2)*(因素修正幅度!C3:G3=E2)*(因素修正幅度!C378:G384))</f>
        <v>0</v>
      </c>
      <c r="O12" s="1119"/>
      <c r="P12" s="1119"/>
      <c r="Q12" s="1119"/>
      <c r="R12" s="1211">
        <v>11</v>
      </c>
      <c r="S12" s="1212"/>
      <c r="T12" s="3335">
        <f t="shared" si="0"/>
        <v>0</v>
      </c>
      <c r="U12" s="1212"/>
      <c r="V12" s="3335">
        <f t="shared" si="1"/>
        <v>0</v>
      </c>
      <c r="W12" s="1215"/>
      <c r="X12" s="1215"/>
      <c r="Y12" s="1215"/>
      <c r="Z12" s="1215"/>
      <c r="AA12" s="1215"/>
      <c r="AB12" s="1215"/>
      <c r="AC12" s="1216"/>
      <c r="AD12" s="2763"/>
      <c r="AE12" s="2763"/>
      <c r="AF12" s="2763"/>
      <c r="AG12" s="2763"/>
      <c r="AH12" s="2763"/>
      <c r="AI12" s="2763"/>
      <c r="AJ12" s="2764"/>
    </row>
    <row r="13" spans="1:36" ht="15.75" thickBot="1">
      <c r="A13" s="3278" t="s">
        <v>3218</v>
      </c>
      <c r="B13" s="2033" t="s">
        <v>1963</v>
      </c>
      <c r="C13" s="755">
        <f>ROUND(C16*D16*E16*F16*G16*H16*I16*J16,4)</f>
        <v>0</v>
      </c>
      <c r="D13" s="2034" t="s">
        <v>1964</v>
      </c>
      <c r="E13" s="2035"/>
      <c r="F13" s="2035"/>
      <c r="G13" s="2036"/>
      <c r="H13" s="2036"/>
      <c r="I13" s="2036"/>
      <c r="J13" s="2037"/>
      <c r="K13" s="1119"/>
      <c r="L13" s="3274"/>
      <c r="M13" s="3275"/>
      <c r="N13" s="3276"/>
      <c r="O13" s="1119"/>
      <c r="P13" s="1119"/>
      <c r="Q13" s="1119"/>
      <c r="R13" s="1211">
        <v>12</v>
      </c>
      <c r="S13" s="1212"/>
      <c r="T13" s="3335">
        <f t="shared" si="0"/>
        <v>0</v>
      </c>
      <c r="U13" s="1212"/>
      <c r="V13" s="3335">
        <f t="shared" si="1"/>
        <v>0</v>
      </c>
      <c r="W13" s="1215"/>
      <c r="X13" s="1215"/>
      <c r="Y13" s="1215"/>
      <c r="Z13" s="1215"/>
      <c r="AA13" s="1215"/>
      <c r="AB13" s="1215"/>
      <c r="AC13" s="1216"/>
      <c r="AD13" s="2763"/>
      <c r="AE13" s="2763"/>
      <c r="AF13" s="2763"/>
      <c r="AG13" s="2763"/>
      <c r="AH13" s="2763"/>
      <c r="AI13" s="2763"/>
      <c r="AJ13" s="2764"/>
    </row>
    <row r="14" spans="1:36" ht="15">
      <c r="A14" s="3272"/>
      <c r="B14" s="2039" t="s">
        <v>1966</v>
      </c>
      <c r="C14" s="2040" t="s">
        <v>1967</v>
      </c>
      <c r="D14" s="1349" t="s">
        <v>1968</v>
      </c>
      <c r="E14" s="27" t="s">
        <v>1969</v>
      </c>
      <c r="F14" s="3286" t="s">
        <v>3219</v>
      </c>
      <c r="G14" s="3286" t="s">
        <v>3219</v>
      </c>
      <c r="H14" s="3286" t="s">
        <v>3219</v>
      </c>
      <c r="I14" s="3286" t="s">
        <v>3219</v>
      </c>
      <c r="J14" s="3286" t="s">
        <v>3219</v>
      </c>
      <c r="K14" s="1119"/>
      <c r="L14" s="1119"/>
      <c r="M14" s="1119"/>
      <c r="N14" s="1119"/>
      <c r="O14" s="1119"/>
      <c r="P14" s="1119"/>
      <c r="Q14" s="1119"/>
      <c r="R14" s="1211">
        <v>13</v>
      </c>
      <c r="S14" s="1212"/>
      <c r="T14" s="3335">
        <f t="shared" si="0"/>
        <v>0</v>
      </c>
      <c r="U14" s="1212"/>
      <c r="V14" s="3335">
        <f t="shared" si="1"/>
        <v>0</v>
      </c>
      <c r="W14" s="1215"/>
      <c r="X14" s="1215"/>
      <c r="Y14" s="1215"/>
      <c r="Z14" s="1215"/>
      <c r="AA14" s="1215"/>
      <c r="AB14" s="1215"/>
      <c r="AC14" s="1216"/>
      <c r="AD14" s="2763"/>
      <c r="AE14" s="2763"/>
      <c r="AF14" s="2763"/>
      <c r="AG14" s="2763"/>
      <c r="AH14" s="2763"/>
      <c r="AI14" s="2763"/>
      <c r="AJ14" s="2764"/>
    </row>
    <row r="15" spans="1:36" ht="15">
      <c r="A15" s="3272"/>
      <c r="B15" s="2041"/>
      <c r="C15" s="2042"/>
      <c r="D15" s="2043"/>
      <c r="E15" s="2044"/>
      <c r="F15" s="3287" t="s">
        <v>3220</v>
      </c>
      <c r="G15" s="3288"/>
      <c r="H15" s="3289"/>
      <c r="I15" s="3290"/>
      <c r="J15" s="3291"/>
      <c r="K15" s="1119"/>
      <c r="L15" s="1119"/>
      <c r="M15" s="1119"/>
      <c r="N15" s="1119"/>
      <c r="O15" s="1119"/>
      <c r="P15" s="1119"/>
      <c r="Q15" s="1119"/>
      <c r="R15" s="1211">
        <v>14</v>
      </c>
      <c r="S15" s="1212"/>
      <c r="T15" s="3335">
        <f t="shared" si="0"/>
        <v>0</v>
      </c>
      <c r="U15" s="1212"/>
      <c r="V15" s="3335">
        <f t="shared" si="1"/>
        <v>0</v>
      </c>
      <c r="W15" s="1215"/>
      <c r="X15" s="1215"/>
      <c r="Y15" s="1215"/>
      <c r="Z15" s="1215"/>
      <c r="AA15" s="1215"/>
      <c r="AB15" s="1215"/>
      <c r="AC15" s="1216"/>
      <c r="AD15" s="2763"/>
      <c r="AE15" s="2763"/>
      <c r="AF15" s="2763"/>
      <c r="AG15" s="2763"/>
      <c r="AH15" s="2763"/>
      <c r="AI15" s="2763"/>
      <c r="AJ15" s="2764"/>
    </row>
    <row r="16" spans="1:36" ht="15.75" thickBot="1">
      <c r="A16" s="3272"/>
      <c r="B16" s="3294" t="s">
        <v>1970</v>
      </c>
      <c r="C16" s="3292"/>
      <c r="D16" s="3292"/>
      <c r="E16" s="3292"/>
      <c r="F16" s="3292">
        <v>1</v>
      </c>
      <c r="G16" s="3292">
        <v>1</v>
      </c>
      <c r="H16" s="3292">
        <v>1</v>
      </c>
      <c r="I16" s="3292">
        <v>1</v>
      </c>
      <c r="J16" s="3293">
        <v>1</v>
      </c>
      <c r="K16" s="1119"/>
      <c r="L16" s="1996"/>
      <c r="M16" s="1996"/>
      <c r="N16" s="1996"/>
      <c r="O16" s="1996"/>
      <c r="P16" s="1996"/>
      <c r="Q16" s="1119"/>
      <c r="R16" s="1211">
        <v>15</v>
      </c>
      <c r="S16" s="1212"/>
      <c r="T16" s="3335">
        <f t="shared" si="0"/>
        <v>0</v>
      </c>
      <c r="U16" s="1212"/>
      <c r="V16" s="3335">
        <f t="shared" si="1"/>
        <v>0</v>
      </c>
      <c r="W16" s="1215"/>
      <c r="X16" s="1215"/>
      <c r="Y16" s="1215"/>
      <c r="Z16" s="1215"/>
      <c r="AA16" s="1215"/>
      <c r="AB16" s="1215"/>
      <c r="AC16" s="1216"/>
      <c r="AD16" s="2763"/>
      <c r="AE16" s="2763"/>
      <c r="AF16" s="2763"/>
      <c r="AG16" s="2763"/>
      <c r="AH16" s="2763"/>
      <c r="AI16" s="2763"/>
      <c r="AJ16" s="2764"/>
    </row>
    <row r="17" spans="1:37">
      <c r="A17" s="3304" t="s">
        <v>3221</v>
      </c>
      <c r="B17" s="3295" t="s">
        <v>3222</v>
      </c>
      <c r="C17" s="3305">
        <f>ROUND(IF(OR(E2="工业",E2="公共服务"),1,IF(AND(E18=0,E19=0),1,IF(AND(E18=J24,E19=G19),0.8,IF(E19=0,1+E17*(-0.2),1+E17*G17*(-0.2))))),4)</f>
        <v>1</v>
      </c>
      <c r="D17" s="3296" t="s">
        <v>3223</v>
      </c>
      <c r="E17" s="3305">
        <f>ROUND(G18/I18,2)</f>
        <v>0</v>
      </c>
      <c r="F17" s="3296" t="s">
        <v>3226</v>
      </c>
      <c r="G17" s="3305" t="e">
        <f>ROUND(E19/G19,2)</f>
        <v>#DIV/0!</v>
      </c>
      <c r="H17" s="3305"/>
      <c r="I17" s="3305"/>
      <c r="J17" s="3306"/>
      <c r="K17" s="1119"/>
      <c r="L17" s="1996"/>
      <c r="M17" s="1996"/>
      <c r="N17" s="1996"/>
      <c r="O17" s="1996"/>
      <c r="P17" s="1996"/>
      <c r="Q17" s="1119"/>
      <c r="R17" s="1119"/>
      <c r="S17" s="1119"/>
      <c r="T17" s="1119"/>
      <c r="U17" s="1119"/>
      <c r="V17" s="1119"/>
      <c r="W17" s="1119"/>
      <c r="X17" s="1119"/>
      <c r="Y17" s="1119"/>
      <c r="Z17" s="1120"/>
      <c r="AA17" s="1120"/>
      <c r="AB17" s="1120"/>
      <c r="AC17" s="1120"/>
      <c r="AD17" s="1120"/>
      <c r="AE17" s="1119"/>
      <c r="AF17" s="1119"/>
      <c r="AG17" s="1996"/>
      <c r="AH17" s="1996"/>
      <c r="AI17" s="1996"/>
      <c r="AJ17" s="1996"/>
    </row>
    <row r="18" spans="1:37" s="2013" customFormat="1" ht="14.25">
      <c r="A18" s="3307"/>
      <c r="B18" s="2984"/>
      <c r="C18" s="3302"/>
      <c r="D18" s="3297" t="s">
        <v>3224</v>
      </c>
      <c r="E18" s="3303"/>
      <c r="F18" s="3298" t="s">
        <v>3227</v>
      </c>
      <c r="G18" s="3302">
        <f>ROUND(1-(1/(POWER(1+G24,E18))),4)</f>
        <v>0</v>
      </c>
      <c r="H18" s="3298" t="s">
        <v>3229</v>
      </c>
      <c r="I18" s="3302">
        <f>ROUND(1-(1/(POWER(1+G24,J24))),4)</f>
        <v>0.91279999999999994</v>
      </c>
      <c r="J18" s="3308"/>
      <c r="K18" s="1119"/>
      <c r="L18" s="1996"/>
      <c r="M18" s="1996"/>
      <c r="N18" s="1996"/>
      <c r="O18" s="1996"/>
      <c r="P18" s="1996"/>
      <c r="Q18" s="1119"/>
      <c r="R18" s="1124"/>
      <c r="S18" s="1124"/>
      <c r="T18" s="1120"/>
      <c r="U18" s="1120"/>
      <c r="V18" s="1120"/>
      <c r="W18" s="1119"/>
      <c r="X18" s="1119"/>
      <c r="Y18" s="1119"/>
      <c r="Z18" s="1125"/>
      <c r="AA18" s="1125"/>
      <c r="AB18" s="1125"/>
      <c r="AC18" s="1125"/>
      <c r="AD18" s="1125"/>
      <c r="AE18" s="1120"/>
      <c r="AF18" s="1120"/>
      <c r="AG18" s="2140"/>
      <c r="AH18" s="2140"/>
      <c r="AI18" s="2140"/>
      <c r="AJ18" s="2762"/>
    </row>
    <row r="19" spans="1:37" s="2013" customFormat="1" ht="15" thickBot="1">
      <c r="A19" s="3309"/>
      <c r="B19" s="3310"/>
      <c r="C19" s="3311"/>
      <c r="D19" s="3311" t="s">
        <v>3225</v>
      </c>
      <c r="E19" s="3312"/>
      <c r="F19" s="3313" t="s">
        <v>3228</v>
      </c>
      <c r="G19" s="3312"/>
      <c r="H19" s="3311"/>
      <c r="I19" s="3311"/>
      <c r="J19" s="3314"/>
      <c r="K19" s="1119"/>
      <c r="L19" s="1996"/>
      <c r="M19" s="1996"/>
      <c r="N19" s="1996"/>
      <c r="O19" s="1996"/>
      <c r="P19" s="1996"/>
      <c r="Q19" s="1124"/>
      <c r="R19" s="1124"/>
      <c r="S19" s="1124"/>
      <c r="T19" s="1120"/>
      <c r="U19" s="1120"/>
      <c r="V19" s="1120"/>
      <c r="W19" s="1119"/>
      <c r="X19" s="1119"/>
      <c r="Y19" s="1119"/>
      <c r="Z19" s="1125"/>
      <c r="AA19" s="1125"/>
      <c r="AB19" s="1125"/>
      <c r="AC19" s="1125"/>
      <c r="AD19" s="1125"/>
      <c r="AE19" s="1125"/>
      <c r="AF19" s="1124"/>
      <c r="AG19" s="2765"/>
      <c r="AH19" s="2140"/>
      <c r="AI19" s="2766"/>
      <c r="AJ19" s="2766"/>
      <c r="AK19" s="2056"/>
    </row>
    <row r="20" spans="1:37" s="2013" customFormat="1" ht="14.25">
      <c r="A20" s="3785" t="s">
        <v>3230</v>
      </c>
      <c r="B20" s="167" t="s">
        <v>1975</v>
      </c>
      <c r="C20" s="3299">
        <f>ROUND(IF(F21="与级别开发程度一致",0,(G21-E21)/C21),0)</f>
        <v>-25</v>
      </c>
      <c r="D20" s="3315" t="s">
        <v>1979</v>
      </c>
      <c r="E20" s="3316"/>
      <c r="F20" s="3791" t="s">
        <v>1976</v>
      </c>
      <c r="G20" s="3792"/>
      <c r="H20" s="3300" t="s">
        <v>3371</v>
      </c>
      <c r="I20" s="3300" t="s">
        <v>3372</v>
      </c>
      <c r="J20" s="3301" t="s">
        <v>3373</v>
      </c>
      <c r="K20" s="2046" t="s">
        <v>3374</v>
      </c>
      <c r="L20" s="2046" t="s">
        <v>3375</v>
      </c>
      <c r="M20" s="2046" t="s">
        <v>3376</v>
      </c>
      <c r="N20" s="2046" t="s">
        <v>3377</v>
      </c>
      <c r="O20" s="2047"/>
      <c r="P20" s="1996"/>
      <c r="Q20" s="1124"/>
      <c r="R20" s="1124"/>
      <c r="S20" s="1124"/>
      <c r="T20" s="1120"/>
      <c r="U20" s="1120"/>
      <c r="V20" s="1120"/>
      <c r="W20" s="1119"/>
      <c r="X20" s="1119"/>
      <c r="Y20" s="1119"/>
      <c r="Z20" s="1125"/>
      <c r="AA20" s="1125"/>
      <c r="AB20" s="1125"/>
      <c r="AC20" s="1125"/>
      <c r="AD20" s="1125"/>
      <c r="AE20" s="1125"/>
      <c r="AF20" s="1125"/>
      <c r="AG20" s="2762"/>
      <c r="AH20" s="2762"/>
      <c r="AI20" s="2762"/>
      <c r="AJ20" s="2762"/>
    </row>
    <row r="21" spans="1:37" s="2013" customFormat="1" ht="26.25" thickBot="1">
      <c r="A21" s="3786"/>
      <c r="B21" s="2163" t="s">
        <v>1978</v>
      </c>
      <c r="C21" s="2164">
        <f>IF(E3="M4科研用地",SUMPRODUCT((修正!A2:A7=E3)*(修正!B1:M1=G2)*(修正!B2:M7)),SUMPRODUCT((修正!A2:A7=E2)*(修正!B1:M1=G2)*(修正!B2:M7)))</f>
        <v>2</v>
      </c>
      <c r="D21" s="187" t="str">
        <f>IF(OR(G2="八级",G2="九级",G2="十级",G2="十一级",G2="十二级"),"五通一平","七通一平")</f>
        <v>七通一平</v>
      </c>
      <c r="E21" s="2154">
        <f>SUMPRODUCT((修正!B1:M1=G2)*(修正!B17:M17))</f>
        <v>315</v>
      </c>
      <c r="F21" s="2155" t="s">
        <v>3619</v>
      </c>
      <c r="G21" s="2156">
        <f>SUM(H21:O21)</f>
        <v>265</v>
      </c>
      <c r="H21" s="2164">
        <f>SUMPRODUCT((七通一平=H20)*(修正!B1:M1=G2)*(修正!B8:M16))</f>
        <v>70</v>
      </c>
      <c r="I21" s="2164">
        <f>SUMPRODUCT((七通一平=I20)*(修正!B1:M1=G2)*(修正!B8:M16))</f>
        <v>60</v>
      </c>
      <c r="J21" s="2165">
        <f>SUMPRODUCT((七通一平=J20)*(修正!B1:M1=G2)*(修正!B8:M16))</f>
        <v>15</v>
      </c>
      <c r="K21" s="2164">
        <f>SUMPRODUCT((七通一平=K20)*(修正!B1:M1=G2)*(修正!B8:M16))</f>
        <v>25</v>
      </c>
      <c r="L21" s="2164">
        <f>SUMPRODUCT((七通一平=L20)*(修正!B1:M1=G2)*(修正!B8:M16))</f>
        <v>40</v>
      </c>
      <c r="M21" s="2164">
        <f>SUMPRODUCT((七通一平=M20)*(修正!B1:M1=G2)*(修正!B8:M16))</f>
        <v>40</v>
      </c>
      <c r="N21" s="2164">
        <f>SUMPRODUCT((七通一平=N20)*(修正!B1:M1=G2)*(修正!B8:M16))</f>
        <v>15</v>
      </c>
      <c r="O21" s="2166">
        <f>SUMPRODUCT((七通一平=O20)*(修正!B1:M1=G2)*(修正!B8:M16))</f>
        <v>0</v>
      </c>
      <c r="P21" s="1996"/>
      <c r="Q21" s="2762"/>
      <c r="R21" s="1124"/>
      <c r="S21" s="1124"/>
      <c r="T21" s="1120"/>
      <c r="U21" s="1120"/>
      <c r="V21" s="1120"/>
      <c r="W21" s="1119"/>
      <c r="X21" s="1119"/>
      <c r="Y21" s="1119"/>
      <c r="Z21" s="1125"/>
      <c r="AA21" s="1125"/>
      <c r="AB21" s="1125"/>
      <c r="AC21" s="1125"/>
      <c r="AD21" s="1125"/>
      <c r="AE21" s="1125"/>
      <c r="AF21" s="1125"/>
      <c r="AG21" s="2762"/>
      <c r="AH21" s="2762"/>
      <c r="AI21" s="2762"/>
      <c r="AJ21" s="2762"/>
    </row>
    <row r="22" spans="1:37" s="2013" customFormat="1" ht="15.75" thickBot="1">
      <c r="A22" s="2157" t="s">
        <v>363</v>
      </c>
      <c r="B22" s="2158" t="s">
        <v>1981</v>
      </c>
      <c r="C22" s="2159">
        <f>SUMIF(修正!C20:C51,E3,修正!E20:E51)</f>
        <v>0.8</v>
      </c>
      <c r="D22" s="2160"/>
      <c r="E22" s="2161"/>
      <c r="F22" s="2161"/>
      <c r="G22" s="2161"/>
      <c r="H22" s="2161"/>
      <c r="I22" s="2161"/>
      <c r="J22" s="2162"/>
      <c r="K22" s="1125"/>
      <c r="L22" s="2762"/>
      <c r="M22" s="2762"/>
      <c r="N22" s="2762"/>
      <c r="O22" s="1123"/>
      <c r="P22" s="1123"/>
      <c r="Q22" s="2762"/>
      <c r="R22" s="1124"/>
      <c r="S22" s="1124"/>
      <c r="T22" s="1120"/>
      <c r="U22" s="1120"/>
      <c r="V22" s="1120"/>
      <c r="W22" s="1119"/>
      <c r="X22" s="1119"/>
      <c r="Y22" s="1119"/>
      <c r="Z22" s="1125"/>
      <c r="AA22" s="1125"/>
      <c r="AB22" s="1125"/>
      <c r="AC22" s="1125"/>
      <c r="AD22" s="1125"/>
      <c r="AE22" s="1125"/>
      <c r="AF22" s="1125"/>
      <c r="AG22" s="2762"/>
      <c r="AH22" s="2762"/>
      <c r="AI22" s="2762"/>
      <c r="AJ22" s="2762"/>
    </row>
    <row r="23" spans="1:37" ht="26.25" thickBot="1">
      <c r="A23" s="2049" t="s">
        <v>364</v>
      </c>
      <c r="B23" s="2050" t="s">
        <v>1982</v>
      </c>
      <c r="C23" s="760">
        <f>ROUND(IF(J23="中心城区",SUMPRODUCT(('地价-分区'!A5:A18=YEAR(G23)&amp;"-"&amp;ROUNDUP(MONTH(G23)/3,0))*('地价-分区'!S2:W2=E2)*('地价-分区'!S5:W18)),IF(J23="中心城区以外",SUMPRODUCT(('地价-分区'!A27:A40=YEAR(G23)&amp;"-"&amp;ROUNDUP(MONTH(G23)/3,0))*('地价-分区'!S24:W24=E2)*('地价-分区'!S27:W40)),IF(J23="不用分区数据",IF(H23="按公示增长率计算",SUMPRODUCT((地价!A3:A16=YEAR(G23)&amp;"-"&amp;ROUNDUP(MONTH(G23)/3,0))*(地价!Y2:AD2=E2)*(地价!Y3:AD16)),IF(H23="地价指数",M24/M23,(1+I23)^O23))))),4)</f>
        <v>1.0297000000000001</v>
      </c>
      <c r="D23" s="2053" t="s">
        <v>1983</v>
      </c>
      <c r="E23" s="761">
        <v>44197</v>
      </c>
      <c r="F23" s="2053" t="s">
        <v>1984</v>
      </c>
      <c r="G23" s="762">
        <f>'数据-取费表'!B2</f>
        <v>45400</v>
      </c>
      <c r="H23" s="3317" t="s">
        <v>3231</v>
      </c>
      <c r="I23" s="3318" t="str">
        <f>IF(H23="季度增幅（自定义）",SUMIF(N25:N28,E2,O25:O28),"")</f>
        <v/>
      </c>
      <c r="J23" s="3420" t="s">
        <v>3620</v>
      </c>
      <c r="K23" s="1125"/>
      <c r="L23" s="2054" t="s">
        <v>1985</v>
      </c>
      <c r="M23" s="1327">
        <f>ROUND(SUMIF(地价!B2:G2,E2,地价!B16:G16),0)</f>
        <v>0</v>
      </c>
      <c r="N23" s="2055" t="s">
        <v>1986</v>
      </c>
      <c r="O23" s="763">
        <f>ROUNDDOWN(DATEDIF(E23,G23,"M")/3,0)</f>
        <v>13</v>
      </c>
      <c r="P23" s="1122"/>
      <c r="Q23" s="2762"/>
      <c r="R23" s="1124"/>
      <c r="S23" s="1124"/>
      <c r="T23" s="1120"/>
      <c r="U23" s="1120"/>
      <c r="V23" s="1120"/>
      <c r="W23" s="1119"/>
      <c r="X23" s="1119"/>
      <c r="Y23" s="1119"/>
      <c r="Z23" s="1125"/>
      <c r="AA23" s="1125"/>
      <c r="AB23" s="1125"/>
      <c r="AC23" s="1125"/>
      <c r="AD23" s="1125"/>
      <c r="AE23" s="1120"/>
      <c r="AF23" s="1120"/>
      <c r="AG23" s="2140"/>
      <c r="AH23" s="2140"/>
      <c r="AI23" s="2140"/>
      <c r="AJ23" s="2140"/>
      <c r="AK23" s="2052"/>
    </row>
    <row r="24" spans="1:37" s="2013" customFormat="1" ht="24.75" thickBot="1">
      <c r="A24" s="2057" t="s">
        <v>365</v>
      </c>
      <c r="B24" s="2058" t="s">
        <v>1987</v>
      </c>
      <c r="C24" s="764">
        <f>ROUND(POWER(1+G24,J24-I24)*(POWER(1+G24,I24)-1)/(POWER(1+G24,J24)-1),4)</f>
        <v>0.82279999999999998</v>
      </c>
      <c r="D24" s="2059" t="s">
        <v>1988</v>
      </c>
      <c r="E24" s="1334">
        <f>存贷款利率!E24/100</f>
        <v>4.3499999999999997E-2</v>
      </c>
      <c r="F24" s="2059" t="s">
        <v>1980</v>
      </c>
      <c r="G24" s="768">
        <f>SUMIF(M30:Q30,E2,M33:Q33)</f>
        <v>0.05</v>
      </c>
      <c r="H24" s="2059" t="s">
        <v>1989</v>
      </c>
      <c r="I24" s="769">
        <f>SUMIF('数据-取费表'!C6:C15,E2,'数据-取费表'!F6:F15)/COUNTIF('数据-取费表'!C6:C15,E2)</f>
        <v>28.5</v>
      </c>
      <c r="J24" s="770">
        <f>IF(E2="住宅",70,IF(E2="商业",40,50))</f>
        <v>50</v>
      </c>
      <c r="K24" s="1125"/>
      <c r="L24" s="2060" t="s">
        <v>1990</v>
      </c>
      <c r="M24" s="1328">
        <f>ROUND(SUMPRODUCT((地价!A4:A16=YEAR(G23)&amp;"-"&amp;ROUNDUP(MONTH(G23)/3,0))*(地价!B2:G2=E2)*(地价!B4:G16)),0)</f>
        <v>0</v>
      </c>
      <c r="N24" s="2061" t="s">
        <v>1991</v>
      </c>
      <c r="O24" s="2062" t="s">
        <v>1992</v>
      </c>
      <c r="P24" s="2063" t="s">
        <v>1993</v>
      </c>
      <c r="Q24" s="1996"/>
      <c r="R24" s="1124"/>
      <c r="S24" s="1124"/>
      <c r="T24" s="1120"/>
      <c r="U24" s="1120"/>
      <c r="V24" s="1120"/>
      <c r="W24" s="1119"/>
      <c r="X24" s="1119"/>
      <c r="Y24" s="1119"/>
      <c r="Z24" s="1125"/>
      <c r="AA24" s="1125"/>
      <c r="AB24" s="1125"/>
      <c r="AC24" s="1125"/>
      <c r="AD24" s="1125"/>
      <c r="AE24" s="1125"/>
      <c r="AF24" s="1125"/>
      <c r="AG24" s="2762"/>
      <c r="AH24" s="2762"/>
      <c r="AI24" s="2762"/>
      <c r="AJ24" s="2762"/>
    </row>
    <row r="25" spans="1:37" ht="15">
      <c r="A25" s="2064" t="s">
        <v>366</v>
      </c>
      <c r="B25" s="2065" t="s">
        <v>3310</v>
      </c>
      <c r="C25" s="771">
        <f>IF(B25="容积率修正",IF(G3&lt;10,D26,J26),C27)</f>
        <v>1.1565000000000001</v>
      </c>
      <c r="D25" s="2066"/>
      <c r="E25" s="2066"/>
      <c r="F25" s="2066"/>
      <c r="G25" s="2066"/>
      <c r="H25" s="2066"/>
      <c r="I25" s="2066"/>
      <c r="J25" s="2067"/>
      <c r="K25" s="1125"/>
      <c r="L25" s="2762"/>
      <c r="M25" s="2762"/>
      <c r="N25" s="2068" t="s">
        <v>1994</v>
      </c>
      <c r="O25" s="1173"/>
      <c r="P25" s="1174">
        <f>SUMPRODUCT((地价!A3:A40=YEAR(G23)&amp;"-"&amp;ROUNDUP(MONTH(G23)/3,0))*(地价!AD2:AH2=N25)*(地价!AD3:AH40))</f>
        <v>0</v>
      </c>
      <c r="Q25" s="2762"/>
      <c r="R25" s="1124"/>
      <c r="S25" s="1124"/>
      <c r="T25" s="1120"/>
      <c r="U25" s="1120"/>
      <c r="V25" s="1120"/>
      <c r="W25" s="1119"/>
      <c r="X25" s="1119"/>
      <c r="Y25" s="1119"/>
      <c r="Z25" s="1125"/>
      <c r="AA25" s="1125"/>
      <c r="AB25" s="1125"/>
      <c r="AC25" s="1125"/>
      <c r="AD25" s="1125"/>
      <c r="AE25" s="1120"/>
      <c r="AF25" s="1120"/>
      <c r="AG25" s="2140"/>
      <c r="AH25" s="2140"/>
      <c r="AI25" s="2140"/>
      <c r="AJ25" s="2140"/>
    </row>
    <row r="26" spans="1:37" ht="14.25">
      <c r="A26" s="1954" t="s">
        <v>1995</v>
      </c>
      <c r="B26" s="2069" t="s">
        <v>1996</v>
      </c>
      <c r="C26" s="3319" t="s">
        <v>3232</v>
      </c>
      <c r="D26" s="1351">
        <f>IF(E26=G26,F26,IF(G3&lt;10,ROUND(F26+(H26-F26)*(G3-E26)/(G26-E26),4),"——"))</f>
        <v>1.1565000000000001</v>
      </c>
      <c r="E26" s="752">
        <f>ROUNDDOWN(G3,1)</f>
        <v>1</v>
      </c>
      <c r="F26" s="1351">
        <f>IF(G3&lt;10,IF(E2="商业",SUMPRODUCT((容积率修正!A3:A92=ROUNDDOWN(G3,1))*(容积率修正!B2:M2=G2)*(容积率修正!B3:M92)),IF(E2="办公",SUMPRODUCT((容积率修正!A95:A184=ROUNDDOWN(G3,1))*(容积率修正!B2:M2=G2)*(容积率修正!B95:M184)),IF(E2="住宅",SUMPRODUCT((容积率修正!A187:A276=ROUNDDOWN(G3,1))*(容积率修正!B2:M2=G2)*(容积率修正!B187:M276)),IF(E2="公共服务",SUMPRODUCT((容积率修正!A371:A460=ROUNDDOWN(G3,1))*(容积率修正!B2:M2=G2)*(容积率修正!B371:M460)),IF(AND(E2="工业",E3="M4科研用地"),SUMPRODUCT((容积率修正!A371:A460=ROUNDDOWN(G3,1))*(容积率修正!B2:M2=G2)*(容积率修正!B371:M460)),SUMPRODUCT((容积率修正!A279:A368=ROUNDDOWN(G3,1))*(容积率修正!B2:M2=G2)*(容积率修正!B279:M368))))))),"--")</f>
        <v>1.1565000000000001</v>
      </c>
      <c r="G26" s="752">
        <f>ROUNDUP(G3,1)</f>
        <v>1</v>
      </c>
      <c r="H26" s="1351">
        <f>IF(G3&lt;10,IF(E2="商业",SUMPRODUCT((容积率修正!A3:A92=ROUNDUP(G3,1))*(容积率修正!B2:M2=G2)*(容积率修正!B3:M92)),IF(E2="办公",SUMPRODUCT((容积率修正!A95:A184=ROUNDUP(G3,1))*(容积率修正!B2:M2=G2)*(容积率修正!B95:M184)),IF(E2="住宅",SUMPRODUCT((容积率修正!A187:A276=ROUNDUP(G3,1))*(容积率修正!B2:M2=G2)*(容积率修正!B187:M276)),IF(E2="公共服务",SUMPRODUCT((容积率修正!A371:A460=ROUNDUP(G3,1))*(容积率修正!B2:M2=G2)*(容积率修正!B371:M460)),IF(AND(E2="工业",E3="M4科研用地"),SUMPRODUCT((容积率修正!A371:A460=ROUNDUP(G3,1))*(容积率修正!B2:M2=G2)*(容积率修正!B371:M460)),SUMPRODUCT((容积率修正!A279:A368=ROUNDUP(G3,1))*(容积率修正!B2:M2=G2)*(容积率修正!B279:M368))))))),"--")</f>
        <v>1.1565000000000001</v>
      </c>
      <c r="I26" s="3319" t="s">
        <v>3233</v>
      </c>
      <c r="J26" s="772" t="str">
        <f>IF(G3&gt;=10,D115,"——")</f>
        <v>——</v>
      </c>
      <c r="K26" s="1125"/>
      <c r="L26" s="2762"/>
      <c r="M26" s="2762"/>
      <c r="N26" s="2068" t="s">
        <v>1997</v>
      </c>
      <c r="O26" s="1173"/>
      <c r="P26" s="1174">
        <f>SUMPRODUCT((地价!A3:A40=YEAR(G23)&amp;"-"&amp;ROUNDUP(MONTH(G23)/3,0))*(地价!AD2:AH2=N26)*(地价!AD3:AH40))</f>
        <v>0</v>
      </c>
      <c r="Q26" s="1996"/>
      <c r="R26" s="1124"/>
      <c r="S26" s="1124"/>
      <c r="T26" s="1120"/>
      <c r="U26" s="1120"/>
      <c r="V26" s="1120"/>
      <c r="W26" s="1119"/>
      <c r="X26" s="1119"/>
      <c r="Y26" s="1119"/>
      <c r="Z26" s="1125"/>
      <c r="AA26" s="1125"/>
      <c r="AB26" s="1125"/>
      <c r="AC26" s="1125"/>
      <c r="AD26" s="1125"/>
      <c r="AE26" s="1120"/>
      <c r="AF26" s="1120"/>
      <c r="AG26" s="2140"/>
      <c r="AH26" s="2140"/>
      <c r="AI26" s="2140"/>
      <c r="AJ26" s="2140"/>
    </row>
    <row r="27" spans="1:37" ht="15.75" thickBot="1">
      <c r="A27" s="1954" t="s">
        <v>1998</v>
      </c>
      <c r="B27" s="2070" t="s">
        <v>1999</v>
      </c>
      <c r="C27" s="841">
        <f>ROUND(IF(I3&lt;6,SUMPRODUCT((B106:B110=I3)*(C105:N105=G2)*(C106:N110)),SUMIF(C105:N105,G2,C112:N112)),4)</f>
        <v>0</v>
      </c>
      <c r="D27" s="2045"/>
      <c r="E27" s="2045"/>
      <c r="F27" s="2071"/>
      <c r="G27" s="2072"/>
      <c r="H27" s="2073"/>
      <c r="I27" s="2074"/>
      <c r="J27" s="2075"/>
      <c r="K27" s="1119"/>
      <c r="L27" s="1996"/>
      <c r="M27" s="1996"/>
      <c r="N27" s="2068" t="s">
        <v>2000</v>
      </c>
      <c r="O27" s="1173"/>
      <c r="P27" s="1174">
        <f>SUMPRODUCT((地价!A3:A40=YEAR(G23)&amp;"-"&amp;ROUNDUP(MONTH(G23)/3,0))*(地价!AD2:AH2=N27)*(地价!AD3:AH40))</f>
        <v>0</v>
      </c>
      <c r="Q27" s="1996"/>
      <c r="R27" s="1124"/>
      <c r="S27" s="1124"/>
      <c r="T27" s="1120"/>
      <c r="U27" s="1120"/>
      <c r="V27" s="1120"/>
      <c r="W27" s="1119"/>
      <c r="X27" s="1119"/>
      <c r="Y27" s="1119"/>
      <c r="Z27" s="1125"/>
      <c r="AA27" s="1125"/>
      <c r="AB27" s="1125"/>
      <c r="AC27" s="1125"/>
      <c r="AD27" s="1125"/>
      <c r="AE27" s="1120"/>
      <c r="AF27" s="1120"/>
      <c r="AG27" s="2140"/>
      <c r="AH27" s="2140"/>
      <c r="AI27" s="2140"/>
      <c r="AJ27" s="2140"/>
    </row>
    <row r="28" spans="1:37" ht="15.75" thickBot="1">
      <c r="A28" s="2057" t="s">
        <v>367</v>
      </c>
      <c r="B28" s="2050" t="s">
        <v>2001</v>
      </c>
      <c r="C28" s="760">
        <f>SUMIF(A47:A101,E2,B47:B101)</f>
        <v>1.0641</v>
      </c>
      <c r="D28" s="2051"/>
      <c r="E28" s="2076"/>
      <c r="F28" s="2076"/>
      <c r="G28" s="2076"/>
      <c r="H28" s="2076"/>
      <c r="I28" s="2076"/>
      <c r="J28" s="2077"/>
      <c r="K28" s="1125"/>
      <c r="L28" s="2762"/>
      <c r="M28" s="2762"/>
      <c r="N28" s="2078" t="s">
        <v>2002</v>
      </c>
      <c r="O28" s="1175"/>
      <c r="P28" s="1176">
        <f>SUMPRODUCT((地价!A3:A40=YEAR(G23)&amp;"-"&amp;ROUNDUP(MONTH(G23)/3,0))*(地价!AD2:AH2=N28)*(地价!AD3:AH40))</f>
        <v>0</v>
      </c>
      <c r="Q28" s="1124"/>
      <c r="R28" s="1124"/>
      <c r="S28" s="1124"/>
      <c r="T28" s="1120"/>
      <c r="U28" s="1120"/>
      <c r="V28" s="1120"/>
      <c r="W28" s="1119"/>
      <c r="X28" s="1119"/>
      <c r="Y28" s="1119"/>
      <c r="Z28" s="1125"/>
      <c r="AA28" s="1125"/>
      <c r="AB28" s="1125"/>
      <c r="AC28" s="1125"/>
      <c r="AD28" s="1125"/>
      <c r="AE28" s="1120"/>
      <c r="AF28" s="1120"/>
      <c r="AG28" s="2140"/>
      <c r="AH28" s="2140"/>
      <c r="AI28" s="2140"/>
      <c r="AJ28" s="2140"/>
    </row>
    <row r="29" spans="1:37" ht="15.75" thickBot="1">
      <c r="A29" s="2057" t="s">
        <v>368</v>
      </c>
      <c r="B29" s="2079" t="s">
        <v>2003</v>
      </c>
      <c r="C29" s="765"/>
      <c r="D29" s="2023"/>
      <c r="E29" s="2023"/>
      <c r="F29" s="2080"/>
      <c r="G29" s="2023"/>
      <c r="H29" s="2023"/>
      <c r="I29" s="2023"/>
      <c r="J29" s="2024"/>
      <c r="K29" s="1119"/>
      <c r="L29" s="1996"/>
      <c r="M29" s="1996"/>
      <c r="N29" s="2759" t="s">
        <v>2004</v>
      </c>
      <c r="O29" s="2760"/>
      <c r="P29" s="2761">
        <f>SUMPRODUCT((地价!A3:A40=YEAR(G23)&amp;"-"&amp;ROUNDUP(MONTH(G23)/3,0))*(地价!AD2:AH2=N29)*(地价!AD3:AH40))</f>
        <v>0</v>
      </c>
      <c r="Q29" s="1124"/>
      <c r="R29" s="1124"/>
      <c r="S29" s="1124"/>
      <c r="T29" s="1120"/>
      <c r="U29" s="1120"/>
      <c r="V29" s="1120"/>
      <c r="W29" s="1119"/>
      <c r="X29" s="1119"/>
      <c r="Y29" s="1119"/>
      <c r="Z29" s="1125"/>
      <c r="AA29" s="1125"/>
      <c r="AB29" s="1125"/>
      <c r="AC29" s="1125"/>
      <c r="AD29" s="1125"/>
      <c r="AE29" s="1119"/>
      <c r="AF29" s="1119"/>
      <c r="AG29" s="1996"/>
      <c r="AH29" s="1996"/>
      <c r="AI29" s="1996"/>
      <c r="AJ29" s="1996"/>
    </row>
    <row r="30" spans="1:37" ht="15">
      <c r="A30" s="2081"/>
      <c r="B30" s="2069" t="s">
        <v>2005</v>
      </c>
      <c r="C30" s="2320">
        <f>IF(B25="容积率修正",E33+SUM(E37:E42),SUM(V2:V16)+SUM(E37:E42))</f>
        <v>2143</v>
      </c>
      <c r="D30" s="2082"/>
      <c r="E30" s="2045"/>
      <c r="F30" s="2083"/>
      <c r="G30" s="2045"/>
      <c r="H30" s="2045"/>
      <c r="I30" s="2045"/>
      <c r="J30" s="2084"/>
      <c r="K30" s="1119"/>
      <c r="L30" s="3325" t="s">
        <v>1917</v>
      </c>
      <c r="M30" s="3326" t="s">
        <v>1971</v>
      </c>
      <c r="N30" s="3326" t="s">
        <v>1972</v>
      </c>
      <c r="O30" s="3326" t="s">
        <v>1973</v>
      </c>
      <c r="P30" s="3326" t="s">
        <v>1974</v>
      </c>
      <c r="Q30" s="3329" t="s">
        <v>3237</v>
      </c>
      <c r="R30" s="1124"/>
      <c r="S30" s="1124"/>
      <c r="T30" s="1120"/>
      <c r="U30" s="1120"/>
      <c r="V30" s="1120"/>
      <c r="W30" s="1119"/>
      <c r="X30" s="1119"/>
      <c r="Y30" s="1119"/>
      <c r="Z30" s="1125"/>
      <c r="AA30" s="1125"/>
      <c r="AB30" s="1125"/>
      <c r="AC30" s="1125"/>
      <c r="AD30" s="1125"/>
      <c r="AE30" s="1119"/>
      <c r="AF30" s="1119"/>
      <c r="AG30" s="1996"/>
      <c r="AH30" s="1996"/>
      <c r="AI30" s="1996"/>
      <c r="AJ30" s="1996"/>
    </row>
    <row r="31" spans="1:37" ht="15.75" thickBot="1">
      <c r="A31" s="2081"/>
      <c r="B31" s="2085" t="s">
        <v>2006</v>
      </c>
      <c r="C31" s="766">
        <f>E34+SUM(I37:I42)</f>
        <v>526</v>
      </c>
      <c r="D31" s="2086"/>
      <c r="E31" s="2087"/>
      <c r="F31" s="2088"/>
      <c r="G31" s="2087"/>
      <c r="H31" s="2087"/>
      <c r="I31" s="2087"/>
      <c r="J31" s="2089"/>
      <c r="K31" s="1119"/>
      <c r="L31" s="3327" t="s">
        <v>1977</v>
      </c>
      <c r="M31" s="1999">
        <v>0.25</v>
      </c>
      <c r="N31" s="1999">
        <v>0.2</v>
      </c>
      <c r="O31" s="1999">
        <v>0.15</v>
      </c>
      <c r="P31" s="1999">
        <v>0.1</v>
      </c>
      <c r="Q31" s="3322">
        <v>0.15</v>
      </c>
      <c r="R31" s="1124"/>
      <c r="S31" s="1124"/>
      <c r="T31" s="1120"/>
      <c r="U31" s="1120"/>
      <c r="V31" s="1120"/>
      <c r="W31" s="1119"/>
      <c r="X31" s="1119"/>
      <c r="Y31" s="1119"/>
      <c r="Z31" s="1125"/>
      <c r="AA31" s="1125"/>
      <c r="AB31" s="1125"/>
      <c r="AC31" s="1125"/>
      <c r="AD31" s="1125"/>
      <c r="AE31" s="1119"/>
      <c r="AF31" s="1119"/>
      <c r="AG31" s="1996"/>
      <c r="AH31" s="1996"/>
      <c r="AI31" s="1996"/>
      <c r="AJ31" s="1996"/>
    </row>
    <row r="32" spans="1:37" ht="15.75" thickBot="1">
      <c r="A32" s="2090"/>
      <c r="B32" s="2091" t="s">
        <v>2007</v>
      </c>
      <c r="C32" s="2092" t="s">
        <v>2008</v>
      </c>
      <c r="D32" s="2092" t="s">
        <v>2009</v>
      </c>
      <c r="E32" s="2093" t="s">
        <v>2010</v>
      </c>
      <c r="F32" s="2094"/>
      <c r="G32" s="2036"/>
      <c r="H32" s="2036"/>
      <c r="I32" s="2036"/>
      <c r="J32" s="2037"/>
      <c r="K32" s="1119"/>
      <c r="L32" s="3328" t="s">
        <v>1980</v>
      </c>
      <c r="M32" s="2544">
        <f>ROUND($E$24*(1+M31),3)</f>
        <v>5.3999999999999999E-2</v>
      </c>
      <c r="N32" s="2544">
        <f>ROUND($E$24*(1+N31),3)</f>
        <v>5.1999999999999998E-2</v>
      </c>
      <c r="O32" s="2544">
        <f>ROUND($E$24*(1+O31),3)</f>
        <v>0.05</v>
      </c>
      <c r="P32" s="2544">
        <f>ROUND($E$24*(1+P31),3)</f>
        <v>4.8000000000000001E-2</v>
      </c>
      <c r="Q32" s="3330">
        <f>ROUND($E$24*(1+Q31),3)</f>
        <v>0.05</v>
      </c>
      <c r="R32" s="1124"/>
      <c r="S32" s="1124"/>
      <c r="T32" s="1120"/>
      <c r="U32" s="1120"/>
      <c r="V32" s="1120"/>
      <c r="W32" s="1119"/>
      <c r="X32" s="1119"/>
      <c r="Y32" s="1119"/>
      <c r="Z32" s="1125"/>
      <c r="AA32" s="1125"/>
      <c r="AB32" s="1125"/>
      <c r="AC32" s="1125"/>
      <c r="AD32" s="1125"/>
      <c r="AE32" s="1119"/>
      <c r="AF32" s="1119"/>
      <c r="AG32" s="1996"/>
      <c r="AH32" s="1996"/>
      <c r="AI32" s="1996"/>
      <c r="AJ32" s="1996"/>
    </row>
    <row r="33" spans="1:37" ht="14.25">
      <c r="A33" s="2095"/>
      <c r="B33" s="2096" t="s">
        <v>2011</v>
      </c>
      <c r="C33" s="175">
        <f>ROUND(C5*C22*C23*C24*C25*C28,0)</f>
        <v>5559</v>
      </c>
      <c r="D33" s="2097">
        <f>'数据-汇总表'!F19</f>
        <v>76.040000000000006</v>
      </c>
      <c r="E33" s="773">
        <f>ROUND(C33*D33/10000,0)</f>
        <v>42</v>
      </c>
      <c r="F33" s="3320" t="s">
        <v>3235</v>
      </c>
      <c r="G33" s="2098"/>
      <c r="H33" s="2098"/>
      <c r="I33" s="2098"/>
      <c r="J33" s="2099"/>
      <c r="K33" s="1119"/>
      <c r="L33" s="3323" t="s">
        <v>3238</v>
      </c>
      <c r="M33" s="3324">
        <v>5.5E-2</v>
      </c>
      <c r="N33" s="3324">
        <v>5.5E-2</v>
      </c>
      <c r="O33" s="3324">
        <v>0.05</v>
      </c>
      <c r="P33" s="3324">
        <v>0.05</v>
      </c>
      <c r="Q33" s="3324">
        <v>0.05</v>
      </c>
      <c r="R33" s="1124"/>
      <c r="S33" s="1124"/>
      <c r="T33" s="1120"/>
      <c r="U33" s="1120"/>
      <c r="V33" s="1120"/>
      <c r="W33" s="1119"/>
      <c r="X33" s="1119"/>
      <c r="Y33" s="1119"/>
      <c r="Z33" s="1125"/>
      <c r="AA33" s="1125"/>
      <c r="AB33" s="1125"/>
      <c r="AC33" s="1125"/>
      <c r="AD33" s="1125"/>
      <c r="AE33" s="1120"/>
      <c r="AF33" s="1120"/>
      <c r="AG33" s="2140"/>
      <c r="AH33" s="2140"/>
      <c r="AI33" s="2140"/>
      <c r="AJ33" s="2140"/>
    </row>
    <row r="34" spans="1:37" ht="25.5" thickBot="1">
      <c r="A34" s="2100"/>
      <c r="B34" s="2101" t="s">
        <v>2012</v>
      </c>
      <c r="C34" s="187">
        <f>ROUND(IF(E2="工业",C33*M42,IF(B25="楼层修正",SUM(V2:V16)*M41*10000/D34,C33*M41)),0)</f>
        <v>1390</v>
      </c>
      <c r="D34" s="2102"/>
      <c r="E34" s="773">
        <f>ROUND(IF(B25="楼层修正",SUM(V2:V16)*M40,C34*D34/10000),0)</f>
        <v>0</v>
      </c>
      <c r="F34" s="2103" t="s">
        <v>2013</v>
      </c>
      <c r="G34" s="2104"/>
      <c r="H34" s="2104"/>
      <c r="I34" s="2104"/>
      <c r="J34" s="2105"/>
      <c r="K34" s="1119"/>
      <c r="L34" s="3323" t="s">
        <v>3239</v>
      </c>
      <c r="M34" s="3324">
        <v>6.5000000000000002E-2</v>
      </c>
      <c r="N34" s="3324">
        <v>6.5000000000000002E-2</v>
      </c>
      <c r="O34" s="3324">
        <v>0.06</v>
      </c>
      <c r="P34" s="3324">
        <v>0.06</v>
      </c>
      <c r="Q34" s="3324">
        <v>0.06</v>
      </c>
      <c r="R34" s="1124"/>
      <c r="S34" s="1124"/>
      <c r="T34" s="1120"/>
      <c r="U34" s="1120"/>
      <c r="V34" s="1120"/>
      <c r="W34" s="1119"/>
      <c r="X34" s="1119"/>
      <c r="Y34" s="1119"/>
      <c r="Z34" s="1125"/>
      <c r="AA34" s="1125"/>
      <c r="AB34" s="1125"/>
      <c r="AC34" s="1125"/>
      <c r="AD34" s="1125"/>
      <c r="AE34" s="1120"/>
      <c r="AF34" s="1120"/>
      <c r="AG34" s="2140"/>
      <c r="AH34" s="2140"/>
      <c r="AI34" s="2140"/>
      <c r="AJ34" s="2140"/>
    </row>
    <row r="35" spans="1:37">
      <c r="A35" s="2106"/>
      <c r="B35" s="2107" t="s">
        <v>2014</v>
      </c>
      <c r="C35" s="3321" t="s">
        <v>3236</v>
      </c>
      <c r="D35" s="2036"/>
      <c r="E35" s="2108"/>
      <c r="F35" s="2108"/>
      <c r="G35" s="2034" t="s">
        <v>2015</v>
      </c>
      <c r="H35" s="2036"/>
      <c r="I35" s="2109"/>
      <c r="J35" s="2037"/>
      <c r="K35" s="1119"/>
      <c r="L35" s="1119"/>
      <c r="M35" s="1119"/>
      <c r="N35" s="1119"/>
      <c r="O35" s="1123"/>
      <c r="P35" s="1123"/>
      <c r="Q35" s="1124"/>
      <c r="R35" s="1119"/>
      <c r="S35" s="1119"/>
      <c r="T35" s="1119"/>
      <c r="U35" s="1119"/>
      <c r="V35" s="1119"/>
      <c r="W35" s="1119"/>
      <c r="X35" s="1119"/>
      <c r="Y35" s="1119"/>
      <c r="Z35" s="1120"/>
      <c r="AA35" s="1120"/>
      <c r="AB35" s="1120"/>
      <c r="AC35" s="1120"/>
      <c r="AD35" s="1120"/>
      <c r="AE35" s="1120"/>
      <c r="AF35" s="1120"/>
      <c r="AG35" s="2140"/>
      <c r="AH35" s="2140"/>
      <c r="AI35" s="2140"/>
      <c r="AJ35" s="2140"/>
    </row>
    <row r="36" spans="1:37" ht="24.75" thickBot="1">
      <c r="A36" s="2095"/>
      <c r="B36" s="2110"/>
      <c r="C36" s="450" t="s">
        <v>2008</v>
      </c>
      <c r="D36" s="447" t="s">
        <v>2009</v>
      </c>
      <c r="E36" s="447" t="s">
        <v>2010</v>
      </c>
      <c r="F36" s="342" t="s">
        <v>2016</v>
      </c>
      <c r="G36" s="2111" t="s">
        <v>2008</v>
      </c>
      <c r="H36" s="2111" t="s">
        <v>2009</v>
      </c>
      <c r="I36" s="2111" t="s">
        <v>2010</v>
      </c>
      <c r="J36" s="243"/>
      <c r="K36" s="3331" t="s">
        <v>3240</v>
      </c>
      <c r="L36" s="3421">
        <f ca="1">'数据-取费表'!B40</f>
        <v>3.4500000000000003E-2</v>
      </c>
      <c r="M36" s="3332">
        <f ca="1">ROUND($L$36*(1+M31),3)</f>
        <v>4.2999999999999997E-2</v>
      </c>
      <c r="N36" s="3332">
        <f ca="1">ROUND($L$36*(1+N31),3)</f>
        <v>4.1000000000000002E-2</v>
      </c>
      <c r="O36" s="3332">
        <f ca="1">ROUND($L$36*(1+O31),3)</f>
        <v>0.04</v>
      </c>
      <c r="P36" s="3332">
        <f ca="1">ROUND($L$36*(1+P31),3)</f>
        <v>3.7999999999999999E-2</v>
      </c>
      <c r="Q36" s="3332">
        <f ca="1">ROUND($L$36*(1+Q31),3)</f>
        <v>0.04</v>
      </c>
      <c r="R36" s="1119"/>
      <c r="S36" s="1119"/>
      <c r="T36" s="1119"/>
      <c r="U36" s="1119"/>
      <c r="V36" s="1119"/>
      <c r="W36" s="1119"/>
      <c r="X36" s="1119"/>
      <c r="Y36" s="1119"/>
      <c r="Z36" s="1120"/>
      <c r="AA36" s="1120"/>
      <c r="AB36" s="1120"/>
      <c r="AC36" s="1120"/>
      <c r="AD36" s="1120"/>
      <c r="AE36" s="1120"/>
      <c r="AF36" s="1120"/>
      <c r="AG36" s="2140"/>
      <c r="AH36" s="2140"/>
      <c r="AI36" s="2140"/>
      <c r="AJ36" s="2140"/>
    </row>
    <row r="37" spans="1:37" ht="24.75" thickBot="1">
      <c r="A37" s="3789"/>
      <c r="B37" s="2112" t="s">
        <v>2017</v>
      </c>
      <c r="C37" s="175">
        <f>ROUND(D5*C22*C23*C24*C28*F37,0)</f>
        <v>2884</v>
      </c>
      <c r="D37" s="2097"/>
      <c r="E37" s="171">
        <f>ROUND(C37*D37/10000,0)</f>
        <v>0</v>
      </c>
      <c r="F37" s="171">
        <f>SUMIF(修正!A57:A68,G2,修正!B57:B68)</f>
        <v>0.6</v>
      </c>
      <c r="G37" s="171">
        <f>ROUND(IF(E2="工业",C37*$M$42,C37*$M$41),0)</f>
        <v>721</v>
      </c>
      <c r="H37" s="171">
        <f>D37</f>
        <v>0</v>
      </c>
      <c r="I37" s="171">
        <f>ROUND(G37*H37/10000,0)</f>
        <v>0</v>
      </c>
      <c r="J37" s="2986"/>
      <c r="K37" s="3333" t="s">
        <v>3241</v>
      </c>
      <c r="L37" s="3331">
        <f ca="1">L36+K38</f>
        <v>3.95E-2</v>
      </c>
      <c r="M37" s="3332">
        <f ca="1">ROUND($L$37*(1+M31),3)</f>
        <v>4.9000000000000002E-2</v>
      </c>
      <c r="N37" s="3332">
        <f t="shared" ref="N37:Q37" ca="1" si="3">ROUND($L$37*(1+N31),3)</f>
        <v>4.7E-2</v>
      </c>
      <c r="O37" s="3332">
        <f t="shared" ca="1" si="3"/>
        <v>4.4999999999999998E-2</v>
      </c>
      <c r="P37" s="3332">
        <f t="shared" ca="1" si="3"/>
        <v>4.2999999999999997E-2</v>
      </c>
      <c r="Q37" s="3332">
        <f t="shared" ca="1" si="3"/>
        <v>4.4999999999999998E-2</v>
      </c>
      <c r="R37" s="1119"/>
      <c r="S37" s="1119"/>
      <c r="T37" s="1119"/>
      <c r="U37" s="1119"/>
      <c r="V37" s="1119"/>
      <c r="W37" s="1119"/>
      <c r="X37" s="1119"/>
      <c r="Y37" s="1119"/>
      <c r="Z37" s="1120"/>
      <c r="AA37" s="1120"/>
      <c r="AB37" s="1120"/>
      <c r="AC37" s="1120"/>
      <c r="AD37" s="1120"/>
      <c r="AE37" s="1120"/>
      <c r="AF37" s="1120"/>
      <c r="AG37" s="2140"/>
      <c r="AH37" s="2140"/>
      <c r="AI37" s="2140"/>
      <c r="AJ37" s="2140"/>
    </row>
    <row r="38" spans="1:37">
      <c r="A38" s="3790"/>
      <c r="B38" s="2040" t="s">
        <v>2018</v>
      </c>
      <c r="C38" s="175">
        <f>ROUND(D5*C22*C23*C24*C28*F38,0)</f>
        <v>1442</v>
      </c>
      <c r="D38" s="2097"/>
      <c r="E38" s="171">
        <f t="shared" ref="E38:E42" si="4">ROUND(C38*D38/10000,0)</f>
        <v>0</v>
      </c>
      <c r="F38" s="171">
        <f>SUMIF(修正!A57:A68,G2,修正!C57:C68)</f>
        <v>0.3</v>
      </c>
      <c r="G38" s="171">
        <f>ROUND(IF(E2="工业",C38*$M$42,C38*$M$41),0)</f>
        <v>361</v>
      </c>
      <c r="H38" s="171">
        <f t="shared" ref="H38:H42" si="5">D38</f>
        <v>0</v>
      </c>
      <c r="I38" s="171">
        <f t="shared" ref="I38:I42" si="6">ROUND(G38*H38/10000,0)</f>
        <v>0</v>
      </c>
      <c r="J38" s="2985"/>
      <c r="K38" s="3331">
        <v>5.0000000000000001E-3</v>
      </c>
      <c r="L38" s="3331"/>
      <c r="M38" s="3331"/>
      <c r="N38" s="3331"/>
      <c r="O38" s="3331"/>
      <c r="P38" s="3331"/>
      <c r="Q38" s="3331"/>
      <c r="R38" s="1119"/>
      <c r="S38" s="1119"/>
      <c r="T38" s="1119"/>
      <c r="U38" s="1119"/>
      <c r="V38" s="1119"/>
      <c r="W38" s="1119"/>
      <c r="X38" s="1119"/>
      <c r="Y38" s="1119"/>
      <c r="Z38" s="1120"/>
      <c r="AA38" s="1120"/>
      <c r="AB38" s="1120"/>
      <c r="AC38" s="1120"/>
      <c r="AD38" s="1120"/>
    </row>
    <row r="39" spans="1:37" ht="13.5" thickBot="1">
      <c r="A39" s="3790"/>
      <c r="B39" s="2040" t="s">
        <v>3234</v>
      </c>
      <c r="C39" s="175">
        <f>ROUND(D5*C22*C23*C24*C28*F39,0)</f>
        <v>1202</v>
      </c>
      <c r="D39" s="2097"/>
      <c r="E39" s="171">
        <f t="shared" si="4"/>
        <v>0</v>
      </c>
      <c r="F39" s="171">
        <f>SUMIF(修正!A57:A68,G2,修正!D57:D68)</f>
        <v>0.25</v>
      </c>
      <c r="G39" s="171">
        <f>ROUND(IF(E2="工业",C39*$M$42,C39*$M$41),0)</f>
        <v>301</v>
      </c>
      <c r="H39" s="171">
        <f t="shared" si="5"/>
        <v>0</v>
      </c>
      <c r="I39" s="171">
        <f t="shared" si="6"/>
        <v>0</v>
      </c>
      <c r="J39" s="2985"/>
      <c r="K39" s="1119"/>
      <c r="L39" s="1119"/>
      <c r="M39" s="1119"/>
      <c r="N39" s="1119"/>
      <c r="O39" s="1119"/>
      <c r="P39" s="1119"/>
      <c r="Q39" s="1119"/>
      <c r="R39" s="1119"/>
      <c r="S39" s="1119"/>
      <c r="T39" s="1119"/>
      <c r="U39" s="1119"/>
      <c r="V39" s="1119"/>
      <c r="W39" s="1119"/>
      <c r="X39" s="1119"/>
      <c r="Y39" s="1119"/>
      <c r="Z39" s="1120"/>
      <c r="AA39" s="1120"/>
      <c r="AB39" s="1120"/>
      <c r="AC39" s="1120"/>
      <c r="AD39" s="1120"/>
    </row>
    <row r="40" spans="1:37" s="1119" customFormat="1">
      <c r="A40" s="2114"/>
      <c r="B40" s="2040" t="s">
        <v>2019</v>
      </c>
      <c r="C40" s="171">
        <f>ROUND(D5*C22*C23*C24*C28*F40,0)</f>
        <v>1202</v>
      </c>
      <c r="D40" s="2097">
        <f>'数据-汇总表'!G19</f>
        <v>17483.07</v>
      </c>
      <c r="E40" s="171">
        <f t="shared" si="4"/>
        <v>2101</v>
      </c>
      <c r="F40" s="175">
        <f>SUMIF(修正!A57:A68,G2,修正!E57:E68)</f>
        <v>0.25</v>
      </c>
      <c r="G40" s="171">
        <f>ROUND(IF(E2="工业",C40*$M$42,C40*$M$41),0)</f>
        <v>301</v>
      </c>
      <c r="H40" s="171">
        <f t="shared" si="5"/>
        <v>17483.07</v>
      </c>
      <c r="I40" s="171">
        <f t="shared" si="6"/>
        <v>526</v>
      </c>
      <c r="J40" s="2113"/>
      <c r="L40" s="2115" t="s">
        <v>2020</v>
      </c>
      <c r="M40" s="2116"/>
      <c r="Z40" s="1120"/>
      <c r="AA40" s="1120"/>
      <c r="AB40" s="1120"/>
      <c r="AC40" s="1120"/>
      <c r="AD40" s="1120"/>
      <c r="AE40" s="1120"/>
      <c r="AF40" s="1120"/>
      <c r="AG40" s="1120"/>
      <c r="AH40" s="1120"/>
      <c r="AI40" s="1120"/>
      <c r="AJ40" s="1120"/>
    </row>
    <row r="41" spans="1:37" s="1119" customFormat="1">
      <c r="A41" s="2114"/>
      <c r="B41" s="2040" t="s">
        <v>2021</v>
      </c>
      <c r="C41" s="171">
        <f>ROUND(D5*C22*C23*C44*C28*F41,0)</f>
        <v>0</v>
      </c>
      <c r="D41" s="2097"/>
      <c r="E41" s="171">
        <f t="shared" si="4"/>
        <v>0</v>
      </c>
      <c r="F41" s="175">
        <f>SUMIF(修正!A57:A68,G2,修正!F57:F68)</f>
        <v>0.25</v>
      </c>
      <c r="G41" s="171">
        <f>ROUND(IF(E2="工业",C41*$M$42,C41*$M$41),0)</f>
        <v>0</v>
      </c>
      <c r="H41" s="171">
        <f t="shared" si="5"/>
        <v>0</v>
      </c>
      <c r="I41" s="171">
        <f t="shared" si="6"/>
        <v>0</v>
      </c>
      <c r="J41" s="2113"/>
      <c r="L41" s="3334" t="s">
        <v>3242</v>
      </c>
      <c r="M41" s="2117">
        <v>0.25</v>
      </c>
      <c r="Z41" s="1120"/>
      <c r="AA41" s="1120"/>
      <c r="AB41" s="1120"/>
      <c r="AC41" s="1120"/>
      <c r="AD41" s="1120"/>
      <c r="AE41" s="1120"/>
      <c r="AF41" s="1120"/>
      <c r="AG41" s="1120"/>
      <c r="AH41" s="1120"/>
      <c r="AI41" s="1120"/>
      <c r="AJ41" s="1120"/>
    </row>
    <row r="42" spans="1:37" s="1119" customFormat="1" ht="13.5" thickBot="1">
      <c r="A42" s="2100"/>
      <c r="B42" s="2118" t="s">
        <v>2022</v>
      </c>
      <c r="C42" s="187">
        <f>ROUND(D5*C22*C23*C44*C28*F42,0)</f>
        <v>0</v>
      </c>
      <c r="D42" s="2102"/>
      <c r="E42" s="187">
        <f t="shared" si="4"/>
        <v>0</v>
      </c>
      <c r="F42" s="767">
        <f>SUMIF(修正!A57:A68,G2,修正!G57:G68)</f>
        <v>0.15</v>
      </c>
      <c r="G42" s="187">
        <f>ROUND(IF(E2="工业",C42*$M$42,C42*$M$41),0)</f>
        <v>0</v>
      </c>
      <c r="H42" s="187">
        <f t="shared" si="5"/>
        <v>0</v>
      </c>
      <c r="I42" s="187">
        <f t="shared" si="6"/>
        <v>0</v>
      </c>
      <c r="J42" s="2119"/>
      <c r="L42" s="2120" t="s">
        <v>1974</v>
      </c>
      <c r="M42" s="2121">
        <v>0.15</v>
      </c>
      <c r="Z42" s="1120"/>
      <c r="AA42" s="1120"/>
      <c r="AB42" s="1120"/>
      <c r="AC42" s="1120"/>
      <c r="AD42" s="1120"/>
      <c r="AE42" s="1120"/>
      <c r="AF42" s="1120"/>
      <c r="AG42" s="1120"/>
      <c r="AH42" s="1120"/>
      <c r="AI42" s="1120"/>
      <c r="AJ42" s="1120"/>
    </row>
    <row r="43" spans="1:37" s="1119" customFormat="1">
      <c r="Z43" s="1120"/>
      <c r="AA43" s="1120"/>
      <c r="AB43" s="1120"/>
      <c r="AC43" s="1120"/>
      <c r="AD43" s="1120"/>
      <c r="AE43" s="1120"/>
      <c r="AF43" s="1120"/>
      <c r="AG43" s="1120"/>
      <c r="AH43" s="1120"/>
      <c r="AI43" s="1120"/>
      <c r="AJ43" s="1120"/>
    </row>
    <row r="44" spans="1:37" s="1119" customFormat="1">
      <c r="A44" s="1120"/>
      <c r="B44" s="2153" t="s">
        <v>2103</v>
      </c>
      <c r="C44" s="342">
        <f>ROUND(POWER(1+E44,H44-G44)*(POWER(1+E44,G44)-1)/(POWER(1+E44,H44)-1),4)</f>
        <v>0</v>
      </c>
      <c r="D44" s="171" t="s">
        <v>1980</v>
      </c>
      <c r="E44" s="2152">
        <f>G24</f>
        <v>0.05</v>
      </c>
      <c r="F44" s="171" t="s">
        <v>1989</v>
      </c>
      <c r="G44" s="183"/>
      <c r="H44" s="171">
        <v>50</v>
      </c>
      <c r="Z44" s="1120"/>
      <c r="AA44" s="1120"/>
      <c r="AB44" s="1120"/>
      <c r="AC44" s="1120"/>
      <c r="AD44" s="1120"/>
      <c r="AE44" s="1120"/>
      <c r="AF44" s="1120"/>
      <c r="AG44" s="1120"/>
      <c r="AH44" s="1120"/>
      <c r="AI44" s="1120"/>
      <c r="AJ44" s="1120"/>
    </row>
    <row r="45" spans="1:37" s="1119" customFormat="1">
      <c r="A45" s="1120"/>
      <c r="B45" s="2122"/>
      <c r="Z45" s="1120"/>
      <c r="AA45" s="1120"/>
      <c r="AB45" s="1120"/>
      <c r="AC45" s="1120"/>
      <c r="AD45" s="1120"/>
      <c r="AE45" s="1120"/>
      <c r="AF45" s="1120"/>
      <c r="AG45" s="1120"/>
      <c r="AH45" s="1120"/>
      <c r="AI45" s="1120"/>
      <c r="AJ45" s="1120"/>
    </row>
    <row r="46" spans="1:37" s="1119" customFormat="1">
      <c r="A46" s="1120"/>
      <c r="B46" s="2122"/>
      <c r="AA46" s="1120"/>
      <c r="AB46" s="1120"/>
      <c r="AC46" s="1120"/>
      <c r="AD46" s="1120"/>
      <c r="AE46" s="1120"/>
      <c r="AF46" s="1120"/>
      <c r="AG46" s="1120"/>
      <c r="AH46" s="1120"/>
      <c r="AI46" s="1120"/>
      <c r="AJ46" s="1120"/>
      <c r="AK46" s="1120"/>
    </row>
    <row r="47" spans="1:37" s="1119" customFormat="1" ht="15.75" thickBot="1">
      <c r="A47" s="2123" t="s">
        <v>2023</v>
      </c>
      <c r="B47" s="2124"/>
      <c r="C47" s="4"/>
      <c r="D47" s="4"/>
      <c r="E47" s="4"/>
      <c r="F47" s="3"/>
      <c r="G47" s="3"/>
      <c r="H47" s="3"/>
      <c r="I47" s="1820"/>
      <c r="J47" s="1820"/>
      <c r="K47" s="1820"/>
      <c r="L47" s="1820"/>
      <c r="M47" s="1820"/>
      <c r="AA47" s="1120"/>
      <c r="AB47" s="1120"/>
      <c r="AC47" s="1120"/>
      <c r="AD47" s="1120"/>
      <c r="AE47" s="1120"/>
      <c r="AF47" s="1120"/>
      <c r="AG47" s="1120"/>
      <c r="AH47" s="1120"/>
      <c r="AI47" s="1120"/>
      <c r="AJ47" s="1120"/>
      <c r="AK47" s="1120"/>
    </row>
    <row r="48" spans="1:37" s="1119" customFormat="1" ht="15" hidden="1">
      <c r="A48" s="2125" t="s">
        <v>2024</v>
      </c>
      <c r="B48" s="2126">
        <f>1+E50</f>
        <v>1</v>
      </c>
      <c r="C48" s="2127"/>
      <c r="D48" s="741"/>
      <c r="E48" s="742"/>
      <c r="F48" s="2128"/>
      <c r="G48" s="3"/>
      <c r="H48" s="4"/>
      <c r="I48" s="1820"/>
      <c r="J48" s="1820"/>
      <c r="K48" s="1820"/>
      <c r="L48" s="1820"/>
      <c r="M48" s="1820"/>
      <c r="AA48" s="1120"/>
      <c r="AB48" s="1120"/>
      <c r="AC48" s="1120"/>
      <c r="AD48" s="1120"/>
      <c r="AE48" s="1120"/>
      <c r="AF48" s="1120"/>
      <c r="AG48" s="1120"/>
      <c r="AH48" s="1120"/>
      <c r="AI48" s="1120"/>
      <c r="AJ48" s="1120"/>
      <c r="AK48" s="1120"/>
    </row>
    <row r="49" spans="1:37" s="1119" customFormat="1" ht="24.75" hidden="1">
      <c r="A49" s="2129" t="s">
        <v>2025</v>
      </c>
      <c r="B49" s="1350" t="s">
        <v>2026</v>
      </c>
      <c r="C49" s="1350" t="s">
        <v>2027</v>
      </c>
      <c r="D49" s="1350" t="s">
        <v>2028</v>
      </c>
      <c r="E49" s="743" t="s">
        <v>2029</v>
      </c>
      <c r="F49" s="2130" t="s">
        <v>2030</v>
      </c>
      <c r="G49" s="1350" t="s">
        <v>310</v>
      </c>
      <c r="H49" s="2131" t="s">
        <v>2031</v>
      </c>
      <c r="I49" s="1350" t="s">
        <v>2032</v>
      </c>
      <c r="J49" s="552" t="s">
        <v>1703</v>
      </c>
      <c r="K49" s="552" t="s">
        <v>1704</v>
      </c>
      <c r="L49" s="552" t="s">
        <v>1705</v>
      </c>
      <c r="M49" s="552" t="s">
        <v>1706</v>
      </c>
      <c r="N49" s="552" t="s">
        <v>1707</v>
      </c>
      <c r="AA49" s="1120"/>
      <c r="AB49" s="1120"/>
      <c r="AC49" s="1120"/>
      <c r="AD49" s="1120"/>
      <c r="AE49" s="1120"/>
      <c r="AF49" s="1120"/>
      <c r="AG49" s="1120"/>
      <c r="AH49" s="1120"/>
      <c r="AI49" s="1120"/>
      <c r="AJ49" s="1120"/>
      <c r="AK49" s="1120"/>
    </row>
    <row r="50" spans="1:37" s="1119" customFormat="1" ht="24.75" hidden="1">
      <c r="A50" s="2129" t="s">
        <v>2033</v>
      </c>
      <c r="B50" s="2132" t="str">
        <f>估价对象房地状况!C4</f>
        <v>一般</v>
      </c>
      <c r="C50" s="2043"/>
      <c r="D50" s="1065">
        <f t="shared" ref="D50:D58" si="7">SUMIF($J$49:$N$49,C50,J50:N50)</f>
        <v>0</v>
      </c>
      <c r="E50" s="744">
        <f>ROUND(SUM(D50:D58),4)</f>
        <v>0</v>
      </c>
      <c r="F50" s="1813" t="str">
        <f>IF(E2="商业",SUMIF(L1:L12,G2,N1:N12),"——")</f>
        <v>——</v>
      </c>
      <c r="G50" s="1063"/>
      <c r="H50" s="1066" t="str">
        <f t="shared" ref="H50:H58" si="8">IFERROR(ROUNDDOWN($F$50*I50/2,4),"——")</f>
        <v>——</v>
      </c>
      <c r="I50" s="3341">
        <v>0.3</v>
      </c>
      <c r="J50" s="1064">
        <f t="shared" ref="J50:J58" si="9">K50+$G50</f>
        <v>0</v>
      </c>
      <c r="K50" s="1064">
        <f t="shared" ref="K50:K58" si="10">$L50+$G50</f>
        <v>0</v>
      </c>
      <c r="L50" s="1064">
        <v>0</v>
      </c>
      <c r="M50" s="1064">
        <f t="shared" ref="M50:N58" si="11">L50-$G50</f>
        <v>0</v>
      </c>
      <c r="N50" s="1064">
        <f t="shared" si="11"/>
        <v>0</v>
      </c>
      <c r="AA50" s="1120"/>
      <c r="AB50" s="1120"/>
      <c r="AC50" s="1120"/>
      <c r="AD50" s="1120"/>
      <c r="AE50" s="1120"/>
      <c r="AF50" s="1120"/>
      <c r="AG50" s="1120"/>
      <c r="AH50" s="1120"/>
      <c r="AI50" s="1120"/>
      <c r="AJ50" s="1120"/>
      <c r="AK50" s="1120"/>
    </row>
    <row r="51" spans="1:37" s="1119" customFormat="1" ht="38.25" hidden="1">
      <c r="A51" s="2129" t="s">
        <v>2034</v>
      </c>
      <c r="B51" s="2133" t="str">
        <f>估价对象房地状况!C18</f>
        <v>估价对象周边道路状况、公共交通通达情况、停车便捷程度，综合评价交通便捷度较好</v>
      </c>
      <c r="C51" s="2043"/>
      <c r="D51" s="1065">
        <f t="shared" si="7"/>
        <v>0</v>
      </c>
      <c r="E51" s="745"/>
      <c r="F51" s="1813"/>
      <c r="G51" s="1063"/>
      <c r="H51" s="1066" t="str">
        <f t="shared" si="8"/>
        <v>——</v>
      </c>
      <c r="I51" s="3341">
        <v>0.22</v>
      </c>
      <c r="J51" s="1064">
        <f t="shared" si="9"/>
        <v>0</v>
      </c>
      <c r="K51" s="1064">
        <f t="shared" si="10"/>
        <v>0</v>
      </c>
      <c r="L51" s="1064">
        <v>0</v>
      </c>
      <c r="M51" s="1064">
        <f t="shared" si="11"/>
        <v>0</v>
      </c>
      <c r="N51" s="1064">
        <f t="shared" si="11"/>
        <v>0</v>
      </c>
      <c r="AA51" s="1120"/>
      <c r="AB51" s="1120"/>
      <c r="AC51" s="1120"/>
      <c r="AD51" s="1120"/>
      <c r="AE51" s="1120"/>
      <c r="AF51" s="1120"/>
      <c r="AG51" s="1120"/>
      <c r="AH51" s="1120"/>
      <c r="AI51" s="1120"/>
      <c r="AJ51" s="1120"/>
      <c r="AK51" s="1120"/>
    </row>
    <row r="52" spans="1:37" s="1119" customFormat="1" ht="36" hidden="1">
      <c r="A52" s="3343" t="s">
        <v>3244</v>
      </c>
      <c r="B52" s="2133">
        <f>估价对象房地状况!C19</f>
        <v>0</v>
      </c>
      <c r="C52" s="2043"/>
      <c r="D52" s="1065">
        <f t="shared" si="7"/>
        <v>0</v>
      </c>
      <c r="E52" s="745"/>
      <c r="F52" s="1813"/>
      <c r="G52" s="1063"/>
      <c r="H52" s="1066" t="str">
        <f t="shared" si="8"/>
        <v>——</v>
      </c>
      <c r="I52" s="3341">
        <v>0.12</v>
      </c>
      <c r="J52" s="1064">
        <f t="shared" si="9"/>
        <v>0</v>
      </c>
      <c r="K52" s="1064">
        <f t="shared" si="10"/>
        <v>0</v>
      </c>
      <c r="L52" s="1064">
        <v>0</v>
      </c>
      <c r="M52" s="1064">
        <f t="shared" si="11"/>
        <v>0</v>
      </c>
      <c r="N52" s="1064">
        <f t="shared" si="11"/>
        <v>0</v>
      </c>
      <c r="AA52" s="1120"/>
      <c r="AB52" s="1120"/>
      <c r="AC52" s="1120"/>
      <c r="AD52" s="1120"/>
      <c r="AE52" s="1120"/>
      <c r="AF52" s="1120"/>
      <c r="AG52" s="1120"/>
      <c r="AH52" s="1120"/>
      <c r="AI52" s="1120"/>
      <c r="AJ52" s="1120"/>
      <c r="AK52" s="1120"/>
    </row>
    <row r="53" spans="1:37" s="1119" customFormat="1" ht="36.75" hidden="1">
      <c r="A53" s="2129" t="s">
        <v>2035</v>
      </c>
      <c r="B53" s="2134" t="s">
        <v>2036</v>
      </c>
      <c r="C53" s="2043"/>
      <c r="D53" s="1065">
        <f t="shared" si="7"/>
        <v>0</v>
      </c>
      <c r="E53" s="745"/>
      <c r="F53" s="1813"/>
      <c r="G53" s="1063"/>
      <c r="H53" s="1066" t="str">
        <f t="shared" si="8"/>
        <v>——</v>
      </c>
      <c r="I53" s="3341">
        <v>0.05</v>
      </c>
      <c r="J53" s="1064">
        <f t="shared" si="9"/>
        <v>0</v>
      </c>
      <c r="K53" s="1064">
        <f t="shared" si="10"/>
        <v>0</v>
      </c>
      <c r="L53" s="1064">
        <v>0</v>
      </c>
      <c r="M53" s="1064">
        <f t="shared" si="11"/>
        <v>0</v>
      </c>
      <c r="N53" s="1064">
        <f t="shared" si="11"/>
        <v>0</v>
      </c>
      <c r="AA53" s="1120"/>
      <c r="AB53" s="1120"/>
      <c r="AC53" s="1120"/>
      <c r="AD53" s="1120"/>
      <c r="AE53" s="1120"/>
      <c r="AF53" s="1120"/>
      <c r="AG53" s="1120"/>
      <c r="AH53" s="1120"/>
      <c r="AI53" s="1120"/>
      <c r="AJ53" s="1120"/>
      <c r="AK53" s="1120"/>
    </row>
    <row r="54" spans="1:37" s="1119" customFormat="1" ht="24" hidden="1">
      <c r="A54" s="2129" t="s">
        <v>2037</v>
      </c>
      <c r="B54" s="2133">
        <f>估价对象房地状况!C24</f>
        <v>0</v>
      </c>
      <c r="C54" s="2043"/>
      <c r="D54" s="1065">
        <f t="shared" si="7"/>
        <v>0</v>
      </c>
      <c r="E54" s="745"/>
      <c r="F54" s="1813"/>
      <c r="G54" s="1063"/>
      <c r="H54" s="1066" t="str">
        <f t="shared" si="8"/>
        <v>——</v>
      </c>
      <c r="I54" s="3341">
        <v>0.08</v>
      </c>
      <c r="J54" s="1064">
        <f t="shared" si="9"/>
        <v>0</v>
      </c>
      <c r="K54" s="1064">
        <f t="shared" si="10"/>
        <v>0</v>
      </c>
      <c r="L54" s="1064">
        <v>0</v>
      </c>
      <c r="M54" s="1064">
        <f t="shared" si="11"/>
        <v>0</v>
      </c>
      <c r="N54" s="1064">
        <f t="shared" si="11"/>
        <v>0</v>
      </c>
      <c r="AA54" s="1120"/>
      <c r="AB54" s="1120"/>
      <c r="AC54" s="1120"/>
      <c r="AD54" s="1120"/>
      <c r="AE54" s="1120"/>
      <c r="AF54" s="1120"/>
      <c r="AG54" s="1120"/>
      <c r="AH54" s="1120"/>
      <c r="AI54" s="1120"/>
      <c r="AJ54" s="1120"/>
      <c r="AK54" s="1120"/>
    </row>
    <row r="55" spans="1:37" s="1119" customFormat="1" ht="24" hidden="1">
      <c r="A55" s="2129" t="s">
        <v>2038</v>
      </c>
      <c r="B55" s="2135" t="s">
        <v>2039</v>
      </c>
      <c r="C55" s="2043"/>
      <c r="D55" s="1065">
        <f t="shared" si="7"/>
        <v>0</v>
      </c>
      <c r="E55" s="745"/>
      <c r="F55" s="1813"/>
      <c r="G55" s="1063"/>
      <c r="H55" s="1066" t="str">
        <f t="shared" si="8"/>
        <v>——</v>
      </c>
      <c r="I55" s="3341">
        <v>0.05</v>
      </c>
      <c r="J55" s="1064">
        <f t="shared" si="9"/>
        <v>0</v>
      </c>
      <c r="K55" s="1064">
        <f t="shared" si="10"/>
        <v>0</v>
      </c>
      <c r="L55" s="1064">
        <v>0</v>
      </c>
      <c r="M55" s="1064">
        <f t="shared" si="11"/>
        <v>0</v>
      </c>
      <c r="N55" s="1064">
        <f t="shared" si="11"/>
        <v>0</v>
      </c>
      <c r="AA55" s="1120"/>
      <c r="AB55" s="1120"/>
      <c r="AC55" s="1120"/>
      <c r="AD55" s="1120"/>
      <c r="AE55" s="1120"/>
      <c r="AF55" s="1120"/>
      <c r="AG55" s="1120"/>
      <c r="AH55" s="1120"/>
      <c r="AI55" s="1120"/>
      <c r="AJ55" s="1120"/>
      <c r="AK55" s="1120"/>
    </row>
    <row r="56" spans="1:37" s="1119" customFormat="1" ht="25.5" hidden="1">
      <c r="A56" s="2136" t="s">
        <v>2040</v>
      </c>
      <c r="B56" s="1325" t="str">
        <f>估价对象房地状况!C21</f>
        <v>估价对象所在区域公共配套设施齐备情况</v>
      </c>
      <c r="C56" s="2043"/>
      <c r="D56" s="1065">
        <f t="shared" si="7"/>
        <v>0</v>
      </c>
      <c r="E56" s="745"/>
      <c r="F56" s="1813"/>
      <c r="G56" s="1063"/>
      <c r="H56" s="1066" t="str">
        <f t="shared" si="8"/>
        <v>——</v>
      </c>
      <c r="I56" s="3341">
        <v>0.05</v>
      </c>
      <c r="J56" s="1064">
        <f t="shared" si="9"/>
        <v>0</v>
      </c>
      <c r="K56" s="1064">
        <f t="shared" si="10"/>
        <v>0</v>
      </c>
      <c r="L56" s="1064">
        <v>0</v>
      </c>
      <c r="M56" s="1064">
        <f t="shared" si="11"/>
        <v>0</v>
      </c>
      <c r="N56" s="1064">
        <f t="shared" si="11"/>
        <v>0</v>
      </c>
      <c r="AA56" s="1120"/>
      <c r="AB56" s="1120"/>
      <c r="AC56" s="1120"/>
      <c r="AD56" s="1120"/>
      <c r="AE56" s="1120"/>
      <c r="AF56" s="1120"/>
      <c r="AG56" s="1120"/>
      <c r="AH56" s="1120"/>
      <c r="AI56" s="1120"/>
      <c r="AJ56" s="1120"/>
      <c r="AK56" s="1120"/>
    </row>
    <row r="57" spans="1:37" s="1119" customFormat="1" ht="25.5" hidden="1">
      <c r="A57" s="2136" t="s">
        <v>2041</v>
      </c>
      <c r="B57" s="2133" t="str">
        <f>估价对象房地状况!C22</f>
        <v>估价对象所在区域基础设施水平</v>
      </c>
      <c r="C57" s="2043"/>
      <c r="D57" s="1065">
        <f t="shared" si="7"/>
        <v>0</v>
      </c>
      <c r="E57" s="745"/>
      <c r="F57" s="1813"/>
      <c r="G57" s="1063"/>
      <c r="H57" s="1066" t="str">
        <f t="shared" si="8"/>
        <v>——</v>
      </c>
      <c r="I57" s="3341">
        <v>0.08</v>
      </c>
      <c r="J57" s="1064">
        <f t="shared" si="9"/>
        <v>0</v>
      </c>
      <c r="K57" s="1064">
        <f t="shared" si="10"/>
        <v>0</v>
      </c>
      <c r="L57" s="1064">
        <v>0</v>
      </c>
      <c r="M57" s="1064">
        <f t="shared" si="11"/>
        <v>0</v>
      </c>
      <c r="N57" s="1064">
        <f t="shared" si="11"/>
        <v>0</v>
      </c>
      <c r="AA57" s="1120"/>
      <c r="AB57" s="1120"/>
      <c r="AC57" s="1120"/>
      <c r="AD57" s="1120"/>
      <c r="AE57" s="1120"/>
      <c r="AF57" s="1120"/>
      <c r="AG57" s="1120"/>
      <c r="AH57" s="1120"/>
      <c r="AI57" s="1120"/>
      <c r="AJ57" s="1120"/>
      <c r="AK57" s="1120"/>
    </row>
    <row r="58" spans="1:37" s="1119" customFormat="1" ht="26.25" hidden="1" thickBot="1">
      <c r="A58" s="2137" t="s">
        <v>2042</v>
      </c>
      <c r="B58" s="2138" t="str">
        <f>估价对象房地状况!C20</f>
        <v>区域自然环境：；人文环境；综合评价环境状况一般</v>
      </c>
      <c r="C58" s="2043"/>
      <c r="D58" s="1065">
        <f t="shared" si="7"/>
        <v>0</v>
      </c>
      <c r="E58" s="746"/>
      <c r="F58" s="1813"/>
      <c r="G58" s="1063"/>
      <c r="H58" s="1066" t="str">
        <f t="shared" si="8"/>
        <v>——</v>
      </c>
      <c r="I58" s="3342">
        <v>0.05</v>
      </c>
      <c r="J58" s="1064">
        <f t="shared" si="9"/>
        <v>0</v>
      </c>
      <c r="K58" s="1064">
        <f t="shared" si="10"/>
        <v>0</v>
      </c>
      <c r="L58" s="1064">
        <v>0</v>
      </c>
      <c r="M58" s="1064">
        <f t="shared" si="11"/>
        <v>0</v>
      </c>
      <c r="N58" s="1064">
        <f t="shared" si="11"/>
        <v>0</v>
      </c>
      <c r="AA58" s="1120"/>
      <c r="AB58" s="1120"/>
      <c r="AC58" s="1120"/>
      <c r="AD58" s="1120"/>
      <c r="AE58" s="1120"/>
      <c r="AF58" s="1120"/>
      <c r="AG58" s="1120"/>
      <c r="AH58" s="1120"/>
      <c r="AI58" s="1120"/>
      <c r="AJ58" s="1120"/>
      <c r="AK58" s="1120"/>
    </row>
    <row r="59" spans="1:37" s="1119" customFormat="1" ht="15" hidden="1">
      <c r="A59" s="2125" t="s">
        <v>2043</v>
      </c>
      <c r="B59" s="2126">
        <f>1+E61</f>
        <v>1</v>
      </c>
      <c r="C59" s="741"/>
      <c r="D59" s="741"/>
      <c r="E59" s="742"/>
      <c r="F59" s="2128"/>
      <c r="G59" s="3"/>
      <c r="H59" s="3"/>
      <c r="I59" s="3"/>
      <c r="J59" s="4"/>
      <c r="K59" s="4"/>
      <c r="L59" s="4"/>
      <c r="M59" s="4"/>
      <c r="N59" s="4"/>
      <c r="AA59" s="1120"/>
      <c r="AB59" s="1120"/>
      <c r="AC59" s="1120"/>
      <c r="AD59" s="1120"/>
      <c r="AE59" s="1120"/>
      <c r="AF59" s="1120"/>
      <c r="AG59" s="1120"/>
      <c r="AH59" s="1120"/>
      <c r="AI59" s="1120"/>
      <c r="AJ59" s="1120"/>
      <c r="AK59" s="1120"/>
    </row>
    <row r="60" spans="1:37" s="1119" customFormat="1" ht="24.75" hidden="1">
      <c r="A60" s="2129" t="s">
        <v>2025</v>
      </c>
      <c r="B60" s="1350"/>
      <c r="C60" s="1350" t="s">
        <v>2027</v>
      </c>
      <c r="D60" s="1350" t="s">
        <v>2028</v>
      </c>
      <c r="E60" s="743" t="s">
        <v>2029</v>
      </c>
      <c r="F60" s="2130" t="s">
        <v>2044</v>
      </c>
      <c r="G60" s="1350" t="s">
        <v>310</v>
      </c>
      <c r="H60" s="2131" t="s">
        <v>2031</v>
      </c>
      <c r="I60" s="1350" t="s">
        <v>2032</v>
      </c>
      <c r="J60" s="552" t="s">
        <v>1703</v>
      </c>
      <c r="K60" s="552" t="s">
        <v>1704</v>
      </c>
      <c r="L60" s="552" t="s">
        <v>1705</v>
      </c>
      <c r="M60" s="552" t="s">
        <v>1706</v>
      </c>
      <c r="N60" s="552" t="s">
        <v>1707</v>
      </c>
      <c r="AA60" s="1120"/>
      <c r="AB60" s="1120"/>
      <c r="AC60" s="1120"/>
      <c r="AD60" s="1120"/>
      <c r="AE60" s="1120"/>
      <c r="AF60" s="1120"/>
      <c r="AG60" s="1120"/>
      <c r="AH60" s="1120"/>
      <c r="AI60" s="1120"/>
      <c r="AJ60" s="1120"/>
      <c r="AK60" s="1120"/>
    </row>
    <row r="61" spans="1:37" s="1119" customFormat="1" ht="24" hidden="1">
      <c r="A61" s="2129" t="s">
        <v>2045</v>
      </c>
      <c r="B61" s="2132" t="str">
        <f>估价对象房地状况!C17</f>
        <v>较好</v>
      </c>
      <c r="C61" s="2043"/>
      <c r="D61" s="1065">
        <f t="shared" ref="D61:D69" si="12">SUMIF($J$60:$N$60,C61,J61:N61)</f>
        <v>0</v>
      </c>
      <c r="E61" s="744">
        <f>ROUND(SUM(D61:D69),4)</f>
        <v>0</v>
      </c>
      <c r="F61" s="1813" t="str">
        <f>IF(E2="办公",SUMIF(L1:L12,G2,N1:N12),"——")</f>
        <v>——</v>
      </c>
      <c r="G61" s="1063"/>
      <c r="H61" s="1066" t="str">
        <f t="shared" ref="H61:H69" si="13">IFERROR(ROUNDDOWN($F$61*I61/2,4),"——")</f>
        <v>——</v>
      </c>
      <c r="I61" s="3341">
        <v>0.25</v>
      </c>
      <c r="J61" s="1064">
        <f t="shared" ref="J61:J69" si="14">K61+$G61</f>
        <v>0</v>
      </c>
      <c r="K61" s="1064">
        <f t="shared" ref="K61:K69" si="15">$L61+$G61</f>
        <v>0</v>
      </c>
      <c r="L61" s="1064">
        <v>0</v>
      </c>
      <c r="M61" s="1064">
        <f t="shared" ref="M61:N69" si="16">L61-$G61</f>
        <v>0</v>
      </c>
      <c r="N61" s="1064">
        <f t="shared" si="16"/>
        <v>0</v>
      </c>
      <c r="AA61" s="1120"/>
      <c r="AB61" s="1120"/>
      <c r="AC61" s="1120"/>
      <c r="AD61" s="1120"/>
      <c r="AE61" s="1120"/>
      <c r="AF61" s="1120"/>
      <c r="AG61" s="1120"/>
      <c r="AH61" s="1120"/>
      <c r="AI61" s="1120"/>
      <c r="AJ61" s="1120"/>
      <c r="AK61" s="1120"/>
    </row>
    <row r="62" spans="1:37" s="1119" customFormat="1" ht="38.25" hidden="1">
      <c r="A62" s="2129" t="s">
        <v>2034</v>
      </c>
      <c r="B62" s="2133" t="str">
        <f>估价对象房地状况!C18</f>
        <v>估价对象周边道路状况、公共交通通达情况、停车便捷程度，综合评价交通便捷度较好</v>
      </c>
      <c r="C62" s="2043"/>
      <c r="D62" s="1065">
        <f t="shared" si="12"/>
        <v>0</v>
      </c>
      <c r="E62" s="745"/>
      <c r="F62" s="1813"/>
      <c r="G62" s="1063"/>
      <c r="H62" s="1066" t="str">
        <f t="shared" si="13"/>
        <v>——</v>
      </c>
      <c r="I62" s="3341">
        <v>0.26</v>
      </c>
      <c r="J62" s="1064">
        <f t="shared" si="14"/>
        <v>0</v>
      </c>
      <c r="K62" s="1064">
        <f t="shared" si="15"/>
        <v>0</v>
      </c>
      <c r="L62" s="1064">
        <v>0</v>
      </c>
      <c r="M62" s="1064">
        <f t="shared" si="16"/>
        <v>0</v>
      </c>
      <c r="N62" s="1064">
        <f t="shared" si="16"/>
        <v>0</v>
      </c>
      <c r="AA62" s="1120"/>
      <c r="AB62" s="1120"/>
      <c r="AC62" s="1120"/>
      <c r="AD62" s="1120"/>
      <c r="AE62" s="1120"/>
      <c r="AF62" s="1120"/>
      <c r="AG62" s="1120"/>
      <c r="AH62" s="1120"/>
      <c r="AI62" s="1120"/>
      <c r="AJ62" s="1120"/>
      <c r="AK62" s="1120"/>
    </row>
    <row r="63" spans="1:37" s="1119" customFormat="1" ht="36" hidden="1">
      <c r="A63" s="3343" t="s">
        <v>3244</v>
      </c>
      <c r="B63" s="2133">
        <f>估价对象房地状况!C19</f>
        <v>0</v>
      </c>
      <c r="C63" s="2043"/>
      <c r="D63" s="1065">
        <f t="shared" si="12"/>
        <v>0</v>
      </c>
      <c r="E63" s="745"/>
      <c r="F63" s="1813"/>
      <c r="G63" s="1063"/>
      <c r="H63" s="1066" t="str">
        <f t="shared" si="13"/>
        <v>——</v>
      </c>
      <c r="I63" s="3341">
        <v>0.11</v>
      </c>
      <c r="J63" s="1064">
        <f t="shared" si="14"/>
        <v>0</v>
      </c>
      <c r="K63" s="1064">
        <f t="shared" si="15"/>
        <v>0</v>
      </c>
      <c r="L63" s="1064">
        <v>0</v>
      </c>
      <c r="M63" s="1064">
        <f t="shared" si="16"/>
        <v>0</v>
      </c>
      <c r="N63" s="1064">
        <f t="shared" si="16"/>
        <v>0</v>
      </c>
      <c r="AA63" s="1120"/>
      <c r="AB63" s="1120"/>
      <c r="AC63" s="1120"/>
      <c r="AD63" s="1120"/>
      <c r="AE63" s="1120"/>
      <c r="AF63" s="1120"/>
      <c r="AG63" s="1120"/>
      <c r="AH63" s="1120"/>
      <c r="AI63" s="1120"/>
      <c r="AJ63" s="1120"/>
      <c r="AK63" s="1120"/>
    </row>
    <row r="64" spans="1:37" s="1119" customFormat="1" ht="36.75" hidden="1">
      <c r="A64" s="2129" t="s">
        <v>2035</v>
      </c>
      <c r="B64" s="2134" t="s">
        <v>2036</v>
      </c>
      <c r="C64" s="2043"/>
      <c r="D64" s="1065">
        <f t="shared" si="12"/>
        <v>0</v>
      </c>
      <c r="E64" s="745"/>
      <c r="F64" s="1813"/>
      <c r="G64" s="1063"/>
      <c r="H64" s="1066" t="str">
        <f t="shared" si="13"/>
        <v>——</v>
      </c>
      <c r="I64" s="3341">
        <v>0.05</v>
      </c>
      <c r="J64" s="1064">
        <f t="shared" si="14"/>
        <v>0</v>
      </c>
      <c r="K64" s="1064">
        <f t="shared" si="15"/>
        <v>0</v>
      </c>
      <c r="L64" s="1064">
        <v>0</v>
      </c>
      <c r="M64" s="1064">
        <f t="shared" si="16"/>
        <v>0</v>
      </c>
      <c r="N64" s="1064">
        <f t="shared" si="16"/>
        <v>0</v>
      </c>
      <c r="AA64" s="1120"/>
      <c r="AB64" s="1120"/>
      <c r="AC64" s="1120"/>
      <c r="AD64" s="1120"/>
      <c r="AE64" s="1120"/>
      <c r="AF64" s="1120"/>
      <c r="AG64" s="1120"/>
      <c r="AH64" s="1120"/>
      <c r="AI64" s="1120"/>
      <c r="AJ64" s="1120"/>
      <c r="AK64" s="1120"/>
    </row>
    <row r="65" spans="1:37" s="1119" customFormat="1" ht="24" hidden="1">
      <c r="A65" s="2129" t="s">
        <v>2037</v>
      </c>
      <c r="B65" s="2133">
        <f>估价对象房地状况!C24</f>
        <v>0</v>
      </c>
      <c r="C65" s="2043"/>
      <c r="D65" s="1065">
        <f t="shared" si="12"/>
        <v>0</v>
      </c>
      <c r="E65" s="745"/>
      <c r="F65" s="1813"/>
      <c r="G65" s="1063"/>
      <c r="H65" s="1066" t="str">
        <f t="shared" si="13"/>
        <v>——</v>
      </c>
      <c r="I65" s="3341">
        <v>0.05</v>
      </c>
      <c r="J65" s="1064">
        <f t="shared" si="14"/>
        <v>0</v>
      </c>
      <c r="K65" s="1064">
        <f t="shared" si="15"/>
        <v>0</v>
      </c>
      <c r="L65" s="1064">
        <v>0</v>
      </c>
      <c r="M65" s="1064">
        <f t="shared" si="16"/>
        <v>0</v>
      </c>
      <c r="N65" s="1064">
        <f t="shared" si="16"/>
        <v>0</v>
      </c>
      <c r="AA65" s="1120"/>
      <c r="AB65" s="1120"/>
      <c r="AC65" s="1120"/>
      <c r="AD65" s="1120"/>
      <c r="AE65" s="1120"/>
      <c r="AF65" s="1120"/>
      <c r="AG65" s="1120"/>
      <c r="AH65" s="1120"/>
      <c r="AI65" s="1120"/>
      <c r="AJ65" s="1120"/>
      <c r="AK65" s="1120"/>
    </row>
    <row r="66" spans="1:37" s="1119" customFormat="1" ht="24" hidden="1">
      <c r="A66" s="2129" t="s">
        <v>2038</v>
      </c>
      <c r="B66" s="2135" t="s">
        <v>2039</v>
      </c>
      <c r="C66" s="2043"/>
      <c r="D66" s="1065">
        <f t="shared" si="12"/>
        <v>0</v>
      </c>
      <c r="E66" s="745"/>
      <c r="F66" s="1813"/>
      <c r="G66" s="1063"/>
      <c r="H66" s="1066" t="str">
        <f t="shared" si="13"/>
        <v>——</v>
      </c>
      <c r="I66" s="3341">
        <v>0.06</v>
      </c>
      <c r="J66" s="1064">
        <f t="shared" si="14"/>
        <v>0</v>
      </c>
      <c r="K66" s="1064">
        <f t="shared" si="15"/>
        <v>0</v>
      </c>
      <c r="L66" s="1064">
        <v>0</v>
      </c>
      <c r="M66" s="1064">
        <f t="shared" si="16"/>
        <v>0</v>
      </c>
      <c r="N66" s="1064">
        <f t="shared" si="16"/>
        <v>0</v>
      </c>
      <c r="AA66" s="1120"/>
      <c r="AB66" s="1120"/>
      <c r="AC66" s="1120"/>
      <c r="AD66" s="1120"/>
      <c r="AE66" s="1120"/>
      <c r="AF66" s="1120"/>
      <c r="AG66" s="1120"/>
      <c r="AH66" s="1120"/>
      <c r="AI66" s="1120"/>
      <c r="AJ66" s="1120"/>
      <c r="AK66" s="1120"/>
    </row>
    <row r="67" spans="1:37" s="1119" customFormat="1" ht="25.5" hidden="1">
      <c r="A67" s="2129" t="s">
        <v>2040</v>
      </c>
      <c r="B67" s="1325" t="str">
        <f>估价对象房地状况!C21</f>
        <v>估价对象所在区域公共配套设施齐备情况</v>
      </c>
      <c r="C67" s="2043"/>
      <c r="D67" s="1065">
        <f t="shared" si="12"/>
        <v>0</v>
      </c>
      <c r="E67" s="745"/>
      <c r="F67" s="1813"/>
      <c r="G67" s="1063"/>
      <c r="H67" s="1066" t="str">
        <f t="shared" si="13"/>
        <v>——</v>
      </c>
      <c r="I67" s="3341">
        <v>0.06</v>
      </c>
      <c r="J67" s="1064">
        <f t="shared" si="14"/>
        <v>0</v>
      </c>
      <c r="K67" s="1064">
        <f t="shared" si="15"/>
        <v>0</v>
      </c>
      <c r="L67" s="1064">
        <v>0</v>
      </c>
      <c r="M67" s="1064">
        <f t="shared" si="16"/>
        <v>0</v>
      </c>
      <c r="N67" s="1064">
        <f t="shared" si="16"/>
        <v>0</v>
      </c>
      <c r="AA67" s="1120"/>
      <c r="AB67" s="1120"/>
      <c r="AC67" s="1120"/>
      <c r="AD67" s="1120"/>
      <c r="AE67" s="1120"/>
      <c r="AF67" s="1120"/>
      <c r="AG67" s="1120"/>
      <c r="AH67" s="1120"/>
      <c r="AI67" s="1120"/>
      <c r="AJ67" s="1120"/>
      <c r="AK67" s="1120"/>
    </row>
    <row r="68" spans="1:37" s="1119" customFormat="1" ht="25.5" hidden="1">
      <c r="A68" s="2129" t="s">
        <v>2041</v>
      </c>
      <c r="B68" s="1325" t="str">
        <f>估价对象房地状况!C22</f>
        <v>估价对象所在区域基础设施水平</v>
      </c>
      <c r="C68" s="2043"/>
      <c r="D68" s="1065">
        <f t="shared" si="12"/>
        <v>0</v>
      </c>
      <c r="E68" s="745"/>
      <c r="F68" s="1813"/>
      <c r="G68" s="1063"/>
      <c r="H68" s="1066" t="str">
        <f t="shared" si="13"/>
        <v>——</v>
      </c>
      <c r="I68" s="3341">
        <v>0.09</v>
      </c>
      <c r="J68" s="1064">
        <f t="shared" si="14"/>
        <v>0</v>
      </c>
      <c r="K68" s="1064">
        <f t="shared" si="15"/>
        <v>0</v>
      </c>
      <c r="L68" s="1064">
        <v>0</v>
      </c>
      <c r="M68" s="1064">
        <f t="shared" si="16"/>
        <v>0</v>
      </c>
      <c r="N68" s="1064">
        <f t="shared" si="16"/>
        <v>0</v>
      </c>
      <c r="AA68" s="1120"/>
      <c r="AB68" s="1120"/>
      <c r="AC68" s="1120"/>
      <c r="AD68" s="1120"/>
      <c r="AE68" s="1120"/>
      <c r="AF68" s="1120"/>
      <c r="AG68" s="1120"/>
      <c r="AH68" s="1120"/>
      <c r="AI68" s="1120"/>
      <c r="AJ68" s="1120"/>
      <c r="AK68" s="1120"/>
    </row>
    <row r="69" spans="1:37" s="1119" customFormat="1" ht="26.25" hidden="1" thickBot="1">
      <c r="A69" s="2137" t="s">
        <v>2042</v>
      </c>
      <c r="B69" s="2139" t="str">
        <f>估价对象房地状况!C20</f>
        <v>区域自然环境：；人文环境；综合评价环境状况一般</v>
      </c>
      <c r="C69" s="2043"/>
      <c r="D69" s="1065">
        <f t="shared" si="12"/>
        <v>0</v>
      </c>
      <c r="E69" s="746"/>
      <c r="F69" s="1813"/>
      <c r="G69" s="1063"/>
      <c r="H69" s="1066" t="str">
        <f t="shared" si="13"/>
        <v>——</v>
      </c>
      <c r="I69" s="3342">
        <v>7.0000000000000007E-2</v>
      </c>
      <c r="J69" s="1064">
        <f t="shared" si="14"/>
        <v>0</v>
      </c>
      <c r="K69" s="1064">
        <f t="shared" si="15"/>
        <v>0</v>
      </c>
      <c r="L69" s="1064">
        <v>0</v>
      </c>
      <c r="M69" s="1064">
        <f t="shared" si="16"/>
        <v>0</v>
      </c>
      <c r="N69" s="1064">
        <f t="shared" si="16"/>
        <v>0</v>
      </c>
      <c r="AA69" s="1120"/>
      <c r="AB69" s="1120"/>
      <c r="AC69" s="1120"/>
      <c r="AD69" s="1120"/>
      <c r="AE69" s="1120"/>
      <c r="AF69" s="1120"/>
      <c r="AG69" s="1120"/>
      <c r="AH69" s="1120"/>
      <c r="AI69" s="1120"/>
      <c r="AJ69" s="1120"/>
      <c r="AK69" s="1120"/>
    </row>
    <row r="70" spans="1:37" s="1119" customFormat="1" ht="15" hidden="1">
      <c r="A70" s="2125" t="s">
        <v>2046</v>
      </c>
      <c r="B70" s="2126">
        <f>1+E72</f>
        <v>1</v>
      </c>
      <c r="C70" s="741"/>
      <c r="D70" s="741"/>
      <c r="E70" s="742"/>
      <c r="F70" s="2128"/>
      <c r="G70" s="3"/>
      <c r="H70" s="3"/>
      <c r="I70" s="3"/>
      <c r="J70" s="4"/>
      <c r="K70" s="4"/>
      <c r="L70" s="4"/>
      <c r="M70" s="4"/>
      <c r="N70" s="4"/>
      <c r="AA70" s="1120"/>
      <c r="AB70" s="1120"/>
      <c r="AC70" s="1120"/>
      <c r="AD70" s="1120"/>
      <c r="AE70" s="1120"/>
      <c r="AF70" s="1120"/>
      <c r="AG70" s="1120"/>
      <c r="AH70" s="1120"/>
      <c r="AI70" s="1120"/>
      <c r="AJ70" s="1120"/>
      <c r="AK70" s="1120"/>
    </row>
    <row r="71" spans="1:37" s="1119" customFormat="1" ht="24.75" hidden="1">
      <c r="A71" s="2129" t="s">
        <v>2025</v>
      </c>
      <c r="B71" s="1350"/>
      <c r="C71" s="1350" t="s">
        <v>2027</v>
      </c>
      <c r="D71" s="1350" t="s">
        <v>2028</v>
      </c>
      <c r="E71" s="743" t="s">
        <v>2029</v>
      </c>
      <c r="F71" s="2130" t="s">
        <v>2044</v>
      </c>
      <c r="G71" s="1350" t="s">
        <v>310</v>
      </c>
      <c r="H71" s="2131" t="s">
        <v>2031</v>
      </c>
      <c r="I71" s="1350" t="s">
        <v>2032</v>
      </c>
      <c r="J71" s="552" t="s">
        <v>1703</v>
      </c>
      <c r="K71" s="552" t="s">
        <v>1704</v>
      </c>
      <c r="L71" s="552" t="s">
        <v>1705</v>
      </c>
      <c r="M71" s="552" t="s">
        <v>1706</v>
      </c>
      <c r="N71" s="552" t="s">
        <v>1707</v>
      </c>
      <c r="AA71" s="1120"/>
      <c r="AB71" s="1120"/>
      <c r="AC71" s="1120"/>
      <c r="AD71" s="1120"/>
      <c r="AE71" s="1120"/>
      <c r="AF71" s="1120"/>
      <c r="AG71" s="1120"/>
      <c r="AH71" s="1120"/>
      <c r="AI71" s="1120"/>
      <c r="AJ71" s="1120"/>
      <c r="AK71" s="1120"/>
    </row>
    <row r="72" spans="1:37" s="1119" customFormat="1" ht="24" hidden="1">
      <c r="A72" s="2129" t="s">
        <v>2047</v>
      </c>
      <c r="B72" s="2132" t="str">
        <f>估价对象房地状况!C15</f>
        <v>一般</v>
      </c>
      <c r="C72" s="2043"/>
      <c r="D72" s="1065">
        <f t="shared" ref="D72:D80" si="17">SUMIF($J$71:$N$71,C72,J72:N72)</f>
        <v>0</v>
      </c>
      <c r="E72" s="744">
        <f>ROUND(SUM(D72:D80),4)</f>
        <v>0</v>
      </c>
      <c r="F72" s="1813" t="str">
        <f>IF(E2="住宅",SUMIF(L1:L12,G2,N1:N12),"——")</f>
        <v>——</v>
      </c>
      <c r="G72" s="1063"/>
      <c r="H72" s="1066" t="str">
        <f t="shared" ref="H72:H80" si="18">IFERROR(ROUNDDOWN($F$72*I72/2,4),"——")</f>
        <v>——</v>
      </c>
      <c r="I72" s="3341">
        <v>0.2</v>
      </c>
      <c r="J72" s="1064">
        <f t="shared" ref="J72:J80" si="19">K72+$G72</f>
        <v>0</v>
      </c>
      <c r="K72" s="1064">
        <f t="shared" ref="K72:K80" si="20">$L72+$G72</f>
        <v>0</v>
      </c>
      <c r="L72" s="1064">
        <v>0</v>
      </c>
      <c r="M72" s="1064">
        <f t="shared" ref="M72:N80" si="21">L72-$G72</f>
        <v>0</v>
      </c>
      <c r="N72" s="1064">
        <f t="shared" si="21"/>
        <v>0</v>
      </c>
      <c r="AA72" s="1120"/>
      <c r="AB72" s="1120"/>
      <c r="AC72" s="1120"/>
      <c r="AD72" s="1120"/>
      <c r="AE72" s="1120"/>
      <c r="AF72" s="1120"/>
      <c r="AG72" s="1120"/>
      <c r="AH72" s="1120"/>
      <c r="AI72" s="1120"/>
      <c r="AJ72" s="1120"/>
      <c r="AK72" s="1120"/>
    </row>
    <row r="73" spans="1:37" s="1119" customFormat="1" ht="38.25" hidden="1">
      <c r="A73" s="2129" t="s">
        <v>2034</v>
      </c>
      <c r="B73" s="2133" t="str">
        <f>估价对象房地状况!C18</f>
        <v>估价对象周边道路状况、公共交通通达情况、停车便捷程度，综合评价交通便捷度较好</v>
      </c>
      <c r="C73" s="2043"/>
      <c r="D73" s="1065">
        <f t="shared" si="17"/>
        <v>0</v>
      </c>
      <c r="E73" s="747"/>
      <c r="F73" s="1813"/>
      <c r="G73" s="1063"/>
      <c r="H73" s="1066" t="str">
        <f t="shared" si="18"/>
        <v>——</v>
      </c>
      <c r="I73" s="3341">
        <v>0.26</v>
      </c>
      <c r="J73" s="1064">
        <f t="shared" si="19"/>
        <v>0</v>
      </c>
      <c r="K73" s="1064">
        <f t="shared" si="20"/>
        <v>0</v>
      </c>
      <c r="L73" s="1064">
        <v>0</v>
      </c>
      <c r="M73" s="1064">
        <f t="shared" si="21"/>
        <v>0</v>
      </c>
      <c r="N73" s="1064">
        <f t="shared" si="21"/>
        <v>0</v>
      </c>
      <c r="AA73" s="1120"/>
      <c r="AB73" s="1120"/>
      <c r="AC73" s="1120"/>
      <c r="AD73" s="1120"/>
      <c r="AE73" s="1120"/>
      <c r="AF73" s="1120"/>
      <c r="AG73" s="1120"/>
      <c r="AH73" s="1120"/>
      <c r="AI73" s="1120"/>
      <c r="AJ73" s="1120"/>
      <c r="AK73" s="1120"/>
    </row>
    <row r="74" spans="1:37" s="1996" customFormat="1" ht="36" hidden="1">
      <c r="A74" s="3343" t="s">
        <v>3244</v>
      </c>
      <c r="B74" s="2133">
        <f>估价对象房地状况!C19</f>
        <v>0</v>
      </c>
      <c r="C74" s="2043"/>
      <c r="D74" s="1065">
        <f t="shared" si="17"/>
        <v>0</v>
      </c>
      <c r="E74" s="747"/>
      <c r="F74" s="1813"/>
      <c r="G74" s="1063"/>
      <c r="H74" s="1066" t="str">
        <f t="shared" si="18"/>
        <v>——</v>
      </c>
      <c r="I74" s="3341">
        <v>0.1</v>
      </c>
      <c r="J74" s="1064">
        <f t="shared" si="19"/>
        <v>0</v>
      </c>
      <c r="K74" s="1064">
        <f t="shared" si="20"/>
        <v>0</v>
      </c>
      <c r="L74" s="1064">
        <v>0</v>
      </c>
      <c r="M74" s="1064">
        <f t="shared" si="21"/>
        <v>0</v>
      </c>
      <c r="N74" s="1064">
        <f t="shared" si="21"/>
        <v>0</v>
      </c>
      <c r="O74" s="1119"/>
      <c r="P74" s="1119"/>
      <c r="Q74" s="1119"/>
      <c r="AA74" s="2140"/>
      <c r="AB74" s="1120"/>
      <c r="AC74" s="1120"/>
      <c r="AD74" s="1120"/>
      <c r="AE74" s="1120"/>
      <c r="AF74" s="1120"/>
      <c r="AG74" s="1120"/>
      <c r="AH74" s="2140"/>
      <c r="AI74" s="2140"/>
      <c r="AJ74" s="2140"/>
      <c r="AK74" s="2140"/>
    </row>
    <row r="75" spans="1:37" ht="14.25" hidden="1">
      <c r="A75" s="2129" t="s">
        <v>2048</v>
      </c>
      <c r="B75" s="2133">
        <f>估价对象房地状况!C24</f>
        <v>0</v>
      </c>
      <c r="C75" s="2043"/>
      <c r="D75" s="1065">
        <f t="shared" si="17"/>
        <v>0</v>
      </c>
      <c r="E75" s="747"/>
      <c r="F75" s="1813"/>
      <c r="G75" s="1063"/>
      <c r="H75" s="1066" t="str">
        <f t="shared" si="18"/>
        <v>——</v>
      </c>
      <c r="I75" s="3341">
        <v>0.05</v>
      </c>
      <c r="J75" s="1064">
        <f t="shared" si="19"/>
        <v>0</v>
      </c>
      <c r="K75" s="1064">
        <f t="shared" si="20"/>
        <v>0</v>
      </c>
      <c r="L75" s="1064">
        <v>0</v>
      </c>
      <c r="M75" s="1064">
        <f t="shared" si="21"/>
        <v>0</v>
      </c>
      <c r="N75" s="1064">
        <f t="shared" si="21"/>
        <v>0</v>
      </c>
      <c r="O75" s="1119"/>
      <c r="P75" s="1119"/>
      <c r="Q75" s="1996"/>
      <c r="Z75" s="1997"/>
      <c r="AA75" s="2052"/>
      <c r="AG75" s="1121"/>
      <c r="AK75" s="2052"/>
    </row>
    <row r="76" spans="1:37" ht="25.5" hidden="1">
      <c r="A76" s="2129" t="s">
        <v>2040</v>
      </c>
      <c r="B76" s="1325" t="str">
        <f>估价对象房地状况!C21</f>
        <v>估价对象所在区域公共配套设施齐备情况</v>
      </c>
      <c r="C76" s="2043"/>
      <c r="D76" s="1065">
        <f t="shared" si="17"/>
        <v>0</v>
      </c>
      <c r="E76" s="747"/>
      <c r="F76" s="1813"/>
      <c r="G76" s="1063"/>
      <c r="H76" s="1066" t="str">
        <f t="shared" si="18"/>
        <v>——</v>
      </c>
      <c r="I76" s="3341">
        <v>0.08</v>
      </c>
      <c r="J76" s="1064">
        <f t="shared" si="19"/>
        <v>0</v>
      </c>
      <c r="K76" s="1064">
        <f t="shared" si="20"/>
        <v>0</v>
      </c>
      <c r="L76" s="1064">
        <v>0</v>
      </c>
      <c r="M76" s="1064">
        <f t="shared" si="21"/>
        <v>0</v>
      </c>
      <c r="N76" s="1064">
        <f t="shared" si="21"/>
        <v>0</v>
      </c>
      <c r="O76" s="1119"/>
      <c r="P76" s="1119"/>
      <c r="Z76" s="1997"/>
      <c r="AA76" s="2052"/>
      <c r="AG76" s="1121"/>
      <c r="AK76" s="2052"/>
    </row>
    <row r="77" spans="1:37" ht="25.5" hidden="1">
      <c r="A77" s="2129" t="s">
        <v>2041</v>
      </c>
      <c r="B77" s="1325" t="str">
        <f>估价对象房地状况!C22</f>
        <v>估价对象所在区域基础设施水平</v>
      </c>
      <c r="C77" s="2043"/>
      <c r="D77" s="1065">
        <f t="shared" si="17"/>
        <v>0</v>
      </c>
      <c r="E77" s="747"/>
      <c r="F77" s="1813"/>
      <c r="G77" s="1063"/>
      <c r="H77" s="1066" t="str">
        <f t="shared" si="18"/>
        <v>——</v>
      </c>
      <c r="I77" s="3341">
        <v>0.09</v>
      </c>
      <c r="J77" s="1064">
        <f t="shared" si="19"/>
        <v>0</v>
      </c>
      <c r="K77" s="1064">
        <f t="shared" si="20"/>
        <v>0</v>
      </c>
      <c r="L77" s="1064">
        <v>0</v>
      </c>
      <c r="M77" s="1064">
        <f t="shared" si="21"/>
        <v>0</v>
      </c>
      <c r="N77" s="1064">
        <f t="shared" si="21"/>
        <v>0</v>
      </c>
      <c r="O77" s="1119"/>
      <c r="P77" s="1119"/>
      <c r="Z77" s="1997"/>
      <c r="AA77" s="2052"/>
      <c r="AG77" s="1121"/>
      <c r="AK77" s="2052"/>
    </row>
    <row r="78" spans="1:37" ht="24" hidden="1">
      <c r="A78" s="2129" t="s">
        <v>2038</v>
      </c>
      <c r="B78" s="2135" t="s">
        <v>2039</v>
      </c>
      <c r="C78" s="2043"/>
      <c r="D78" s="1065">
        <f t="shared" si="17"/>
        <v>0</v>
      </c>
      <c r="E78" s="747"/>
      <c r="F78" s="1813"/>
      <c r="G78" s="1063"/>
      <c r="H78" s="1066" t="str">
        <f t="shared" si="18"/>
        <v>——</v>
      </c>
      <c r="I78" s="3341">
        <v>0.05</v>
      </c>
      <c r="J78" s="1064">
        <f t="shared" si="19"/>
        <v>0</v>
      </c>
      <c r="K78" s="1064">
        <f t="shared" si="20"/>
        <v>0</v>
      </c>
      <c r="L78" s="1064">
        <v>0</v>
      </c>
      <c r="M78" s="1064">
        <f t="shared" si="21"/>
        <v>0</v>
      </c>
      <c r="N78" s="1064">
        <f t="shared" si="21"/>
        <v>0</v>
      </c>
      <c r="O78" s="1996"/>
      <c r="P78" s="1996"/>
      <c r="Z78" s="1997"/>
      <c r="AA78" s="2052"/>
      <c r="AG78" s="1121"/>
      <c r="AK78" s="2052"/>
    </row>
    <row r="79" spans="1:37" ht="25.5" hidden="1">
      <c r="A79" s="2129" t="s">
        <v>2042</v>
      </c>
      <c r="B79" s="2132" t="str">
        <f>估价对象房地状况!C20</f>
        <v>区域自然环境：；人文环境；综合评价环境状况一般</v>
      </c>
      <c r="C79" s="2043"/>
      <c r="D79" s="1065">
        <f t="shared" si="17"/>
        <v>0</v>
      </c>
      <c r="E79" s="747"/>
      <c r="F79" s="1813"/>
      <c r="G79" s="1063"/>
      <c r="H79" s="1066" t="str">
        <f t="shared" si="18"/>
        <v>——</v>
      </c>
      <c r="I79" s="3341">
        <v>0.12</v>
      </c>
      <c r="J79" s="1064">
        <f t="shared" si="19"/>
        <v>0</v>
      </c>
      <c r="K79" s="1064">
        <f t="shared" si="20"/>
        <v>0</v>
      </c>
      <c r="L79" s="1064">
        <v>0</v>
      </c>
      <c r="M79" s="1064">
        <f t="shared" si="21"/>
        <v>0</v>
      </c>
      <c r="N79" s="1064">
        <f t="shared" si="21"/>
        <v>0</v>
      </c>
      <c r="Z79" s="1997"/>
      <c r="AA79" s="2052"/>
      <c r="AG79" s="1121"/>
      <c r="AK79" s="2052"/>
    </row>
    <row r="80" spans="1:37" ht="24.75" hidden="1" thickBot="1">
      <c r="A80" s="2137" t="s">
        <v>2049</v>
      </c>
      <c r="B80" s="2141"/>
      <c r="C80" s="2043"/>
      <c r="D80" s="1065">
        <f t="shared" si="17"/>
        <v>0</v>
      </c>
      <c r="E80" s="748"/>
      <c r="F80" s="1813"/>
      <c r="G80" s="1063"/>
      <c r="H80" s="1066" t="str">
        <f t="shared" si="18"/>
        <v>——</v>
      </c>
      <c r="I80" s="3342">
        <v>0.05</v>
      </c>
      <c r="J80" s="1064">
        <f t="shared" si="19"/>
        <v>0</v>
      </c>
      <c r="K80" s="1064">
        <f t="shared" si="20"/>
        <v>0</v>
      </c>
      <c r="L80" s="1064">
        <v>0</v>
      </c>
      <c r="M80" s="1064">
        <f t="shared" si="21"/>
        <v>0</v>
      </c>
      <c r="N80" s="1064">
        <f t="shared" si="21"/>
        <v>0</v>
      </c>
      <c r="Z80" s="1997"/>
      <c r="AA80" s="2052"/>
      <c r="AG80" s="1121"/>
      <c r="AK80" s="2052"/>
    </row>
    <row r="81" spans="1:37" ht="15" hidden="1">
      <c r="A81" s="2125" t="s">
        <v>2050</v>
      </c>
      <c r="B81" s="2126">
        <f>1+E83</f>
        <v>1</v>
      </c>
      <c r="C81" s="741"/>
      <c r="D81" s="741"/>
      <c r="E81" s="742"/>
      <c r="F81" s="2128"/>
      <c r="G81" s="3"/>
      <c r="H81" s="3"/>
      <c r="I81" s="3"/>
      <c r="J81" s="4"/>
      <c r="K81" s="4"/>
      <c r="L81" s="4"/>
      <c r="M81" s="4"/>
      <c r="N81" s="4"/>
      <c r="Z81" s="1997"/>
      <c r="AA81" s="2052"/>
      <c r="AG81" s="1121"/>
      <c r="AK81" s="2052"/>
    </row>
    <row r="82" spans="1:37" ht="24.75" hidden="1">
      <c r="A82" s="2129" t="s">
        <v>2025</v>
      </c>
      <c r="B82" s="1350"/>
      <c r="C82" s="1350" t="s">
        <v>2027</v>
      </c>
      <c r="D82" s="1350" t="s">
        <v>2028</v>
      </c>
      <c r="E82" s="743" t="s">
        <v>2029</v>
      </c>
      <c r="F82" s="2130" t="s">
        <v>2044</v>
      </c>
      <c r="G82" s="1350" t="s">
        <v>310</v>
      </c>
      <c r="H82" s="2131" t="s">
        <v>2031</v>
      </c>
      <c r="I82" s="1350" t="s">
        <v>2032</v>
      </c>
      <c r="J82" s="552" t="s">
        <v>1703</v>
      </c>
      <c r="K82" s="552" t="s">
        <v>1704</v>
      </c>
      <c r="L82" s="552" t="s">
        <v>1705</v>
      </c>
      <c r="M82" s="552" t="s">
        <v>1706</v>
      </c>
      <c r="N82" s="552" t="s">
        <v>1707</v>
      </c>
      <c r="Z82" s="1997"/>
      <c r="AA82" s="2052"/>
      <c r="AG82" s="1121"/>
      <c r="AK82" s="2052"/>
    </row>
    <row r="83" spans="1:37" ht="24" hidden="1">
      <c r="A83" s="2129" t="s">
        <v>2051</v>
      </c>
      <c r="B83" s="2133" t="str">
        <f>估价对象房地状况!G15</f>
        <v>较好</v>
      </c>
      <c r="C83" s="2043"/>
      <c r="D83" s="1065">
        <f t="shared" ref="D83:D90" si="22">SUMIF($J$82:$N$82,C83,J83:N83)</f>
        <v>0</v>
      </c>
      <c r="E83" s="744">
        <f>ROUND(SUM(D83:D90),4)</f>
        <v>0</v>
      </c>
      <c r="F83" s="1813" t="str">
        <f>IF(E2="工业",SUMIF(L1:L12,G2,N1:N12),"——")</f>
        <v>——</v>
      </c>
      <c r="G83" s="1063"/>
      <c r="H83" s="1066" t="str">
        <f t="shared" ref="H83:H90" si="23">IFERROR(ROUNDDOWN($F$83*I83/2,4),"——")</f>
        <v>——</v>
      </c>
      <c r="I83" s="3341">
        <v>0.26</v>
      </c>
      <c r="J83" s="1064">
        <f t="shared" ref="J83:J90" si="24">K83+$G83</f>
        <v>0</v>
      </c>
      <c r="K83" s="1064">
        <f t="shared" ref="K83:K90" si="25">$L83+$G83</f>
        <v>0</v>
      </c>
      <c r="L83" s="1064">
        <v>0</v>
      </c>
      <c r="M83" s="1064">
        <f t="shared" ref="M83:N90" si="26">L83-$G83</f>
        <v>0</v>
      </c>
      <c r="N83" s="1064">
        <f t="shared" si="26"/>
        <v>0</v>
      </c>
      <c r="Z83" s="1997"/>
      <c r="AA83" s="2052"/>
      <c r="AG83" s="1121"/>
      <c r="AK83" s="2052"/>
    </row>
    <row r="84" spans="1:37" ht="14.25" hidden="1">
      <c r="A84" s="2129" t="s">
        <v>2034</v>
      </c>
      <c r="B84" s="2133" t="str">
        <f>估价对象房地状况!G16</f>
        <v>较好</v>
      </c>
      <c r="C84" s="2043"/>
      <c r="D84" s="1065">
        <f t="shared" si="22"/>
        <v>0</v>
      </c>
      <c r="E84" s="747"/>
      <c r="F84" s="1813"/>
      <c r="G84" s="1063"/>
      <c r="H84" s="1066" t="str">
        <f t="shared" si="23"/>
        <v>——</v>
      </c>
      <c r="I84" s="3341">
        <v>0.3</v>
      </c>
      <c r="J84" s="1064">
        <f t="shared" si="24"/>
        <v>0</v>
      </c>
      <c r="K84" s="1064">
        <f t="shared" si="25"/>
        <v>0</v>
      </c>
      <c r="L84" s="1064">
        <v>0</v>
      </c>
      <c r="M84" s="1064">
        <f t="shared" si="26"/>
        <v>0</v>
      </c>
      <c r="N84" s="1064">
        <f t="shared" si="26"/>
        <v>0</v>
      </c>
      <c r="Z84" s="1997"/>
      <c r="AA84" s="2052"/>
      <c r="AG84" s="1121"/>
      <c r="AK84" s="2052"/>
    </row>
    <row r="85" spans="1:37" ht="36" hidden="1">
      <c r="A85" s="3343" t="s">
        <v>3245</v>
      </c>
      <c r="B85" s="2133">
        <f>估价对象房地状况!G17</f>
        <v>0</v>
      </c>
      <c r="C85" s="2043"/>
      <c r="D85" s="1065">
        <f t="shared" si="22"/>
        <v>0</v>
      </c>
      <c r="E85" s="747"/>
      <c r="F85" s="1813"/>
      <c r="G85" s="1063"/>
      <c r="H85" s="1066" t="str">
        <f t="shared" si="23"/>
        <v>——</v>
      </c>
      <c r="I85" s="3341">
        <v>0.1</v>
      </c>
      <c r="J85" s="1064">
        <f t="shared" si="24"/>
        <v>0</v>
      </c>
      <c r="K85" s="1064">
        <f t="shared" si="25"/>
        <v>0</v>
      </c>
      <c r="L85" s="1064">
        <v>0</v>
      </c>
      <c r="M85" s="1064">
        <f t="shared" si="26"/>
        <v>0</v>
      </c>
      <c r="N85" s="1064">
        <f t="shared" si="26"/>
        <v>0</v>
      </c>
      <c r="Z85" s="1997"/>
      <c r="AA85" s="2052"/>
      <c r="AG85" s="1121"/>
      <c r="AK85" s="2052"/>
    </row>
    <row r="86" spans="1:37" ht="14.25" hidden="1">
      <c r="A86" s="2129" t="s">
        <v>2048</v>
      </c>
      <c r="B86" s="2133">
        <f>估价对象房地状况!G22</f>
        <v>0</v>
      </c>
      <c r="C86" s="2043"/>
      <c r="D86" s="1065">
        <f t="shared" si="22"/>
        <v>0</v>
      </c>
      <c r="E86" s="747"/>
      <c r="F86" s="1813"/>
      <c r="G86" s="1063"/>
      <c r="H86" s="1066" t="str">
        <f t="shared" si="23"/>
        <v>——</v>
      </c>
      <c r="I86" s="3341">
        <v>0.05</v>
      </c>
      <c r="J86" s="1064">
        <f t="shared" si="24"/>
        <v>0</v>
      </c>
      <c r="K86" s="1064">
        <f t="shared" si="25"/>
        <v>0</v>
      </c>
      <c r="L86" s="1064">
        <v>0</v>
      </c>
      <c r="M86" s="1064">
        <f t="shared" si="26"/>
        <v>0</v>
      </c>
      <c r="N86" s="1064">
        <f t="shared" si="26"/>
        <v>0</v>
      </c>
      <c r="Z86" s="1997"/>
      <c r="AA86" s="2052"/>
      <c r="AG86" s="1121"/>
      <c r="AK86" s="2052"/>
    </row>
    <row r="87" spans="1:37" ht="24" hidden="1">
      <c r="A87" s="2129" t="s">
        <v>2040</v>
      </c>
      <c r="B87" s="1325" t="str">
        <f>估价对象房地状况!G19</f>
        <v>较好</v>
      </c>
      <c r="C87" s="2043"/>
      <c r="D87" s="1065">
        <f t="shared" si="22"/>
        <v>0</v>
      </c>
      <c r="E87" s="747"/>
      <c r="F87" s="1813"/>
      <c r="G87" s="1063"/>
      <c r="H87" s="1066" t="str">
        <f t="shared" si="23"/>
        <v>——</v>
      </c>
      <c r="I87" s="3341">
        <v>0.06</v>
      </c>
      <c r="J87" s="1064">
        <f t="shared" si="24"/>
        <v>0</v>
      </c>
      <c r="K87" s="1064">
        <f t="shared" si="25"/>
        <v>0</v>
      </c>
      <c r="L87" s="1064">
        <v>0</v>
      </c>
      <c r="M87" s="1064">
        <f t="shared" si="26"/>
        <v>0</v>
      </c>
      <c r="N87" s="1064">
        <f t="shared" si="26"/>
        <v>0</v>
      </c>
    </row>
    <row r="88" spans="1:37" ht="24" hidden="1">
      <c r="A88" s="2129" t="s">
        <v>2041</v>
      </c>
      <c r="B88" s="1325" t="str">
        <f>估价对象房地状况!G20</f>
        <v>七通</v>
      </c>
      <c r="C88" s="2043"/>
      <c r="D88" s="1065">
        <f t="shared" si="22"/>
        <v>0</v>
      </c>
      <c r="E88" s="747"/>
      <c r="F88" s="1813"/>
      <c r="G88" s="1063"/>
      <c r="H88" s="1066" t="str">
        <f t="shared" si="23"/>
        <v>——</v>
      </c>
      <c r="I88" s="3341">
        <v>0.12</v>
      </c>
      <c r="J88" s="1064">
        <f t="shared" si="24"/>
        <v>0</v>
      </c>
      <c r="K88" s="1064">
        <f t="shared" si="25"/>
        <v>0</v>
      </c>
      <c r="L88" s="1064">
        <v>0</v>
      </c>
      <c r="M88" s="1064">
        <f t="shared" si="26"/>
        <v>0</v>
      </c>
      <c r="N88" s="1064">
        <f t="shared" si="26"/>
        <v>0</v>
      </c>
    </row>
    <row r="89" spans="1:37" ht="24" hidden="1">
      <c r="A89" s="2129" t="s">
        <v>2038</v>
      </c>
      <c r="B89" s="2135" t="s">
        <v>2052</v>
      </c>
      <c r="C89" s="2043"/>
      <c r="D89" s="1065">
        <f t="shared" si="22"/>
        <v>0</v>
      </c>
      <c r="E89" s="747"/>
      <c r="F89" s="1813"/>
      <c r="G89" s="1063"/>
      <c r="H89" s="1066" t="str">
        <f t="shared" si="23"/>
        <v>——</v>
      </c>
      <c r="I89" s="3341">
        <v>0.06</v>
      </c>
      <c r="J89" s="1064">
        <f t="shared" si="24"/>
        <v>0</v>
      </c>
      <c r="K89" s="1064">
        <f t="shared" si="25"/>
        <v>0</v>
      </c>
      <c r="L89" s="1064">
        <v>0</v>
      </c>
      <c r="M89" s="1064">
        <f t="shared" si="26"/>
        <v>0</v>
      </c>
      <c r="N89" s="1064">
        <f t="shared" si="26"/>
        <v>0</v>
      </c>
    </row>
    <row r="90" spans="1:37" ht="15" hidden="1" thickBot="1">
      <c r="A90" s="2137" t="s">
        <v>2053</v>
      </c>
      <c r="B90" s="2142" t="str">
        <f>估价对象房地状况!G18</f>
        <v>较好</v>
      </c>
      <c r="C90" s="2043"/>
      <c r="D90" s="1065">
        <f t="shared" si="22"/>
        <v>0</v>
      </c>
      <c r="E90" s="748"/>
      <c r="F90" s="1813"/>
      <c r="G90" s="1063"/>
      <c r="H90" s="1066" t="str">
        <f t="shared" si="23"/>
        <v>——</v>
      </c>
      <c r="I90" s="3342">
        <v>0.05</v>
      </c>
      <c r="J90" s="1064">
        <f t="shared" si="24"/>
        <v>0</v>
      </c>
      <c r="K90" s="1064">
        <f t="shared" si="25"/>
        <v>0</v>
      </c>
      <c r="L90" s="1064">
        <v>0</v>
      </c>
      <c r="M90" s="1064">
        <f t="shared" si="26"/>
        <v>0</v>
      </c>
      <c r="N90" s="1064">
        <f t="shared" si="26"/>
        <v>0</v>
      </c>
    </row>
    <row r="91" spans="1:37" ht="15">
      <c r="A91" s="3351" t="s">
        <v>2588</v>
      </c>
      <c r="B91" s="3352">
        <f>1+E93</f>
        <v>1.0641</v>
      </c>
      <c r="C91" s="3345"/>
      <c r="D91" s="3346"/>
      <c r="E91" s="1813"/>
      <c r="F91" s="1813"/>
      <c r="G91" s="3347"/>
      <c r="H91" s="3348"/>
      <c r="I91" s="3349"/>
      <c r="J91" s="3350"/>
      <c r="K91" s="3350"/>
      <c r="L91" s="3350"/>
      <c r="M91" s="3350"/>
      <c r="N91" s="3350"/>
    </row>
    <row r="92" spans="1:37" ht="24.75">
      <c r="A92" s="3353" t="s">
        <v>3246</v>
      </c>
      <c r="B92" s="3340"/>
      <c r="C92" s="3340" t="s">
        <v>3255</v>
      </c>
      <c r="D92" s="3340" t="s">
        <v>3256</v>
      </c>
      <c r="E92" s="3322" t="s">
        <v>3257</v>
      </c>
      <c r="F92" s="3355" t="s">
        <v>3258</v>
      </c>
      <c r="G92" s="3340" t="s">
        <v>3259</v>
      </c>
      <c r="H92" s="3362" t="s">
        <v>3262</v>
      </c>
      <c r="I92" s="3340" t="s">
        <v>3263</v>
      </c>
      <c r="J92" s="3363" t="s">
        <v>3264</v>
      </c>
      <c r="K92" s="3363" t="s">
        <v>3265</v>
      </c>
      <c r="L92" s="3363" t="s">
        <v>3266</v>
      </c>
      <c r="M92" s="3363" t="s">
        <v>3267</v>
      </c>
      <c r="N92" s="3363" t="s">
        <v>3268</v>
      </c>
    </row>
    <row r="93" spans="1:37" ht="24">
      <c r="A93" s="3343" t="s">
        <v>3247</v>
      </c>
      <c r="B93" s="1305"/>
      <c r="C93" s="2043" t="s">
        <v>3601</v>
      </c>
      <c r="D93" s="3340">
        <f>SUMIF($J$92:$N$92,C93,J93:N93)</f>
        <v>1.6199999999999999E-2</v>
      </c>
      <c r="E93" s="3356">
        <f>ROUND(SUM(D93:D101),4)</f>
        <v>6.4100000000000004E-2</v>
      </c>
      <c r="F93" s="1813">
        <f>IF(E2="公共服务",SUMIF(L1:L12,G2,N1:N12),"——")</f>
        <v>0.13</v>
      </c>
      <c r="G93" s="3347">
        <v>1.6199999999999999E-2</v>
      </c>
      <c r="H93" s="3395">
        <f>IFERROR(ROUNDDOWN($F$93*I93/2,4),"——")</f>
        <v>1.6199999999999999E-2</v>
      </c>
      <c r="I93" s="3341">
        <v>0.25</v>
      </c>
      <c r="J93" s="3319">
        <f t="shared" ref="J93:J101" si="27">K93+$G93</f>
        <v>3.2399999999999998E-2</v>
      </c>
      <c r="K93" s="3319">
        <f t="shared" ref="K93:K101" si="28">$L93+$G93</f>
        <v>1.6199999999999999E-2</v>
      </c>
      <c r="L93" s="3319">
        <v>0</v>
      </c>
      <c r="M93" s="3319">
        <f t="shared" ref="M93:N101" si="29">L93-$G93</f>
        <v>-1.6199999999999999E-2</v>
      </c>
      <c r="N93" s="3319">
        <f t="shared" si="29"/>
        <v>-3.2399999999999998E-2</v>
      </c>
    </row>
    <row r="94" spans="1:37" ht="38.25">
      <c r="A94" s="3353" t="s">
        <v>3248</v>
      </c>
      <c r="B94" s="3344" t="str">
        <f>估价对象房地状况!C18</f>
        <v>估价对象周边道路状况、公共交通通达情况、停车便捷程度，综合评价交通便捷度较好</v>
      </c>
      <c r="C94" s="2043" t="s">
        <v>3601</v>
      </c>
      <c r="D94" s="3340">
        <f t="shared" ref="D94:D101" si="30">SUMIF($J$60:$N$60,C94,J94:N94)</f>
        <v>1.6899999999999998E-2</v>
      </c>
      <c r="E94" s="3357"/>
      <c r="F94" s="1813"/>
      <c r="G94" s="3347">
        <v>1.6899999999999998E-2</v>
      </c>
      <c r="H94" s="3395">
        <f>IFERROR(ROUNDDOWN($F$93*I94/2,4),"——")</f>
        <v>1.6899999999999998E-2</v>
      </c>
      <c r="I94" s="3341">
        <v>0.26</v>
      </c>
      <c r="J94" s="3319">
        <f t="shared" si="27"/>
        <v>3.3799999999999997E-2</v>
      </c>
      <c r="K94" s="3319">
        <f t="shared" si="28"/>
        <v>1.6899999999999998E-2</v>
      </c>
      <c r="L94" s="3319">
        <v>0</v>
      </c>
      <c r="M94" s="3319">
        <f t="shared" si="29"/>
        <v>-1.6899999999999998E-2</v>
      </c>
      <c r="N94" s="3319">
        <f t="shared" si="29"/>
        <v>-3.3799999999999997E-2</v>
      </c>
    </row>
    <row r="95" spans="1:37" ht="36">
      <c r="A95" s="3343" t="s">
        <v>3244</v>
      </c>
      <c r="B95" s="3344">
        <f>估价对象房地状况!C19</f>
        <v>0</v>
      </c>
      <c r="C95" s="2043" t="s">
        <v>3601</v>
      </c>
      <c r="D95" s="3340">
        <f t="shared" si="30"/>
        <v>7.1000000000000004E-3</v>
      </c>
      <c r="E95" s="3357"/>
      <c r="F95" s="1813"/>
      <c r="G95" s="3347">
        <v>7.1000000000000004E-3</v>
      </c>
      <c r="H95" s="3395">
        <f t="shared" ref="H95:H101" si="31">IFERROR(ROUNDDOWN($F$93*I95/2,4),"——")</f>
        <v>7.1000000000000004E-3</v>
      </c>
      <c r="I95" s="3341">
        <v>0.11</v>
      </c>
      <c r="J95" s="3319">
        <f t="shared" si="27"/>
        <v>1.4200000000000001E-2</v>
      </c>
      <c r="K95" s="3319">
        <f t="shared" si="28"/>
        <v>7.1000000000000004E-3</v>
      </c>
      <c r="L95" s="3319">
        <v>0</v>
      </c>
      <c r="M95" s="3319">
        <f t="shared" si="29"/>
        <v>-7.1000000000000004E-3</v>
      </c>
      <c r="N95" s="3319">
        <f t="shared" si="29"/>
        <v>-1.4200000000000001E-2</v>
      </c>
    </row>
    <row r="96" spans="1:37" ht="36.75">
      <c r="A96" s="3353" t="s">
        <v>3249</v>
      </c>
      <c r="B96" s="3359" t="s">
        <v>3260</v>
      </c>
      <c r="C96" s="2043" t="s">
        <v>3598</v>
      </c>
      <c r="D96" s="3340">
        <f t="shared" si="30"/>
        <v>0</v>
      </c>
      <c r="E96" s="3357"/>
      <c r="F96" s="1813"/>
      <c r="G96" s="3347">
        <v>3.2000000000000002E-3</v>
      </c>
      <c r="H96" s="3395">
        <f t="shared" si="31"/>
        <v>3.2000000000000002E-3</v>
      </c>
      <c r="I96" s="3341">
        <v>0.05</v>
      </c>
      <c r="J96" s="3319">
        <f t="shared" si="27"/>
        <v>6.4000000000000003E-3</v>
      </c>
      <c r="K96" s="3319">
        <f t="shared" si="28"/>
        <v>3.2000000000000002E-3</v>
      </c>
      <c r="L96" s="3319">
        <v>0</v>
      </c>
      <c r="M96" s="3319">
        <f t="shared" si="29"/>
        <v>-3.2000000000000002E-3</v>
      </c>
      <c r="N96" s="3319">
        <f t="shared" si="29"/>
        <v>-6.4000000000000003E-3</v>
      </c>
    </row>
    <row r="97" spans="1:14" ht="24">
      <c r="A97" s="3353" t="s">
        <v>3250</v>
      </c>
      <c r="B97" s="3344">
        <f>估价对象房地状况!C24</f>
        <v>0</v>
      </c>
      <c r="C97" s="2043" t="s">
        <v>3598</v>
      </c>
      <c r="D97" s="3340">
        <f t="shared" si="30"/>
        <v>0</v>
      </c>
      <c r="E97" s="3357"/>
      <c r="F97" s="1813"/>
      <c r="G97" s="3347">
        <v>3.2000000000000002E-3</v>
      </c>
      <c r="H97" s="3395">
        <f t="shared" si="31"/>
        <v>3.2000000000000002E-3</v>
      </c>
      <c r="I97" s="3341">
        <v>0.05</v>
      </c>
      <c r="J97" s="3319">
        <f t="shared" si="27"/>
        <v>6.4000000000000003E-3</v>
      </c>
      <c r="K97" s="3319">
        <f t="shared" si="28"/>
        <v>3.2000000000000002E-3</v>
      </c>
      <c r="L97" s="3319">
        <v>0</v>
      </c>
      <c r="M97" s="3319">
        <f t="shared" si="29"/>
        <v>-3.2000000000000002E-3</v>
      </c>
      <c r="N97" s="3319">
        <f t="shared" si="29"/>
        <v>-6.4000000000000003E-3</v>
      </c>
    </row>
    <row r="98" spans="1:14" ht="24">
      <c r="A98" s="3353" t="s">
        <v>3251</v>
      </c>
      <c r="B98" s="3360" t="s">
        <v>3261</v>
      </c>
      <c r="C98" s="2043" t="s">
        <v>3601</v>
      </c>
      <c r="D98" s="3340">
        <f t="shared" si="30"/>
        <v>3.8999999999999998E-3</v>
      </c>
      <c r="E98" s="3357"/>
      <c r="F98" s="1813"/>
      <c r="G98" s="3347">
        <v>3.8999999999999998E-3</v>
      </c>
      <c r="H98" s="3395">
        <f t="shared" si="31"/>
        <v>3.8999999999999998E-3</v>
      </c>
      <c r="I98" s="3341">
        <v>0.06</v>
      </c>
      <c r="J98" s="3319">
        <f t="shared" si="27"/>
        <v>7.7999999999999996E-3</v>
      </c>
      <c r="K98" s="3319">
        <f t="shared" si="28"/>
        <v>3.8999999999999998E-3</v>
      </c>
      <c r="L98" s="3319">
        <v>0</v>
      </c>
      <c r="M98" s="3319">
        <f t="shared" si="29"/>
        <v>-3.8999999999999998E-3</v>
      </c>
      <c r="N98" s="3319">
        <f t="shared" si="29"/>
        <v>-7.7999999999999996E-3</v>
      </c>
    </row>
    <row r="99" spans="1:14" ht="25.5">
      <c r="A99" s="3353" t="s">
        <v>3252</v>
      </c>
      <c r="B99" s="3344" t="str">
        <f>估价对象房地状况!C21</f>
        <v>估价对象所在区域公共配套设施齐备情况</v>
      </c>
      <c r="C99" s="2043" t="s">
        <v>3601</v>
      </c>
      <c r="D99" s="3340">
        <f t="shared" si="30"/>
        <v>3.8999999999999998E-3</v>
      </c>
      <c r="E99" s="3357"/>
      <c r="F99" s="1813"/>
      <c r="G99" s="3347">
        <v>3.8999999999999998E-3</v>
      </c>
      <c r="H99" s="3395">
        <f t="shared" si="31"/>
        <v>3.8999999999999998E-3</v>
      </c>
      <c r="I99" s="3341">
        <v>0.06</v>
      </c>
      <c r="J99" s="3319">
        <f t="shared" si="27"/>
        <v>7.7999999999999996E-3</v>
      </c>
      <c r="K99" s="3319">
        <f t="shared" si="28"/>
        <v>3.8999999999999998E-3</v>
      </c>
      <c r="L99" s="3319">
        <v>0</v>
      </c>
      <c r="M99" s="3319">
        <f t="shared" si="29"/>
        <v>-3.8999999999999998E-3</v>
      </c>
      <c r="N99" s="3319">
        <f t="shared" si="29"/>
        <v>-7.7999999999999996E-3</v>
      </c>
    </row>
    <row r="100" spans="1:14" ht="25.5">
      <c r="A100" s="3353" t="s">
        <v>3253</v>
      </c>
      <c r="B100" s="3344" t="str">
        <f>估价对象房地状况!C22</f>
        <v>估价对象所在区域基础设施水平</v>
      </c>
      <c r="C100" s="2043" t="s">
        <v>3621</v>
      </c>
      <c r="D100" s="3340">
        <f t="shared" si="30"/>
        <v>1.1599999999999999E-2</v>
      </c>
      <c r="E100" s="3357"/>
      <c r="F100" s="1813"/>
      <c r="G100" s="3347">
        <v>5.7999999999999996E-3</v>
      </c>
      <c r="H100" s="3395">
        <f t="shared" si="31"/>
        <v>5.7999999999999996E-3</v>
      </c>
      <c r="I100" s="3341">
        <v>0.09</v>
      </c>
      <c r="J100" s="3319">
        <f t="shared" si="27"/>
        <v>1.1599999999999999E-2</v>
      </c>
      <c r="K100" s="3319">
        <f t="shared" si="28"/>
        <v>5.7999999999999996E-3</v>
      </c>
      <c r="L100" s="3319">
        <v>0</v>
      </c>
      <c r="M100" s="3319">
        <f t="shared" si="29"/>
        <v>-5.7999999999999996E-3</v>
      </c>
      <c r="N100" s="3319">
        <f t="shared" si="29"/>
        <v>-1.1599999999999999E-2</v>
      </c>
    </row>
    <row r="101" spans="1:14" ht="26.25" thickBot="1">
      <c r="A101" s="3354" t="s">
        <v>3254</v>
      </c>
      <c r="B101" s="3361" t="str">
        <f>估价对象房地状况!C20</f>
        <v>区域自然环境：；人文环境；综合评价环境状况一般</v>
      </c>
      <c r="C101" s="2043" t="s">
        <v>3601</v>
      </c>
      <c r="D101" s="3340">
        <f t="shared" si="30"/>
        <v>4.4999999999999997E-3</v>
      </c>
      <c r="E101" s="3358"/>
      <c r="F101" s="1813"/>
      <c r="G101" s="3347">
        <v>4.4999999999999997E-3</v>
      </c>
      <c r="H101" s="3395">
        <f t="shared" si="31"/>
        <v>4.4999999999999997E-3</v>
      </c>
      <c r="I101" s="3342">
        <v>7.0000000000000007E-2</v>
      </c>
      <c r="J101" s="3319">
        <f t="shared" si="27"/>
        <v>8.9999999999999993E-3</v>
      </c>
      <c r="K101" s="3319">
        <f t="shared" si="28"/>
        <v>4.4999999999999997E-3</v>
      </c>
      <c r="L101" s="3319">
        <v>0</v>
      </c>
      <c r="M101" s="3319">
        <f t="shared" si="29"/>
        <v>-4.4999999999999997E-3</v>
      </c>
      <c r="N101" s="3319">
        <f t="shared" si="29"/>
        <v>-8.9999999999999993E-3</v>
      </c>
    </row>
    <row r="103" spans="1:14">
      <c r="A103" s="3787" t="s">
        <v>3269</v>
      </c>
      <c r="B103" s="3787"/>
      <c r="C103" s="3787"/>
      <c r="D103" s="3787"/>
      <c r="E103" s="3787"/>
      <c r="F103" s="3787"/>
      <c r="G103" s="3787"/>
      <c r="H103" s="3787"/>
      <c r="I103" s="3787"/>
      <c r="J103" s="3787"/>
      <c r="K103" s="3364"/>
      <c r="L103" s="3364"/>
      <c r="M103" s="3364"/>
      <c r="N103" s="3364"/>
    </row>
    <row r="104" spans="1:14">
      <c r="A104" s="3788" t="s">
        <v>3270</v>
      </c>
      <c r="B104" s="3788" t="s">
        <v>3271</v>
      </c>
      <c r="C104" s="3365" t="s">
        <v>3272</v>
      </c>
      <c r="D104" s="3366"/>
      <c r="E104" s="3366"/>
      <c r="F104" s="3366"/>
      <c r="G104" s="3366"/>
      <c r="H104" s="3366"/>
      <c r="I104" s="3366"/>
      <c r="J104" s="3367"/>
      <c r="K104" s="3368"/>
      <c r="L104" s="3368"/>
      <c r="M104" s="3368"/>
      <c r="N104" s="3368"/>
    </row>
    <row r="105" spans="1:14">
      <c r="A105" s="3788"/>
      <c r="B105" s="3788"/>
      <c r="C105" s="3369" t="s">
        <v>3273</v>
      </c>
      <c r="D105" s="3369" t="s">
        <v>3274</v>
      </c>
      <c r="E105" s="3369" t="s">
        <v>3275</v>
      </c>
      <c r="F105" s="3369" t="s">
        <v>3276</v>
      </c>
      <c r="G105" s="3369" t="s">
        <v>3277</v>
      </c>
      <c r="H105" s="3369" t="s">
        <v>3278</v>
      </c>
      <c r="I105" s="3369" t="s">
        <v>3279</v>
      </c>
      <c r="J105" s="3369" t="s">
        <v>3280</v>
      </c>
      <c r="K105" s="3369" t="s">
        <v>3281</v>
      </c>
      <c r="L105" s="3369" t="s">
        <v>3282</v>
      </c>
      <c r="M105" s="3369" t="s">
        <v>3283</v>
      </c>
      <c r="N105" s="3369" t="s">
        <v>3284</v>
      </c>
    </row>
    <row r="106" spans="1:14">
      <c r="A106" s="3774" t="s">
        <v>3285</v>
      </c>
      <c r="B106" s="3369">
        <v>1</v>
      </c>
      <c r="C106" s="3369">
        <v>1.5206</v>
      </c>
      <c r="D106" s="3369">
        <v>1.5206</v>
      </c>
      <c r="E106" s="3369">
        <v>1.5019</v>
      </c>
      <c r="F106" s="3369">
        <v>1.5019</v>
      </c>
      <c r="G106" s="3369">
        <v>1.5019</v>
      </c>
      <c r="H106" s="3369">
        <v>1.5019</v>
      </c>
      <c r="I106" s="3369">
        <v>1.5019</v>
      </c>
      <c r="J106" s="3369">
        <v>1.5418000000000001</v>
      </c>
      <c r="K106" s="3369">
        <v>1.5418000000000001</v>
      </c>
      <c r="L106" s="3369">
        <v>1.5418000000000001</v>
      </c>
      <c r="M106" s="3369">
        <v>1.5418000000000001</v>
      </c>
      <c r="N106" s="3369">
        <v>1.5418000000000001</v>
      </c>
    </row>
    <row r="107" spans="1:14">
      <c r="A107" s="3775"/>
      <c r="B107" s="3369">
        <v>2</v>
      </c>
      <c r="C107" s="3369">
        <v>1.2072000000000001</v>
      </c>
      <c r="D107" s="3369">
        <v>1.2072000000000001</v>
      </c>
      <c r="E107" s="3369">
        <v>1.1838</v>
      </c>
      <c r="F107" s="3369">
        <v>1.1838</v>
      </c>
      <c r="G107" s="3369">
        <v>1.1838</v>
      </c>
      <c r="H107" s="3369">
        <v>1.1838</v>
      </c>
      <c r="I107" s="3369">
        <v>1.1838</v>
      </c>
      <c r="J107" s="3369">
        <v>1.1883999999999999</v>
      </c>
      <c r="K107" s="3369">
        <v>1.1883999999999999</v>
      </c>
      <c r="L107" s="3369">
        <v>1.1883999999999999</v>
      </c>
      <c r="M107" s="3369">
        <v>1.1883999999999999</v>
      </c>
      <c r="N107" s="3369">
        <v>1.1883999999999999</v>
      </c>
    </row>
    <row r="108" spans="1:14">
      <c r="A108" s="3775"/>
      <c r="B108" s="3369">
        <v>3</v>
      </c>
      <c r="C108" s="3369">
        <v>1.0430999999999999</v>
      </c>
      <c r="D108" s="3369">
        <v>1.0430999999999999</v>
      </c>
      <c r="E108" s="3369">
        <v>1.0004999999999999</v>
      </c>
      <c r="F108" s="3369">
        <v>1.0004999999999999</v>
      </c>
      <c r="G108" s="3369">
        <v>1.0004999999999999</v>
      </c>
      <c r="H108" s="3369">
        <v>1.0004999999999999</v>
      </c>
      <c r="I108" s="3369">
        <v>1.0004999999999999</v>
      </c>
      <c r="J108" s="3369">
        <v>0.96940000000000004</v>
      </c>
      <c r="K108" s="3369">
        <v>0.96940000000000004</v>
      </c>
      <c r="L108" s="3369">
        <v>0.96940000000000004</v>
      </c>
      <c r="M108" s="3369">
        <v>0.96940000000000004</v>
      </c>
      <c r="N108" s="3369">
        <v>0.96940000000000004</v>
      </c>
    </row>
    <row r="109" spans="1:14">
      <c r="A109" s="3775"/>
      <c r="B109" s="3369">
        <v>4</v>
      </c>
      <c r="C109" s="3369">
        <v>0.94389999999999996</v>
      </c>
      <c r="D109" s="3369">
        <v>0.94389999999999996</v>
      </c>
      <c r="E109" s="3369">
        <v>0.88239999999999996</v>
      </c>
      <c r="F109" s="3369">
        <v>0.88239999999999996</v>
      </c>
      <c r="G109" s="3369">
        <v>0.88239999999999996</v>
      </c>
      <c r="H109" s="3369">
        <v>0.88239999999999996</v>
      </c>
      <c r="I109" s="3369">
        <v>0.88239999999999996</v>
      </c>
      <c r="J109" s="3369">
        <v>0.82299999999999995</v>
      </c>
      <c r="K109" s="3369">
        <v>0.82299999999999995</v>
      </c>
      <c r="L109" s="3369">
        <v>0.82299999999999995</v>
      </c>
      <c r="M109" s="3369">
        <v>0.82299999999999995</v>
      </c>
      <c r="N109" s="3369">
        <v>0.82299999999999995</v>
      </c>
    </row>
    <row r="110" spans="1:14">
      <c r="A110" s="3775"/>
      <c r="B110" s="3369">
        <v>5</v>
      </c>
      <c r="C110" s="3369">
        <v>0.89959999999999996</v>
      </c>
      <c r="D110" s="3369">
        <v>0.89959999999999996</v>
      </c>
      <c r="E110" s="3369">
        <v>0.84799999999999998</v>
      </c>
      <c r="F110" s="3369">
        <v>0.84799999999999998</v>
      </c>
      <c r="G110" s="3369">
        <v>0.84799999999999998</v>
      </c>
      <c r="H110" s="3369">
        <v>0.84799999999999998</v>
      </c>
      <c r="I110" s="3369">
        <v>0.84799999999999998</v>
      </c>
      <c r="J110" s="3369">
        <v>0.74980000000000002</v>
      </c>
      <c r="K110" s="3369">
        <v>0.74980000000000002</v>
      </c>
      <c r="L110" s="3369">
        <v>0.74980000000000002</v>
      </c>
      <c r="M110" s="3369">
        <v>0.74980000000000002</v>
      </c>
      <c r="N110" s="3369">
        <v>0.74980000000000002</v>
      </c>
    </row>
    <row r="111" spans="1:14">
      <c r="A111" s="3775"/>
      <c r="B111" s="3369" t="s">
        <v>3243</v>
      </c>
      <c r="C111" s="3370">
        <f>$I$3</f>
        <v>0</v>
      </c>
      <c r="D111" s="3370">
        <f t="shared" ref="D111:M111" si="32">$I$3</f>
        <v>0</v>
      </c>
      <c r="E111" s="3370">
        <f t="shared" si="32"/>
        <v>0</v>
      </c>
      <c r="F111" s="3370">
        <f t="shared" si="32"/>
        <v>0</v>
      </c>
      <c r="G111" s="3370">
        <f t="shared" si="32"/>
        <v>0</v>
      </c>
      <c r="H111" s="3370">
        <f t="shared" si="32"/>
        <v>0</v>
      </c>
      <c r="I111" s="3370">
        <f t="shared" si="32"/>
        <v>0</v>
      </c>
      <c r="J111" s="3370">
        <f t="shared" si="32"/>
        <v>0</v>
      </c>
      <c r="K111" s="3370">
        <f t="shared" si="32"/>
        <v>0</v>
      </c>
      <c r="L111" s="3370">
        <f t="shared" si="32"/>
        <v>0</v>
      </c>
      <c r="M111" s="3370">
        <f t="shared" si="32"/>
        <v>0</v>
      </c>
      <c r="N111" s="3370">
        <f>$I$3</f>
        <v>0</v>
      </c>
    </row>
    <row r="112" spans="1:14">
      <c r="A112" s="3776"/>
      <c r="B112" s="3369">
        <v>6</v>
      </c>
      <c r="C112" s="3362">
        <f>(-0.5556*(C111^2)-0.2719*C111+8944)*(10^(-4))</f>
        <v>0.89440000000000008</v>
      </c>
      <c r="D112" s="3362">
        <f>(-0.5556*(D111^2)-0.2719*D111+8944)*(10^(-4))</f>
        <v>0.89440000000000008</v>
      </c>
      <c r="E112" s="3362">
        <f>(-0.7912*(E111^2)-11.3794*E111+8482)*(10^(-4))</f>
        <v>0.84820000000000007</v>
      </c>
      <c r="F112" s="3362">
        <f t="shared" ref="F112:I112" si="33">(-0.7912*(F111^2)-11.3794*F111+8482)*(10^(-4))</f>
        <v>0.84820000000000007</v>
      </c>
      <c r="G112" s="3362">
        <f t="shared" si="33"/>
        <v>0.84820000000000007</v>
      </c>
      <c r="H112" s="3362">
        <f t="shared" si="33"/>
        <v>0.84820000000000007</v>
      </c>
      <c r="I112" s="3362">
        <f t="shared" si="33"/>
        <v>0.84820000000000007</v>
      </c>
      <c r="J112" s="3362">
        <f>(-0.989*(J111^2)-63.78*J111+7771)*(10^(-4))</f>
        <v>0.77710000000000001</v>
      </c>
      <c r="K112" s="3362">
        <f t="shared" ref="K112:N112" si="34">(-0.989*(K111^2)-63.78*K111+7771)*(10^(-4))</f>
        <v>0.77710000000000001</v>
      </c>
      <c r="L112" s="3362">
        <f t="shared" si="34"/>
        <v>0.77710000000000001</v>
      </c>
      <c r="M112" s="3362">
        <f t="shared" si="34"/>
        <v>0.77710000000000001</v>
      </c>
      <c r="N112" s="3362">
        <f t="shared" si="34"/>
        <v>0.77710000000000001</v>
      </c>
    </row>
    <row r="113" spans="1:14">
      <c r="A113" s="3777" t="s">
        <v>3286</v>
      </c>
      <c r="B113" s="3777"/>
      <c r="C113" s="3777"/>
      <c r="D113" s="3777"/>
      <c r="E113" s="3777"/>
      <c r="F113" s="3777"/>
      <c r="G113" s="3777"/>
      <c r="H113" s="3777"/>
      <c r="I113" s="3777"/>
      <c r="J113" s="3777"/>
      <c r="K113" s="3371"/>
      <c r="L113" s="3371"/>
      <c r="M113" s="3371"/>
      <c r="N113" s="3371"/>
    </row>
    <row r="114" spans="1:14">
      <c r="A114" s="3372"/>
      <c r="B114" s="3372"/>
      <c r="C114" s="3372"/>
      <c r="D114" s="3372"/>
      <c r="E114" s="3372"/>
      <c r="F114" s="3372"/>
      <c r="G114" s="3372"/>
      <c r="H114" s="3372"/>
      <c r="I114" s="3372"/>
      <c r="J114" s="3372"/>
      <c r="K114" s="3331"/>
      <c r="L114" s="3372"/>
      <c r="M114" s="3372"/>
      <c r="N114" s="3372"/>
    </row>
    <row r="115" spans="1:14" ht="13.5" thickBot="1">
      <c r="A115" s="3372"/>
      <c r="B115" s="3372"/>
      <c r="C115" s="3372"/>
      <c r="D115" s="3372"/>
      <c r="E115" s="3372"/>
      <c r="F115" s="3372"/>
      <c r="G115" s="3372"/>
      <c r="H115" s="3372"/>
      <c r="I115" s="3372"/>
      <c r="J115" s="3372"/>
      <c r="K115" s="3331"/>
      <c r="L115" s="3372"/>
      <c r="M115" s="3372"/>
      <c r="N115" s="3372"/>
    </row>
    <row r="116" spans="1:14" ht="25.5" thickBot="1">
      <c r="A116" s="3373" t="s">
        <v>3287</v>
      </c>
      <c r="B116" s="3390">
        <f>G3</f>
        <v>1</v>
      </c>
      <c r="C116" s="3374" t="s">
        <v>3288</v>
      </c>
      <c r="D116" s="3375">
        <f>SUMPRODUCT((A118:A122=F116)*(B117:M117=H116)*B118:M122)</f>
        <v>0.88200000000000001</v>
      </c>
      <c r="E116" s="1999" t="s">
        <v>3289</v>
      </c>
      <c r="F116" s="3376" t="str">
        <f>E2</f>
        <v>公共服务</v>
      </c>
      <c r="G116" s="1999" t="s">
        <v>3290</v>
      </c>
      <c r="H116" s="3376" t="str">
        <f>G2</f>
        <v>六级</v>
      </c>
      <c r="I116" s="1999"/>
      <c r="J116" s="3377"/>
      <c r="K116" s="3377"/>
      <c r="L116" s="3377"/>
      <c r="M116" s="3377"/>
      <c r="N116" s="3372"/>
    </row>
    <row r="117" spans="1:14">
      <c r="A117" s="3378"/>
      <c r="B117" s="3379" t="s">
        <v>3291</v>
      </c>
      <c r="C117" s="3379" t="s">
        <v>3292</v>
      </c>
      <c r="D117" s="3379" t="s">
        <v>3293</v>
      </c>
      <c r="E117" s="3380" t="s">
        <v>3294</v>
      </c>
      <c r="F117" s="3380" t="s">
        <v>3295</v>
      </c>
      <c r="G117" s="3380" t="s">
        <v>3296</v>
      </c>
      <c r="H117" s="3381" t="s">
        <v>3297</v>
      </c>
      <c r="I117" s="3381" t="s">
        <v>3298</v>
      </c>
      <c r="J117" s="3382" t="s">
        <v>3299</v>
      </c>
      <c r="K117" s="3382" t="s">
        <v>3300</v>
      </c>
      <c r="L117" s="3382" t="s">
        <v>3301</v>
      </c>
      <c r="M117" s="3383" t="s">
        <v>3302</v>
      </c>
      <c r="N117" s="3372"/>
    </row>
    <row r="118" spans="1:14">
      <c r="A118" s="3384" t="s">
        <v>3303</v>
      </c>
      <c r="B118" s="3362">
        <f>ROUND(0.9968-0.011*B116,4)</f>
        <v>0.98580000000000001</v>
      </c>
      <c r="C118" s="3362">
        <f>B118</f>
        <v>0.98580000000000001</v>
      </c>
      <c r="D118" s="3362">
        <f>ROUND(0.949-0.014*B116,4)</f>
        <v>0.93500000000000005</v>
      </c>
      <c r="E118" s="3362">
        <f>D118</f>
        <v>0.93500000000000005</v>
      </c>
      <c r="F118" s="3362">
        <f>E118</f>
        <v>0.93500000000000005</v>
      </c>
      <c r="G118" s="3362">
        <f>F118</f>
        <v>0.93500000000000005</v>
      </c>
      <c r="H118" s="3362">
        <f>G118</f>
        <v>0.93500000000000005</v>
      </c>
      <c r="I118" s="3362">
        <f>ROUND(0.8486-0.018*B116,4)</f>
        <v>0.8306</v>
      </c>
      <c r="J118" s="3362">
        <f t="shared" ref="J118:M122" si="35">I118</f>
        <v>0.8306</v>
      </c>
      <c r="K118" s="3362">
        <f t="shared" si="35"/>
        <v>0.8306</v>
      </c>
      <c r="L118" s="3362">
        <f t="shared" si="35"/>
        <v>0.8306</v>
      </c>
      <c r="M118" s="3385">
        <f t="shared" si="35"/>
        <v>0.8306</v>
      </c>
      <c r="N118" s="3372"/>
    </row>
    <row r="119" spans="1:14">
      <c r="A119" s="3384" t="s">
        <v>3304</v>
      </c>
      <c r="B119" s="3362">
        <f>ROUND(0.993-0.0112*B116,4)</f>
        <v>0.98180000000000001</v>
      </c>
      <c r="C119" s="3362">
        <f>B119</f>
        <v>0.98180000000000001</v>
      </c>
      <c r="D119" s="3362">
        <f>ROUND(0.9415-0.0142*B116,4)</f>
        <v>0.92730000000000001</v>
      </c>
      <c r="E119" s="3362">
        <f t="shared" ref="E119:H120" si="36">D119</f>
        <v>0.92730000000000001</v>
      </c>
      <c r="F119" s="3362">
        <f t="shared" si="36"/>
        <v>0.92730000000000001</v>
      </c>
      <c r="G119" s="3362">
        <f t="shared" si="36"/>
        <v>0.92730000000000001</v>
      </c>
      <c r="H119" s="3362">
        <f t="shared" si="36"/>
        <v>0.92730000000000001</v>
      </c>
      <c r="I119" s="3362">
        <f>ROUND(0.838-0.0182*B116,4)</f>
        <v>0.81979999999999997</v>
      </c>
      <c r="J119" s="3362">
        <f t="shared" si="35"/>
        <v>0.81979999999999997</v>
      </c>
      <c r="K119" s="3362">
        <f t="shared" si="35"/>
        <v>0.81979999999999997</v>
      </c>
      <c r="L119" s="3362">
        <f t="shared" si="35"/>
        <v>0.81979999999999997</v>
      </c>
      <c r="M119" s="3385">
        <f t="shared" si="35"/>
        <v>0.81979999999999997</v>
      </c>
      <c r="N119" s="3372"/>
    </row>
    <row r="120" spans="1:14">
      <c r="A120" s="3384" t="s">
        <v>3305</v>
      </c>
      <c r="B120" s="3362">
        <f>ROUND(0.9448-0.0115*B116,4)</f>
        <v>0.93330000000000002</v>
      </c>
      <c r="C120" s="3362">
        <f>B120</f>
        <v>0.93330000000000002</v>
      </c>
      <c r="D120" s="3362">
        <f>ROUND(0.937-0.0145*B116,4)</f>
        <v>0.92249999999999999</v>
      </c>
      <c r="E120" s="3362">
        <f t="shared" si="36"/>
        <v>0.92249999999999999</v>
      </c>
      <c r="F120" s="3362">
        <f t="shared" si="36"/>
        <v>0.92249999999999999</v>
      </c>
      <c r="G120" s="3362">
        <f t="shared" si="36"/>
        <v>0.92249999999999999</v>
      </c>
      <c r="H120" s="3362">
        <f t="shared" si="36"/>
        <v>0.92249999999999999</v>
      </c>
      <c r="I120" s="3362">
        <f>ROUND(0.7965-0.0185*B116,4)</f>
        <v>0.77800000000000002</v>
      </c>
      <c r="J120" s="3362">
        <f t="shared" si="35"/>
        <v>0.77800000000000002</v>
      </c>
      <c r="K120" s="3362">
        <f t="shared" si="35"/>
        <v>0.77800000000000002</v>
      </c>
      <c r="L120" s="3362">
        <f t="shared" si="35"/>
        <v>0.77800000000000002</v>
      </c>
      <c r="M120" s="3385">
        <f t="shared" si="35"/>
        <v>0.77800000000000002</v>
      </c>
      <c r="N120" s="3372"/>
    </row>
    <row r="121" spans="1:14" ht="13.5" thickBot="1">
      <c r="A121" s="3386" t="s">
        <v>3306</v>
      </c>
      <c r="B121" s="3387">
        <f>ROUND(0.7836-0.012*B116,4)</f>
        <v>0.77159999999999995</v>
      </c>
      <c r="C121" s="3387">
        <f>B121</f>
        <v>0.77159999999999995</v>
      </c>
      <c r="D121" s="3387">
        <f>ROUND(0.753-0.015*B116,4)</f>
        <v>0.73799999999999999</v>
      </c>
      <c r="E121" s="3387">
        <f>D121</f>
        <v>0.73799999999999999</v>
      </c>
      <c r="F121" s="3387">
        <f>E121</f>
        <v>0.73799999999999999</v>
      </c>
      <c r="G121" s="3387">
        <f>ROUND(0.6612-0.018*B116,4)</f>
        <v>0.64319999999999999</v>
      </c>
      <c r="H121" s="3387">
        <f>G121</f>
        <v>0.64319999999999999</v>
      </c>
      <c r="I121" s="3387">
        <f>ROUND(0.5905-0.019*B116,4)</f>
        <v>0.57150000000000001</v>
      </c>
      <c r="J121" s="3387">
        <f t="shared" si="35"/>
        <v>0.57150000000000001</v>
      </c>
      <c r="K121" s="3387">
        <f t="shared" si="35"/>
        <v>0.57150000000000001</v>
      </c>
      <c r="L121" s="3387">
        <f t="shared" si="35"/>
        <v>0.57150000000000001</v>
      </c>
      <c r="M121" s="3388">
        <f t="shared" si="35"/>
        <v>0.57150000000000001</v>
      </c>
      <c r="N121" s="3372"/>
    </row>
    <row r="122" spans="1:14">
      <c r="A122" s="3389" t="s">
        <v>2588</v>
      </c>
      <c r="B122" s="3362">
        <f>ROUND(0.9404-0.0106*B116,4)</f>
        <v>0.92979999999999996</v>
      </c>
      <c r="C122" s="3362">
        <f>B122</f>
        <v>0.92979999999999996</v>
      </c>
      <c r="D122" s="3362">
        <f>ROUND(0.8955-0.0135*B116,4)</f>
        <v>0.88200000000000001</v>
      </c>
      <c r="E122" s="3362">
        <f t="shared" ref="E122:H122" si="37">D122</f>
        <v>0.88200000000000001</v>
      </c>
      <c r="F122" s="3362">
        <f t="shared" si="37"/>
        <v>0.88200000000000001</v>
      </c>
      <c r="G122" s="3362">
        <f t="shared" si="37"/>
        <v>0.88200000000000001</v>
      </c>
      <c r="H122" s="3362">
        <f t="shared" si="37"/>
        <v>0.88200000000000001</v>
      </c>
      <c r="I122" s="3362">
        <f>ROUND(0.7632-0.0166*B116,4)</f>
        <v>0.74660000000000004</v>
      </c>
      <c r="J122" s="3362">
        <f t="shared" si="35"/>
        <v>0.74660000000000004</v>
      </c>
      <c r="K122" s="3362">
        <f t="shared" si="35"/>
        <v>0.74660000000000004</v>
      </c>
      <c r="L122" s="3362">
        <f t="shared" si="35"/>
        <v>0.74660000000000004</v>
      </c>
      <c r="M122" s="3385">
        <f t="shared" si="35"/>
        <v>0.74660000000000004</v>
      </c>
      <c r="N122" s="3372"/>
    </row>
  </sheetData>
  <sheetProtection password="CEE9" sheet="1" objects="1" scenarios="1" formatCells="0" formatColumns="0" formatRows="0"/>
  <dataConsolidate/>
  <mergeCells count="11">
    <mergeCell ref="A106:A112"/>
    <mergeCell ref="A113:J113"/>
    <mergeCell ref="W8:X8"/>
    <mergeCell ref="W9:W10"/>
    <mergeCell ref="A4:J4"/>
    <mergeCell ref="A20:A21"/>
    <mergeCell ref="A103:J103"/>
    <mergeCell ref="A104:A105"/>
    <mergeCell ref="B104:B105"/>
    <mergeCell ref="A37:A39"/>
    <mergeCell ref="F20:G20"/>
  </mergeCells>
  <phoneticPr fontId="76" type="noConversion"/>
  <conditionalFormatting sqref="F50">
    <cfRule type="cellIs" dxfId="11" priority="6" stopIfTrue="1" operator="notEqual">
      <formula>"——"</formula>
    </cfRule>
  </conditionalFormatting>
  <conditionalFormatting sqref="F61">
    <cfRule type="cellIs" dxfId="10" priority="5" stopIfTrue="1" operator="notEqual">
      <formula>"——"</formula>
    </cfRule>
  </conditionalFormatting>
  <conditionalFormatting sqref="F72">
    <cfRule type="cellIs" dxfId="9" priority="4" stopIfTrue="1" operator="notEqual">
      <formula>"——"</formula>
    </cfRule>
  </conditionalFormatting>
  <conditionalFormatting sqref="F83">
    <cfRule type="cellIs" dxfId="8" priority="3" stopIfTrue="1" operator="notEqual">
      <formula>"——"</formula>
    </cfRule>
  </conditionalFormatting>
  <conditionalFormatting sqref="H50:H58 H61:H69 H72:H80 H83:H91">
    <cfRule type="cellIs" dxfId="7" priority="2" operator="notEqual">
      <formula>"——"</formula>
    </cfRule>
  </conditionalFormatting>
  <conditionalFormatting sqref="H93:H101">
    <cfRule type="cellIs" dxfId="6" priority="1" operator="notEqual">
      <formula>"——"</formula>
    </cfRule>
  </conditionalFormatting>
  <dataValidations count="12">
    <dataValidation type="list" allowBlank="1" showInputMessage="1" showErrorMessage="1" sqref="E15">
      <formula1>"500米范围内,500-1000米,1000米以外"</formula1>
    </dataValidation>
    <dataValidation type="list" allowBlank="1" showInputMessage="1" showErrorMessage="1" sqref="C15:D15">
      <formula1>"有,无"</formula1>
    </dataValidation>
    <dataValidation type="list" allowBlank="1" showInputMessage="1" showErrorMessage="1" sqref="B25">
      <formula1>"容积率修正,楼层修正"</formula1>
    </dataValidation>
    <dataValidation type="list" allowBlank="1" showInputMessage="1" showErrorMessage="1" sqref="F21">
      <formula1>"与级别开发程度一致,与级别开发程度不一致"</formula1>
    </dataValidation>
    <dataValidation type="list" allowBlank="1" showInputMessage="1" showErrorMessage="1" sqref="E2">
      <formula1>"商业,办公,住宅,工业,公共服务"</formula1>
    </dataValidation>
    <dataValidation type="list" allowBlank="1" showInputMessage="1" showErrorMessage="1" sqref="F3">
      <formula1>"宗地容积率,估价对象容积率,自定义容积率"</formula1>
    </dataValidation>
    <dataValidation type="list" allowBlank="1" showInputMessage="1" showErrorMessage="1" sqref="C8">
      <formula1>商业街名称</formula1>
    </dataValidation>
    <dataValidation type="list" allowBlank="1" showInputMessage="1" showErrorMessage="1" sqref="E3">
      <formula1>二级分类</formula1>
    </dataValidation>
    <dataValidation type="list" allowBlank="1" showInputMessage="1" showErrorMessage="1" sqref="C61:C69 C72:C80 C50:C58 C83:C91 C93:C101">
      <formula1>五等判定</formula1>
    </dataValidation>
    <dataValidation type="list" allowBlank="1" showInputMessage="1" showErrorMessage="1" sqref="H23">
      <formula1>"地价指数,季度增幅（自定义）,按公示增长率计算"</formula1>
    </dataValidation>
    <dataValidation type="list" allowBlank="1" showInputMessage="1" showErrorMessage="1" sqref="H20:O20">
      <formula1>七通一平</formula1>
    </dataValidation>
    <dataValidation type="list" allowBlank="1" showInputMessage="1" showErrorMessage="1" sqref="J23">
      <formula1>"不用分区数据,中心城区,中心城区以外"</formula1>
    </dataValidation>
  </dataValidations>
  <pageMargins left="0.7" right="0.7" top="0.75" bottom="0.75" header="0.3" footer="0.3"/>
  <pageSetup paperSize="9" scale="43" orientation="portrait" r:id="rId1"/>
  <colBreaks count="1" manualBreakCount="1">
    <brk id="10" max="1048575" man="1"/>
  </colBreaks>
  <legacyDrawing r:id="rId2"/>
</worksheet>
</file>

<file path=xl/worksheets/sheet3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BI19"/>
  <sheetViews>
    <sheetView topLeftCell="I1" zoomScale="80" zoomScaleNormal="80" workbookViewId="0">
      <selection activeCell="AS39" sqref="AS39"/>
    </sheetView>
  </sheetViews>
  <sheetFormatPr defaultRowHeight="14.25"/>
  <cols>
    <col min="1" max="1" width="20" style="3448" customWidth="1"/>
    <col min="2" max="2" width="20" style="3448" hidden="1" customWidth="1"/>
    <col min="3" max="3" width="13.75" style="3448" customWidth="1"/>
    <col min="4" max="4" width="20" style="3448" hidden="1" customWidth="1"/>
    <col min="5" max="5" width="9.125" style="3448" customWidth="1"/>
    <col min="6" max="6" width="9.75" style="3448" customWidth="1"/>
    <col min="7" max="7" width="20" style="3448" hidden="1" customWidth="1"/>
    <col min="8" max="8" width="16.5" style="3448" customWidth="1"/>
    <col min="9" max="9" width="10.625" style="3448" customWidth="1"/>
    <col min="10" max="10" width="11.5" style="3448" customWidth="1"/>
    <col min="11" max="11" width="11.25" style="3448" customWidth="1"/>
    <col min="12" max="13" width="20" style="3448" hidden="1" customWidth="1"/>
    <col min="14" max="14" width="13.125" style="3448" customWidth="1"/>
    <col min="15" max="15" width="47.25" style="3448" customWidth="1"/>
    <col min="16" max="30" width="20" style="3448" hidden="1" customWidth="1"/>
    <col min="31" max="31" width="11.625" style="3448" customWidth="1"/>
    <col min="32" max="34" width="20" style="3448" hidden="1" customWidth="1"/>
    <col min="35" max="35" width="35" style="3448" customWidth="1"/>
    <col min="36" max="40" width="20" style="3448" hidden="1" customWidth="1"/>
    <col min="41" max="41" width="10" style="3448" customWidth="1"/>
    <col min="42" max="42" width="20" style="3448" hidden="1" customWidth="1"/>
    <col min="43" max="43" width="10.25" style="3448" customWidth="1"/>
    <col min="44" max="44" width="20" style="3448" hidden="1" customWidth="1"/>
    <col min="45" max="45" width="11.375" style="3448" customWidth="1"/>
    <col min="46" max="46" width="20" style="3448" hidden="1" customWidth="1"/>
    <col min="47" max="47" width="10" style="3448" customWidth="1"/>
    <col min="48" max="49" width="20" style="3448" hidden="1" customWidth="1"/>
    <col min="50" max="50" width="11.875" style="3448" customWidth="1"/>
    <col min="51" max="51" width="20" style="3448" customWidth="1"/>
    <col min="52" max="58" width="20" style="3448" hidden="1" customWidth="1"/>
    <col min="59" max="62" width="20" style="3448" customWidth="1"/>
    <col min="63" max="16384" width="9" style="3448"/>
  </cols>
  <sheetData>
    <row r="1" spans="1:61">
      <c r="A1" s="3448" t="s">
        <v>3445</v>
      </c>
      <c r="B1" s="3448" t="s">
        <v>3446</v>
      </c>
      <c r="C1" s="3448" t="s">
        <v>3447</v>
      </c>
      <c r="D1" s="3448" t="s">
        <v>3448</v>
      </c>
      <c r="E1" s="3448" t="s">
        <v>3449</v>
      </c>
      <c r="F1" s="3448" t="s">
        <v>3450</v>
      </c>
      <c r="G1" s="3448" t="s">
        <v>3451</v>
      </c>
      <c r="H1" s="3448" t="s">
        <v>3452</v>
      </c>
      <c r="I1" s="3448" t="s">
        <v>3453</v>
      </c>
      <c r="J1" s="3448" t="s">
        <v>3454</v>
      </c>
      <c r="K1" s="3448" t="s">
        <v>3455</v>
      </c>
      <c r="L1" s="3448" t="s">
        <v>3456</v>
      </c>
      <c r="M1" s="3448" t="s">
        <v>3457</v>
      </c>
      <c r="N1" s="3448" t="s">
        <v>3458</v>
      </c>
      <c r="O1" s="3448" t="s">
        <v>3459</v>
      </c>
      <c r="P1" s="3448" t="s">
        <v>3460</v>
      </c>
      <c r="Q1" s="3448" t="s">
        <v>3461</v>
      </c>
      <c r="R1" s="3448" t="s">
        <v>3462</v>
      </c>
      <c r="S1" s="3448" t="s">
        <v>3463</v>
      </c>
      <c r="T1" s="3448" t="s">
        <v>3464</v>
      </c>
      <c r="U1" s="3448" t="s">
        <v>3465</v>
      </c>
      <c r="V1" s="3448" t="s">
        <v>3466</v>
      </c>
      <c r="W1" s="3448" t="s">
        <v>3467</v>
      </c>
      <c r="X1" s="3448" t="s">
        <v>3468</v>
      </c>
      <c r="Y1" s="3448" t="s">
        <v>3469</v>
      </c>
      <c r="Z1" s="3448" t="s">
        <v>3470</v>
      </c>
      <c r="AA1" s="3448" t="s">
        <v>3471</v>
      </c>
      <c r="AB1" s="3448" t="s">
        <v>3472</v>
      </c>
      <c r="AC1" s="3448" t="s">
        <v>3473</v>
      </c>
      <c r="AD1" s="3448" t="s">
        <v>3474</v>
      </c>
      <c r="AE1" s="3448" t="s">
        <v>3475</v>
      </c>
      <c r="AF1" s="3448" t="s">
        <v>3476</v>
      </c>
      <c r="AG1" s="3448" t="s">
        <v>3477</v>
      </c>
      <c r="AH1" s="3448" t="s">
        <v>3478</v>
      </c>
      <c r="AI1" s="3448" t="s">
        <v>3479</v>
      </c>
      <c r="AJ1" s="3448" t="s">
        <v>3480</v>
      </c>
      <c r="AK1" s="3448" t="s">
        <v>3481</v>
      </c>
      <c r="AL1" s="3448" t="s">
        <v>3482</v>
      </c>
      <c r="AM1" s="3448" t="s">
        <v>3483</v>
      </c>
      <c r="AN1" s="3448" t="s">
        <v>3484</v>
      </c>
      <c r="AO1" s="3448" t="s">
        <v>3485</v>
      </c>
      <c r="AP1" s="3448" t="s">
        <v>3486</v>
      </c>
      <c r="AQ1" s="3448" t="s">
        <v>3487</v>
      </c>
      <c r="AR1" s="3448" t="s">
        <v>3488</v>
      </c>
      <c r="AS1" s="3448" t="s">
        <v>3489</v>
      </c>
      <c r="AT1" s="3448" t="s">
        <v>3490</v>
      </c>
      <c r="AU1" s="3448" t="s">
        <v>3491</v>
      </c>
      <c r="AV1" s="3448" t="s">
        <v>3492</v>
      </c>
      <c r="AW1" s="3448" t="s">
        <v>3493</v>
      </c>
      <c r="AX1" s="3448" t="s">
        <v>3494</v>
      </c>
      <c r="AY1" s="3448" t="s">
        <v>3495</v>
      </c>
      <c r="AZ1" s="3448" t="s">
        <v>3496</v>
      </c>
      <c r="BA1" s="3448" t="s">
        <v>3497</v>
      </c>
      <c r="BB1" s="3448" t="s">
        <v>3498</v>
      </c>
      <c r="BC1" s="3448" t="s">
        <v>3499</v>
      </c>
      <c r="BD1" s="3448" t="s">
        <v>3500</v>
      </c>
      <c r="BE1" s="3448" t="s">
        <v>3501</v>
      </c>
      <c r="BF1" s="3448" t="s">
        <v>3502</v>
      </c>
      <c r="BG1" s="3448" t="s">
        <v>3503</v>
      </c>
      <c r="BH1" s="3448" t="s">
        <v>3504</v>
      </c>
      <c r="BI1" s="3448" t="s">
        <v>3505</v>
      </c>
    </row>
    <row r="2" spans="1:61">
      <c r="A2" s="3448" t="s">
        <v>3617</v>
      </c>
      <c r="B2" s="3448" t="s">
        <v>3361</v>
      </c>
      <c r="C2" s="3448" t="s">
        <v>3507</v>
      </c>
      <c r="D2" s="3448" t="s">
        <v>3508</v>
      </c>
      <c r="E2" s="3448" t="s">
        <v>3509</v>
      </c>
      <c r="F2" s="3448" t="s">
        <v>3510</v>
      </c>
      <c r="G2" s="3448" t="s">
        <v>3511</v>
      </c>
      <c r="H2" s="3448" t="s">
        <v>3512</v>
      </c>
      <c r="I2" s="3448">
        <v>37655.61</v>
      </c>
      <c r="J2" s="3448">
        <v>56108.97</v>
      </c>
      <c r="K2" s="3448">
        <f>ROUND(J2/I2,1)</f>
        <v>1.5</v>
      </c>
      <c r="L2" s="3448">
        <v>1.6</v>
      </c>
      <c r="M2" s="3448" t="s">
        <v>3514</v>
      </c>
      <c r="N2" s="3448" t="s">
        <v>3515</v>
      </c>
      <c r="O2" s="3448" t="s">
        <v>3516</v>
      </c>
      <c r="P2" s="3448" t="s">
        <v>3517</v>
      </c>
      <c r="Q2" s="3448" t="s">
        <v>3518</v>
      </c>
      <c r="R2" s="3448" t="s">
        <v>3518</v>
      </c>
      <c r="S2" s="3448" t="s">
        <v>3519</v>
      </c>
      <c r="T2" s="3448" t="s">
        <v>3518</v>
      </c>
      <c r="U2" s="3448" t="s">
        <v>3518</v>
      </c>
      <c r="V2" s="3448" t="s">
        <v>3518</v>
      </c>
      <c r="W2" s="3448" t="s">
        <v>3518</v>
      </c>
      <c r="X2" s="3448" t="s">
        <v>3518</v>
      </c>
      <c r="Y2" s="3448" t="s">
        <v>3518</v>
      </c>
      <c r="Z2" s="3448">
        <v>0</v>
      </c>
      <c r="AA2" s="3448">
        <v>0</v>
      </c>
      <c r="AB2" s="3449">
        <v>45329.000497685185</v>
      </c>
      <c r="AC2" s="3449">
        <v>45352.000497685185</v>
      </c>
      <c r="AD2" s="3449">
        <v>45366.000497685185</v>
      </c>
      <c r="AE2" s="3449">
        <v>45366.000497685185</v>
      </c>
      <c r="AF2" s="3448" t="s">
        <v>3520</v>
      </c>
      <c r="AG2" s="3448" t="s">
        <v>3521</v>
      </c>
      <c r="AH2" s="3448" t="s">
        <v>3522</v>
      </c>
      <c r="AI2" s="3448" t="s">
        <v>3523</v>
      </c>
      <c r="AJ2" s="3448" t="s">
        <v>3524</v>
      </c>
      <c r="AK2" s="3448" t="s">
        <v>3525</v>
      </c>
      <c r="AL2" s="3448">
        <v>74000</v>
      </c>
      <c r="AM2" s="3448">
        <v>15000</v>
      </c>
      <c r="AN2" s="3448" t="s">
        <v>3526</v>
      </c>
      <c r="AO2" s="3448">
        <v>74000</v>
      </c>
      <c r="AP2" s="3448">
        <v>19651.78</v>
      </c>
      <c r="AQ2" s="3448">
        <v>19651.78</v>
      </c>
      <c r="AR2" s="3448">
        <v>1310.1199999999999</v>
      </c>
      <c r="AS2" s="3448">
        <v>1310.1199999999999</v>
      </c>
      <c r="AT2" s="3448">
        <v>13189</v>
      </c>
      <c r="AU2" s="3448">
        <v>13189</v>
      </c>
      <c r="AV2" s="3448" t="s">
        <v>3518</v>
      </c>
      <c r="AW2" s="3448" t="s">
        <v>3518</v>
      </c>
      <c r="AX2" s="3448">
        <v>0</v>
      </c>
      <c r="AY2" s="3448" t="s">
        <v>3527</v>
      </c>
      <c r="AZ2" s="3448" t="s">
        <v>3518</v>
      </c>
      <c r="BA2" s="3448" t="s">
        <v>3518</v>
      </c>
      <c r="BB2" s="3448" t="s">
        <v>3518</v>
      </c>
      <c r="BC2" s="3448" t="s">
        <v>3518</v>
      </c>
      <c r="BD2" s="3448" t="s">
        <v>3518</v>
      </c>
      <c r="BE2" s="3448" t="s">
        <v>3518</v>
      </c>
      <c r="BF2" s="3448" t="s">
        <v>3518</v>
      </c>
      <c r="BG2" s="3448" t="s">
        <v>3528</v>
      </c>
      <c r="BH2" s="3448" t="s">
        <v>3529</v>
      </c>
      <c r="BI2" s="3448" t="s">
        <v>3530</v>
      </c>
    </row>
    <row r="3" spans="1:61">
      <c r="A3" s="3448" t="s">
        <v>3542</v>
      </c>
      <c r="B3" s="3448" t="s">
        <v>3361</v>
      </c>
      <c r="C3" s="3448" t="s">
        <v>3543</v>
      </c>
      <c r="D3" s="3448" t="s">
        <v>3508</v>
      </c>
      <c r="E3" s="3448" t="s">
        <v>3544</v>
      </c>
      <c r="F3" s="3448" t="s">
        <v>3510</v>
      </c>
      <c r="G3" s="3448" t="s">
        <v>3545</v>
      </c>
      <c r="H3" s="3448" t="s">
        <v>3512</v>
      </c>
      <c r="I3" s="3448">
        <v>32636.74</v>
      </c>
      <c r="J3" s="3448">
        <v>78328</v>
      </c>
      <c r="K3" s="3448">
        <v>2.4</v>
      </c>
      <c r="L3" s="3448">
        <v>2.4</v>
      </c>
      <c r="M3" s="3448" t="s">
        <v>3514</v>
      </c>
      <c r="N3" s="3448" t="s">
        <v>3546</v>
      </c>
      <c r="O3" s="3448" t="s">
        <v>3547</v>
      </c>
      <c r="P3" s="3448" t="s">
        <v>3517</v>
      </c>
      <c r="Q3" s="3448" t="s">
        <v>3518</v>
      </c>
      <c r="R3" s="3448" t="s">
        <v>3518</v>
      </c>
      <c r="S3" s="3448">
        <v>36</v>
      </c>
      <c r="T3" s="3448" t="s">
        <v>3518</v>
      </c>
      <c r="U3" s="3448" t="s">
        <v>3518</v>
      </c>
      <c r="V3" s="3448" t="s">
        <v>3518</v>
      </c>
      <c r="W3" s="3448" t="s">
        <v>3518</v>
      </c>
      <c r="X3" s="3448" t="s">
        <v>3518</v>
      </c>
      <c r="Y3" s="3448" t="s">
        <v>3518</v>
      </c>
      <c r="Z3" s="3448">
        <v>0</v>
      </c>
      <c r="AA3" s="3448">
        <v>0</v>
      </c>
      <c r="AB3" s="3449">
        <v>45274.000497685185</v>
      </c>
      <c r="AC3" s="3449">
        <v>45294.000497685185</v>
      </c>
      <c r="AD3" s="3449">
        <v>45308.000497685185</v>
      </c>
      <c r="AE3" s="3449">
        <v>45308.000497685185</v>
      </c>
      <c r="AF3" s="3448" t="s">
        <v>3548</v>
      </c>
      <c r="AG3" s="3448" t="s">
        <v>3521</v>
      </c>
      <c r="AH3" s="3448" t="s">
        <v>3549</v>
      </c>
      <c r="AI3" s="3448" t="s">
        <v>3550</v>
      </c>
      <c r="AJ3" s="3448" t="s">
        <v>3524</v>
      </c>
      <c r="AK3" s="3448" t="s">
        <v>3525</v>
      </c>
      <c r="AL3" s="3448">
        <v>65000</v>
      </c>
      <c r="AM3" s="3448">
        <v>13000</v>
      </c>
      <c r="AN3" s="3448" t="s">
        <v>3551</v>
      </c>
      <c r="AO3" s="3448">
        <v>65000</v>
      </c>
      <c r="AP3" s="3448">
        <v>19916.2</v>
      </c>
      <c r="AQ3" s="3448">
        <v>19916.2</v>
      </c>
      <c r="AR3" s="3448">
        <v>1327.75</v>
      </c>
      <c r="AS3" s="3448">
        <v>1327.75</v>
      </c>
      <c r="AT3" s="3448">
        <v>8298</v>
      </c>
      <c r="AU3" s="3448">
        <f>ROUND(AS19,0)</f>
        <v>12606</v>
      </c>
      <c r="AV3" s="3448" t="s">
        <v>3518</v>
      </c>
      <c r="AW3" s="3448" t="s">
        <v>3518</v>
      </c>
      <c r="AX3" s="3448">
        <v>0</v>
      </c>
      <c r="AY3" s="3448" t="s">
        <v>3562</v>
      </c>
      <c r="AZ3" s="3448" t="s">
        <v>3518</v>
      </c>
      <c r="BA3" s="3448" t="s">
        <v>3518</v>
      </c>
      <c r="BB3" s="3448" t="s">
        <v>3518</v>
      </c>
      <c r="BC3" s="3448" t="s">
        <v>3518</v>
      </c>
      <c r="BD3" s="3448" t="s">
        <v>3518</v>
      </c>
      <c r="BE3" s="3448" t="s">
        <v>3518</v>
      </c>
      <c r="BF3" s="3448" t="s">
        <v>3518</v>
      </c>
      <c r="BG3" s="3448" t="s">
        <v>3528</v>
      </c>
      <c r="BH3" s="3448" t="s">
        <v>3529</v>
      </c>
      <c r="BI3" s="3448" t="s">
        <v>3530</v>
      </c>
    </row>
    <row r="4" spans="1:61">
      <c r="A4" s="3448" t="s">
        <v>3552</v>
      </c>
      <c r="B4" s="3448" t="s">
        <v>3361</v>
      </c>
      <c r="C4" s="3448" t="s">
        <v>3553</v>
      </c>
      <c r="D4" s="3448" t="s">
        <v>3508</v>
      </c>
      <c r="E4" s="3448" t="s">
        <v>3544</v>
      </c>
      <c r="F4" s="3448" t="s">
        <v>3554</v>
      </c>
      <c r="G4" s="3448" t="s">
        <v>3545</v>
      </c>
      <c r="H4" s="3448" t="s">
        <v>3512</v>
      </c>
      <c r="I4" s="3448">
        <v>64012.4</v>
      </c>
      <c r="J4" s="3448">
        <v>192037.19</v>
      </c>
      <c r="K4" s="3448">
        <v>3</v>
      </c>
      <c r="L4" s="3448">
        <v>3</v>
      </c>
      <c r="M4" s="3448" t="s">
        <v>3514</v>
      </c>
      <c r="N4" s="3448" t="s">
        <v>3555</v>
      </c>
      <c r="O4" s="3448" t="s">
        <v>3547</v>
      </c>
      <c r="P4" s="3448" t="s">
        <v>3517</v>
      </c>
      <c r="Q4" s="3448" t="s">
        <v>3518</v>
      </c>
      <c r="R4" s="3448" t="s">
        <v>3518</v>
      </c>
      <c r="S4" s="3448" t="s">
        <v>3518</v>
      </c>
      <c r="T4" s="3448" t="s">
        <v>3518</v>
      </c>
      <c r="U4" s="3448" t="s">
        <v>3518</v>
      </c>
      <c r="V4" s="3448" t="s">
        <v>3518</v>
      </c>
      <c r="W4" s="3448" t="s">
        <v>3518</v>
      </c>
      <c r="X4" s="3448" t="s">
        <v>3518</v>
      </c>
      <c r="Y4" s="3448" t="s">
        <v>3518</v>
      </c>
      <c r="Z4" s="3448">
        <v>0</v>
      </c>
      <c r="AA4" s="3448">
        <v>0</v>
      </c>
      <c r="AB4" s="3449">
        <v>44896.000497685185</v>
      </c>
      <c r="AC4" s="3449">
        <v>44916.000497685185</v>
      </c>
      <c r="AD4" s="3449">
        <v>44931.000497685185</v>
      </c>
      <c r="AE4" s="3449">
        <v>44931.000497685185</v>
      </c>
      <c r="AF4" s="3448" t="s">
        <v>3556</v>
      </c>
      <c r="AG4" s="3448" t="s">
        <v>3521</v>
      </c>
      <c r="AH4" s="3448" t="s">
        <v>3557</v>
      </c>
      <c r="AI4" s="3448" t="s">
        <v>3558</v>
      </c>
      <c r="AJ4" s="3448" t="s">
        <v>3559</v>
      </c>
      <c r="AK4" s="3448" t="s">
        <v>3560</v>
      </c>
      <c r="AL4" s="3448">
        <v>177000</v>
      </c>
      <c r="AM4" s="3448">
        <v>36000</v>
      </c>
      <c r="AN4" s="3448" t="s">
        <v>3561</v>
      </c>
      <c r="AO4" s="3448">
        <v>177000</v>
      </c>
      <c r="AP4" s="3448">
        <v>27650.89</v>
      </c>
      <c r="AQ4" s="3448">
        <v>27650.89</v>
      </c>
      <c r="AR4" s="3448">
        <v>1843.39</v>
      </c>
      <c r="AS4" s="3448">
        <v>1843.39</v>
      </c>
      <c r="AT4" s="3448">
        <v>9217</v>
      </c>
      <c r="AU4" s="3448">
        <v>9217</v>
      </c>
      <c r="AV4" s="3448" t="s">
        <v>3518</v>
      </c>
      <c r="AW4" s="3448" t="s">
        <v>3518</v>
      </c>
      <c r="AX4" s="3448">
        <v>0</v>
      </c>
      <c r="AY4" s="3448" t="s">
        <v>3562</v>
      </c>
      <c r="AZ4" s="3448" t="s">
        <v>3518</v>
      </c>
      <c r="BA4" s="3448" t="s">
        <v>3518</v>
      </c>
      <c r="BB4" s="3448" t="s">
        <v>3518</v>
      </c>
      <c r="BC4" s="3448" t="s">
        <v>3518</v>
      </c>
      <c r="BD4" s="3448" t="s">
        <v>3518</v>
      </c>
      <c r="BE4" s="3448" t="s">
        <v>3518</v>
      </c>
      <c r="BF4" s="3448" t="s">
        <v>3518</v>
      </c>
      <c r="BG4" s="3448" t="s">
        <v>3528</v>
      </c>
      <c r="BH4" s="3448" t="s">
        <v>3529</v>
      </c>
      <c r="BI4" s="3448" t="s">
        <v>3530</v>
      </c>
    </row>
    <row r="7" spans="1:61">
      <c r="A7" s="3448" t="s">
        <v>3445</v>
      </c>
      <c r="B7" s="3448" t="s">
        <v>3446</v>
      </c>
      <c r="C7" s="3448" t="s">
        <v>3447</v>
      </c>
      <c r="D7" s="3448" t="s">
        <v>3448</v>
      </c>
      <c r="E7" s="3448" t="s">
        <v>3449</v>
      </c>
      <c r="F7" s="3448" t="s">
        <v>3450</v>
      </c>
      <c r="G7" s="3448" t="s">
        <v>3451</v>
      </c>
      <c r="H7" s="3448" t="s">
        <v>3452</v>
      </c>
      <c r="I7" s="3448" t="s">
        <v>3453</v>
      </c>
      <c r="J7" s="3448" t="s">
        <v>3454</v>
      </c>
      <c r="K7" s="3448" t="s">
        <v>3455</v>
      </c>
      <c r="L7" s="3448" t="s">
        <v>3456</v>
      </c>
      <c r="M7" s="3448" t="s">
        <v>3457</v>
      </c>
      <c r="N7" s="3448" t="s">
        <v>3458</v>
      </c>
      <c r="O7" s="3448" t="s">
        <v>3459</v>
      </c>
      <c r="P7" s="3448" t="s">
        <v>3460</v>
      </c>
      <c r="Q7" s="3448" t="s">
        <v>3461</v>
      </c>
      <c r="R7" s="3448" t="s">
        <v>3462</v>
      </c>
      <c r="S7" s="3448" t="s">
        <v>3463</v>
      </c>
      <c r="T7" s="3448" t="s">
        <v>3464</v>
      </c>
      <c r="U7" s="3448" t="s">
        <v>3465</v>
      </c>
      <c r="V7" s="3448" t="s">
        <v>3466</v>
      </c>
      <c r="W7" s="3448" t="s">
        <v>3467</v>
      </c>
      <c r="X7" s="3448" t="s">
        <v>3468</v>
      </c>
      <c r="Y7" s="3448" t="s">
        <v>3469</v>
      </c>
      <c r="Z7" s="3448" t="s">
        <v>3470</v>
      </c>
      <c r="AA7" s="3448" t="s">
        <v>3471</v>
      </c>
      <c r="AB7" s="3448" t="s">
        <v>3472</v>
      </c>
      <c r="AC7" s="3448" t="s">
        <v>3473</v>
      </c>
      <c r="AD7" s="3448" t="s">
        <v>3474</v>
      </c>
      <c r="AE7" s="3448" t="s">
        <v>3475</v>
      </c>
      <c r="AF7" s="3448" t="s">
        <v>3476</v>
      </c>
      <c r="AG7" s="3448" t="s">
        <v>3477</v>
      </c>
      <c r="AH7" s="3448" t="s">
        <v>3478</v>
      </c>
      <c r="AI7" s="3448" t="s">
        <v>3479</v>
      </c>
      <c r="AJ7" s="3448" t="s">
        <v>3480</v>
      </c>
      <c r="AK7" s="3448" t="s">
        <v>3481</v>
      </c>
      <c r="AL7" s="3448" t="s">
        <v>3482</v>
      </c>
      <c r="AM7" s="3448" t="s">
        <v>3483</v>
      </c>
      <c r="AN7" s="3448" t="s">
        <v>3484</v>
      </c>
      <c r="AO7" s="3448" t="s">
        <v>3485</v>
      </c>
      <c r="AP7" s="3448" t="s">
        <v>3486</v>
      </c>
      <c r="AQ7" s="3448" t="s">
        <v>3487</v>
      </c>
      <c r="AR7" s="3448" t="s">
        <v>3488</v>
      </c>
      <c r="AS7" s="3448" t="s">
        <v>3489</v>
      </c>
      <c r="AT7" s="3448" t="s">
        <v>3490</v>
      </c>
      <c r="AU7" s="3448" t="s">
        <v>3491</v>
      </c>
      <c r="AV7" s="3448" t="s">
        <v>3492</v>
      </c>
      <c r="AW7" s="3448" t="s">
        <v>3493</v>
      </c>
      <c r="AX7" s="3448" t="s">
        <v>3494</v>
      </c>
      <c r="AY7" s="3448" t="s">
        <v>3495</v>
      </c>
      <c r="AZ7" s="3448" t="s">
        <v>3496</v>
      </c>
      <c r="BA7" s="3448" t="s">
        <v>3497</v>
      </c>
      <c r="BB7" s="3448" t="s">
        <v>3498</v>
      </c>
      <c r="BC7" s="3448" t="s">
        <v>3499</v>
      </c>
      <c r="BD7" s="3448" t="s">
        <v>3500</v>
      </c>
      <c r="BE7" s="3448" t="s">
        <v>3501</v>
      </c>
      <c r="BF7" s="3448" t="s">
        <v>3502</v>
      </c>
      <c r="BG7" s="3448" t="s">
        <v>3503</v>
      </c>
      <c r="BH7" s="3448" t="s">
        <v>3504</v>
      </c>
      <c r="BI7" s="3448" t="s">
        <v>3505</v>
      </c>
    </row>
    <row r="8" spans="1:61">
      <c r="A8" s="3448" t="s">
        <v>3506</v>
      </c>
      <c r="B8" s="3448" t="s">
        <v>3361</v>
      </c>
      <c r="C8" s="3448" t="s">
        <v>3507</v>
      </c>
      <c r="D8" s="3448" t="s">
        <v>3508</v>
      </c>
      <c r="E8" s="3448" t="s">
        <v>3509</v>
      </c>
      <c r="F8" s="3448" t="s">
        <v>3510</v>
      </c>
      <c r="G8" s="3448" t="s">
        <v>3511</v>
      </c>
      <c r="H8" s="3448" t="s">
        <v>3512</v>
      </c>
      <c r="I8" s="3448">
        <v>37655.61</v>
      </c>
      <c r="J8" s="3448">
        <v>56108.97</v>
      </c>
      <c r="K8" s="3448" t="s">
        <v>3513</v>
      </c>
      <c r="L8" s="3448">
        <v>1.6</v>
      </c>
      <c r="M8" s="3448" t="s">
        <v>3514</v>
      </c>
      <c r="N8" s="3448" t="s">
        <v>3515</v>
      </c>
      <c r="O8" s="3448" t="s">
        <v>3516</v>
      </c>
      <c r="P8" s="3448" t="s">
        <v>3517</v>
      </c>
      <c r="Q8" s="3448" t="s">
        <v>3518</v>
      </c>
      <c r="R8" s="3448" t="s">
        <v>3518</v>
      </c>
      <c r="S8" s="3448" t="s">
        <v>3519</v>
      </c>
      <c r="T8" s="3448" t="s">
        <v>3518</v>
      </c>
      <c r="U8" s="3448" t="s">
        <v>3518</v>
      </c>
      <c r="V8" s="3448" t="s">
        <v>3518</v>
      </c>
      <c r="W8" s="3448" t="s">
        <v>3518</v>
      </c>
      <c r="X8" s="3448" t="s">
        <v>3518</v>
      </c>
      <c r="Y8" s="3448" t="s">
        <v>3518</v>
      </c>
      <c r="Z8" s="3448">
        <v>0</v>
      </c>
      <c r="AA8" s="3448">
        <v>0</v>
      </c>
      <c r="AB8" s="3449">
        <v>45329.000497685185</v>
      </c>
      <c r="AC8" s="3449">
        <v>45352.000497685185</v>
      </c>
      <c r="AD8" s="3449">
        <v>45366.000497685185</v>
      </c>
      <c r="AE8" s="3449">
        <v>45366.000497685185</v>
      </c>
      <c r="AF8" s="3448" t="s">
        <v>3520</v>
      </c>
      <c r="AG8" s="3448" t="s">
        <v>3521</v>
      </c>
      <c r="AH8" s="3448" t="s">
        <v>3522</v>
      </c>
      <c r="AI8" s="3448" t="s">
        <v>3523</v>
      </c>
      <c r="AJ8" s="3448" t="s">
        <v>3524</v>
      </c>
      <c r="AK8" s="3448" t="s">
        <v>3525</v>
      </c>
      <c r="AL8" s="3448">
        <v>74000</v>
      </c>
      <c r="AM8" s="3448">
        <v>15000</v>
      </c>
      <c r="AN8" s="3448" t="s">
        <v>3526</v>
      </c>
      <c r="AO8" s="3448">
        <v>74000</v>
      </c>
      <c r="AP8" s="3448">
        <v>19651.78</v>
      </c>
      <c r="AQ8" s="3448">
        <v>19651.78</v>
      </c>
      <c r="AR8" s="3448">
        <v>1310.1199999999999</v>
      </c>
      <c r="AS8" s="3448">
        <v>1310.1199999999999</v>
      </c>
      <c r="AT8" s="3448">
        <v>13189</v>
      </c>
      <c r="AU8" s="3448">
        <v>13189</v>
      </c>
      <c r="AV8" s="3448" t="s">
        <v>3518</v>
      </c>
      <c r="AW8" s="3448" t="s">
        <v>3518</v>
      </c>
      <c r="AX8" s="3448">
        <v>0</v>
      </c>
      <c r="AY8" s="3448" t="s">
        <v>3527</v>
      </c>
      <c r="AZ8" s="3448" t="s">
        <v>3518</v>
      </c>
      <c r="BA8" s="3448" t="s">
        <v>3518</v>
      </c>
      <c r="BB8" s="3448" t="s">
        <v>3518</v>
      </c>
      <c r="BC8" s="3448" t="s">
        <v>3518</v>
      </c>
      <c r="BD8" s="3448" t="s">
        <v>3518</v>
      </c>
      <c r="BE8" s="3448" t="s">
        <v>3518</v>
      </c>
      <c r="BF8" s="3448" t="s">
        <v>3518</v>
      </c>
      <c r="BG8" s="3448" t="s">
        <v>3528</v>
      </c>
      <c r="BH8" s="3448" t="s">
        <v>3529</v>
      </c>
      <c r="BI8" s="3448" t="s">
        <v>3530</v>
      </c>
    </row>
    <row r="9" spans="1:61">
      <c r="A9" s="3448" t="s">
        <v>3531</v>
      </c>
      <c r="B9" s="3448" t="s">
        <v>3361</v>
      </c>
      <c r="C9" s="3448" t="s">
        <v>3532</v>
      </c>
      <c r="D9" s="3448" t="s">
        <v>3508</v>
      </c>
      <c r="E9" s="3448" t="s">
        <v>3509</v>
      </c>
      <c r="F9" s="3448" t="s">
        <v>3533</v>
      </c>
      <c r="G9" s="3448" t="s">
        <v>3534</v>
      </c>
      <c r="H9" s="3448" t="s">
        <v>3512</v>
      </c>
      <c r="I9" s="3448">
        <v>70601.06</v>
      </c>
      <c r="J9" s="3448">
        <v>285523</v>
      </c>
      <c r="K9" s="3448">
        <v>4.04</v>
      </c>
      <c r="L9" s="3448">
        <v>4.04</v>
      </c>
      <c r="M9" s="3448" t="s">
        <v>3514</v>
      </c>
      <c r="N9" s="3448" t="s">
        <v>3535</v>
      </c>
      <c r="O9" s="3448" t="s">
        <v>3536</v>
      </c>
      <c r="P9" s="3448" t="s">
        <v>3517</v>
      </c>
      <c r="Q9" s="3448" t="s">
        <v>3518</v>
      </c>
      <c r="R9" s="3448" t="s">
        <v>3518</v>
      </c>
      <c r="S9" s="3448" t="s">
        <v>3518</v>
      </c>
      <c r="T9" s="3448" t="s">
        <v>3518</v>
      </c>
      <c r="U9" s="3448" t="s">
        <v>3518</v>
      </c>
      <c r="V9" s="3448" t="s">
        <v>3518</v>
      </c>
      <c r="W9" s="3448" t="s">
        <v>3518</v>
      </c>
      <c r="X9" s="3448" t="s">
        <v>3518</v>
      </c>
      <c r="Y9" s="3448" t="s">
        <v>3518</v>
      </c>
      <c r="Z9" s="3448">
        <v>0</v>
      </c>
      <c r="AA9" s="3448">
        <v>0</v>
      </c>
      <c r="AB9" s="3449">
        <v>45279.000497685185</v>
      </c>
      <c r="AC9" s="3449">
        <v>45300.000497685185</v>
      </c>
      <c r="AD9" s="3449">
        <v>45314.000497685185</v>
      </c>
      <c r="AE9" s="3449">
        <v>45314.000497685185</v>
      </c>
      <c r="AF9" s="3448" t="s">
        <v>3537</v>
      </c>
      <c r="AG9" s="3448" t="s">
        <v>3521</v>
      </c>
      <c r="AH9" s="3448" t="s">
        <v>3538</v>
      </c>
      <c r="AI9" s="3448" t="s">
        <v>3539</v>
      </c>
      <c r="AJ9" s="3448" t="s">
        <v>3518</v>
      </c>
      <c r="AK9" s="3448" t="s">
        <v>3518</v>
      </c>
      <c r="AL9" s="3448">
        <v>642000</v>
      </c>
      <c r="AM9" s="3448">
        <v>129000</v>
      </c>
      <c r="AN9" s="3448" t="s">
        <v>3540</v>
      </c>
      <c r="AO9" s="3448">
        <v>642000</v>
      </c>
      <c r="AP9" s="3448">
        <v>90933.48</v>
      </c>
      <c r="AQ9" s="3448">
        <v>90933.48</v>
      </c>
      <c r="AR9" s="3448">
        <v>6062.23</v>
      </c>
      <c r="AS9" s="3448">
        <v>6062.23</v>
      </c>
      <c r="AT9" s="3448">
        <v>22485</v>
      </c>
      <c r="AU9" s="3448">
        <v>22485</v>
      </c>
      <c r="AV9" s="3448" t="s">
        <v>3518</v>
      </c>
      <c r="AW9" s="3448" t="s">
        <v>3518</v>
      </c>
      <c r="AX9" s="3448">
        <v>0</v>
      </c>
      <c r="AY9" s="3448" t="s">
        <v>3541</v>
      </c>
      <c r="AZ9" s="3448" t="s">
        <v>3518</v>
      </c>
      <c r="BA9" s="3448" t="s">
        <v>3518</v>
      </c>
      <c r="BB9" s="3448" t="s">
        <v>3518</v>
      </c>
      <c r="BC9" s="3448" t="s">
        <v>3518</v>
      </c>
      <c r="BD9" s="3448" t="s">
        <v>3518</v>
      </c>
      <c r="BE9" s="3448" t="s">
        <v>3518</v>
      </c>
      <c r="BF9" s="3448" t="s">
        <v>3518</v>
      </c>
      <c r="BG9" s="3448" t="s">
        <v>3528</v>
      </c>
      <c r="BH9" s="3448" t="s">
        <v>3529</v>
      </c>
      <c r="BI9" s="3448" t="s">
        <v>3530</v>
      </c>
    </row>
    <row r="10" spans="1:61">
      <c r="A10" s="3448" t="s">
        <v>3542</v>
      </c>
      <c r="B10" s="3448" t="s">
        <v>3361</v>
      </c>
      <c r="C10" s="3448" t="s">
        <v>3543</v>
      </c>
      <c r="D10" s="3448" t="s">
        <v>3508</v>
      </c>
      <c r="E10" s="3448" t="s">
        <v>3544</v>
      </c>
      <c r="F10" s="3448" t="s">
        <v>3510</v>
      </c>
      <c r="G10" s="3448" t="s">
        <v>3545</v>
      </c>
      <c r="H10" s="3448" t="s">
        <v>3512</v>
      </c>
      <c r="I10" s="3448">
        <v>32636.74</v>
      </c>
      <c r="J10" s="3448">
        <v>78328</v>
      </c>
      <c r="K10" s="3448">
        <v>2.4</v>
      </c>
      <c r="L10" s="3448">
        <v>2.4</v>
      </c>
      <c r="M10" s="3448" t="s">
        <v>3514</v>
      </c>
      <c r="N10" s="3448" t="s">
        <v>3546</v>
      </c>
      <c r="O10" s="3448" t="s">
        <v>3547</v>
      </c>
      <c r="P10" s="3448" t="s">
        <v>3517</v>
      </c>
      <c r="Q10" s="3448" t="s">
        <v>3518</v>
      </c>
      <c r="R10" s="3448" t="s">
        <v>3518</v>
      </c>
      <c r="S10" s="3448">
        <v>36</v>
      </c>
      <c r="T10" s="3448" t="s">
        <v>3518</v>
      </c>
      <c r="U10" s="3448" t="s">
        <v>3518</v>
      </c>
      <c r="V10" s="3448" t="s">
        <v>3518</v>
      </c>
      <c r="W10" s="3448" t="s">
        <v>3518</v>
      </c>
      <c r="X10" s="3448" t="s">
        <v>3518</v>
      </c>
      <c r="Y10" s="3448" t="s">
        <v>3518</v>
      </c>
      <c r="Z10" s="3448">
        <v>0</v>
      </c>
      <c r="AA10" s="3448">
        <v>0</v>
      </c>
      <c r="AB10" s="3449">
        <v>45274.000497685185</v>
      </c>
      <c r="AC10" s="3449">
        <v>45294.000497685185</v>
      </c>
      <c r="AD10" s="3449">
        <v>45308.000497685185</v>
      </c>
      <c r="AE10" s="3449">
        <v>45308.000497685185</v>
      </c>
      <c r="AF10" s="3448" t="s">
        <v>3548</v>
      </c>
      <c r="AG10" s="3448" t="s">
        <v>3521</v>
      </c>
      <c r="AH10" s="3448" t="s">
        <v>3549</v>
      </c>
      <c r="AI10" s="3448" t="s">
        <v>3550</v>
      </c>
      <c r="AJ10" s="3448" t="s">
        <v>3524</v>
      </c>
      <c r="AK10" s="3448" t="s">
        <v>3525</v>
      </c>
      <c r="AL10" s="3448">
        <v>65000</v>
      </c>
      <c r="AM10" s="3448">
        <v>13000</v>
      </c>
      <c r="AN10" s="3448" t="s">
        <v>3551</v>
      </c>
      <c r="AO10" s="3448">
        <v>65000</v>
      </c>
      <c r="AP10" s="3448">
        <v>19916.2</v>
      </c>
      <c r="AQ10" s="3448">
        <v>19916.2</v>
      </c>
      <c r="AR10" s="3448">
        <v>1327.75</v>
      </c>
      <c r="AS10" s="3448">
        <v>1327.75</v>
      </c>
      <c r="AT10" s="3448">
        <v>8298</v>
      </c>
      <c r="AU10" s="3448">
        <v>8298</v>
      </c>
      <c r="AV10" s="3448" t="s">
        <v>3518</v>
      </c>
      <c r="AW10" s="3448" t="s">
        <v>3518</v>
      </c>
      <c r="AX10" s="3448">
        <v>0</v>
      </c>
      <c r="AY10" s="3448">
        <v>20</v>
      </c>
      <c r="AZ10" s="3448" t="s">
        <v>3518</v>
      </c>
      <c r="BA10" s="3448" t="s">
        <v>3518</v>
      </c>
      <c r="BB10" s="3448" t="s">
        <v>3518</v>
      </c>
      <c r="BC10" s="3448" t="s">
        <v>3518</v>
      </c>
      <c r="BD10" s="3448" t="s">
        <v>3518</v>
      </c>
      <c r="BE10" s="3448" t="s">
        <v>3518</v>
      </c>
      <c r="BF10" s="3448" t="s">
        <v>3518</v>
      </c>
      <c r="BG10" s="3448" t="s">
        <v>3528</v>
      </c>
      <c r="BH10" s="3448" t="s">
        <v>3529</v>
      </c>
      <c r="BI10" s="3448" t="s">
        <v>3530</v>
      </c>
    </row>
    <row r="11" spans="1:61">
      <c r="A11" s="3448" t="s">
        <v>3552</v>
      </c>
      <c r="B11" s="3448" t="s">
        <v>3361</v>
      </c>
      <c r="C11" s="3448" t="s">
        <v>3553</v>
      </c>
      <c r="D11" s="3448" t="s">
        <v>3508</v>
      </c>
      <c r="E11" s="3448" t="s">
        <v>3544</v>
      </c>
      <c r="F11" s="3448" t="s">
        <v>3554</v>
      </c>
      <c r="G11" s="3448" t="s">
        <v>3545</v>
      </c>
      <c r="H11" s="3448" t="s">
        <v>3512</v>
      </c>
      <c r="I11" s="3448">
        <v>64012.4</v>
      </c>
      <c r="J11" s="3448">
        <v>192037.19</v>
      </c>
      <c r="K11" s="3448">
        <v>3</v>
      </c>
      <c r="L11" s="3448">
        <v>3</v>
      </c>
      <c r="M11" s="3448" t="s">
        <v>3514</v>
      </c>
      <c r="N11" s="3448" t="s">
        <v>3555</v>
      </c>
      <c r="O11" s="3448" t="s">
        <v>3547</v>
      </c>
      <c r="P11" s="3448" t="s">
        <v>3517</v>
      </c>
      <c r="Q11" s="3448" t="s">
        <v>3518</v>
      </c>
      <c r="R11" s="3448" t="s">
        <v>3518</v>
      </c>
      <c r="S11" s="3448" t="s">
        <v>3518</v>
      </c>
      <c r="T11" s="3448" t="s">
        <v>3518</v>
      </c>
      <c r="U11" s="3448" t="s">
        <v>3518</v>
      </c>
      <c r="V11" s="3448" t="s">
        <v>3518</v>
      </c>
      <c r="W11" s="3448" t="s">
        <v>3518</v>
      </c>
      <c r="X11" s="3448" t="s">
        <v>3518</v>
      </c>
      <c r="Y11" s="3448" t="s">
        <v>3518</v>
      </c>
      <c r="Z11" s="3448">
        <v>0</v>
      </c>
      <c r="AA11" s="3448">
        <v>0</v>
      </c>
      <c r="AB11" s="3449">
        <v>44896.000497685185</v>
      </c>
      <c r="AC11" s="3449">
        <v>44916.000497685185</v>
      </c>
      <c r="AD11" s="3449">
        <v>44931.000497685185</v>
      </c>
      <c r="AE11" s="3449">
        <v>44931.000497685185</v>
      </c>
      <c r="AF11" s="3448" t="s">
        <v>3556</v>
      </c>
      <c r="AG11" s="3448" t="s">
        <v>3521</v>
      </c>
      <c r="AH11" s="3448" t="s">
        <v>3557</v>
      </c>
      <c r="AI11" s="3448" t="s">
        <v>3558</v>
      </c>
      <c r="AJ11" s="3448" t="s">
        <v>3559</v>
      </c>
      <c r="AK11" s="3448" t="s">
        <v>3560</v>
      </c>
      <c r="AL11" s="3448">
        <v>177000</v>
      </c>
      <c r="AM11" s="3448">
        <v>36000</v>
      </c>
      <c r="AN11" s="3448" t="s">
        <v>3561</v>
      </c>
      <c r="AO11" s="3448">
        <v>177000</v>
      </c>
      <c r="AP11" s="3448">
        <v>27650.89</v>
      </c>
      <c r="AQ11" s="3448">
        <v>27650.89</v>
      </c>
      <c r="AR11" s="3448">
        <v>1843.39</v>
      </c>
      <c r="AS11" s="3448">
        <v>1843.39</v>
      </c>
      <c r="AT11" s="3448">
        <v>9217</v>
      </c>
      <c r="AU11" s="3448">
        <v>9217</v>
      </c>
      <c r="AV11" s="3448" t="s">
        <v>3518</v>
      </c>
      <c r="AW11" s="3448" t="s">
        <v>3518</v>
      </c>
      <c r="AX11" s="3448">
        <v>0</v>
      </c>
      <c r="AY11" s="3448" t="s">
        <v>3562</v>
      </c>
      <c r="AZ11" s="3448" t="s">
        <v>3518</v>
      </c>
      <c r="BA11" s="3448" t="s">
        <v>3518</v>
      </c>
      <c r="BB11" s="3448" t="s">
        <v>3518</v>
      </c>
      <c r="BC11" s="3448" t="s">
        <v>3518</v>
      </c>
      <c r="BD11" s="3448" t="s">
        <v>3518</v>
      </c>
      <c r="BE11" s="3448" t="s">
        <v>3518</v>
      </c>
      <c r="BF11" s="3448" t="s">
        <v>3518</v>
      </c>
      <c r="BG11" s="3448" t="s">
        <v>3528</v>
      </c>
      <c r="BH11" s="3448" t="s">
        <v>3529</v>
      </c>
      <c r="BI11" s="3448" t="s">
        <v>3530</v>
      </c>
    </row>
    <row r="12" spans="1:61">
      <c r="A12" s="3448" t="s">
        <v>3563</v>
      </c>
      <c r="B12" s="3448" t="s">
        <v>3361</v>
      </c>
      <c r="C12" s="3448" t="s">
        <v>3564</v>
      </c>
      <c r="D12" s="3448" t="s">
        <v>3508</v>
      </c>
      <c r="E12" s="3448" t="s">
        <v>3509</v>
      </c>
      <c r="F12" s="3448" t="s">
        <v>3533</v>
      </c>
      <c r="G12" s="3448" t="s">
        <v>3565</v>
      </c>
      <c r="H12" s="3448" t="s">
        <v>3512</v>
      </c>
      <c r="I12" s="3448">
        <v>70601.070000000007</v>
      </c>
      <c r="J12" s="3448">
        <v>285523</v>
      </c>
      <c r="K12" s="3448" t="s">
        <v>3566</v>
      </c>
      <c r="L12" s="3448">
        <v>4.04</v>
      </c>
      <c r="M12" s="3448" t="s">
        <v>3567</v>
      </c>
      <c r="N12" s="3448" t="s">
        <v>3535</v>
      </c>
      <c r="O12" s="3448" t="s">
        <v>3536</v>
      </c>
      <c r="P12" s="3448" t="s">
        <v>3517</v>
      </c>
      <c r="Q12" s="3448" t="s">
        <v>3518</v>
      </c>
      <c r="R12" s="3448" t="s">
        <v>3518</v>
      </c>
      <c r="S12" s="3448" t="s">
        <v>3518</v>
      </c>
      <c r="T12" s="3448" t="s">
        <v>3518</v>
      </c>
      <c r="U12" s="3448" t="s">
        <v>3518</v>
      </c>
      <c r="V12" s="3448" t="s">
        <v>3518</v>
      </c>
      <c r="W12" s="3448" t="s">
        <v>3518</v>
      </c>
      <c r="X12" s="3448">
        <v>0</v>
      </c>
      <c r="Y12" s="3448">
        <v>0</v>
      </c>
      <c r="Z12" s="3448">
        <v>0</v>
      </c>
      <c r="AA12" s="3448">
        <v>0</v>
      </c>
      <c r="AB12" s="3449">
        <v>43770.000497685185</v>
      </c>
      <c r="AC12" s="3449">
        <v>43798.000497685185</v>
      </c>
      <c r="AD12" s="3449">
        <v>43801.000497685185</v>
      </c>
      <c r="AE12" s="3449">
        <v>43801.000497685185</v>
      </c>
      <c r="AF12" s="3448" t="s">
        <v>3568</v>
      </c>
      <c r="AG12" s="3448" t="s">
        <v>3521</v>
      </c>
      <c r="AH12" s="3448" t="s">
        <v>3569</v>
      </c>
      <c r="AI12" s="3448" t="s">
        <v>3570</v>
      </c>
      <c r="AJ12" s="3448" t="s">
        <v>3571</v>
      </c>
      <c r="AK12" s="3448" t="s">
        <v>3518</v>
      </c>
      <c r="AL12" s="3448" t="s">
        <v>3518</v>
      </c>
      <c r="AM12" s="3448">
        <v>131000</v>
      </c>
      <c r="AN12" s="3448" t="s">
        <v>633</v>
      </c>
      <c r="AO12" s="3448">
        <v>660900</v>
      </c>
      <c r="AP12" s="3448" t="s">
        <v>3518</v>
      </c>
      <c r="AQ12" s="3448">
        <v>93610.48</v>
      </c>
      <c r="AR12" s="3448" t="s">
        <v>3518</v>
      </c>
      <c r="AS12" s="3448">
        <v>6240.7</v>
      </c>
      <c r="AT12" s="3448" t="s">
        <v>3518</v>
      </c>
      <c r="AU12" s="3448">
        <v>23147</v>
      </c>
      <c r="AV12" s="3448" t="s">
        <v>3518</v>
      </c>
      <c r="AW12" s="3448" t="s">
        <v>3518</v>
      </c>
      <c r="AX12" s="3448">
        <v>0</v>
      </c>
      <c r="AY12" s="3448" t="s">
        <v>3572</v>
      </c>
      <c r="AZ12" s="3448" t="s">
        <v>3518</v>
      </c>
      <c r="BA12" s="3448" t="s">
        <v>3518</v>
      </c>
      <c r="BB12" s="3448" t="s">
        <v>3518</v>
      </c>
      <c r="BC12" s="3448" t="s">
        <v>3518</v>
      </c>
      <c r="BD12" s="3448" t="s">
        <v>3518</v>
      </c>
      <c r="BE12" s="3448" t="s">
        <v>3518</v>
      </c>
      <c r="BF12" s="3448" t="s">
        <v>3518</v>
      </c>
      <c r="BG12" s="3448" t="s">
        <v>3573</v>
      </c>
      <c r="BH12" s="3448" t="s">
        <v>3529</v>
      </c>
      <c r="BI12" s="3448" t="s">
        <v>3530</v>
      </c>
    </row>
    <row r="13" spans="1:61">
      <c r="A13" s="3448" t="s">
        <v>3574</v>
      </c>
      <c r="B13" s="3448" t="s">
        <v>3361</v>
      </c>
      <c r="C13" s="3448" t="s">
        <v>3575</v>
      </c>
      <c r="D13" s="3448" t="s">
        <v>3508</v>
      </c>
      <c r="E13" s="3448" t="s">
        <v>3576</v>
      </c>
      <c r="F13" s="3448" t="s">
        <v>3577</v>
      </c>
      <c r="G13" s="3448" t="s">
        <v>3578</v>
      </c>
      <c r="H13" s="3448" t="s">
        <v>3512</v>
      </c>
      <c r="I13" s="3448">
        <v>138746.29999999999</v>
      </c>
      <c r="J13" s="3448">
        <v>486596</v>
      </c>
      <c r="K13" s="3448">
        <v>3.51</v>
      </c>
      <c r="L13" s="3448">
        <v>3.51</v>
      </c>
      <c r="M13" s="3448" t="s">
        <v>3514</v>
      </c>
      <c r="N13" s="3448" t="s">
        <v>3535</v>
      </c>
      <c r="O13" s="3448" t="s">
        <v>3579</v>
      </c>
      <c r="P13" s="3448" t="s">
        <v>3517</v>
      </c>
      <c r="Q13" s="3448" t="s">
        <v>3518</v>
      </c>
      <c r="R13" s="3448" t="s">
        <v>3518</v>
      </c>
      <c r="S13" s="3448" t="s">
        <v>3580</v>
      </c>
      <c r="T13" s="3448" t="s">
        <v>3518</v>
      </c>
      <c r="U13" s="3448" t="s">
        <v>3518</v>
      </c>
      <c r="V13" s="3448" t="s">
        <v>3518</v>
      </c>
      <c r="W13" s="3448" t="s">
        <v>3518</v>
      </c>
      <c r="X13" s="3448">
        <v>0</v>
      </c>
      <c r="Y13" s="3448">
        <v>0</v>
      </c>
      <c r="Z13" s="3448">
        <v>0</v>
      </c>
      <c r="AA13" s="3448">
        <v>0</v>
      </c>
      <c r="AB13" s="3449">
        <v>43373.000497685185</v>
      </c>
      <c r="AC13" s="3449">
        <v>43395.000497685185</v>
      </c>
      <c r="AD13" s="3449">
        <v>43409.000497685185</v>
      </c>
      <c r="AE13" s="3449">
        <v>43409.000497685185</v>
      </c>
      <c r="AF13" s="3448" t="s">
        <v>3581</v>
      </c>
      <c r="AG13" s="3448" t="s">
        <v>3521</v>
      </c>
      <c r="AH13" s="3448" t="s">
        <v>3582</v>
      </c>
      <c r="AI13" s="3448" t="s">
        <v>3583</v>
      </c>
      <c r="AJ13" s="3448" t="s">
        <v>3524</v>
      </c>
      <c r="AK13" s="3448" t="s">
        <v>3518</v>
      </c>
      <c r="AL13" s="3448">
        <v>866300</v>
      </c>
      <c r="AM13" s="3448">
        <v>174000</v>
      </c>
      <c r="AN13" s="3448" t="s">
        <v>633</v>
      </c>
      <c r="AO13" s="3448">
        <v>866300</v>
      </c>
      <c r="AP13" s="3448">
        <v>62437.7</v>
      </c>
      <c r="AQ13" s="3448">
        <v>62437.7</v>
      </c>
      <c r="AR13" s="3448">
        <v>4162.51</v>
      </c>
      <c r="AS13" s="3448">
        <v>4162.51</v>
      </c>
      <c r="AT13" s="3448">
        <v>17803</v>
      </c>
      <c r="AU13" s="3448">
        <v>17803</v>
      </c>
      <c r="AV13" s="3448" t="s">
        <v>3518</v>
      </c>
      <c r="AW13" s="3448" t="s">
        <v>3518</v>
      </c>
      <c r="AX13" s="3448">
        <v>0</v>
      </c>
      <c r="AY13" s="3448" t="s">
        <v>3572</v>
      </c>
      <c r="AZ13" s="3448" t="s">
        <v>3518</v>
      </c>
      <c r="BA13" s="3448" t="s">
        <v>3518</v>
      </c>
      <c r="BB13" s="3448" t="s">
        <v>3518</v>
      </c>
      <c r="BC13" s="3448" t="s">
        <v>3518</v>
      </c>
      <c r="BD13" s="3448" t="s">
        <v>3518</v>
      </c>
      <c r="BE13" s="3448" t="s">
        <v>3518</v>
      </c>
      <c r="BF13" s="3448">
        <v>0</v>
      </c>
      <c r="BG13" s="3448" t="s">
        <v>3573</v>
      </c>
      <c r="BH13" s="3448" t="s">
        <v>3529</v>
      </c>
      <c r="BI13" s="3448" t="s">
        <v>3530</v>
      </c>
    </row>
    <row r="14" spans="1:61">
      <c r="A14" s="3448" t="s">
        <v>3584</v>
      </c>
      <c r="B14" s="3448" t="s">
        <v>3361</v>
      </c>
      <c r="C14" s="3448" t="s">
        <v>3585</v>
      </c>
      <c r="D14" s="3448" t="s">
        <v>3508</v>
      </c>
      <c r="E14" s="3448" t="s">
        <v>3544</v>
      </c>
      <c r="F14" s="3448" t="s">
        <v>3510</v>
      </c>
      <c r="G14" s="3448" t="s">
        <v>3586</v>
      </c>
      <c r="H14" s="3448" t="s">
        <v>3512</v>
      </c>
      <c r="I14" s="3448">
        <v>59747.77</v>
      </c>
      <c r="J14" s="3448">
        <v>89622</v>
      </c>
      <c r="K14" s="3448">
        <v>1.5</v>
      </c>
      <c r="L14" s="3448">
        <v>1.5</v>
      </c>
      <c r="M14" s="3448" t="s">
        <v>3514</v>
      </c>
      <c r="N14" s="3448" t="s">
        <v>3555</v>
      </c>
      <c r="O14" s="3448" t="s">
        <v>3547</v>
      </c>
      <c r="P14" s="3448" t="s">
        <v>3517</v>
      </c>
      <c r="Q14" s="3448" t="s">
        <v>3518</v>
      </c>
      <c r="R14" s="3448" t="s">
        <v>3587</v>
      </c>
      <c r="S14" s="3448" t="s">
        <v>3588</v>
      </c>
      <c r="T14" s="3448" t="s">
        <v>3518</v>
      </c>
      <c r="U14" s="3448" t="s">
        <v>3518</v>
      </c>
      <c r="V14" s="3448" t="s">
        <v>3518</v>
      </c>
      <c r="W14" s="3448" t="s">
        <v>3518</v>
      </c>
      <c r="X14" s="3448">
        <v>0</v>
      </c>
      <c r="Y14" s="3448">
        <v>0</v>
      </c>
      <c r="Z14" s="3448">
        <v>0</v>
      </c>
      <c r="AA14" s="3448">
        <v>0</v>
      </c>
      <c r="AB14" s="3449">
        <v>43069.000497685185</v>
      </c>
      <c r="AC14" s="3449">
        <v>43094.000497685185</v>
      </c>
      <c r="AD14" s="3449">
        <v>43109.000497685185</v>
      </c>
      <c r="AE14" s="3449">
        <v>43109.000497685185</v>
      </c>
      <c r="AF14" s="3448" t="s">
        <v>3589</v>
      </c>
      <c r="AG14" s="3448" t="s">
        <v>3521</v>
      </c>
      <c r="AH14" s="3448" t="s">
        <v>3590</v>
      </c>
      <c r="AI14" s="3448" t="s">
        <v>3550</v>
      </c>
      <c r="AJ14" s="3448" t="s">
        <v>3524</v>
      </c>
      <c r="AK14" s="3448" t="s">
        <v>3525</v>
      </c>
      <c r="AL14" s="3448">
        <v>146800</v>
      </c>
      <c r="AM14" s="3448">
        <v>44000</v>
      </c>
      <c r="AN14" s="3448" t="s">
        <v>633</v>
      </c>
      <c r="AO14" s="3448">
        <v>146800</v>
      </c>
      <c r="AP14" s="3448">
        <v>24569.95</v>
      </c>
      <c r="AQ14" s="3448">
        <v>24569.95</v>
      </c>
      <c r="AR14" s="3448">
        <v>1638</v>
      </c>
      <c r="AS14" s="3448">
        <v>1638</v>
      </c>
      <c r="AT14" s="3448">
        <v>16380</v>
      </c>
      <c r="AU14" s="3448">
        <v>16380</v>
      </c>
      <c r="AV14" s="3448" t="s">
        <v>3518</v>
      </c>
      <c r="AW14" s="3448" t="s">
        <v>3518</v>
      </c>
      <c r="AX14" s="3448">
        <v>0</v>
      </c>
      <c r="AY14" s="3448" t="s">
        <v>3591</v>
      </c>
      <c r="AZ14" s="3448" t="s">
        <v>3518</v>
      </c>
      <c r="BA14" s="3448" t="s">
        <v>3518</v>
      </c>
      <c r="BB14" s="3448" t="s">
        <v>3518</v>
      </c>
      <c r="BC14" s="3448" t="s">
        <v>3518</v>
      </c>
      <c r="BD14" s="3448" t="s">
        <v>3518</v>
      </c>
      <c r="BE14" s="3448" t="s">
        <v>3518</v>
      </c>
      <c r="BF14" s="3448">
        <v>0</v>
      </c>
      <c r="BG14" s="3448" t="s">
        <v>3573</v>
      </c>
      <c r="BH14" s="3448" t="s">
        <v>3529</v>
      </c>
      <c r="BI14" s="3448" t="s">
        <v>3530</v>
      </c>
    </row>
    <row r="15" spans="1:61">
      <c r="A15" s="3448" t="s">
        <v>3592</v>
      </c>
      <c r="B15" s="3448" t="s">
        <v>3361</v>
      </c>
      <c r="C15" s="3448" t="s">
        <v>3593</v>
      </c>
      <c r="D15" s="3448" t="s">
        <v>3508</v>
      </c>
      <c r="E15" s="3448" t="s">
        <v>3544</v>
      </c>
      <c r="F15" s="3448" t="s">
        <v>3510</v>
      </c>
      <c r="G15" s="3448" t="s">
        <v>3586</v>
      </c>
      <c r="H15" s="3448" t="s">
        <v>3512</v>
      </c>
      <c r="I15" s="3448">
        <v>31420.65</v>
      </c>
      <c r="J15" s="3448">
        <v>65983</v>
      </c>
      <c r="K15" s="3448">
        <v>2.1</v>
      </c>
      <c r="L15" s="3448">
        <v>2.1</v>
      </c>
      <c r="M15" s="3448" t="s">
        <v>3514</v>
      </c>
      <c r="N15" s="3448" t="s">
        <v>3555</v>
      </c>
      <c r="O15" s="3448" t="s">
        <v>3547</v>
      </c>
      <c r="P15" s="3448" t="s">
        <v>3517</v>
      </c>
      <c r="Q15" s="3448" t="s">
        <v>3518</v>
      </c>
      <c r="R15" s="3448" t="s">
        <v>3587</v>
      </c>
      <c r="S15" s="3448" t="s">
        <v>3594</v>
      </c>
      <c r="T15" s="3448" t="s">
        <v>3518</v>
      </c>
      <c r="U15" s="3448" t="s">
        <v>3518</v>
      </c>
      <c r="V15" s="3448" t="s">
        <v>3518</v>
      </c>
      <c r="W15" s="3448" t="s">
        <v>3518</v>
      </c>
      <c r="X15" s="3448">
        <v>0</v>
      </c>
      <c r="Y15" s="3448">
        <v>0</v>
      </c>
      <c r="Z15" s="3448">
        <v>0</v>
      </c>
      <c r="AA15" s="3448">
        <v>0</v>
      </c>
      <c r="AB15" s="3449">
        <v>43069.000497685185</v>
      </c>
      <c r="AC15" s="3449">
        <v>43094.000497685185</v>
      </c>
      <c r="AD15" s="3449">
        <v>43109.000497685185</v>
      </c>
      <c r="AE15" s="3449">
        <v>43109.000497685185</v>
      </c>
      <c r="AF15" s="3448" t="s">
        <v>3595</v>
      </c>
      <c r="AG15" s="3448" t="s">
        <v>3521</v>
      </c>
      <c r="AH15" s="3448" t="s">
        <v>3596</v>
      </c>
      <c r="AI15" s="3448" t="s">
        <v>3558</v>
      </c>
      <c r="AJ15" s="3448" t="s">
        <v>3559</v>
      </c>
      <c r="AK15" s="3448" t="s">
        <v>3560</v>
      </c>
      <c r="AL15" s="3448">
        <v>108100</v>
      </c>
      <c r="AM15" s="3448">
        <v>33000</v>
      </c>
      <c r="AN15" s="3448" t="s">
        <v>633</v>
      </c>
      <c r="AO15" s="3448">
        <v>108100</v>
      </c>
      <c r="AP15" s="3448">
        <v>34404.120000000003</v>
      </c>
      <c r="AQ15" s="3448">
        <v>34404.120000000003</v>
      </c>
      <c r="AR15" s="3448">
        <v>2293.61</v>
      </c>
      <c r="AS15" s="3448">
        <v>2293.61</v>
      </c>
      <c r="AT15" s="3448">
        <v>16383</v>
      </c>
      <c r="AU15" s="3448">
        <v>16383</v>
      </c>
      <c r="AV15" s="3448" t="s">
        <v>3518</v>
      </c>
      <c r="AW15" s="3448" t="s">
        <v>3518</v>
      </c>
      <c r="AX15" s="3448">
        <v>0</v>
      </c>
      <c r="AY15" s="3448" t="s">
        <v>3591</v>
      </c>
      <c r="AZ15" s="3448" t="s">
        <v>3518</v>
      </c>
      <c r="BA15" s="3448" t="s">
        <v>3518</v>
      </c>
      <c r="BB15" s="3448" t="s">
        <v>3518</v>
      </c>
      <c r="BC15" s="3448" t="s">
        <v>3518</v>
      </c>
      <c r="BD15" s="3448" t="s">
        <v>3518</v>
      </c>
      <c r="BE15" s="3448" t="s">
        <v>3518</v>
      </c>
      <c r="BF15" s="3448">
        <v>0</v>
      </c>
      <c r="BG15" s="3448" t="s">
        <v>3573</v>
      </c>
      <c r="BH15" s="3448" t="s">
        <v>3529</v>
      </c>
      <c r="BI15" s="3448" t="s">
        <v>3530</v>
      </c>
    </row>
    <row r="19" spans="41:45">
      <c r="AO19" s="3448" t="s">
        <v>3597</v>
      </c>
      <c r="AQ19" s="3448">
        <f>常用公式!F12</f>
        <v>0.58540000000000003</v>
      </c>
      <c r="AS19" s="3474">
        <f>AU10/AQ19*常用公式!F11</f>
        <v>12605.75913905022</v>
      </c>
    </row>
  </sheetData>
  <phoneticPr fontId="133" type="noConversion"/>
  <pageMargins left="0.7" right="0.7" top="0.75" bottom="0.75" header="0.3" footer="0.3"/>
</worksheet>
</file>

<file path=xl/worksheets/sheet3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23">
    <tabColor rgb="FF92D050"/>
  </sheetPr>
  <dimension ref="A1:AS524"/>
  <sheetViews>
    <sheetView zoomScale="90" zoomScaleNormal="90" workbookViewId="0">
      <pane ySplit="24" topLeftCell="A416" activePane="bottomLeft" state="frozen"/>
      <selection activeCell="C50" sqref="C50"/>
      <selection pane="bottomLeft" activeCell="H20" sqref="H20"/>
    </sheetView>
  </sheetViews>
  <sheetFormatPr defaultColWidth="9" defaultRowHeight="12.75"/>
  <cols>
    <col min="1" max="1" width="11.5" style="130" customWidth="1"/>
    <col min="2" max="2" width="9.25" style="24" customWidth="1"/>
    <col min="3" max="3" width="5" style="24" customWidth="1"/>
    <col min="4" max="4" width="9" style="24"/>
    <col min="5" max="5" width="5" style="24" customWidth="1"/>
    <col min="6" max="6" width="9" style="24"/>
    <col min="7" max="7" width="5" style="24" customWidth="1"/>
    <col min="8" max="8" width="9" style="24"/>
    <col min="9" max="9" width="5" style="24" customWidth="1"/>
    <col min="10" max="10" width="9" style="24"/>
    <col min="11" max="11" width="5" style="24" customWidth="1"/>
    <col min="12" max="12" width="9" style="24"/>
    <col min="13" max="13" width="5" style="24" customWidth="1"/>
    <col min="14" max="14" width="9" style="24"/>
    <col min="15" max="15" width="5" style="24" customWidth="1"/>
    <col min="16" max="16" width="9" style="24"/>
    <col min="17" max="17" width="5" style="24" customWidth="1"/>
    <col min="18" max="18" width="9" style="650"/>
    <col min="19" max="19" width="9" style="130"/>
    <col min="20" max="45" width="9" style="725"/>
    <col min="46" max="16384" width="9" style="130"/>
  </cols>
  <sheetData>
    <row r="1" spans="1:45" ht="14.25" customHeight="1" thickBot="1">
      <c r="A1" s="146"/>
      <c r="B1" s="983" t="s">
        <v>2064</v>
      </c>
      <c r="C1" s="3796" t="s">
        <v>2065</v>
      </c>
      <c r="D1" s="3797"/>
      <c r="E1" s="3797"/>
      <c r="F1" s="3797"/>
      <c r="G1" s="3797"/>
      <c r="H1" s="3797"/>
      <c r="I1" s="3797"/>
      <c r="J1" s="3797"/>
      <c r="K1" s="3797"/>
      <c r="L1" s="3797"/>
      <c r="M1" s="3797"/>
      <c r="N1" s="3797"/>
      <c r="O1" s="3797"/>
      <c r="P1" s="3797"/>
      <c r="Q1" s="3797"/>
      <c r="R1" s="3797"/>
      <c r="S1" s="3798"/>
      <c r="T1" s="983" t="s">
        <v>2066</v>
      </c>
    </row>
    <row r="2" spans="1:45" s="655" customFormat="1">
      <c r="A2" s="984"/>
      <c r="B2" s="651" t="s">
        <v>2067</v>
      </c>
      <c r="C2" s="652" t="str">
        <f t="shared" ref="C2:L2" si="0">C3&amp;"(含)"&amp;"-"&amp;D3</f>
        <v>(含)-</v>
      </c>
      <c r="D2" s="653" t="str">
        <f t="shared" si="0"/>
        <v>(含)-</v>
      </c>
      <c r="E2" s="653" t="str">
        <f t="shared" si="0"/>
        <v>(含)-</v>
      </c>
      <c r="F2" s="653" t="str">
        <f t="shared" si="0"/>
        <v>(含)-</v>
      </c>
      <c r="G2" s="653" t="str">
        <f t="shared" si="0"/>
        <v>(含)-</v>
      </c>
      <c r="H2" s="653" t="str">
        <f t="shared" si="0"/>
        <v>(含)-</v>
      </c>
      <c r="I2" s="653" t="str">
        <f t="shared" si="0"/>
        <v>(含)-</v>
      </c>
      <c r="J2" s="653" t="str">
        <f t="shared" si="0"/>
        <v>(含)-</v>
      </c>
      <c r="K2" s="653" t="str">
        <f t="shared" si="0"/>
        <v>(含)-</v>
      </c>
      <c r="L2" s="653" t="str">
        <f t="shared" si="0"/>
        <v>(含)-</v>
      </c>
      <c r="M2" s="653" t="str">
        <f t="shared" ref="M2" si="1">M3&amp;"(含)"&amp;"-"&amp;N3</f>
        <v>(含)-</v>
      </c>
      <c r="N2" s="653" t="str">
        <f t="shared" ref="N2" si="2">N3&amp;"(含)"&amp;"-"&amp;O3</f>
        <v>(含)-</v>
      </c>
      <c r="O2" s="653" t="str">
        <f t="shared" ref="O2" si="3">O3&amp;"(含)"&amp;"-"&amp;P3</f>
        <v>(含)-</v>
      </c>
      <c r="P2" s="653" t="str">
        <f t="shared" ref="P2" si="4">P3&amp;"(含)"&amp;"-"&amp;Q3</f>
        <v>(含)-</v>
      </c>
      <c r="Q2" s="653" t="str">
        <f t="shared" ref="Q2" si="5">Q3&amp;"(含)"&amp;"-"&amp;R3</f>
        <v>(含)-</v>
      </c>
      <c r="R2" s="653" t="str">
        <f t="shared" ref="R2" si="6">R3&amp;"(含)"&amp;"-"&amp;S3</f>
        <v>(含)-</v>
      </c>
      <c r="S2" s="985" t="str">
        <f>S3&amp;"(含)"&amp;"-"</f>
        <v>(含)-</v>
      </c>
      <c r="T2" s="654"/>
      <c r="U2" s="726"/>
      <c r="V2" s="726"/>
      <c r="W2" s="726"/>
      <c r="X2" s="726"/>
      <c r="Y2" s="726"/>
      <c r="Z2" s="726"/>
      <c r="AA2" s="726"/>
      <c r="AB2" s="726"/>
      <c r="AC2" s="726"/>
      <c r="AD2" s="726"/>
      <c r="AE2" s="726"/>
      <c r="AF2" s="726"/>
      <c r="AG2" s="726"/>
      <c r="AH2" s="726"/>
      <c r="AI2" s="726"/>
      <c r="AJ2" s="726"/>
      <c r="AK2" s="726"/>
      <c r="AL2" s="726"/>
      <c r="AM2" s="726"/>
      <c r="AN2" s="726"/>
      <c r="AO2" s="726"/>
      <c r="AP2" s="726"/>
      <c r="AQ2" s="726"/>
      <c r="AR2" s="726"/>
      <c r="AS2" s="726"/>
    </row>
    <row r="3" spans="1:45" s="660" customFormat="1">
      <c r="A3" s="986"/>
      <c r="B3" s="656"/>
      <c r="C3" s="657"/>
      <c r="D3" s="658"/>
      <c r="E3" s="658"/>
      <c r="F3" s="1304"/>
      <c r="G3" s="1304"/>
      <c r="H3" s="1304"/>
      <c r="I3" s="1304"/>
      <c r="J3" s="1304"/>
      <c r="K3" s="1304"/>
      <c r="L3" s="1305"/>
      <c r="M3" s="1306"/>
      <c r="N3" s="1306"/>
      <c r="O3" s="1304"/>
      <c r="P3" s="1304"/>
      <c r="Q3" s="1304"/>
      <c r="R3" s="1304"/>
      <c r="S3" s="1307"/>
      <c r="T3" s="659"/>
      <c r="U3" s="727"/>
      <c r="V3" s="727"/>
      <c r="W3" s="727"/>
      <c r="X3" s="727"/>
      <c r="Y3" s="727"/>
      <c r="Z3" s="727"/>
      <c r="AA3" s="727"/>
      <c r="AB3" s="727"/>
      <c r="AC3" s="727"/>
      <c r="AD3" s="727"/>
      <c r="AE3" s="727"/>
      <c r="AF3" s="727"/>
      <c r="AG3" s="727"/>
      <c r="AH3" s="727"/>
      <c r="AI3" s="727"/>
      <c r="AJ3" s="727"/>
      <c r="AK3" s="727"/>
      <c r="AL3" s="727"/>
      <c r="AM3" s="727"/>
      <c r="AN3" s="727"/>
      <c r="AO3" s="727"/>
      <c r="AP3" s="727"/>
      <c r="AQ3" s="727"/>
      <c r="AR3" s="727"/>
      <c r="AS3" s="727"/>
    </row>
    <row r="4" spans="1:45" s="660" customFormat="1" ht="13.5" thickBot="1">
      <c r="A4" s="987"/>
      <c r="B4" s="988"/>
      <c r="C4" s="989"/>
      <c r="D4" s="990"/>
      <c r="E4" s="990"/>
      <c r="F4" s="1308"/>
      <c r="G4" s="1308"/>
      <c r="H4" s="1308"/>
      <c r="I4" s="1308"/>
      <c r="J4" s="1308"/>
      <c r="K4" s="1308"/>
      <c r="L4" s="1308"/>
      <c r="M4" s="1309"/>
      <c r="N4" s="1309"/>
      <c r="O4" s="1308"/>
      <c r="P4" s="1308"/>
      <c r="Q4" s="1308"/>
      <c r="R4" s="1308"/>
      <c r="S4" s="1310"/>
      <c r="T4" s="993"/>
      <c r="U4" s="727"/>
      <c r="V4" s="727"/>
      <c r="W4" s="727"/>
      <c r="X4" s="727"/>
      <c r="Y4" s="727"/>
      <c r="Z4" s="727"/>
      <c r="AA4" s="727"/>
      <c r="AB4" s="727"/>
      <c r="AC4" s="727"/>
      <c r="AD4" s="727"/>
      <c r="AE4" s="727"/>
      <c r="AF4" s="727"/>
      <c r="AG4" s="727"/>
      <c r="AH4" s="727"/>
      <c r="AI4" s="727"/>
      <c r="AJ4" s="727"/>
      <c r="AK4" s="727"/>
      <c r="AL4" s="727"/>
      <c r="AM4" s="727"/>
      <c r="AN4" s="727"/>
      <c r="AO4" s="727"/>
      <c r="AP4" s="727"/>
      <c r="AQ4" s="727"/>
      <c r="AR4" s="727"/>
      <c r="AS4" s="727"/>
    </row>
    <row r="5" spans="1:45" s="109" customFormat="1">
      <c r="A5" s="994"/>
      <c r="B5" s="1335" t="s">
        <v>2068</v>
      </c>
      <c r="C5" s="995"/>
      <c r="D5" s="996"/>
      <c r="E5" s="996"/>
      <c r="F5" s="1311"/>
      <c r="G5" s="1311"/>
      <c r="H5" s="1311"/>
      <c r="I5" s="1311"/>
      <c r="J5" s="1311"/>
      <c r="K5" s="1311"/>
      <c r="L5" s="1312"/>
      <c r="M5" s="1313"/>
      <c r="N5" s="1313"/>
      <c r="O5" s="1311"/>
      <c r="P5" s="1311"/>
      <c r="Q5" s="1311"/>
      <c r="R5" s="1311"/>
      <c r="S5" s="1314"/>
      <c r="T5" s="998"/>
      <c r="U5" s="728"/>
      <c r="V5" s="728"/>
      <c r="W5" s="728"/>
      <c r="X5" s="728"/>
      <c r="Y5" s="728"/>
      <c r="Z5" s="728"/>
      <c r="AA5" s="728"/>
      <c r="AB5" s="728"/>
      <c r="AC5" s="728"/>
      <c r="AD5" s="728"/>
      <c r="AE5" s="728"/>
      <c r="AF5" s="728"/>
      <c r="AG5" s="728"/>
      <c r="AH5" s="728"/>
      <c r="AI5" s="728"/>
      <c r="AJ5" s="728"/>
      <c r="AK5" s="728"/>
      <c r="AL5" s="728"/>
      <c r="AM5" s="728"/>
      <c r="AN5" s="728"/>
      <c r="AO5" s="728"/>
      <c r="AP5" s="728"/>
      <c r="AQ5" s="728"/>
      <c r="AR5" s="728"/>
      <c r="AS5" s="728"/>
    </row>
    <row r="6" spans="1:45" s="109" customFormat="1" ht="13.5" thickBot="1">
      <c r="A6" s="994"/>
      <c r="B6" s="899"/>
      <c r="C6" s="905">
        <v>100</v>
      </c>
      <c r="D6" s="902">
        <f>C6-$T5</f>
        <v>100</v>
      </c>
      <c r="E6" s="902">
        <f t="shared" ref="E6:S6" si="7">D6-$T5</f>
        <v>100</v>
      </c>
      <c r="F6" s="1315">
        <f t="shared" si="7"/>
        <v>100</v>
      </c>
      <c r="G6" s="1315">
        <f t="shared" si="7"/>
        <v>100</v>
      </c>
      <c r="H6" s="1315">
        <f t="shared" si="7"/>
        <v>100</v>
      </c>
      <c r="I6" s="1315">
        <f t="shared" si="7"/>
        <v>100</v>
      </c>
      <c r="J6" s="1315">
        <f t="shared" si="7"/>
        <v>100</v>
      </c>
      <c r="K6" s="1315">
        <f t="shared" si="7"/>
        <v>100</v>
      </c>
      <c r="L6" s="1315">
        <f t="shared" si="7"/>
        <v>100</v>
      </c>
      <c r="M6" s="1315">
        <f t="shared" si="7"/>
        <v>100</v>
      </c>
      <c r="N6" s="1315">
        <f t="shared" si="7"/>
        <v>100</v>
      </c>
      <c r="O6" s="1315">
        <f t="shared" si="7"/>
        <v>100</v>
      </c>
      <c r="P6" s="1315">
        <f t="shared" si="7"/>
        <v>100</v>
      </c>
      <c r="Q6" s="1315">
        <f t="shared" si="7"/>
        <v>100</v>
      </c>
      <c r="R6" s="1315">
        <f t="shared" si="7"/>
        <v>100</v>
      </c>
      <c r="S6" s="1315">
        <f t="shared" si="7"/>
        <v>100</v>
      </c>
      <c r="T6" s="901"/>
      <c r="U6" s="728"/>
      <c r="V6" s="728"/>
      <c r="W6" s="728"/>
      <c r="X6" s="728"/>
      <c r="Y6" s="728"/>
      <c r="Z6" s="728"/>
      <c r="AA6" s="728"/>
      <c r="AB6" s="728"/>
      <c r="AC6" s="728"/>
      <c r="AD6" s="728"/>
      <c r="AE6" s="728"/>
      <c r="AF6" s="728"/>
      <c r="AG6" s="728"/>
      <c r="AH6" s="728"/>
      <c r="AI6" s="728"/>
      <c r="AJ6" s="728"/>
      <c r="AK6" s="728"/>
      <c r="AL6" s="728"/>
      <c r="AM6" s="728"/>
      <c r="AN6" s="728"/>
      <c r="AO6" s="728"/>
      <c r="AP6" s="728"/>
      <c r="AQ6" s="728"/>
      <c r="AR6" s="728"/>
      <c r="AS6" s="728"/>
    </row>
    <row r="7" spans="1:45" s="109" customFormat="1">
      <c r="A7" s="994"/>
      <c r="B7" s="1336" t="s">
        <v>2069</v>
      </c>
      <c r="C7" s="904"/>
      <c r="D7" s="898"/>
      <c r="E7" s="898"/>
      <c r="F7" s="1316"/>
      <c r="G7" s="1316"/>
      <c r="H7" s="1316"/>
      <c r="I7" s="1316"/>
      <c r="J7" s="1316"/>
      <c r="K7" s="1316"/>
      <c r="L7" s="1316"/>
      <c r="M7" s="1317"/>
      <c r="N7" s="1318"/>
      <c r="O7" s="1319"/>
      <c r="P7" s="1320"/>
      <c r="Q7" s="1321"/>
      <c r="R7" s="1322"/>
      <c r="S7" s="1323"/>
      <c r="T7" s="661"/>
      <c r="U7" s="728"/>
      <c r="V7" s="728"/>
      <c r="W7" s="728"/>
      <c r="X7" s="728"/>
      <c r="Y7" s="728"/>
      <c r="Z7" s="728"/>
      <c r="AA7" s="728"/>
      <c r="AB7" s="728"/>
      <c r="AC7" s="728"/>
      <c r="AD7" s="728"/>
      <c r="AE7" s="728"/>
      <c r="AF7" s="728"/>
      <c r="AG7" s="728"/>
      <c r="AH7" s="728"/>
      <c r="AI7" s="728"/>
      <c r="AJ7" s="728"/>
      <c r="AK7" s="728"/>
      <c r="AL7" s="728"/>
      <c r="AM7" s="728"/>
      <c r="AN7" s="728"/>
      <c r="AO7" s="728"/>
      <c r="AP7" s="728"/>
      <c r="AQ7" s="728"/>
      <c r="AR7" s="728"/>
      <c r="AS7" s="728"/>
    </row>
    <row r="8" spans="1:45" s="109" customFormat="1" ht="13.5" thickBot="1">
      <c r="A8" s="994"/>
      <c r="B8" s="899"/>
      <c r="C8" s="905">
        <v>100</v>
      </c>
      <c r="D8" s="902">
        <f>C8-$T7</f>
        <v>100</v>
      </c>
      <c r="E8" s="902">
        <f t="shared" ref="E8:S8" si="8">D8-$T7</f>
        <v>100</v>
      </c>
      <c r="F8" s="1315">
        <f t="shared" si="8"/>
        <v>100</v>
      </c>
      <c r="G8" s="1315">
        <f t="shared" si="8"/>
        <v>100</v>
      </c>
      <c r="H8" s="1315">
        <f t="shared" si="8"/>
        <v>100</v>
      </c>
      <c r="I8" s="1315">
        <f t="shared" si="8"/>
        <v>100</v>
      </c>
      <c r="J8" s="1315">
        <f t="shared" si="8"/>
        <v>100</v>
      </c>
      <c r="K8" s="1315">
        <f t="shared" si="8"/>
        <v>100</v>
      </c>
      <c r="L8" s="1315">
        <f t="shared" si="8"/>
        <v>100</v>
      </c>
      <c r="M8" s="1315">
        <f t="shared" si="8"/>
        <v>100</v>
      </c>
      <c r="N8" s="1315">
        <f t="shared" si="8"/>
        <v>100</v>
      </c>
      <c r="O8" s="1315">
        <f t="shared" si="8"/>
        <v>100</v>
      </c>
      <c r="P8" s="1315">
        <f t="shared" si="8"/>
        <v>100</v>
      </c>
      <c r="Q8" s="1315">
        <f t="shared" si="8"/>
        <v>100</v>
      </c>
      <c r="R8" s="1315">
        <f t="shared" si="8"/>
        <v>100</v>
      </c>
      <c r="S8" s="1315">
        <f t="shared" si="8"/>
        <v>100</v>
      </c>
      <c r="T8" s="901"/>
      <c r="U8" s="728"/>
      <c r="V8" s="728"/>
      <c r="W8" s="728"/>
      <c r="X8" s="728"/>
      <c r="Y8" s="728"/>
      <c r="Z8" s="728"/>
      <c r="AA8" s="728"/>
      <c r="AB8" s="728"/>
      <c r="AC8" s="728"/>
      <c r="AD8" s="728"/>
      <c r="AE8" s="728"/>
      <c r="AF8" s="728"/>
      <c r="AG8" s="728"/>
      <c r="AH8" s="728"/>
      <c r="AI8" s="728"/>
      <c r="AJ8" s="728"/>
      <c r="AK8" s="728"/>
      <c r="AL8" s="728"/>
      <c r="AM8" s="728"/>
      <c r="AN8" s="728"/>
      <c r="AO8" s="728"/>
      <c r="AP8" s="728"/>
      <c r="AQ8" s="728"/>
      <c r="AR8" s="728"/>
      <c r="AS8" s="728"/>
    </row>
    <row r="9" spans="1:45" s="109" customFormat="1">
      <c r="A9" s="994"/>
      <c r="B9" s="1336" t="s">
        <v>2070</v>
      </c>
      <c r="C9" s="904"/>
      <c r="D9" s="898"/>
      <c r="E9" s="898"/>
      <c r="F9" s="1316"/>
      <c r="G9" s="1316"/>
      <c r="H9" s="1316"/>
      <c r="I9" s="1316"/>
      <c r="J9" s="1316"/>
      <c r="K9" s="1316"/>
      <c r="L9" s="1324"/>
      <c r="M9" s="1317"/>
      <c r="N9" s="1318"/>
      <c r="O9" s="1319"/>
      <c r="P9" s="1320"/>
      <c r="Q9" s="1321"/>
      <c r="R9" s="1322"/>
      <c r="S9" s="1323"/>
      <c r="T9" s="661"/>
      <c r="U9" s="728"/>
      <c r="V9" s="728"/>
      <c r="W9" s="728"/>
      <c r="X9" s="728"/>
      <c r="Y9" s="728"/>
      <c r="Z9" s="728"/>
      <c r="AA9" s="728"/>
      <c r="AB9" s="728"/>
      <c r="AC9" s="728"/>
      <c r="AD9" s="728"/>
      <c r="AE9" s="728"/>
      <c r="AF9" s="728"/>
      <c r="AG9" s="728"/>
      <c r="AH9" s="728"/>
      <c r="AI9" s="728"/>
      <c r="AJ9" s="728"/>
      <c r="AK9" s="728"/>
      <c r="AL9" s="728"/>
      <c r="AM9" s="728"/>
      <c r="AN9" s="728"/>
      <c r="AO9" s="728"/>
      <c r="AP9" s="728"/>
      <c r="AQ9" s="728"/>
      <c r="AR9" s="728"/>
      <c r="AS9" s="728"/>
    </row>
    <row r="10" spans="1:45" s="109" customFormat="1" ht="13.5" thickBot="1">
      <c r="A10" s="994"/>
      <c r="B10" s="988"/>
      <c r="C10" s="999">
        <v>100</v>
      </c>
      <c r="D10" s="1000">
        <f>C10-$T9</f>
        <v>100</v>
      </c>
      <c r="E10" s="1000">
        <f t="shared" ref="E10:S10" si="9">D10-$T9</f>
        <v>100</v>
      </c>
      <c r="F10" s="1325">
        <f t="shared" si="9"/>
        <v>100</v>
      </c>
      <c r="G10" s="1325">
        <f t="shared" si="9"/>
        <v>100</v>
      </c>
      <c r="H10" s="1325">
        <f t="shared" si="9"/>
        <v>100</v>
      </c>
      <c r="I10" s="1325">
        <f t="shared" si="9"/>
        <v>100</v>
      </c>
      <c r="J10" s="1325">
        <f t="shared" si="9"/>
        <v>100</v>
      </c>
      <c r="K10" s="1325">
        <f t="shared" si="9"/>
        <v>100</v>
      </c>
      <c r="L10" s="1325">
        <f t="shared" si="9"/>
        <v>100</v>
      </c>
      <c r="M10" s="1325">
        <f t="shared" si="9"/>
        <v>100</v>
      </c>
      <c r="N10" s="1325">
        <f t="shared" si="9"/>
        <v>100</v>
      </c>
      <c r="O10" s="1325">
        <f t="shared" si="9"/>
        <v>100</v>
      </c>
      <c r="P10" s="1325">
        <f t="shared" si="9"/>
        <v>100</v>
      </c>
      <c r="Q10" s="1325">
        <f t="shared" si="9"/>
        <v>100</v>
      </c>
      <c r="R10" s="1325">
        <f t="shared" si="9"/>
        <v>100</v>
      </c>
      <c r="S10" s="1325">
        <f t="shared" si="9"/>
        <v>100</v>
      </c>
      <c r="T10" s="993"/>
      <c r="U10" s="728"/>
      <c r="V10" s="728"/>
      <c r="W10" s="728"/>
      <c r="X10" s="728"/>
      <c r="Y10" s="728"/>
      <c r="Z10" s="728"/>
      <c r="AA10" s="728"/>
      <c r="AB10" s="728"/>
      <c r="AC10" s="728"/>
      <c r="AD10" s="728"/>
      <c r="AE10" s="728"/>
      <c r="AF10" s="728"/>
      <c r="AG10" s="728"/>
      <c r="AH10" s="728"/>
      <c r="AI10" s="728"/>
      <c r="AJ10" s="728"/>
      <c r="AK10" s="728"/>
      <c r="AL10" s="728"/>
      <c r="AM10" s="728"/>
      <c r="AN10" s="728"/>
      <c r="AO10" s="728"/>
      <c r="AP10" s="728"/>
      <c r="AQ10" s="728"/>
      <c r="AR10" s="728"/>
      <c r="AS10" s="728"/>
    </row>
    <row r="11" spans="1:45" s="109" customFormat="1">
      <c r="A11" s="994"/>
      <c r="B11" s="1335" t="s">
        <v>2071</v>
      </c>
      <c r="C11" s="995"/>
      <c r="D11" s="996"/>
      <c r="E11" s="996"/>
      <c r="F11" s="996"/>
      <c r="G11" s="996"/>
      <c r="H11" s="996"/>
      <c r="I11" s="996"/>
      <c r="J11" s="996"/>
      <c r="K11" s="996"/>
      <c r="L11" s="996"/>
      <c r="M11" s="997"/>
      <c r="N11" s="1001"/>
      <c r="O11" s="1002"/>
      <c r="P11" s="1003"/>
      <c r="Q11" s="1004"/>
      <c r="R11" s="1005"/>
      <c r="S11" s="1006"/>
      <c r="T11" s="998"/>
      <c r="U11" s="728"/>
      <c r="V11" s="728"/>
      <c r="W11" s="728"/>
      <c r="X11" s="728"/>
      <c r="Y11" s="728"/>
      <c r="Z11" s="728"/>
      <c r="AA11" s="728"/>
      <c r="AB11" s="728"/>
      <c r="AC11" s="728"/>
      <c r="AD11" s="728"/>
      <c r="AE11" s="728"/>
      <c r="AF11" s="728"/>
      <c r="AG11" s="728"/>
      <c r="AH11" s="728"/>
      <c r="AI11" s="728"/>
      <c r="AJ11" s="728"/>
      <c r="AK11" s="728"/>
      <c r="AL11" s="728"/>
      <c r="AM11" s="728"/>
      <c r="AN11" s="728"/>
      <c r="AO11" s="728"/>
      <c r="AP11" s="728"/>
      <c r="AQ11" s="728"/>
      <c r="AR11" s="728"/>
      <c r="AS11" s="728"/>
    </row>
    <row r="12" spans="1:45" s="109" customFormat="1" ht="13.5" thickBot="1">
      <c r="A12" s="994"/>
      <c r="B12" s="899"/>
      <c r="C12" s="905">
        <v>100</v>
      </c>
      <c r="D12" s="902">
        <f>C12-$T11</f>
        <v>100</v>
      </c>
      <c r="E12" s="902">
        <f t="shared" ref="E12:S12" si="10">D12-$T11</f>
        <v>100</v>
      </c>
      <c r="F12" s="902">
        <f t="shared" si="10"/>
        <v>100</v>
      </c>
      <c r="G12" s="902">
        <f t="shared" si="10"/>
        <v>100</v>
      </c>
      <c r="H12" s="902">
        <f t="shared" si="10"/>
        <v>100</v>
      </c>
      <c r="I12" s="902">
        <f t="shared" si="10"/>
        <v>100</v>
      </c>
      <c r="J12" s="902">
        <f t="shared" si="10"/>
        <v>100</v>
      </c>
      <c r="K12" s="902">
        <f t="shared" si="10"/>
        <v>100</v>
      </c>
      <c r="L12" s="902">
        <f t="shared" si="10"/>
        <v>100</v>
      </c>
      <c r="M12" s="902">
        <f t="shared" si="10"/>
        <v>100</v>
      </c>
      <c r="N12" s="902">
        <f t="shared" si="10"/>
        <v>100</v>
      </c>
      <c r="O12" s="902">
        <f t="shared" si="10"/>
        <v>100</v>
      </c>
      <c r="P12" s="902">
        <f t="shared" si="10"/>
        <v>100</v>
      </c>
      <c r="Q12" s="902">
        <f t="shared" si="10"/>
        <v>100</v>
      </c>
      <c r="R12" s="902">
        <f>Q12-$T11</f>
        <v>100</v>
      </c>
      <c r="S12" s="902">
        <f t="shared" si="10"/>
        <v>100</v>
      </c>
      <c r="T12" s="901"/>
      <c r="U12" s="728"/>
      <c r="V12" s="728"/>
      <c r="W12" s="728"/>
      <c r="X12" s="728"/>
      <c r="Y12" s="728"/>
      <c r="Z12" s="728"/>
      <c r="AA12" s="728"/>
      <c r="AB12" s="728"/>
      <c r="AC12" s="728"/>
      <c r="AD12" s="728"/>
      <c r="AE12" s="728"/>
      <c r="AF12" s="728"/>
      <c r="AG12" s="728"/>
      <c r="AH12" s="728"/>
      <c r="AI12" s="728"/>
      <c r="AJ12" s="728"/>
      <c r="AK12" s="728"/>
      <c r="AL12" s="728"/>
      <c r="AM12" s="728"/>
      <c r="AN12" s="728"/>
      <c r="AO12" s="728"/>
      <c r="AP12" s="728"/>
      <c r="AQ12" s="728"/>
      <c r="AR12" s="728"/>
      <c r="AS12" s="728"/>
    </row>
    <row r="13" spans="1:45" s="109" customFormat="1">
      <c r="A13" s="994"/>
      <c r="B13" s="1335" t="s">
        <v>2072</v>
      </c>
      <c r="C13" s="995"/>
      <c r="D13" s="996"/>
      <c r="E13" s="996"/>
      <c r="F13" s="996"/>
      <c r="G13" s="996"/>
      <c r="H13" s="996"/>
      <c r="I13" s="996"/>
      <c r="J13" s="996"/>
      <c r="K13" s="996"/>
      <c r="L13" s="996"/>
      <c r="M13" s="997"/>
      <c r="N13" s="1001"/>
      <c r="O13" s="1002"/>
      <c r="P13" s="1003"/>
      <c r="Q13" s="1004"/>
      <c r="R13" s="1005"/>
      <c r="S13" s="1006"/>
      <c r="T13" s="1007"/>
      <c r="U13" s="728"/>
      <c r="V13" s="728"/>
      <c r="W13" s="728"/>
      <c r="X13" s="728"/>
      <c r="Y13" s="728"/>
      <c r="Z13" s="728"/>
      <c r="AA13" s="728"/>
      <c r="AB13" s="728"/>
      <c r="AC13" s="728"/>
      <c r="AD13" s="728"/>
      <c r="AE13" s="728"/>
      <c r="AF13" s="728"/>
      <c r="AG13" s="728"/>
      <c r="AH13" s="728"/>
      <c r="AI13" s="728"/>
      <c r="AJ13" s="728"/>
      <c r="AK13" s="728"/>
      <c r="AL13" s="728"/>
      <c r="AM13" s="728"/>
      <c r="AN13" s="728"/>
      <c r="AO13" s="728"/>
      <c r="AP13" s="728"/>
      <c r="AQ13" s="728"/>
      <c r="AR13" s="728"/>
      <c r="AS13" s="728"/>
    </row>
    <row r="14" spans="1:45" s="109" customFormat="1" ht="13.5" thickBot="1">
      <c r="A14" s="994"/>
      <c r="B14" s="899"/>
      <c r="C14" s="903"/>
      <c r="D14" s="900"/>
      <c r="E14" s="900"/>
      <c r="F14" s="900"/>
      <c r="G14" s="900"/>
      <c r="H14" s="900"/>
      <c r="I14" s="900"/>
      <c r="J14" s="900"/>
      <c r="K14" s="900"/>
      <c r="L14" s="900"/>
      <c r="M14" s="1008"/>
      <c r="N14" s="1008"/>
      <c r="O14" s="900"/>
      <c r="P14" s="900"/>
      <c r="Q14" s="900"/>
      <c r="R14" s="900"/>
      <c r="S14" s="1009"/>
      <c r="T14" s="901"/>
      <c r="U14" s="728"/>
      <c r="V14" s="728"/>
      <c r="W14" s="728"/>
      <c r="X14" s="728"/>
      <c r="Y14" s="728"/>
      <c r="Z14" s="728"/>
      <c r="AA14" s="728"/>
      <c r="AB14" s="728"/>
      <c r="AC14" s="728"/>
      <c r="AD14" s="728"/>
      <c r="AE14" s="728"/>
      <c r="AF14" s="728"/>
      <c r="AG14" s="728"/>
      <c r="AH14" s="728"/>
      <c r="AI14" s="728"/>
      <c r="AJ14" s="728"/>
      <c r="AK14" s="728"/>
      <c r="AL14" s="728"/>
      <c r="AM14" s="728"/>
      <c r="AN14" s="728"/>
      <c r="AO14" s="728"/>
      <c r="AP14" s="728"/>
      <c r="AQ14" s="728"/>
      <c r="AR14" s="728"/>
      <c r="AS14" s="728"/>
    </row>
    <row r="15" spans="1:45" s="109" customFormat="1">
      <c r="A15" s="994"/>
      <c r="B15" s="1335" t="s">
        <v>2073</v>
      </c>
      <c r="C15" s="995"/>
      <c r="D15" s="996"/>
      <c r="E15" s="996"/>
      <c r="F15" s="996"/>
      <c r="G15" s="996"/>
      <c r="H15" s="996"/>
      <c r="I15" s="996"/>
      <c r="J15" s="996"/>
      <c r="K15" s="996"/>
      <c r="L15" s="996"/>
      <c r="M15" s="997"/>
      <c r="N15" s="1001"/>
      <c r="O15" s="1002"/>
      <c r="P15" s="1003"/>
      <c r="Q15" s="1004"/>
      <c r="R15" s="1005"/>
      <c r="S15" s="1006"/>
      <c r="T15" s="1007"/>
      <c r="U15" s="728"/>
      <c r="V15" s="728"/>
      <c r="W15" s="728"/>
      <c r="X15" s="728"/>
      <c r="Y15" s="728"/>
      <c r="Z15" s="728"/>
      <c r="AA15" s="728"/>
      <c r="AB15" s="728"/>
      <c r="AC15" s="728"/>
      <c r="AD15" s="728"/>
      <c r="AE15" s="728"/>
      <c r="AF15" s="728"/>
      <c r="AG15" s="728"/>
      <c r="AH15" s="728"/>
      <c r="AI15" s="728"/>
      <c r="AJ15" s="728"/>
      <c r="AK15" s="728"/>
      <c r="AL15" s="728"/>
      <c r="AM15" s="728"/>
      <c r="AN15" s="728"/>
      <c r="AO15" s="728"/>
      <c r="AP15" s="728"/>
      <c r="AQ15" s="728"/>
      <c r="AR15" s="728"/>
      <c r="AS15" s="728"/>
    </row>
    <row r="16" spans="1:45" s="109" customFormat="1" ht="13.5" thickBot="1">
      <c r="A16" s="994"/>
      <c r="B16" s="988"/>
      <c r="C16" s="989"/>
      <c r="D16" s="990"/>
      <c r="E16" s="990"/>
      <c r="F16" s="990"/>
      <c r="G16" s="990"/>
      <c r="H16" s="990"/>
      <c r="I16" s="990"/>
      <c r="J16" s="990"/>
      <c r="K16" s="990"/>
      <c r="L16" s="990"/>
      <c r="M16" s="991"/>
      <c r="N16" s="991"/>
      <c r="O16" s="990"/>
      <c r="P16" s="990"/>
      <c r="Q16" s="990"/>
      <c r="R16" s="990"/>
      <c r="S16" s="992"/>
      <c r="T16" s="993"/>
      <c r="U16" s="728"/>
      <c r="V16" s="728"/>
      <c r="W16" s="728"/>
      <c r="X16" s="728"/>
      <c r="Y16" s="728"/>
      <c r="Z16" s="728"/>
      <c r="AA16" s="728"/>
      <c r="AB16" s="728"/>
      <c r="AC16" s="728"/>
      <c r="AD16" s="728"/>
      <c r="AE16" s="728"/>
      <c r="AF16" s="728"/>
      <c r="AG16" s="728"/>
      <c r="AH16" s="728"/>
      <c r="AI16" s="728"/>
      <c r="AJ16" s="728"/>
      <c r="AK16" s="728"/>
      <c r="AL16" s="728"/>
      <c r="AM16" s="728"/>
      <c r="AN16" s="728"/>
      <c r="AO16" s="728"/>
      <c r="AP16" s="728"/>
      <c r="AQ16" s="728"/>
      <c r="AR16" s="728"/>
      <c r="AS16" s="728"/>
    </row>
    <row r="17" spans="1:45" s="655" customFormat="1">
      <c r="A17" s="2147" t="s">
        <v>2074</v>
      </c>
      <c r="B17" s="2148" t="s">
        <v>2075</v>
      </c>
      <c r="C17" s="1010"/>
      <c r="D17" s="1011"/>
      <c r="E17" s="1011"/>
      <c r="F17" s="1011"/>
      <c r="G17" s="1011"/>
      <c r="H17" s="1011"/>
      <c r="I17" s="1011"/>
      <c r="J17" s="1011"/>
      <c r="K17" s="1011"/>
      <c r="L17" s="1012"/>
      <c r="M17" s="1013"/>
      <c r="N17" s="1014"/>
      <c r="O17" s="1015"/>
      <c r="P17" s="1016"/>
      <c r="Q17" s="1017"/>
      <c r="R17" s="1018"/>
      <c r="S17" s="1019"/>
      <c r="T17" s="1019"/>
      <c r="U17" s="1019"/>
      <c r="V17" s="1019"/>
      <c r="W17" s="1019"/>
      <c r="X17" s="1019"/>
      <c r="Y17" s="1019"/>
      <c r="Z17" s="1019"/>
      <c r="AA17" s="1019"/>
      <c r="AB17" s="1019"/>
      <c r="AC17" s="1019"/>
      <c r="AD17" s="1019"/>
      <c r="AE17" s="1019"/>
      <c r="AF17" s="1019"/>
      <c r="AG17" s="1019"/>
      <c r="AH17" s="1019"/>
      <c r="AI17" s="1019"/>
      <c r="AJ17" s="1019"/>
      <c r="AK17" s="1019"/>
      <c r="AL17" s="1019"/>
      <c r="AM17" s="1019"/>
      <c r="AN17" s="1019"/>
      <c r="AO17" s="1019"/>
      <c r="AP17" s="1019"/>
      <c r="AQ17" s="1019"/>
      <c r="AR17" s="726"/>
      <c r="AS17" s="726"/>
    </row>
    <row r="18" spans="1:45" s="655" customFormat="1" ht="13.5" thickBot="1">
      <c r="A18" s="1020"/>
      <c r="B18" s="1021"/>
      <c r="C18" s="1022"/>
      <c r="D18" s="1023"/>
      <c r="E18" s="1023"/>
      <c r="F18" s="1023"/>
      <c r="G18" s="1023"/>
      <c r="H18" s="1023"/>
      <c r="I18" s="1023"/>
      <c r="J18" s="1023"/>
      <c r="K18" s="1023"/>
      <c r="L18" s="1023"/>
      <c r="M18" s="1024"/>
      <c r="N18" s="1024"/>
      <c r="O18" s="1023"/>
      <c r="P18" s="1023"/>
      <c r="Q18" s="1023"/>
      <c r="R18" s="1023"/>
      <c r="S18" s="1025"/>
      <c r="T18" s="1025"/>
      <c r="U18" s="1025"/>
      <c r="V18" s="1025"/>
      <c r="W18" s="1025"/>
      <c r="X18" s="1025"/>
      <c r="Y18" s="1025"/>
      <c r="Z18" s="1025"/>
      <c r="AA18" s="1025"/>
      <c r="AB18" s="1025"/>
      <c r="AC18" s="1025"/>
      <c r="AD18" s="1025"/>
      <c r="AE18" s="1025"/>
      <c r="AF18" s="1025"/>
      <c r="AG18" s="1025"/>
      <c r="AH18" s="1025"/>
      <c r="AI18" s="1025"/>
      <c r="AJ18" s="1025"/>
      <c r="AK18" s="1025"/>
      <c r="AL18" s="1025"/>
      <c r="AM18" s="1025"/>
      <c r="AN18" s="1025"/>
      <c r="AO18" s="1025"/>
      <c r="AP18" s="1025"/>
      <c r="AQ18" s="1025"/>
      <c r="AR18" s="726"/>
      <c r="AS18" s="726"/>
    </row>
    <row r="19" spans="1:45">
      <c r="A19" s="129"/>
      <c r="B19" s="159"/>
      <c r="C19" s="159"/>
      <c r="D19" s="2149" t="s">
        <v>2076</v>
      </c>
      <c r="E19" s="1339"/>
      <c r="F19" s="1339"/>
      <c r="G19" s="1339"/>
      <c r="H19" s="1059"/>
      <c r="I19" s="159"/>
      <c r="J19" s="159"/>
      <c r="K19" s="159"/>
      <c r="L19" s="159"/>
      <c r="M19" s="159"/>
      <c r="N19" s="159"/>
      <c r="O19" s="159"/>
      <c r="P19" s="159"/>
      <c r="Q19" s="159"/>
      <c r="R19" s="718"/>
      <c r="S19" s="129"/>
    </row>
    <row r="20" spans="1:45" ht="16.5" thickBot="1">
      <c r="A20" s="662" t="s">
        <v>2077</v>
      </c>
      <c r="B20" s="294" t="e">
        <f ca="1">IF(D20="——",S22,S22-F20)</f>
        <v>#REF!</v>
      </c>
      <c r="C20" s="159"/>
      <c r="D20" s="2150"/>
      <c r="E20" s="1340"/>
      <c r="F20" s="983" t="e">
        <f ca="1">SUMIF(INDIRECT("'"&amp;H20&amp;"'"&amp;"!A:A"),"承租人权益价值",INDIRECT("'"&amp;H20&amp;"'"&amp;"!c:c"))</f>
        <v>#REF!</v>
      </c>
      <c r="G20" s="983" t="s">
        <v>2078</v>
      </c>
      <c r="H20" s="2151"/>
      <c r="I20" s="159"/>
      <c r="J20" s="159"/>
      <c r="K20" s="159"/>
      <c r="L20" s="159"/>
      <c r="M20" s="159"/>
      <c r="N20" s="159"/>
      <c r="O20" s="159"/>
      <c r="P20" s="159"/>
      <c r="Q20" s="159"/>
      <c r="R20" s="718"/>
      <c r="S20" s="129"/>
    </row>
    <row r="21" spans="1:45" ht="15.75">
      <c r="A21" s="662" t="s">
        <v>2079</v>
      </c>
      <c r="B21" s="294" t="e">
        <f ca="1">ROUND(B20*10000/B22,0)</f>
        <v>#REF!</v>
      </c>
      <c r="C21" s="159"/>
      <c r="D21" s="159"/>
      <c r="E21" s="159"/>
      <c r="F21" s="159"/>
      <c r="G21" s="159"/>
      <c r="H21" s="159"/>
      <c r="I21" s="159"/>
      <c r="J21" s="159"/>
      <c r="K21" s="159"/>
      <c r="L21" s="159"/>
      <c r="M21" s="159"/>
      <c r="N21" s="159"/>
      <c r="O21" s="159"/>
      <c r="P21" s="159"/>
      <c r="Q21" s="159"/>
      <c r="R21" s="718"/>
      <c r="S21" s="129"/>
    </row>
    <row r="22" spans="1:45">
      <c r="A22" s="316" t="s">
        <v>2080</v>
      </c>
      <c r="B22" s="21">
        <f>SUM(B24:B10000)</f>
        <v>0</v>
      </c>
      <c r="C22" s="3793" t="s">
        <v>27</v>
      </c>
      <c r="D22" s="3794"/>
      <c r="E22" s="3794"/>
      <c r="F22" s="3794"/>
      <c r="G22" s="3794"/>
      <c r="H22" s="3794"/>
      <c r="I22" s="3794"/>
      <c r="J22" s="3794"/>
      <c r="K22" s="3794"/>
      <c r="L22" s="3794"/>
      <c r="M22" s="3794"/>
      <c r="N22" s="3794"/>
      <c r="O22" s="3794"/>
      <c r="P22" s="3794"/>
      <c r="Q22" s="3795"/>
      <c r="R22" s="663" t="e">
        <f>ROUND(S22*10000/B22,0)</f>
        <v>#DIV/0!</v>
      </c>
      <c r="S22" s="21">
        <f>SUM(S24:S10000)</f>
        <v>0</v>
      </c>
    </row>
    <row r="23" spans="1:45" s="9" customFormat="1" ht="24">
      <c r="A23" s="8" t="s">
        <v>2081</v>
      </c>
      <c r="B23" s="8" t="s">
        <v>2082</v>
      </c>
      <c r="C23" s="8" t="s">
        <v>2083</v>
      </c>
      <c r="D23" s="8" t="str">
        <f>B5</f>
        <v>修正项2</v>
      </c>
      <c r="E23" s="8" t="s">
        <v>2083</v>
      </c>
      <c r="F23" s="8" t="str">
        <f>B7</f>
        <v>修正项3</v>
      </c>
      <c r="G23" s="8" t="s">
        <v>2083</v>
      </c>
      <c r="H23" s="8" t="str">
        <f>B9</f>
        <v>修正项4</v>
      </c>
      <c r="I23" s="8" t="s">
        <v>2083</v>
      </c>
      <c r="J23" s="8" t="str">
        <f>B11</f>
        <v>修正项5</v>
      </c>
      <c r="K23" s="8" t="s">
        <v>2083</v>
      </c>
      <c r="L23" s="8" t="str">
        <f>B13</f>
        <v>修正项6</v>
      </c>
      <c r="M23" s="8" t="s">
        <v>2083</v>
      </c>
      <c r="N23" s="8" t="str">
        <f>B15</f>
        <v>修正项7</v>
      </c>
      <c r="O23" s="8" t="s">
        <v>2083</v>
      </c>
      <c r="P23" s="8" t="str">
        <f>B17</f>
        <v>楼层</v>
      </c>
      <c r="Q23" s="8" t="s">
        <v>2083</v>
      </c>
      <c r="R23" s="664" t="s">
        <v>2084</v>
      </c>
      <c r="S23" s="8" t="s">
        <v>2085</v>
      </c>
      <c r="T23" s="729"/>
      <c r="U23" s="729"/>
      <c r="V23" s="729"/>
      <c r="W23" s="729"/>
      <c r="X23" s="729"/>
      <c r="Y23" s="729"/>
      <c r="Z23" s="729"/>
      <c r="AA23" s="729"/>
      <c r="AB23" s="729"/>
      <c r="AC23" s="729"/>
      <c r="AD23" s="729"/>
      <c r="AE23" s="729"/>
      <c r="AF23" s="729"/>
      <c r="AG23" s="729"/>
      <c r="AH23" s="729"/>
      <c r="AI23" s="729"/>
      <c r="AJ23" s="729"/>
      <c r="AK23" s="729"/>
      <c r="AL23" s="729"/>
      <c r="AM23" s="729"/>
      <c r="AN23" s="729"/>
      <c r="AO23" s="729"/>
      <c r="AP23" s="729"/>
      <c r="AQ23" s="729"/>
      <c r="AR23" s="729"/>
      <c r="AS23" s="729"/>
    </row>
    <row r="24" spans="1:45" s="669" customFormat="1">
      <c r="A24" s="665" t="s">
        <v>2086</v>
      </c>
      <c r="B24" s="665"/>
      <c r="C24" s="2784">
        <v>1</v>
      </c>
      <c r="D24" s="2785"/>
      <c r="E24" s="2784">
        <v>1</v>
      </c>
      <c r="F24" s="2785"/>
      <c r="G24" s="2784">
        <v>1</v>
      </c>
      <c r="H24" s="2785"/>
      <c r="I24" s="2784">
        <v>1</v>
      </c>
      <c r="J24" s="2785"/>
      <c r="K24" s="2784">
        <v>1</v>
      </c>
      <c r="L24" s="2785"/>
      <c r="M24" s="2784">
        <v>1</v>
      </c>
      <c r="N24" s="2785"/>
      <c r="O24" s="2784">
        <v>1</v>
      </c>
      <c r="P24" s="2785"/>
      <c r="Q24" s="2784">
        <v>1</v>
      </c>
      <c r="R24" s="668"/>
      <c r="S24" s="666">
        <f t="shared" ref="S24:S54" si="11">ROUND(R24*B24/10000,0)</f>
        <v>0</v>
      </c>
      <c r="T24" s="730"/>
      <c r="U24" s="730"/>
      <c r="V24" s="730"/>
      <c r="W24" s="730"/>
      <c r="X24" s="730"/>
      <c r="Y24" s="730"/>
      <c r="Z24" s="730"/>
      <c r="AA24" s="730"/>
      <c r="AB24" s="730"/>
      <c r="AC24" s="730"/>
      <c r="AD24" s="730"/>
      <c r="AE24" s="730"/>
      <c r="AF24" s="730"/>
      <c r="AG24" s="730"/>
      <c r="AH24" s="730"/>
      <c r="AI24" s="730"/>
      <c r="AJ24" s="730"/>
      <c r="AK24" s="730"/>
      <c r="AL24" s="730"/>
      <c r="AM24" s="730"/>
      <c r="AN24" s="730"/>
      <c r="AO24" s="730"/>
      <c r="AP24" s="730"/>
      <c r="AQ24" s="730"/>
      <c r="AR24" s="730"/>
      <c r="AS24" s="730"/>
    </row>
    <row r="25" spans="1:45">
      <c r="A25" s="150"/>
      <c r="B25" s="54"/>
      <c r="C25" s="21">
        <f>IF(B25="",1,(LOOKUP(B25,$3:$3,$4:$4)-LOOKUP($B$24,$3:$3,$4:$4)+100)/100)</f>
        <v>1</v>
      </c>
      <c r="D25" s="667"/>
      <c r="E25" s="21">
        <f>(SUMIF($5:$5,D25,$6:$6)-SUMIF($5:$5,$D$24,$6:$6)+100)/100</f>
        <v>1</v>
      </c>
      <c r="F25" s="667"/>
      <c r="G25" s="21">
        <f>(SUMIF($7:$7,F25,$8:$8)-SUMIF($7:$7,$F$24,$8:$8)+100)/100</f>
        <v>1</v>
      </c>
      <c r="H25" s="667"/>
      <c r="I25" s="21">
        <f>(SUMIF($9:$9,H25,$10:$10)-SUMIF($9:$9,$H$24,$10:$10)+100)/100</f>
        <v>1</v>
      </c>
      <c r="J25" s="667"/>
      <c r="K25" s="21">
        <f>(SUMIF($11:$11,J25,$12:$12)-SUMIF($11:$11,$J$24,$12:$12)+100)/100</f>
        <v>1</v>
      </c>
      <c r="L25" s="667"/>
      <c r="M25" s="21">
        <f>(SUMIF($13:$13,L25,$14:$14)-SUMIF($13:$13,$L$24,$14:$14)+100)/100</f>
        <v>1</v>
      </c>
      <c r="N25" s="667"/>
      <c r="O25" s="21">
        <f>(SUMIF($15:$15,N25,$16:$16)-SUMIF($15:$15,$N$24,$16:$16)+100)/100</f>
        <v>1</v>
      </c>
      <c r="P25" s="667"/>
      <c r="Q25" s="21">
        <f>(SUMIF($17:$17,P25,$18:$18)-SUMIF($17:$17,$P$24,$18:$18)+100)/100</f>
        <v>1</v>
      </c>
      <c r="R25" s="663">
        <f>IF(B25="",0,ROUND($R$24*C25*E25*G25*I25*K25*M25*O25*Q25,0))</f>
        <v>0</v>
      </c>
      <c r="S25" s="316">
        <f t="shared" si="11"/>
        <v>0</v>
      </c>
    </row>
    <row r="26" spans="1:45">
      <c r="A26" s="150"/>
      <c r="B26" s="54"/>
      <c r="C26" s="21">
        <f t="shared" ref="C26:C89" si="12">IF(B26="",1,(LOOKUP(B26,$3:$3,$4:$4)-LOOKUP($B$24,$3:$3,$4:$4)+100)/100)</f>
        <v>1</v>
      </c>
      <c r="D26" s="667"/>
      <c r="E26" s="21">
        <f t="shared" ref="E26:E89" si="13">(SUMIF($5:$5,D26,$6:$6)-SUMIF($5:$5,$D$24,$6:$6)+100)/100</f>
        <v>1</v>
      </c>
      <c r="F26" s="667"/>
      <c r="G26" s="21">
        <f t="shared" ref="G26:G89" si="14">(SUMIF($7:$7,F26,$8:$8)-SUMIF($7:$7,$F$24,$8:$8)+100)/100</f>
        <v>1</v>
      </c>
      <c r="H26" s="667"/>
      <c r="I26" s="21">
        <f t="shared" ref="I26:I89" si="15">(SUMIF($9:$9,H26,$10:$10)-SUMIF($9:$9,$H$24,$10:$10)+100)/100</f>
        <v>1</v>
      </c>
      <c r="J26" s="667"/>
      <c r="K26" s="21">
        <f t="shared" ref="K26:K89" si="16">(SUMIF($11:$11,J26,$12:$12)-SUMIF($11:$11,$J$24,$12:$12)+100)/100</f>
        <v>1</v>
      </c>
      <c r="L26" s="667"/>
      <c r="M26" s="21">
        <f t="shared" ref="M26:M89" si="17">(SUMIF($13:$13,L26,$14:$14)-SUMIF($13:$13,$L$24,$14:$14)+100)/100</f>
        <v>1</v>
      </c>
      <c r="N26" s="667"/>
      <c r="O26" s="21">
        <f t="shared" ref="O26:O89" si="18">(SUMIF($15:$15,N26,$16:$16)-SUMIF($15:$15,$N$24,$16:$16)+100)/100</f>
        <v>1</v>
      </c>
      <c r="P26" s="667"/>
      <c r="Q26" s="21">
        <f t="shared" ref="Q26:Q89" si="19">(SUMIF($17:$17,P26,$18:$18)-SUMIF($17:$17,$P$24,$18:$18)+100)/100</f>
        <v>1</v>
      </c>
      <c r="R26" s="663">
        <f t="shared" ref="R26:R89" si="20">IF(B26="",0,ROUND($R$24*C26*E26*G26*I26*K26*M26*O26*Q26,0))</f>
        <v>0</v>
      </c>
      <c r="S26" s="316">
        <f t="shared" si="11"/>
        <v>0</v>
      </c>
    </row>
    <row r="27" spans="1:45">
      <c r="A27" s="150"/>
      <c r="B27" s="54"/>
      <c r="C27" s="21">
        <f t="shared" si="12"/>
        <v>1</v>
      </c>
      <c r="D27" s="667"/>
      <c r="E27" s="21">
        <f t="shared" si="13"/>
        <v>1</v>
      </c>
      <c r="F27" s="667"/>
      <c r="G27" s="21">
        <f t="shared" si="14"/>
        <v>1</v>
      </c>
      <c r="H27" s="667"/>
      <c r="I27" s="21">
        <f t="shared" si="15"/>
        <v>1</v>
      </c>
      <c r="J27" s="667"/>
      <c r="K27" s="21">
        <f t="shared" si="16"/>
        <v>1</v>
      </c>
      <c r="L27" s="667"/>
      <c r="M27" s="21">
        <f t="shared" si="17"/>
        <v>1</v>
      </c>
      <c r="N27" s="667"/>
      <c r="O27" s="21">
        <f t="shared" si="18"/>
        <v>1</v>
      </c>
      <c r="P27" s="667"/>
      <c r="Q27" s="21">
        <f t="shared" si="19"/>
        <v>1</v>
      </c>
      <c r="R27" s="663">
        <f t="shared" si="20"/>
        <v>0</v>
      </c>
      <c r="S27" s="316">
        <f t="shared" si="11"/>
        <v>0</v>
      </c>
    </row>
    <row r="28" spans="1:45">
      <c r="A28" s="150"/>
      <c r="B28" s="54"/>
      <c r="C28" s="21">
        <f t="shared" si="12"/>
        <v>1</v>
      </c>
      <c r="D28" s="667"/>
      <c r="E28" s="21">
        <f t="shared" si="13"/>
        <v>1</v>
      </c>
      <c r="F28" s="667"/>
      <c r="G28" s="21">
        <f t="shared" si="14"/>
        <v>1</v>
      </c>
      <c r="H28" s="667"/>
      <c r="I28" s="21">
        <f t="shared" si="15"/>
        <v>1</v>
      </c>
      <c r="J28" s="667"/>
      <c r="K28" s="21">
        <f t="shared" si="16"/>
        <v>1</v>
      </c>
      <c r="L28" s="667"/>
      <c r="M28" s="21">
        <f t="shared" si="17"/>
        <v>1</v>
      </c>
      <c r="N28" s="667"/>
      <c r="O28" s="21">
        <f t="shared" si="18"/>
        <v>1</v>
      </c>
      <c r="P28" s="667"/>
      <c r="Q28" s="21">
        <f t="shared" si="19"/>
        <v>1</v>
      </c>
      <c r="R28" s="663">
        <f t="shared" si="20"/>
        <v>0</v>
      </c>
      <c r="S28" s="316">
        <f t="shared" si="11"/>
        <v>0</v>
      </c>
    </row>
    <row r="29" spans="1:45">
      <c r="A29" s="150"/>
      <c r="B29" s="54"/>
      <c r="C29" s="21">
        <f t="shared" si="12"/>
        <v>1</v>
      </c>
      <c r="D29" s="667"/>
      <c r="E29" s="21">
        <f t="shared" si="13"/>
        <v>1</v>
      </c>
      <c r="F29" s="667"/>
      <c r="G29" s="21">
        <f t="shared" si="14"/>
        <v>1</v>
      </c>
      <c r="H29" s="667"/>
      <c r="I29" s="21">
        <f t="shared" si="15"/>
        <v>1</v>
      </c>
      <c r="J29" s="667"/>
      <c r="K29" s="21">
        <f t="shared" si="16"/>
        <v>1</v>
      </c>
      <c r="L29" s="667"/>
      <c r="M29" s="21">
        <f t="shared" si="17"/>
        <v>1</v>
      </c>
      <c r="N29" s="667"/>
      <c r="O29" s="21">
        <f t="shared" si="18"/>
        <v>1</v>
      </c>
      <c r="P29" s="667"/>
      <c r="Q29" s="21">
        <f t="shared" si="19"/>
        <v>1</v>
      </c>
      <c r="R29" s="663">
        <f t="shared" si="20"/>
        <v>0</v>
      </c>
      <c r="S29" s="316">
        <f t="shared" si="11"/>
        <v>0</v>
      </c>
    </row>
    <row r="30" spans="1:45">
      <c r="A30" s="150"/>
      <c r="B30" s="54"/>
      <c r="C30" s="21">
        <f t="shared" si="12"/>
        <v>1</v>
      </c>
      <c r="D30" s="667"/>
      <c r="E30" s="21">
        <f t="shared" si="13"/>
        <v>1</v>
      </c>
      <c r="F30" s="667"/>
      <c r="G30" s="21">
        <f t="shared" si="14"/>
        <v>1</v>
      </c>
      <c r="H30" s="667"/>
      <c r="I30" s="21">
        <f t="shared" si="15"/>
        <v>1</v>
      </c>
      <c r="J30" s="667"/>
      <c r="K30" s="21">
        <f t="shared" si="16"/>
        <v>1</v>
      </c>
      <c r="L30" s="667"/>
      <c r="M30" s="21">
        <f t="shared" si="17"/>
        <v>1</v>
      </c>
      <c r="N30" s="667"/>
      <c r="O30" s="21">
        <f t="shared" si="18"/>
        <v>1</v>
      </c>
      <c r="P30" s="667"/>
      <c r="Q30" s="21">
        <f t="shared" si="19"/>
        <v>1</v>
      </c>
      <c r="R30" s="663">
        <f t="shared" si="20"/>
        <v>0</v>
      </c>
      <c r="S30" s="316">
        <f t="shared" si="11"/>
        <v>0</v>
      </c>
    </row>
    <row r="31" spans="1:45">
      <c r="A31" s="150"/>
      <c r="B31" s="54"/>
      <c r="C31" s="21">
        <f t="shared" si="12"/>
        <v>1</v>
      </c>
      <c r="D31" s="667"/>
      <c r="E31" s="21">
        <f t="shared" si="13"/>
        <v>1</v>
      </c>
      <c r="F31" s="667"/>
      <c r="G31" s="21">
        <f t="shared" si="14"/>
        <v>1</v>
      </c>
      <c r="H31" s="667"/>
      <c r="I31" s="21">
        <f t="shared" si="15"/>
        <v>1</v>
      </c>
      <c r="J31" s="667"/>
      <c r="K31" s="21">
        <f t="shared" si="16"/>
        <v>1</v>
      </c>
      <c r="L31" s="667"/>
      <c r="M31" s="21">
        <f t="shared" si="17"/>
        <v>1</v>
      </c>
      <c r="N31" s="667"/>
      <c r="O31" s="21">
        <f t="shared" si="18"/>
        <v>1</v>
      </c>
      <c r="P31" s="667"/>
      <c r="Q31" s="21">
        <f t="shared" si="19"/>
        <v>1</v>
      </c>
      <c r="R31" s="663">
        <f t="shared" si="20"/>
        <v>0</v>
      </c>
      <c r="S31" s="316">
        <f t="shared" si="11"/>
        <v>0</v>
      </c>
    </row>
    <row r="32" spans="1:45">
      <c r="A32" s="150"/>
      <c r="B32" s="54"/>
      <c r="C32" s="21">
        <f t="shared" si="12"/>
        <v>1</v>
      </c>
      <c r="D32" s="667"/>
      <c r="E32" s="21">
        <f t="shared" si="13"/>
        <v>1</v>
      </c>
      <c r="F32" s="667"/>
      <c r="G32" s="21">
        <f t="shared" si="14"/>
        <v>1</v>
      </c>
      <c r="H32" s="667"/>
      <c r="I32" s="21">
        <f t="shared" si="15"/>
        <v>1</v>
      </c>
      <c r="J32" s="667"/>
      <c r="K32" s="21">
        <f t="shared" si="16"/>
        <v>1</v>
      </c>
      <c r="L32" s="667"/>
      <c r="M32" s="21">
        <f t="shared" si="17"/>
        <v>1</v>
      </c>
      <c r="N32" s="667"/>
      <c r="O32" s="21">
        <f t="shared" si="18"/>
        <v>1</v>
      </c>
      <c r="P32" s="667"/>
      <c r="Q32" s="21">
        <f t="shared" si="19"/>
        <v>1</v>
      </c>
      <c r="R32" s="663">
        <f t="shared" si="20"/>
        <v>0</v>
      </c>
      <c r="S32" s="316">
        <f t="shared" si="11"/>
        <v>0</v>
      </c>
    </row>
    <row r="33" spans="1:19">
      <c r="A33" s="150"/>
      <c r="B33" s="54"/>
      <c r="C33" s="21">
        <f t="shared" si="12"/>
        <v>1</v>
      </c>
      <c r="D33" s="667"/>
      <c r="E33" s="21">
        <f t="shared" si="13"/>
        <v>1</v>
      </c>
      <c r="F33" s="667"/>
      <c r="G33" s="21">
        <f t="shared" si="14"/>
        <v>1</v>
      </c>
      <c r="H33" s="667"/>
      <c r="I33" s="21">
        <f t="shared" si="15"/>
        <v>1</v>
      </c>
      <c r="J33" s="667"/>
      <c r="K33" s="21">
        <f t="shared" si="16"/>
        <v>1</v>
      </c>
      <c r="L33" s="667"/>
      <c r="M33" s="21">
        <f t="shared" si="17"/>
        <v>1</v>
      </c>
      <c r="N33" s="667"/>
      <c r="O33" s="21">
        <f t="shared" si="18"/>
        <v>1</v>
      </c>
      <c r="P33" s="667"/>
      <c r="Q33" s="21">
        <f t="shared" si="19"/>
        <v>1</v>
      </c>
      <c r="R33" s="663">
        <f t="shared" si="20"/>
        <v>0</v>
      </c>
      <c r="S33" s="316">
        <f t="shared" si="11"/>
        <v>0</v>
      </c>
    </row>
    <row r="34" spans="1:19">
      <c r="A34" s="150"/>
      <c r="B34" s="54"/>
      <c r="C34" s="21">
        <f t="shared" si="12"/>
        <v>1</v>
      </c>
      <c r="D34" s="667"/>
      <c r="E34" s="21">
        <f t="shared" si="13"/>
        <v>1</v>
      </c>
      <c r="F34" s="667"/>
      <c r="G34" s="21">
        <f t="shared" si="14"/>
        <v>1</v>
      </c>
      <c r="H34" s="667"/>
      <c r="I34" s="21">
        <f t="shared" si="15"/>
        <v>1</v>
      </c>
      <c r="J34" s="667"/>
      <c r="K34" s="21">
        <f t="shared" si="16"/>
        <v>1</v>
      </c>
      <c r="L34" s="667"/>
      <c r="M34" s="21">
        <f t="shared" si="17"/>
        <v>1</v>
      </c>
      <c r="N34" s="667"/>
      <c r="O34" s="21">
        <f t="shared" si="18"/>
        <v>1</v>
      </c>
      <c r="P34" s="667"/>
      <c r="Q34" s="21">
        <f t="shared" si="19"/>
        <v>1</v>
      </c>
      <c r="R34" s="663">
        <f t="shared" si="20"/>
        <v>0</v>
      </c>
      <c r="S34" s="316">
        <f t="shared" si="11"/>
        <v>0</v>
      </c>
    </row>
    <row r="35" spans="1:19">
      <c r="A35" s="150"/>
      <c r="B35" s="54"/>
      <c r="C35" s="21">
        <f t="shared" si="12"/>
        <v>1</v>
      </c>
      <c r="D35" s="667"/>
      <c r="E35" s="21">
        <f t="shared" si="13"/>
        <v>1</v>
      </c>
      <c r="F35" s="667"/>
      <c r="G35" s="21">
        <f t="shared" si="14"/>
        <v>1</v>
      </c>
      <c r="H35" s="667"/>
      <c r="I35" s="21">
        <f t="shared" si="15"/>
        <v>1</v>
      </c>
      <c r="J35" s="667"/>
      <c r="K35" s="21">
        <f t="shared" si="16"/>
        <v>1</v>
      </c>
      <c r="L35" s="667"/>
      <c r="M35" s="21">
        <f t="shared" si="17"/>
        <v>1</v>
      </c>
      <c r="N35" s="667"/>
      <c r="O35" s="21">
        <f t="shared" si="18"/>
        <v>1</v>
      </c>
      <c r="P35" s="667"/>
      <c r="Q35" s="21">
        <f t="shared" si="19"/>
        <v>1</v>
      </c>
      <c r="R35" s="663">
        <f t="shared" si="20"/>
        <v>0</v>
      </c>
      <c r="S35" s="316">
        <f t="shared" si="11"/>
        <v>0</v>
      </c>
    </row>
    <row r="36" spans="1:19">
      <c r="A36" s="150"/>
      <c r="B36" s="54"/>
      <c r="C36" s="21">
        <f t="shared" si="12"/>
        <v>1</v>
      </c>
      <c r="D36" s="667"/>
      <c r="E36" s="21">
        <f t="shared" si="13"/>
        <v>1</v>
      </c>
      <c r="F36" s="667"/>
      <c r="G36" s="21">
        <f t="shared" si="14"/>
        <v>1</v>
      </c>
      <c r="H36" s="667"/>
      <c r="I36" s="21">
        <f t="shared" si="15"/>
        <v>1</v>
      </c>
      <c r="J36" s="667"/>
      <c r="K36" s="21">
        <f t="shared" si="16"/>
        <v>1</v>
      </c>
      <c r="L36" s="667"/>
      <c r="M36" s="21">
        <f t="shared" si="17"/>
        <v>1</v>
      </c>
      <c r="N36" s="667"/>
      <c r="O36" s="21">
        <f t="shared" si="18"/>
        <v>1</v>
      </c>
      <c r="P36" s="667"/>
      <c r="Q36" s="21">
        <f t="shared" si="19"/>
        <v>1</v>
      </c>
      <c r="R36" s="663">
        <f t="shared" si="20"/>
        <v>0</v>
      </c>
      <c r="S36" s="316">
        <f t="shared" si="11"/>
        <v>0</v>
      </c>
    </row>
    <row r="37" spans="1:19">
      <c r="A37" s="150"/>
      <c r="B37" s="54"/>
      <c r="C37" s="21">
        <f t="shared" si="12"/>
        <v>1</v>
      </c>
      <c r="D37" s="667"/>
      <c r="E37" s="21">
        <f t="shared" si="13"/>
        <v>1</v>
      </c>
      <c r="F37" s="667"/>
      <c r="G37" s="21">
        <f t="shared" si="14"/>
        <v>1</v>
      </c>
      <c r="H37" s="667"/>
      <c r="I37" s="21">
        <f t="shared" si="15"/>
        <v>1</v>
      </c>
      <c r="J37" s="667"/>
      <c r="K37" s="21">
        <f t="shared" si="16"/>
        <v>1</v>
      </c>
      <c r="L37" s="667"/>
      <c r="M37" s="21">
        <f t="shared" si="17"/>
        <v>1</v>
      </c>
      <c r="N37" s="667"/>
      <c r="O37" s="21">
        <f t="shared" si="18"/>
        <v>1</v>
      </c>
      <c r="P37" s="667"/>
      <c r="Q37" s="21">
        <f t="shared" si="19"/>
        <v>1</v>
      </c>
      <c r="R37" s="663">
        <f t="shared" si="20"/>
        <v>0</v>
      </c>
      <c r="S37" s="316">
        <f t="shared" si="11"/>
        <v>0</v>
      </c>
    </row>
    <row r="38" spans="1:19">
      <c r="A38" s="150"/>
      <c r="B38" s="54"/>
      <c r="C38" s="21">
        <f t="shared" si="12"/>
        <v>1</v>
      </c>
      <c r="D38" s="667"/>
      <c r="E38" s="21">
        <f t="shared" si="13"/>
        <v>1</v>
      </c>
      <c r="F38" s="667"/>
      <c r="G38" s="21">
        <f t="shared" si="14"/>
        <v>1</v>
      </c>
      <c r="H38" s="667"/>
      <c r="I38" s="21">
        <f t="shared" si="15"/>
        <v>1</v>
      </c>
      <c r="J38" s="667"/>
      <c r="K38" s="21">
        <f t="shared" si="16"/>
        <v>1</v>
      </c>
      <c r="L38" s="667"/>
      <c r="M38" s="21">
        <f t="shared" si="17"/>
        <v>1</v>
      </c>
      <c r="N38" s="667"/>
      <c r="O38" s="21">
        <f t="shared" si="18"/>
        <v>1</v>
      </c>
      <c r="P38" s="667"/>
      <c r="Q38" s="21">
        <f t="shared" si="19"/>
        <v>1</v>
      </c>
      <c r="R38" s="663">
        <f t="shared" si="20"/>
        <v>0</v>
      </c>
      <c r="S38" s="316">
        <f t="shared" si="11"/>
        <v>0</v>
      </c>
    </row>
    <row r="39" spans="1:19">
      <c r="A39" s="150"/>
      <c r="B39" s="54"/>
      <c r="C39" s="21">
        <f t="shared" si="12"/>
        <v>1</v>
      </c>
      <c r="D39" s="667"/>
      <c r="E39" s="21">
        <f t="shared" si="13"/>
        <v>1</v>
      </c>
      <c r="F39" s="667"/>
      <c r="G39" s="21">
        <f t="shared" si="14"/>
        <v>1</v>
      </c>
      <c r="H39" s="667"/>
      <c r="I39" s="21">
        <f t="shared" si="15"/>
        <v>1</v>
      </c>
      <c r="J39" s="667"/>
      <c r="K39" s="21">
        <f t="shared" si="16"/>
        <v>1</v>
      </c>
      <c r="L39" s="667"/>
      <c r="M39" s="21">
        <f t="shared" si="17"/>
        <v>1</v>
      </c>
      <c r="N39" s="667"/>
      <c r="O39" s="21">
        <f t="shared" si="18"/>
        <v>1</v>
      </c>
      <c r="P39" s="667"/>
      <c r="Q39" s="21">
        <f t="shared" si="19"/>
        <v>1</v>
      </c>
      <c r="R39" s="663">
        <f t="shared" si="20"/>
        <v>0</v>
      </c>
      <c r="S39" s="316">
        <f t="shared" si="11"/>
        <v>0</v>
      </c>
    </row>
    <row r="40" spans="1:19">
      <c r="A40" s="150"/>
      <c r="B40" s="54"/>
      <c r="C40" s="21">
        <f t="shared" si="12"/>
        <v>1</v>
      </c>
      <c r="D40" s="667"/>
      <c r="E40" s="21">
        <f t="shared" si="13"/>
        <v>1</v>
      </c>
      <c r="F40" s="667"/>
      <c r="G40" s="21">
        <f t="shared" si="14"/>
        <v>1</v>
      </c>
      <c r="H40" s="667"/>
      <c r="I40" s="21">
        <f t="shared" si="15"/>
        <v>1</v>
      </c>
      <c r="J40" s="667"/>
      <c r="K40" s="21">
        <f t="shared" si="16"/>
        <v>1</v>
      </c>
      <c r="L40" s="667"/>
      <c r="M40" s="21">
        <f t="shared" si="17"/>
        <v>1</v>
      </c>
      <c r="N40" s="667"/>
      <c r="O40" s="21">
        <f t="shared" si="18"/>
        <v>1</v>
      </c>
      <c r="P40" s="667"/>
      <c r="Q40" s="21">
        <f t="shared" si="19"/>
        <v>1</v>
      </c>
      <c r="R40" s="663">
        <f t="shared" si="20"/>
        <v>0</v>
      </c>
      <c r="S40" s="316">
        <f t="shared" si="11"/>
        <v>0</v>
      </c>
    </row>
    <row r="41" spans="1:19">
      <c r="A41" s="150"/>
      <c r="B41" s="54"/>
      <c r="C41" s="21">
        <f t="shared" si="12"/>
        <v>1</v>
      </c>
      <c r="D41" s="667"/>
      <c r="E41" s="21">
        <f t="shared" si="13"/>
        <v>1</v>
      </c>
      <c r="F41" s="667"/>
      <c r="G41" s="21">
        <f t="shared" si="14"/>
        <v>1</v>
      </c>
      <c r="H41" s="667"/>
      <c r="I41" s="21">
        <f t="shared" si="15"/>
        <v>1</v>
      </c>
      <c r="J41" s="667"/>
      <c r="K41" s="21">
        <f t="shared" si="16"/>
        <v>1</v>
      </c>
      <c r="L41" s="667"/>
      <c r="M41" s="21">
        <f t="shared" si="17"/>
        <v>1</v>
      </c>
      <c r="N41" s="667"/>
      <c r="O41" s="21">
        <f t="shared" si="18"/>
        <v>1</v>
      </c>
      <c r="P41" s="667"/>
      <c r="Q41" s="21">
        <f t="shared" si="19"/>
        <v>1</v>
      </c>
      <c r="R41" s="663">
        <f t="shared" si="20"/>
        <v>0</v>
      </c>
      <c r="S41" s="316">
        <f t="shared" si="11"/>
        <v>0</v>
      </c>
    </row>
    <row r="42" spans="1:19">
      <c r="A42" s="150"/>
      <c r="B42" s="54"/>
      <c r="C42" s="21">
        <f t="shared" si="12"/>
        <v>1</v>
      </c>
      <c r="D42" s="667"/>
      <c r="E42" s="21">
        <f t="shared" si="13"/>
        <v>1</v>
      </c>
      <c r="F42" s="667"/>
      <c r="G42" s="21">
        <f t="shared" si="14"/>
        <v>1</v>
      </c>
      <c r="H42" s="667"/>
      <c r="I42" s="21">
        <f t="shared" si="15"/>
        <v>1</v>
      </c>
      <c r="J42" s="667"/>
      <c r="K42" s="21">
        <f t="shared" si="16"/>
        <v>1</v>
      </c>
      <c r="L42" s="667"/>
      <c r="M42" s="21">
        <f t="shared" si="17"/>
        <v>1</v>
      </c>
      <c r="N42" s="667"/>
      <c r="O42" s="21">
        <f t="shared" si="18"/>
        <v>1</v>
      </c>
      <c r="P42" s="667"/>
      <c r="Q42" s="21">
        <f t="shared" si="19"/>
        <v>1</v>
      </c>
      <c r="R42" s="663">
        <f t="shared" si="20"/>
        <v>0</v>
      </c>
      <c r="S42" s="316">
        <f t="shared" si="11"/>
        <v>0</v>
      </c>
    </row>
    <row r="43" spans="1:19">
      <c r="A43" s="150"/>
      <c r="B43" s="54"/>
      <c r="C43" s="21">
        <f t="shared" si="12"/>
        <v>1</v>
      </c>
      <c r="D43" s="667"/>
      <c r="E43" s="21">
        <f t="shared" si="13"/>
        <v>1</v>
      </c>
      <c r="F43" s="667"/>
      <c r="G43" s="21">
        <f t="shared" si="14"/>
        <v>1</v>
      </c>
      <c r="H43" s="667"/>
      <c r="I43" s="21">
        <f t="shared" si="15"/>
        <v>1</v>
      </c>
      <c r="J43" s="667"/>
      <c r="K43" s="21">
        <f t="shared" si="16"/>
        <v>1</v>
      </c>
      <c r="L43" s="667"/>
      <c r="M43" s="21">
        <f t="shared" si="17"/>
        <v>1</v>
      </c>
      <c r="N43" s="667"/>
      <c r="O43" s="21">
        <f t="shared" si="18"/>
        <v>1</v>
      </c>
      <c r="P43" s="667"/>
      <c r="Q43" s="21">
        <f t="shared" si="19"/>
        <v>1</v>
      </c>
      <c r="R43" s="663">
        <f t="shared" si="20"/>
        <v>0</v>
      </c>
      <c r="S43" s="316">
        <f t="shared" si="11"/>
        <v>0</v>
      </c>
    </row>
    <row r="44" spans="1:19">
      <c r="A44" s="150"/>
      <c r="B44" s="54"/>
      <c r="C44" s="21">
        <f t="shared" si="12"/>
        <v>1</v>
      </c>
      <c r="D44" s="667"/>
      <c r="E44" s="21">
        <f t="shared" si="13"/>
        <v>1</v>
      </c>
      <c r="F44" s="667"/>
      <c r="G44" s="21">
        <f t="shared" si="14"/>
        <v>1</v>
      </c>
      <c r="H44" s="667"/>
      <c r="I44" s="21">
        <f t="shared" si="15"/>
        <v>1</v>
      </c>
      <c r="J44" s="667"/>
      <c r="K44" s="21">
        <f t="shared" si="16"/>
        <v>1</v>
      </c>
      <c r="L44" s="667"/>
      <c r="M44" s="21">
        <f t="shared" si="17"/>
        <v>1</v>
      </c>
      <c r="N44" s="667"/>
      <c r="O44" s="21">
        <f t="shared" si="18"/>
        <v>1</v>
      </c>
      <c r="P44" s="667"/>
      <c r="Q44" s="21">
        <f t="shared" si="19"/>
        <v>1</v>
      </c>
      <c r="R44" s="663">
        <f t="shared" si="20"/>
        <v>0</v>
      </c>
      <c r="S44" s="316">
        <f t="shared" si="11"/>
        <v>0</v>
      </c>
    </row>
    <row r="45" spans="1:19">
      <c r="A45" s="150"/>
      <c r="B45" s="54"/>
      <c r="C45" s="21">
        <f t="shared" si="12"/>
        <v>1</v>
      </c>
      <c r="D45" s="667"/>
      <c r="E45" s="21">
        <f t="shared" si="13"/>
        <v>1</v>
      </c>
      <c r="F45" s="667"/>
      <c r="G45" s="21">
        <f t="shared" si="14"/>
        <v>1</v>
      </c>
      <c r="H45" s="667"/>
      <c r="I45" s="21">
        <f t="shared" si="15"/>
        <v>1</v>
      </c>
      <c r="J45" s="667"/>
      <c r="K45" s="21">
        <f t="shared" si="16"/>
        <v>1</v>
      </c>
      <c r="L45" s="667"/>
      <c r="M45" s="21">
        <f t="shared" si="17"/>
        <v>1</v>
      </c>
      <c r="N45" s="667"/>
      <c r="O45" s="21">
        <f t="shared" si="18"/>
        <v>1</v>
      </c>
      <c r="P45" s="667"/>
      <c r="Q45" s="21">
        <f t="shared" si="19"/>
        <v>1</v>
      </c>
      <c r="R45" s="663">
        <f t="shared" si="20"/>
        <v>0</v>
      </c>
      <c r="S45" s="316">
        <f t="shared" si="11"/>
        <v>0</v>
      </c>
    </row>
    <row r="46" spans="1:19">
      <c r="A46" s="150"/>
      <c r="B46" s="54"/>
      <c r="C46" s="21">
        <f t="shared" si="12"/>
        <v>1</v>
      </c>
      <c r="D46" s="667"/>
      <c r="E46" s="21">
        <f t="shared" si="13"/>
        <v>1</v>
      </c>
      <c r="F46" s="667"/>
      <c r="G46" s="21">
        <f t="shared" si="14"/>
        <v>1</v>
      </c>
      <c r="H46" s="667"/>
      <c r="I46" s="21">
        <f t="shared" si="15"/>
        <v>1</v>
      </c>
      <c r="J46" s="667"/>
      <c r="K46" s="21">
        <f t="shared" si="16"/>
        <v>1</v>
      </c>
      <c r="L46" s="667"/>
      <c r="M46" s="21">
        <f t="shared" si="17"/>
        <v>1</v>
      </c>
      <c r="N46" s="667"/>
      <c r="O46" s="21">
        <f t="shared" si="18"/>
        <v>1</v>
      </c>
      <c r="P46" s="667"/>
      <c r="Q46" s="21">
        <f t="shared" si="19"/>
        <v>1</v>
      </c>
      <c r="R46" s="663">
        <f t="shared" si="20"/>
        <v>0</v>
      </c>
      <c r="S46" s="316">
        <f t="shared" si="11"/>
        <v>0</v>
      </c>
    </row>
    <row r="47" spans="1:19">
      <c r="A47" s="150"/>
      <c r="B47" s="54"/>
      <c r="C47" s="21">
        <f t="shared" si="12"/>
        <v>1</v>
      </c>
      <c r="D47" s="667"/>
      <c r="E47" s="21">
        <f t="shared" si="13"/>
        <v>1</v>
      </c>
      <c r="F47" s="667"/>
      <c r="G47" s="21">
        <f t="shared" si="14"/>
        <v>1</v>
      </c>
      <c r="H47" s="667"/>
      <c r="I47" s="21">
        <f t="shared" si="15"/>
        <v>1</v>
      </c>
      <c r="J47" s="667"/>
      <c r="K47" s="21">
        <f t="shared" si="16"/>
        <v>1</v>
      </c>
      <c r="L47" s="667"/>
      <c r="M47" s="21">
        <f t="shared" si="17"/>
        <v>1</v>
      </c>
      <c r="N47" s="667"/>
      <c r="O47" s="21">
        <f t="shared" si="18"/>
        <v>1</v>
      </c>
      <c r="P47" s="667"/>
      <c r="Q47" s="21">
        <f t="shared" si="19"/>
        <v>1</v>
      </c>
      <c r="R47" s="663">
        <f t="shared" si="20"/>
        <v>0</v>
      </c>
      <c r="S47" s="316">
        <f t="shared" si="11"/>
        <v>0</v>
      </c>
    </row>
    <row r="48" spans="1:19">
      <c r="A48" s="150"/>
      <c r="B48" s="54"/>
      <c r="C48" s="21">
        <f t="shared" si="12"/>
        <v>1</v>
      </c>
      <c r="D48" s="667"/>
      <c r="E48" s="21">
        <f t="shared" si="13"/>
        <v>1</v>
      </c>
      <c r="F48" s="667"/>
      <c r="G48" s="21">
        <f t="shared" si="14"/>
        <v>1</v>
      </c>
      <c r="H48" s="667"/>
      <c r="I48" s="21">
        <f t="shared" si="15"/>
        <v>1</v>
      </c>
      <c r="J48" s="667"/>
      <c r="K48" s="21">
        <f t="shared" si="16"/>
        <v>1</v>
      </c>
      <c r="L48" s="667"/>
      <c r="M48" s="21">
        <f t="shared" si="17"/>
        <v>1</v>
      </c>
      <c r="N48" s="667"/>
      <c r="O48" s="21">
        <f t="shared" si="18"/>
        <v>1</v>
      </c>
      <c r="P48" s="667"/>
      <c r="Q48" s="21">
        <f t="shared" si="19"/>
        <v>1</v>
      </c>
      <c r="R48" s="663">
        <f t="shared" si="20"/>
        <v>0</v>
      </c>
      <c r="S48" s="316">
        <f t="shared" si="11"/>
        <v>0</v>
      </c>
    </row>
    <row r="49" spans="1:19">
      <c r="A49" s="150"/>
      <c r="B49" s="54"/>
      <c r="C49" s="21">
        <f t="shared" si="12"/>
        <v>1</v>
      </c>
      <c r="D49" s="667"/>
      <c r="E49" s="21">
        <f t="shared" si="13"/>
        <v>1</v>
      </c>
      <c r="F49" s="667"/>
      <c r="G49" s="21">
        <f t="shared" si="14"/>
        <v>1</v>
      </c>
      <c r="H49" s="667"/>
      <c r="I49" s="21">
        <f t="shared" si="15"/>
        <v>1</v>
      </c>
      <c r="J49" s="667"/>
      <c r="K49" s="21">
        <f t="shared" si="16"/>
        <v>1</v>
      </c>
      <c r="L49" s="667"/>
      <c r="M49" s="21">
        <f t="shared" si="17"/>
        <v>1</v>
      </c>
      <c r="N49" s="667"/>
      <c r="O49" s="21">
        <f t="shared" si="18"/>
        <v>1</v>
      </c>
      <c r="P49" s="667"/>
      <c r="Q49" s="21">
        <f t="shared" si="19"/>
        <v>1</v>
      </c>
      <c r="R49" s="663">
        <f t="shared" si="20"/>
        <v>0</v>
      </c>
      <c r="S49" s="316">
        <f t="shared" si="11"/>
        <v>0</v>
      </c>
    </row>
    <row r="50" spans="1:19">
      <c r="A50" s="150"/>
      <c r="B50" s="54"/>
      <c r="C50" s="21">
        <f t="shared" si="12"/>
        <v>1</v>
      </c>
      <c r="D50" s="667"/>
      <c r="E50" s="21">
        <f t="shared" si="13"/>
        <v>1</v>
      </c>
      <c r="F50" s="667"/>
      <c r="G50" s="21">
        <f t="shared" si="14"/>
        <v>1</v>
      </c>
      <c r="H50" s="667"/>
      <c r="I50" s="21">
        <f t="shared" si="15"/>
        <v>1</v>
      </c>
      <c r="J50" s="667"/>
      <c r="K50" s="21">
        <f t="shared" si="16"/>
        <v>1</v>
      </c>
      <c r="L50" s="667"/>
      <c r="M50" s="21">
        <f t="shared" si="17"/>
        <v>1</v>
      </c>
      <c r="N50" s="667"/>
      <c r="O50" s="21">
        <f t="shared" si="18"/>
        <v>1</v>
      </c>
      <c r="P50" s="667"/>
      <c r="Q50" s="21">
        <f t="shared" si="19"/>
        <v>1</v>
      </c>
      <c r="R50" s="663">
        <f t="shared" si="20"/>
        <v>0</v>
      </c>
      <c r="S50" s="316">
        <f t="shared" si="11"/>
        <v>0</v>
      </c>
    </row>
    <row r="51" spans="1:19">
      <c r="A51" s="150"/>
      <c r="B51" s="54"/>
      <c r="C51" s="21">
        <f t="shared" si="12"/>
        <v>1</v>
      </c>
      <c r="D51" s="667"/>
      <c r="E51" s="21">
        <f t="shared" si="13"/>
        <v>1</v>
      </c>
      <c r="F51" s="667"/>
      <c r="G51" s="21">
        <f t="shared" si="14"/>
        <v>1</v>
      </c>
      <c r="H51" s="667"/>
      <c r="I51" s="21">
        <f t="shared" si="15"/>
        <v>1</v>
      </c>
      <c r="J51" s="667"/>
      <c r="K51" s="21">
        <f t="shared" si="16"/>
        <v>1</v>
      </c>
      <c r="L51" s="667"/>
      <c r="M51" s="21">
        <f t="shared" si="17"/>
        <v>1</v>
      </c>
      <c r="N51" s="667"/>
      <c r="O51" s="21">
        <f t="shared" si="18"/>
        <v>1</v>
      </c>
      <c r="P51" s="667"/>
      <c r="Q51" s="21">
        <f t="shared" si="19"/>
        <v>1</v>
      </c>
      <c r="R51" s="663">
        <f t="shared" si="20"/>
        <v>0</v>
      </c>
      <c r="S51" s="316">
        <f t="shared" si="11"/>
        <v>0</v>
      </c>
    </row>
    <row r="52" spans="1:19">
      <c r="A52" s="150"/>
      <c r="B52" s="54"/>
      <c r="C52" s="21">
        <f t="shared" si="12"/>
        <v>1</v>
      </c>
      <c r="D52" s="667"/>
      <c r="E52" s="21">
        <f t="shared" si="13"/>
        <v>1</v>
      </c>
      <c r="F52" s="667"/>
      <c r="G52" s="21">
        <f t="shared" si="14"/>
        <v>1</v>
      </c>
      <c r="H52" s="667"/>
      <c r="I52" s="21">
        <f t="shared" si="15"/>
        <v>1</v>
      </c>
      <c r="J52" s="667"/>
      <c r="K52" s="21">
        <f t="shared" si="16"/>
        <v>1</v>
      </c>
      <c r="L52" s="667"/>
      <c r="M52" s="21">
        <f t="shared" si="17"/>
        <v>1</v>
      </c>
      <c r="N52" s="667"/>
      <c r="O52" s="21">
        <f t="shared" si="18"/>
        <v>1</v>
      </c>
      <c r="P52" s="667"/>
      <c r="Q52" s="21">
        <f t="shared" si="19"/>
        <v>1</v>
      </c>
      <c r="R52" s="663">
        <f t="shared" si="20"/>
        <v>0</v>
      </c>
      <c r="S52" s="316">
        <f t="shared" si="11"/>
        <v>0</v>
      </c>
    </row>
    <row r="53" spans="1:19">
      <c r="A53" s="150"/>
      <c r="B53" s="54"/>
      <c r="C53" s="21">
        <f t="shared" si="12"/>
        <v>1</v>
      </c>
      <c r="D53" s="667"/>
      <c r="E53" s="21">
        <f t="shared" si="13"/>
        <v>1</v>
      </c>
      <c r="F53" s="667"/>
      <c r="G53" s="21">
        <f t="shared" si="14"/>
        <v>1</v>
      </c>
      <c r="H53" s="667"/>
      <c r="I53" s="21">
        <f t="shared" si="15"/>
        <v>1</v>
      </c>
      <c r="J53" s="667"/>
      <c r="K53" s="21">
        <f t="shared" si="16"/>
        <v>1</v>
      </c>
      <c r="L53" s="667"/>
      <c r="M53" s="21">
        <f t="shared" si="17"/>
        <v>1</v>
      </c>
      <c r="N53" s="667"/>
      <c r="O53" s="21">
        <f t="shared" si="18"/>
        <v>1</v>
      </c>
      <c r="P53" s="667"/>
      <c r="Q53" s="21">
        <f t="shared" si="19"/>
        <v>1</v>
      </c>
      <c r="R53" s="663">
        <f t="shared" si="20"/>
        <v>0</v>
      </c>
      <c r="S53" s="316">
        <f t="shared" si="11"/>
        <v>0</v>
      </c>
    </row>
    <row r="54" spans="1:19">
      <c r="A54" s="150"/>
      <c r="B54" s="54"/>
      <c r="C54" s="21">
        <f t="shared" si="12"/>
        <v>1</v>
      </c>
      <c r="D54" s="667"/>
      <c r="E54" s="21">
        <f t="shared" si="13"/>
        <v>1</v>
      </c>
      <c r="F54" s="667"/>
      <c r="G54" s="21">
        <f t="shared" si="14"/>
        <v>1</v>
      </c>
      <c r="H54" s="667"/>
      <c r="I54" s="21">
        <f t="shared" si="15"/>
        <v>1</v>
      </c>
      <c r="J54" s="667"/>
      <c r="K54" s="21">
        <f t="shared" si="16"/>
        <v>1</v>
      </c>
      <c r="L54" s="667"/>
      <c r="M54" s="21">
        <f t="shared" si="17"/>
        <v>1</v>
      </c>
      <c r="N54" s="667"/>
      <c r="O54" s="21">
        <f t="shared" si="18"/>
        <v>1</v>
      </c>
      <c r="P54" s="667"/>
      <c r="Q54" s="21">
        <f t="shared" si="19"/>
        <v>1</v>
      </c>
      <c r="R54" s="663">
        <f t="shared" si="20"/>
        <v>0</v>
      </c>
      <c r="S54" s="316">
        <f t="shared" si="11"/>
        <v>0</v>
      </c>
    </row>
    <row r="55" spans="1:19">
      <c r="A55" s="150"/>
      <c r="B55" s="54"/>
      <c r="C55" s="21">
        <f t="shared" si="12"/>
        <v>1</v>
      </c>
      <c r="D55" s="667"/>
      <c r="E55" s="21">
        <f t="shared" si="13"/>
        <v>1</v>
      </c>
      <c r="F55" s="667"/>
      <c r="G55" s="21">
        <f t="shared" si="14"/>
        <v>1</v>
      </c>
      <c r="H55" s="667"/>
      <c r="I55" s="21">
        <f t="shared" si="15"/>
        <v>1</v>
      </c>
      <c r="J55" s="667"/>
      <c r="K55" s="21">
        <f t="shared" si="16"/>
        <v>1</v>
      </c>
      <c r="L55" s="667"/>
      <c r="M55" s="21">
        <f t="shared" si="17"/>
        <v>1</v>
      </c>
      <c r="N55" s="667"/>
      <c r="O55" s="21">
        <f t="shared" si="18"/>
        <v>1</v>
      </c>
      <c r="P55" s="667"/>
      <c r="Q55" s="21">
        <f t="shared" si="19"/>
        <v>1</v>
      </c>
      <c r="R55" s="663">
        <f t="shared" si="20"/>
        <v>0</v>
      </c>
      <c r="S55" s="316">
        <f t="shared" ref="S55:S77" si="21">ROUND(R55*B55/10000,0)</f>
        <v>0</v>
      </c>
    </row>
    <row r="56" spans="1:19">
      <c r="A56" s="150"/>
      <c r="B56" s="54"/>
      <c r="C56" s="21">
        <f t="shared" si="12"/>
        <v>1</v>
      </c>
      <c r="D56" s="667"/>
      <c r="E56" s="21">
        <f t="shared" si="13"/>
        <v>1</v>
      </c>
      <c r="F56" s="667"/>
      <c r="G56" s="21">
        <f t="shared" si="14"/>
        <v>1</v>
      </c>
      <c r="H56" s="667"/>
      <c r="I56" s="21">
        <f t="shared" si="15"/>
        <v>1</v>
      </c>
      <c r="J56" s="667"/>
      <c r="K56" s="21">
        <f t="shared" si="16"/>
        <v>1</v>
      </c>
      <c r="L56" s="667"/>
      <c r="M56" s="21">
        <f t="shared" si="17"/>
        <v>1</v>
      </c>
      <c r="N56" s="667"/>
      <c r="O56" s="21">
        <f t="shared" si="18"/>
        <v>1</v>
      </c>
      <c r="P56" s="667"/>
      <c r="Q56" s="21">
        <f t="shared" si="19"/>
        <v>1</v>
      </c>
      <c r="R56" s="663">
        <f t="shared" si="20"/>
        <v>0</v>
      </c>
      <c r="S56" s="316">
        <f t="shared" si="21"/>
        <v>0</v>
      </c>
    </row>
    <row r="57" spans="1:19">
      <c r="A57" s="150"/>
      <c r="B57" s="54"/>
      <c r="C57" s="21">
        <f t="shared" si="12"/>
        <v>1</v>
      </c>
      <c r="D57" s="667"/>
      <c r="E57" s="21">
        <f t="shared" si="13"/>
        <v>1</v>
      </c>
      <c r="F57" s="667"/>
      <c r="G57" s="21">
        <f t="shared" si="14"/>
        <v>1</v>
      </c>
      <c r="H57" s="667"/>
      <c r="I57" s="21">
        <f t="shared" si="15"/>
        <v>1</v>
      </c>
      <c r="J57" s="667"/>
      <c r="K57" s="21">
        <f t="shared" si="16"/>
        <v>1</v>
      </c>
      <c r="L57" s="667"/>
      <c r="M57" s="21">
        <f t="shared" si="17"/>
        <v>1</v>
      </c>
      <c r="N57" s="667"/>
      <c r="O57" s="21">
        <f t="shared" si="18"/>
        <v>1</v>
      </c>
      <c r="P57" s="667"/>
      <c r="Q57" s="21">
        <f t="shared" si="19"/>
        <v>1</v>
      </c>
      <c r="R57" s="663">
        <f t="shared" si="20"/>
        <v>0</v>
      </c>
      <c r="S57" s="316">
        <f t="shared" si="21"/>
        <v>0</v>
      </c>
    </row>
    <row r="58" spans="1:19">
      <c r="A58" s="150"/>
      <c r="B58" s="54"/>
      <c r="C58" s="21">
        <f t="shared" si="12"/>
        <v>1</v>
      </c>
      <c r="D58" s="667"/>
      <c r="E58" s="21">
        <f t="shared" si="13"/>
        <v>1</v>
      </c>
      <c r="F58" s="667"/>
      <c r="G58" s="21">
        <f t="shared" si="14"/>
        <v>1</v>
      </c>
      <c r="H58" s="667"/>
      <c r="I58" s="21">
        <f t="shared" si="15"/>
        <v>1</v>
      </c>
      <c r="J58" s="667"/>
      <c r="K58" s="21">
        <f t="shared" si="16"/>
        <v>1</v>
      </c>
      <c r="L58" s="667"/>
      <c r="M58" s="21">
        <f t="shared" si="17"/>
        <v>1</v>
      </c>
      <c r="N58" s="667"/>
      <c r="O58" s="21">
        <f t="shared" si="18"/>
        <v>1</v>
      </c>
      <c r="P58" s="667"/>
      <c r="Q58" s="21">
        <f t="shared" si="19"/>
        <v>1</v>
      </c>
      <c r="R58" s="663">
        <f t="shared" si="20"/>
        <v>0</v>
      </c>
      <c r="S58" s="316">
        <f t="shared" si="21"/>
        <v>0</v>
      </c>
    </row>
    <row r="59" spans="1:19">
      <c r="A59" s="150"/>
      <c r="B59" s="54"/>
      <c r="C59" s="21">
        <f t="shared" si="12"/>
        <v>1</v>
      </c>
      <c r="D59" s="667"/>
      <c r="E59" s="21">
        <f t="shared" si="13"/>
        <v>1</v>
      </c>
      <c r="F59" s="667"/>
      <c r="G59" s="21">
        <f t="shared" si="14"/>
        <v>1</v>
      </c>
      <c r="H59" s="667"/>
      <c r="I59" s="21">
        <f t="shared" si="15"/>
        <v>1</v>
      </c>
      <c r="J59" s="667"/>
      <c r="K59" s="21">
        <f t="shared" si="16"/>
        <v>1</v>
      </c>
      <c r="L59" s="667"/>
      <c r="M59" s="21">
        <f t="shared" si="17"/>
        <v>1</v>
      </c>
      <c r="N59" s="667"/>
      <c r="O59" s="21">
        <f t="shared" si="18"/>
        <v>1</v>
      </c>
      <c r="P59" s="667"/>
      <c r="Q59" s="21">
        <f t="shared" si="19"/>
        <v>1</v>
      </c>
      <c r="R59" s="663">
        <f t="shared" si="20"/>
        <v>0</v>
      </c>
      <c r="S59" s="316">
        <f t="shared" si="21"/>
        <v>0</v>
      </c>
    </row>
    <row r="60" spans="1:19">
      <c r="A60" s="150"/>
      <c r="B60" s="54"/>
      <c r="C60" s="21">
        <f t="shared" si="12"/>
        <v>1</v>
      </c>
      <c r="D60" s="667"/>
      <c r="E60" s="21">
        <f t="shared" si="13"/>
        <v>1</v>
      </c>
      <c r="F60" s="667"/>
      <c r="G60" s="21">
        <f t="shared" si="14"/>
        <v>1</v>
      </c>
      <c r="H60" s="667"/>
      <c r="I60" s="21">
        <f t="shared" si="15"/>
        <v>1</v>
      </c>
      <c r="J60" s="667"/>
      <c r="K60" s="21">
        <f t="shared" si="16"/>
        <v>1</v>
      </c>
      <c r="L60" s="667"/>
      <c r="M60" s="21">
        <f t="shared" si="17"/>
        <v>1</v>
      </c>
      <c r="N60" s="667"/>
      <c r="O60" s="21">
        <f t="shared" si="18"/>
        <v>1</v>
      </c>
      <c r="P60" s="667"/>
      <c r="Q60" s="21">
        <f t="shared" si="19"/>
        <v>1</v>
      </c>
      <c r="R60" s="663">
        <f t="shared" si="20"/>
        <v>0</v>
      </c>
      <c r="S60" s="316">
        <f t="shared" si="21"/>
        <v>0</v>
      </c>
    </row>
    <row r="61" spans="1:19">
      <c r="A61" s="150"/>
      <c r="B61" s="54"/>
      <c r="C61" s="21">
        <f t="shared" si="12"/>
        <v>1</v>
      </c>
      <c r="D61" s="667"/>
      <c r="E61" s="21">
        <f t="shared" si="13"/>
        <v>1</v>
      </c>
      <c r="F61" s="667"/>
      <c r="G61" s="21">
        <f t="shared" si="14"/>
        <v>1</v>
      </c>
      <c r="H61" s="667"/>
      <c r="I61" s="21">
        <f t="shared" si="15"/>
        <v>1</v>
      </c>
      <c r="J61" s="667"/>
      <c r="K61" s="21">
        <f t="shared" si="16"/>
        <v>1</v>
      </c>
      <c r="L61" s="667"/>
      <c r="M61" s="21">
        <f t="shared" si="17"/>
        <v>1</v>
      </c>
      <c r="N61" s="667"/>
      <c r="O61" s="21">
        <f t="shared" si="18"/>
        <v>1</v>
      </c>
      <c r="P61" s="667"/>
      <c r="Q61" s="21">
        <f t="shared" si="19"/>
        <v>1</v>
      </c>
      <c r="R61" s="663">
        <f t="shared" si="20"/>
        <v>0</v>
      </c>
      <c r="S61" s="316">
        <f t="shared" si="21"/>
        <v>0</v>
      </c>
    </row>
    <row r="62" spans="1:19">
      <c r="A62" s="150"/>
      <c r="B62" s="54"/>
      <c r="C62" s="21">
        <f t="shared" si="12"/>
        <v>1</v>
      </c>
      <c r="D62" s="667"/>
      <c r="E62" s="21">
        <f t="shared" si="13"/>
        <v>1</v>
      </c>
      <c r="F62" s="667"/>
      <c r="G62" s="21">
        <f t="shared" si="14"/>
        <v>1</v>
      </c>
      <c r="H62" s="667"/>
      <c r="I62" s="21">
        <f t="shared" si="15"/>
        <v>1</v>
      </c>
      <c r="J62" s="667"/>
      <c r="K62" s="21">
        <f t="shared" si="16"/>
        <v>1</v>
      </c>
      <c r="L62" s="667"/>
      <c r="M62" s="21">
        <f t="shared" si="17"/>
        <v>1</v>
      </c>
      <c r="N62" s="667"/>
      <c r="O62" s="21">
        <f t="shared" si="18"/>
        <v>1</v>
      </c>
      <c r="P62" s="667"/>
      <c r="Q62" s="21">
        <f t="shared" si="19"/>
        <v>1</v>
      </c>
      <c r="R62" s="663">
        <f t="shared" si="20"/>
        <v>0</v>
      </c>
      <c r="S62" s="316">
        <f t="shared" si="21"/>
        <v>0</v>
      </c>
    </row>
    <row r="63" spans="1:19">
      <c r="A63" s="150"/>
      <c r="B63" s="54"/>
      <c r="C63" s="21">
        <f t="shared" si="12"/>
        <v>1</v>
      </c>
      <c r="D63" s="667"/>
      <c r="E63" s="21">
        <f t="shared" si="13"/>
        <v>1</v>
      </c>
      <c r="F63" s="667"/>
      <c r="G63" s="21">
        <f t="shared" si="14"/>
        <v>1</v>
      </c>
      <c r="H63" s="667"/>
      <c r="I63" s="21">
        <f t="shared" si="15"/>
        <v>1</v>
      </c>
      <c r="J63" s="667"/>
      <c r="K63" s="21">
        <f t="shared" si="16"/>
        <v>1</v>
      </c>
      <c r="L63" s="667"/>
      <c r="M63" s="21">
        <f t="shared" si="17"/>
        <v>1</v>
      </c>
      <c r="N63" s="667"/>
      <c r="O63" s="21">
        <f t="shared" si="18"/>
        <v>1</v>
      </c>
      <c r="P63" s="667"/>
      <c r="Q63" s="21">
        <f t="shared" si="19"/>
        <v>1</v>
      </c>
      <c r="R63" s="663">
        <f t="shared" si="20"/>
        <v>0</v>
      </c>
      <c r="S63" s="316">
        <f t="shared" si="21"/>
        <v>0</v>
      </c>
    </row>
    <row r="64" spans="1:19">
      <c r="A64" s="150"/>
      <c r="B64" s="54"/>
      <c r="C64" s="21">
        <f t="shared" si="12"/>
        <v>1</v>
      </c>
      <c r="D64" s="667"/>
      <c r="E64" s="21">
        <f t="shared" si="13"/>
        <v>1</v>
      </c>
      <c r="F64" s="667"/>
      <c r="G64" s="21">
        <f t="shared" si="14"/>
        <v>1</v>
      </c>
      <c r="H64" s="667"/>
      <c r="I64" s="21">
        <f t="shared" si="15"/>
        <v>1</v>
      </c>
      <c r="J64" s="667"/>
      <c r="K64" s="21">
        <f t="shared" si="16"/>
        <v>1</v>
      </c>
      <c r="L64" s="667"/>
      <c r="M64" s="21">
        <f t="shared" si="17"/>
        <v>1</v>
      </c>
      <c r="N64" s="667"/>
      <c r="O64" s="21">
        <f t="shared" si="18"/>
        <v>1</v>
      </c>
      <c r="P64" s="667"/>
      <c r="Q64" s="21">
        <f t="shared" si="19"/>
        <v>1</v>
      </c>
      <c r="R64" s="663">
        <f t="shared" si="20"/>
        <v>0</v>
      </c>
      <c r="S64" s="316">
        <f t="shared" si="21"/>
        <v>0</v>
      </c>
    </row>
    <row r="65" spans="1:19">
      <c r="A65" s="150"/>
      <c r="B65" s="54"/>
      <c r="C65" s="21">
        <f t="shared" si="12"/>
        <v>1</v>
      </c>
      <c r="D65" s="667"/>
      <c r="E65" s="21">
        <f t="shared" si="13"/>
        <v>1</v>
      </c>
      <c r="F65" s="667"/>
      <c r="G65" s="21">
        <f t="shared" si="14"/>
        <v>1</v>
      </c>
      <c r="H65" s="667"/>
      <c r="I65" s="21">
        <f t="shared" si="15"/>
        <v>1</v>
      </c>
      <c r="J65" s="667"/>
      <c r="K65" s="21">
        <f t="shared" si="16"/>
        <v>1</v>
      </c>
      <c r="L65" s="667"/>
      <c r="M65" s="21">
        <f t="shared" si="17"/>
        <v>1</v>
      </c>
      <c r="N65" s="667"/>
      <c r="O65" s="21">
        <f t="shared" si="18"/>
        <v>1</v>
      </c>
      <c r="P65" s="667"/>
      <c r="Q65" s="21">
        <f t="shared" si="19"/>
        <v>1</v>
      </c>
      <c r="R65" s="663">
        <f t="shared" si="20"/>
        <v>0</v>
      </c>
      <c r="S65" s="316">
        <f t="shared" si="21"/>
        <v>0</v>
      </c>
    </row>
    <row r="66" spans="1:19">
      <c r="A66" s="150"/>
      <c r="B66" s="54"/>
      <c r="C66" s="21">
        <f t="shared" si="12"/>
        <v>1</v>
      </c>
      <c r="D66" s="667"/>
      <c r="E66" s="21">
        <f t="shared" si="13"/>
        <v>1</v>
      </c>
      <c r="F66" s="667"/>
      <c r="G66" s="21">
        <f t="shared" si="14"/>
        <v>1</v>
      </c>
      <c r="H66" s="667"/>
      <c r="I66" s="21">
        <f t="shared" si="15"/>
        <v>1</v>
      </c>
      <c r="J66" s="667"/>
      <c r="K66" s="21">
        <f t="shared" si="16"/>
        <v>1</v>
      </c>
      <c r="L66" s="667"/>
      <c r="M66" s="21">
        <f t="shared" si="17"/>
        <v>1</v>
      </c>
      <c r="N66" s="667"/>
      <c r="O66" s="21">
        <f t="shared" si="18"/>
        <v>1</v>
      </c>
      <c r="P66" s="667"/>
      <c r="Q66" s="21">
        <f t="shared" si="19"/>
        <v>1</v>
      </c>
      <c r="R66" s="663">
        <f t="shared" si="20"/>
        <v>0</v>
      </c>
      <c r="S66" s="316">
        <f t="shared" si="21"/>
        <v>0</v>
      </c>
    </row>
    <row r="67" spans="1:19">
      <c r="A67" s="150"/>
      <c r="B67" s="54"/>
      <c r="C67" s="21">
        <f t="shared" si="12"/>
        <v>1</v>
      </c>
      <c r="D67" s="667"/>
      <c r="E67" s="21">
        <f t="shared" si="13"/>
        <v>1</v>
      </c>
      <c r="F67" s="667"/>
      <c r="G67" s="21">
        <f t="shared" si="14"/>
        <v>1</v>
      </c>
      <c r="H67" s="667"/>
      <c r="I67" s="21">
        <f t="shared" si="15"/>
        <v>1</v>
      </c>
      <c r="J67" s="667"/>
      <c r="K67" s="21">
        <f t="shared" si="16"/>
        <v>1</v>
      </c>
      <c r="L67" s="667"/>
      <c r="M67" s="21">
        <f t="shared" si="17"/>
        <v>1</v>
      </c>
      <c r="N67" s="667"/>
      <c r="O67" s="21">
        <f t="shared" si="18"/>
        <v>1</v>
      </c>
      <c r="P67" s="667"/>
      <c r="Q67" s="21">
        <f t="shared" si="19"/>
        <v>1</v>
      </c>
      <c r="R67" s="663">
        <f t="shared" si="20"/>
        <v>0</v>
      </c>
      <c r="S67" s="316">
        <f t="shared" si="21"/>
        <v>0</v>
      </c>
    </row>
    <row r="68" spans="1:19">
      <c r="A68" s="150"/>
      <c r="B68" s="54"/>
      <c r="C68" s="21">
        <f t="shared" si="12"/>
        <v>1</v>
      </c>
      <c r="D68" s="667"/>
      <c r="E68" s="21">
        <f t="shared" si="13"/>
        <v>1</v>
      </c>
      <c r="F68" s="667"/>
      <c r="G68" s="21">
        <f t="shared" si="14"/>
        <v>1</v>
      </c>
      <c r="H68" s="667"/>
      <c r="I68" s="21">
        <f t="shared" si="15"/>
        <v>1</v>
      </c>
      <c r="J68" s="667"/>
      <c r="K68" s="21">
        <f t="shared" si="16"/>
        <v>1</v>
      </c>
      <c r="L68" s="667"/>
      <c r="M68" s="21">
        <f t="shared" si="17"/>
        <v>1</v>
      </c>
      <c r="N68" s="667"/>
      <c r="O68" s="21">
        <f t="shared" si="18"/>
        <v>1</v>
      </c>
      <c r="P68" s="667"/>
      <c r="Q68" s="21">
        <f t="shared" si="19"/>
        <v>1</v>
      </c>
      <c r="R68" s="663">
        <f t="shared" si="20"/>
        <v>0</v>
      </c>
      <c r="S68" s="316">
        <f t="shared" si="21"/>
        <v>0</v>
      </c>
    </row>
    <row r="69" spans="1:19">
      <c r="A69" s="150"/>
      <c r="B69" s="54"/>
      <c r="C69" s="21">
        <f t="shared" si="12"/>
        <v>1</v>
      </c>
      <c r="D69" s="667"/>
      <c r="E69" s="21">
        <f t="shared" si="13"/>
        <v>1</v>
      </c>
      <c r="F69" s="667"/>
      <c r="G69" s="21">
        <f t="shared" si="14"/>
        <v>1</v>
      </c>
      <c r="H69" s="667"/>
      <c r="I69" s="21">
        <f t="shared" si="15"/>
        <v>1</v>
      </c>
      <c r="J69" s="667"/>
      <c r="K69" s="21">
        <f t="shared" si="16"/>
        <v>1</v>
      </c>
      <c r="L69" s="667"/>
      <c r="M69" s="21">
        <f t="shared" si="17"/>
        <v>1</v>
      </c>
      <c r="N69" s="667"/>
      <c r="O69" s="21">
        <f t="shared" si="18"/>
        <v>1</v>
      </c>
      <c r="P69" s="667"/>
      <c r="Q69" s="21">
        <f t="shared" si="19"/>
        <v>1</v>
      </c>
      <c r="R69" s="663">
        <f t="shared" si="20"/>
        <v>0</v>
      </c>
      <c r="S69" s="316">
        <f t="shared" si="21"/>
        <v>0</v>
      </c>
    </row>
    <row r="70" spans="1:19">
      <c r="A70" s="150"/>
      <c r="B70" s="54"/>
      <c r="C70" s="21">
        <f t="shared" si="12"/>
        <v>1</v>
      </c>
      <c r="D70" s="667"/>
      <c r="E70" s="21">
        <f t="shared" si="13"/>
        <v>1</v>
      </c>
      <c r="F70" s="667"/>
      <c r="G70" s="21">
        <f t="shared" si="14"/>
        <v>1</v>
      </c>
      <c r="H70" s="667"/>
      <c r="I70" s="21">
        <f t="shared" si="15"/>
        <v>1</v>
      </c>
      <c r="J70" s="667"/>
      <c r="K70" s="21">
        <f t="shared" si="16"/>
        <v>1</v>
      </c>
      <c r="L70" s="667"/>
      <c r="M70" s="21">
        <f t="shared" si="17"/>
        <v>1</v>
      </c>
      <c r="N70" s="667"/>
      <c r="O70" s="21">
        <f t="shared" si="18"/>
        <v>1</v>
      </c>
      <c r="P70" s="667"/>
      <c r="Q70" s="21">
        <f t="shared" si="19"/>
        <v>1</v>
      </c>
      <c r="R70" s="663">
        <f t="shared" si="20"/>
        <v>0</v>
      </c>
      <c r="S70" s="316">
        <f t="shared" si="21"/>
        <v>0</v>
      </c>
    </row>
    <row r="71" spans="1:19">
      <c r="A71" s="150"/>
      <c r="B71" s="54"/>
      <c r="C71" s="21">
        <f t="shared" si="12"/>
        <v>1</v>
      </c>
      <c r="D71" s="667"/>
      <c r="E71" s="21">
        <f t="shared" si="13"/>
        <v>1</v>
      </c>
      <c r="F71" s="667"/>
      <c r="G71" s="21">
        <f t="shared" si="14"/>
        <v>1</v>
      </c>
      <c r="H71" s="667"/>
      <c r="I71" s="21">
        <f t="shared" si="15"/>
        <v>1</v>
      </c>
      <c r="J71" s="667"/>
      <c r="K71" s="21">
        <f t="shared" si="16"/>
        <v>1</v>
      </c>
      <c r="L71" s="667"/>
      <c r="M71" s="21">
        <f t="shared" si="17"/>
        <v>1</v>
      </c>
      <c r="N71" s="667"/>
      <c r="O71" s="21">
        <f t="shared" si="18"/>
        <v>1</v>
      </c>
      <c r="P71" s="667"/>
      <c r="Q71" s="21">
        <f t="shared" si="19"/>
        <v>1</v>
      </c>
      <c r="R71" s="663">
        <f t="shared" si="20"/>
        <v>0</v>
      </c>
      <c r="S71" s="316">
        <f t="shared" si="21"/>
        <v>0</v>
      </c>
    </row>
    <row r="72" spans="1:19">
      <c r="A72" s="150"/>
      <c r="B72" s="54"/>
      <c r="C72" s="21">
        <f t="shared" si="12"/>
        <v>1</v>
      </c>
      <c r="D72" s="667"/>
      <c r="E72" s="21">
        <f t="shared" si="13"/>
        <v>1</v>
      </c>
      <c r="F72" s="667"/>
      <c r="G72" s="21">
        <f t="shared" si="14"/>
        <v>1</v>
      </c>
      <c r="H72" s="667"/>
      <c r="I72" s="21">
        <f t="shared" si="15"/>
        <v>1</v>
      </c>
      <c r="J72" s="667"/>
      <c r="K72" s="21">
        <f t="shared" si="16"/>
        <v>1</v>
      </c>
      <c r="L72" s="667"/>
      <c r="M72" s="21">
        <f t="shared" si="17"/>
        <v>1</v>
      </c>
      <c r="N72" s="667"/>
      <c r="O72" s="21">
        <f t="shared" si="18"/>
        <v>1</v>
      </c>
      <c r="P72" s="667"/>
      <c r="Q72" s="21">
        <f t="shared" si="19"/>
        <v>1</v>
      </c>
      <c r="R72" s="663">
        <f t="shared" si="20"/>
        <v>0</v>
      </c>
      <c r="S72" s="316">
        <f t="shared" si="21"/>
        <v>0</v>
      </c>
    </row>
    <row r="73" spans="1:19">
      <c r="A73" s="150"/>
      <c r="B73" s="54"/>
      <c r="C73" s="21">
        <f t="shared" si="12"/>
        <v>1</v>
      </c>
      <c r="D73" s="667"/>
      <c r="E73" s="21">
        <f t="shared" si="13"/>
        <v>1</v>
      </c>
      <c r="F73" s="667"/>
      <c r="G73" s="21">
        <f t="shared" si="14"/>
        <v>1</v>
      </c>
      <c r="H73" s="667"/>
      <c r="I73" s="21">
        <f t="shared" si="15"/>
        <v>1</v>
      </c>
      <c r="J73" s="667"/>
      <c r="K73" s="21">
        <f t="shared" si="16"/>
        <v>1</v>
      </c>
      <c r="L73" s="667"/>
      <c r="M73" s="21">
        <f t="shared" si="17"/>
        <v>1</v>
      </c>
      <c r="N73" s="667"/>
      <c r="O73" s="21">
        <f t="shared" si="18"/>
        <v>1</v>
      </c>
      <c r="P73" s="667"/>
      <c r="Q73" s="21">
        <f t="shared" si="19"/>
        <v>1</v>
      </c>
      <c r="R73" s="663">
        <f t="shared" si="20"/>
        <v>0</v>
      </c>
      <c r="S73" s="316">
        <f t="shared" si="21"/>
        <v>0</v>
      </c>
    </row>
    <row r="74" spans="1:19">
      <c r="A74" s="150"/>
      <c r="B74" s="54"/>
      <c r="C74" s="21">
        <f t="shared" si="12"/>
        <v>1</v>
      </c>
      <c r="D74" s="667"/>
      <c r="E74" s="21">
        <f t="shared" si="13"/>
        <v>1</v>
      </c>
      <c r="F74" s="667"/>
      <c r="G74" s="21">
        <f t="shared" si="14"/>
        <v>1</v>
      </c>
      <c r="H74" s="667"/>
      <c r="I74" s="21">
        <f t="shared" si="15"/>
        <v>1</v>
      </c>
      <c r="J74" s="667"/>
      <c r="K74" s="21">
        <f t="shared" si="16"/>
        <v>1</v>
      </c>
      <c r="L74" s="667"/>
      <c r="M74" s="21">
        <f t="shared" si="17"/>
        <v>1</v>
      </c>
      <c r="N74" s="667"/>
      <c r="O74" s="21">
        <f t="shared" si="18"/>
        <v>1</v>
      </c>
      <c r="P74" s="667"/>
      <c r="Q74" s="21">
        <f t="shared" si="19"/>
        <v>1</v>
      </c>
      <c r="R74" s="663">
        <f t="shared" si="20"/>
        <v>0</v>
      </c>
      <c r="S74" s="316">
        <f t="shared" si="21"/>
        <v>0</v>
      </c>
    </row>
    <row r="75" spans="1:19">
      <c r="A75" s="150"/>
      <c r="B75" s="54"/>
      <c r="C75" s="21">
        <f t="shared" si="12"/>
        <v>1</v>
      </c>
      <c r="D75" s="667"/>
      <c r="E75" s="21">
        <f t="shared" si="13"/>
        <v>1</v>
      </c>
      <c r="F75" s="667"/>
      <c r="G75" s="21">
        <f t="shared" si="14"/>
        <v>1</v>
      </c>
      <c r="H75" s="667"/>
      <c r="I75" s="21">
        <f t="shared" si="15"/>
        <v>1</v>
      </c>
      <c r="J75" s="667"/>
      <c r="K75" s="21">
        <f t="shared" si="16"/>
        <v>1</v>
      </c>
      <c r="L75" s="667"/>
      <c r="M75" s="21">
        <f t="shared" si="17"/>
        <v>1</v>
      </c>
      <c r="N75" s="667"/>
      <c r="O75" s="21">
        <f t="shared" si="18"/>
        <v>1</v>
      </c>
      <c r="P75" s="667"/>
      <c r="Q75" s="21">
        <f t="shared" si="19"/>
        <v>1</v>
      </c>
      <c r="R75" s="663">
        <f t="shared" si="20"/>
        <v>0</v>
      </c>
      <c r="S75" s="316">
        <f t="shared" si="21"/>
        <v>0</v>
      </c>
    </row>
    <row r="76" spans="1:19">
      <c r="A76" s="150"/>
      <c r="B76" s="54"/>
      <c r="C76" s="21">
        <f t="shared" si="12"/>
        <v>1</v>
      </c>
      <c r="D76" s="667"/>
      <c r="E76" s="21">
        <f t="shared" si="13"/>
        <v>1</v>
      </c>
      <c r="F76" s="667"/>
      <c r="G76" s="21">
        <f t="shared" si="14"/>
        <v>1</v>
      </c>
      <c r="H76" s="667"/>
      <c r="I76" s="21">
        <f t="shared" si="15"/>
        <v>1</v>
      </c>
      <c r="J76" s="667"/>
      <c r="K76" s="21">
        <f t="shared" si="16"/>
        <v>1</v>
      </c>
      <c r="L76" s="667"/>
      <c r="M76" s="21">
        <f t="shared" si="17"/>
        <v>1</v>
      </c>
      <c r="N76" s="667"/>
      <c r="O76" s="21">
        <f t="shared" si="18"/>
        <v>1</v>
      </c>
      <c r="P76" s="667"/>
      <c r="Q76" s="21">
        <f t="shared" si="19"/>
        <v>1</v>
      </c>
      <c r="R76" s="663">
        <f t="shared" si="20"/>
        <v>0</v>
      </c>
      <c r="S76" s="316">
        <f t="shared" si="21"/>
        <v>0</v>
      </c>
    </row>
    <row r="77" spans="1:19">
      <c r="A77" s="150"/>
      <c r="B77" s="54"/>
      <c r="C77" s="21">
        <f t="shared" si="12"/>
        <v>1</v>
      </c>
      <c r="D77" s="667"/>
      <c r="E77" s="21">
        <f t="shared" si="13"/>
        <v>1</v>
      </c>
      <c r="F77" s="667"/>
      <c r="G77" s="21">
        <f t="shared" si="14"/>
        <v>1</v>
      </c>
      <c r="H77" s="667"/>
      <c r="I77" s="21">
        <f t="shared" si="15"/>
        <v>1</v>
      </c>
      <c r="J77" s="667"/>
      <c r="K77" s="21">
        <f t="shared" si="16"/>
        <v>1</v>
      </c>
      <c r="L77" s="667"/>
      <c r="M77" s="21">
        <f t="shared" si="17"/>
        <v>1</v>
      </c>
      <c r="N77" s="667"/>
      <c r="O77" s="21">
        <f t="shared" si="18"/>
        <v>1</v>
      </c>
      <c r="P77" s="667"/>
      <c r="Q77" s="21">
        <f t="shared" si="19"/>
        <v>1</v>
      </c>
      <c r="R77" s="663">
        <f t="shared" si="20"/>
        <v>0</v>
      </c>
      <c r="S77" s="316">
        <f t="shared" si="21"/>
        <v>0</v>
      </c>
    </row>
    <row r="78" spans="1:19">
      <c r="A78" s="150"/>
      <c r="B78" s="54"/>
      <c r="C78" s="21">
        <f t="shared" si="12"/>
        <v>1</v>
      </c>
      <c r="D78" s="667"/>
      <c r="E78" s="21">
        <f t="shared" si="13"/>
        <v>1</v>
      </c>
      <c r="F78" s="667"/>
      <c r="G78" s="21">
        <f t="shared" si="14"/>
        <v>1</v>
      </c>
      <c r="H78" s="667"/>
      <c r="I78" s="21">
        <f t="shared" si="15"/>
        <v>1</v>
      </c>
      <c r="J78" s="667"/>
      <c r="K78" s="21">
        <f t="shared" si="16"/>
        <v>1</v>
      </c>
      <c r="L78" s="667"/>
      <c r="M78" s="21">
        <f t="shared" si="17"/>
        <v>1</v>
      </c>
      <c r="N78" s="667"/>
      <c r="O78" s="21">
        <f t="shared" si="18"/>
        <v>1</v>
      </c>
      <c r="P78" s="667"/>
      <c r="Q78" s="21">
        <f t="shared" si="19"/>
        <v>1</v>
      </c>
      <c r="R78" s="663">
        <f t="shared" si="20"/>
        <v>0</v>
      </c>
      <c r="S78" s="316">
        <f t="shared" ref="S78:S122" si="22">ROUND(R78*B78/10000,0)</f>
        <v>0</v>
      </c>
    </row>
    <row r="79" spans="1:19">
      <c r="A79" s="150"/>
      <c r="B79" s="54"/>
      <c r="C79" s="21">
        <f t="shared" si="12"/>
        <v>1</v>
      </c>
      <c r="D79" s="667"/>
      <c r="E79" s="21">
        <f t="shared" si="13"/>
        <v>1</v>
      </c>
      <c r="F79" s="667"/>
      <c r="G79" s="21">
        <f t="shared" si="14"/>
        <v>1</v>
      </c>
      <c r="H79" s="667"/>
      <c r="I79" s="21">
        <f t="shared" si="15"/>
        <v>1</v>
      </c>
      <c r="J79" s="667"/>
      <c r="K79" s="21">
        <f t="shared" si="16"/>
        <v>1</v>
      </c>
      <c r="L79" s="667"/>
      <c r="M79" s="21">
        <f t="shared" si="17"/>
        <v>1</v>
      </c>
      <c r="N79" s="667"/>
      <c r="O79" s="21">
        <f t="shared" si="18"/>
        <v>1</v>
      </c>
      <c r="P79" s="667"/>
      <c r="Q79" s="21">
        <f t="shared" si="19"/>
        <v>1</v>
      </c>
      <c r="R79" s="663">
        <f t="shared" si="20"/>
        <v>0</v>
      </c>
      <c r="S79" s="316">
        <f t="shared" si="22"/>
        <v>0</v>
      </c>
    </row>
    <row r="80" spans="1:19">
      <c r="A80" s="150"/>
      <c r="B80" s="54"/>
      <c r="C80" s="21">
        <f t="shared" si="12"/>
        <v>1</v>
      </c>
      <c r="D80" s="667"/>
      <c r="E80" s="21">
        <f t="shared" si="13"/>
        <v>1</v>
      </c>
      <c r="F80" s="667"/>
      <c r="G80" s="21">
        <f t="shared" si="14"/>
        <v>1</v>
      </c>
      <c r="H80" s="667"/>
      <c r="I80" s="21">
        <f t="shared" si="15"/>
        <v>1</v>
      </c>
      <c r="J80" s="667"/>
      <c r="K80" s="21">
        <f t="shared" si="16"/>
        <v>1</v>
      </c>
      <c r="L80" s="667"/>
      <c r="M80" s="21">
        <f t="shared" si="17"/>
        <v>1</v>
      </c>
      <c r="N80" s="667"/>
      <c r="O80" s="21">
        <f t="shared" si="18"/>
        <v>1</v>
      </c>
      <c r="P80" s="667"/>
      <c r="Q80" s="21">
        <f t="shared" si="19"/>
        <v>1</v>
      </c>
      <c r="R80" s="663">
        <f t="shared" si="20"/>
        <v>0</v>
      </c>
      <c r="S80" s="316">
        <f t="shared" si="22"/>
        <v>0</v>
      </c>
    </row>
    <row r="81" spans="1:19">
      <c r="A81" s="150"/>
      <c r="B81" s="54"/>
      <c r="C81" s="21">
        <f t="shared" si="12"/>
        <v>1</v>
      </c>
      <c r="D81" s="667"/>
      <c r="E81" s="21">
        <f t="shared" si="13"/>
        <v>1</v>
      </c>
      <c r="F81" s="667"/>
      <c r="G81" s="21">
        <f t="shared" si="14"/>
        <v>1</v>
      </c>
      <c r="H81" s="667"/>
      <c r="I81" s="21">
        <f t="shared" si="15"/>
        <v>1</v>
      </c>
      <c r="J81" s="667"/>
      <c r="K81" s="21">
        <f t="shared" si="16"/>
        <v>1</v>
      </c>
      <c r="L81" s="667"/>
      <c r="M81" s="21">
        <f t="shared" si="17"/>
        <v>1</v>
      </c>
      <c r="N81" s="667"/>
      <c r="O81" s="21">
        <f t="shared" si="18"/>
        <v>1</v>
      </c>
      <c r="P81" s="667"/>
      <c r="Q81" s="21">
        <f t="shared" si="19"/>
        <v>1</v>
      </c>
      <c r="R81" s="663">
        <f t="shared" si="20"/>
        <v>0</v>
      </c>
      <c r="S81" s="316">
        <f t="shared" si="22"/>
        <v>0</v>
      </c>
    </row>
    <row r="82" spans="1:19">
      <c r="A82" s="150"/>
      <c r="B82" s="54"/>
      <c r="C82" s="21">
        <f t="shared" si="12"/>
        <v>1</v>
      </c>
      <c r="D82" s="667"/>
      <c r="E82" s="21">
        <f t="shared" si="13"/>
        <v>1</v>
      </c>
      <c r="F82" s="667"/>
      <c r="G82" s="21">
        <f t="shared" si="14"/>
        <v>1</v>
      </c>
      <c r="H82" s="667"/>
      <c r="I82" s="21">
        <f t="shared" si="15"/>
        <v>1</v>
      </c>
      <c r="J82" s="667"/>
      <c r="K82" s="21">
        <f t="shared" si="16"/>
        <v>1</v>
      </c>
      <c r="L82" s="667"/>
      <c r="M82" s="21">
        <f t="shared" si="17"/>
        <v>1</v>
      </c>
      <c r="N82" s="667"/>
      <c r="O82" s="21">
        <f t="shared" si="18"/>
        <v>1</v>
      </c>
      <c r="P82" s="667"/>
      <c r="Q82" s="21">
        <f t="shared" si="19"/>
        <v>1</v>
      </c>
      <c r="R82" s="663">
        <f t="shared" si="20"/>
        <v>0</v>
      </c>
      <c r="S82" s="316">
        <f t="shared" si="22"/>
        <v>0</v>
      </c>
    </row>
    <row r="83" spans="1:19">
      <c r="A83" s="150"/>
      <c r="B83" s="54"/>
      <c r="C83" s="21">
        <f t="shared" si="12"/>
        <v>1</v>
      </c>
      <c r="D83" s="667"/>
      <c r="E83" s="21">
        <f t="shared" si="13"/>
        <v>1</v>
      </c>
      <c r="F83" s="667"/>
      <c r="G83" s="21">
        <f t="shared" si="14"/>
        <v>1</v>
      </c>
      <c r="H83" s="667"/>
      <c r="I83" s="21">
        <f t="shared" si="15"/>
        <v>1</v>
      </c>
      <c r="J83" s="667"/>
      <c r="K83" s="21">
        <f t="shared" si="16"/>
        <v>1</v>
      </c>
      <c r="L83" s="667"/>
      <c r="M83" s="21">
        <f t="shared" si="17"/>
        <v>1</v>
      </c>
      <c r="N83" s="667"/>
      <c r="O83" s="21">
        <f t="shared" si="18"/>
        <v>1</v>
      </c>
      <c r="P83" s="667"/>
      <c r="Q83" s="21">
        <f t="shared" si="19"/>
        <v>1</v>
      </c>
      <c r="R83" s="663">
        <f t="shared" si="20"/>
        <v>0</v>
      </c>
      <c r="S83" s="316">
        <f t="shared" si="22"/>
        <v>0</v>
      </c>
    </row>
    <row r="84" spans="1:19">
      <c r="A84" s="150"/>
      <c r="B84" s="54"/>
      <c r="C84" s="21">
        <f t="shared" si="12"/>
        <v>1</v>
      </c>
      <c r="D84" s="667"/>
      <c r="E84" s="21">
        <f t="shared" si="13"/>
        <v>1</v>
      </c>
      <c r="F84" s="667"/>
      <c r="G84" s="21">
        <f t="shared" si="14"/>
        <v>1</v>
      </c>
      <c r="H84" s="667"/>
      <c r="I84" s="21">
        <f t="shared" si="15"/>
        <v>1</v>
      </c>
      <c r="J84" s="667"/>
      <c r="K84" s="21">
        <f t="shared" si="16"/>
        <v>1</v>
      </c>
      <c r="L84" s="667"/>
      <c r="M84" s="21">
        <f t="shared" si="17"/>
        <v>1</v>
      </c>
      <c r="N84" s="667"/>
      <c r="O84" s="21">
        <f t="shared" si="18"/>
        <v>1</v>
      </c>
      <c r="P84" s="667"/>
      <c r="Q84" s="21">
        <f t="shared" si="19"/>
        <v>1</v>
      </c>
      <c r="R84" s="663">
        <f t="shared" si="20"/>
        <v>0</v>
      </c>
      <c r="S84" s="316">
        <f t="shared" si="22"/>
        <v>0</v>
      </c>
    </row>
    <row r="85" spans="1:19">
      <c r="A85" s="150"/>
      <c r="B85" s="54"/>
      <c r="C85" s="21">
        <f t="shared" si="12"/>
        <v>1</v>
      </c>
      <c r="D85" s="667"/>
      <c r="E85" s="21">
        <f t="shared" si="13"/>
        <v>1</v>
      </c>
      <c r="F85" s="667"/>
      <c r="G85" s="21">
        <f t="shared" si="14"/>
        <v>1</v>
      </c>
      <c r="H85" s="667"/>
      <c r="I85" s="21">
        <f t="shared" si="15"/>
        <v>1</v>
      </c>
      <c r="J85" s="667"/>
      <c r="K85" s="21">
        <f t="shared" si="16"/>
        <v>1</v>
      </c>
      <c r="L85" s="667"/>
      <c r="M85" s="21">
        <f t="shared" si="17"/>
        <v>1</v>
      </c>
      <c r="N85" s="667"/>
      <c r="O85" s="21">
        <f t="shared" si="18"/>
        <v>1</v>
      </c>
      <c r="P85" s="667"/>
      <c r="Q85" s="21">
        <f t="shared" si="19"/>
        <v>1</v>
      </c>
      <c r="R85" s="663">
        <f t="shared" si="20"/>
        <v>0</v>
      </c>
      <c r="S85" s="316">
        <f t="shared" si="22"/>
        <v>0</v>
      </c>
    </row>
    <row r="86" spans="1:19">
      <c r="A86" s="150"/>
      <c r="B86" s="54"/>
      <c r="C86" s="21">
        <f t="shared" si="12"/>
        <v>1</v>
      </c>
      <c r="D86" s="667"/>
      <c r="E86" s="21">
        <f t="shared" si="13"/>
        <v>1</v>
      </c>
      <c r="F86" s="667"/>
      <c r="G86" s="21">
        <f t="shared" si="14"/>
        <v>1</v>
      </c>
      <c r="H86" s="667"/>
      <c r="I86" s="21">
        <f t="shared" si="15"/>
        <v>1</v>
      </c>
      <c r="J86" s="667"/>
      <c r="K86" s="21">
        <f t="shared" si="16"/>
        <v>1</v>
      </c>
      <c r="L86" s="667"/>
      <c r="M86" s="21">
        <f t="shared" si="17"/>
        <v>1</v>
      </c>
      <c r="N86" s="667"/>
      <c r="O86" s="21">
        <f t="shared" si="18"/>
        <v>1</v>
      </c>
      <c r="P86" s="667"/>
      <c r="Q86" s="21">
        <f t="shared" si="19"/>
        <v>1</v>
      </c>
      <c r="R86" s="663">
        <f t="shared" si="20"/>
        <v>0</v>
      </c>
      <c r="S86" s="316">
        <f t="shared" si="22"/>
        <v>0</v>
      </c>
    </row>
    <row r="87" spans="1:19">
      <c r="A87" s="150"/>
      <c r="B87" s="54"/>
      <c r="C87" s="21">
        <f t="shared" si="12"/>
        <v>1</v>
      </c>
      <c r="D87" s="667"/>
      <c r="E87" s="21">
        <f t="shared" si="13"/>
        <v>1</v>
      </c>
      <c r="F87" s="667"/>
      <c r="G87" s="21">
        <f t="shared" si="14"/>
        <v>1</v>
      </c>
      <c r="H87" s="667"/>
      <c r="I87" s="21">
        <f t="shared" si="15"/>
        <v>1</v>
      </c>
      <c r="J87" s="667"/>
      <c r="K87" s="21">
        <f t="shared" si="16"/>
        <v>1</v>
      </c>
      <c r="L87" s="667"/>
      <c r="M87" s="21">
        <f t="shared" si="17"/>
        <v>1</v>
      </c>
      <c r="N87" s="667"/>
      <c r="O87" s="21">
        <f t="shared" si="18"/>
        <v>1</v>
      </c>
      <c r="P87" s="667"/>
      <c r="Q87" s="21">
        <f t="shared" si="19"/>
        <v>1</v>
      </c>
      <c r="R87" s="663">
        <f t="shared" si="20"/>
        <v>0</v>
      </c>
      <c r="S87" s="316">
        <f t="shared" si="22"/>
        <v>0</v>
      </c>
    </row>
    <row r="88" spans="1:19">
      <c r="A88" s="150"/>
      <c r="B88" s="54"/>
      <c r="C88" s="21">
        <f t="shared" si="12"/>
        <v>1</v>
      </c>
      <c r="D88" s="667"/>
      <c r="E88" s="21">
        <f t="shared" si="13"/>
        <v>1</v>
      </c>
      <c r="F88" s="667"/>
      <c r="G88" s="21">
        <f t="shared" si="14"/>
        <v>1</v>
      </c>
      <c r="H88" s="667"/>
      <c r="I88" s="21">
        <f t="shared" si="15"/>
        <v>1</v>
      </c>
      <c r="J88" s="667"/>
      <c r="K88" s="21">
        <f t="shared" si="16"/>
        <v>1</v>
      </c>
      <c r="L88" s="667"/>
      <c r="M88" s="21">
        <f t="shared" si="17"/>
        <v>1</v>
      </c>
      <c r="N88" s="667"/>
      <c r="O88" s="21">
        <f t="shared" si="18"/>
        <v>1</v>
      </c>
      <c r="P88" s="667"/>
      <c r="Q88" s="21">
        <f t="shared" si="19"/>
        <v>1</v>
      </c>
      <c r="R88" s="663">
        <f t="shared" si="20"/>
        <v>0</v>
      </c>
      <c r="S88" s="316">
        <f t="shared" si="22"/>
        <v>0</v>
      </c>
    </row>
    <row r="89" spans="1:19">
      <c r="A89" s="150"/>
      <c r="B89" s="54"/>
      <c r="C89" s="21">
        <f t="shared" si="12"/>
        <v>1</v>
      </c>
      <c r="D89" s="667"/>
      <c r="E89" s="21">
        <f t="shared" si="13"/>
        <v>1</v>
      </c>
      <c r="F89" s="667"/>
      <c r="G89" s="21">
        <f t="shared" si="14"/>
        <v>1</v>
      </c>
      <c r="H89" s="667"/>
      <c r="I89" s="21">
        <f t="shared" si="15"/>
        <v>1</v>
      </c>
      <c r="J89" s="667"/>
      <c r="K89" s="21">
        <f t="shared" si="16"/>
        <v>1</v>
      </c>
      <c r="L89" s="667"/>
      <c r="M89" s="21">
        <f t="shared" si="17"/>
        <v>1</v>
      </c>
      <c r="N89" s="667"/>
      <c r="O89" s="21">
        <f t="shared" si="18"/>
        <v>1</v>
      </c>
      <c r="P89" s="667"/>
      <c r="Q89" s="21">
        <f t="shared" si="19"/>
        <v>1</v>
      </c>
      <c r="R89" s="663">
        <f t="shared" si="20"/>
        <v>0</v>
      </c>
      <c r="S89" s="316">
        <f t="shared" si="22"/>
        <v>0</v>
      </c>
    </row>
    <row r="90" spans="1:19">
      <c r="A90" s="150"/>
      <c r="B90" s="54"/>
      <c r="C90" s="21">
        <f t="shared" ref="C90:C153" si="23">IF(B90="",1,(LOOKUP(B90,$3:$3,$4:$4)-LOOKUP($B$24,$3:$3,$4:$4)+100)/100)</f>
        <v>1</v>
      </c>
      <c r="D90" s="667"/>
      <c r="E90" s="21">
        <f t="shared" ref="E90:E153" si="24">(SUMIF($5:$5,D90,$6:$6)-SUMIF($5:$5,$D$24,$6:$6)+100)/100</f>
        <v>1</v>
      </c>
      <c r="F90" s="667"/>
      <c r="G90" s="21">
        <f t="shared" ref="G90:G153" si="25">(SUMIF($7:$7,F90,$8:$8)-SUMIF($7:$7,$F$24,$8:$8)+100)/100</f>
        <v>1</v>
      </c>
      <c r="H90" s="667"/>
      <c r="I90" s="21">
        <f t="shared" ref="I90:I153" si="26">(SUMIF($9:$9,H90,$10:$10)-SUMIF($9:$9,$H$24,$10:$10)+100)/100</f>
        <v>1</v>
      </c>
      <c r="J90" s="667"/>
      <c r="K90" s="21">
        <f t="shared" ref="K90:K153" si="27">(SUMIF($11:$11,J90,$12:$12)-SUMIF($11:$11,$J$24,$12:$12)+100)/100</f>
        <v>1</v>
      </c>
      <c r="L90" s="667"/>
      <c r="M90" s="21">
        <f t="shared" ref="M90:M153" si="28">(SUMIF($13:$13,L90,$14:$14)-SUMIF($13:$13,$L$24,$14:$14)+100)/100</f>
        <v>1</v>
      </c>
      <c r="N90" s="667"/>
      <c r="O90" s="21">
        <f t="shared" ref="O90:O153" si="29">(SUMIF($15:$15,N90,$16:$16)-SUMIF($15:$15,$N$24,$16:$16)+100)/100</f>
        <v>1</v>
      </c>
      <c r="P90" s="667"/>
      <c r="Q90" s="21">
        <f t="shared" ref="Q90:Q153" si="30">(SUMIF($17:$17,P90,$18:$18)-SUMIF($17:$17,$P$24,$18:$18)+100)/100</f>
        <v>1</v>
      </c>
      <c r="R90" s="663">
        <f t="shared" ref="R90:R153" si="31">IF(B90="",0,ROUND($R$24*C90*E90*G90*I90*K90*M90*O90*Q90,0))</f>
        <v>0</v>
      </c>
      <c r="S90" s="316">
        <f t="shared" si="22"/>
        <v>0</v>
      </c>
    </row>
    <row r="91" spans="1:19">
      <c r="A91" s="150"/>
      <c r="B91" s="54"/>
      <c r="C91" s="21">
        <f t="shared" si="23"/>
        <v>1</v>
      </c>
      <c r="D91" s="667"/>
      <c r="E91" s="21">
        <f t="shared" si="24"/>
        <v>1</v>
      </c>
      <c r="F91" s="667"/>
      <c r="G91" s="21">
        <f t="shared" si="25"/>
        <v>1</v>
      </c>
      <c r="H91" s="667"/>
      <c r="I91" s="21">
        <f t="shared" si="26"/>
        <v>1</v>
      </c>
      <c r="J91" s="667"/>
      <c r="K91" s="21">
        <f t="shared" si="27"/>
        <v>1</v>
      </c>
      <c r="L91" s="667"/>
      <c r="M91" s="21">
        <f t="shared" si="28"/>
        <v>1</v>
      </c>
      <c r="N91" s="667"/>
      <c r="O91" s="21">
        <f t="shared" si="29"/>
        <v>1</v>
      </c>
      <c r="P91" s="667"/>
      <c r="Q91" s="21">
        <f t="shared" si="30"/>
        <v>1</v>
      </c>
      <c r="R91" s="663">
        <f t="shared" si="31"/>
        <v>0</v>
      </c>
      <c r="S91" s="316">
        <f t="shared" si="22"/>
        <v>0</v>
      </c>
    </row>
    <row r="92" spans="1:19">
      <c r="A92" s="150"/>
      <c r="B92" s="54"/>
      <c r="C92" s="21">
        <f t="shared" si="23"/>
        <v>1</v>
      </c>
      <c r="D92" s="667"/>
      <c r="E92" s="21">
        <f t="shared" si="24"/>
        <v>1</v>
      </c>
      <c r="F92" s="667"/>
      <c r="G92" s="21">
        <f t="shared" si="25"/>
        <v>1</v>
      </c>
      <c r="H92" s="667"/>
      <c r="I92" s="21">
        <f t="shared" si="26"/>
        <v>1</v>
      </c>
      <c r="J92" s="667"/>
      <c r="K92" s="21">
        <f t="shared" si="27"/>
        <v>1</v>
      </c>
      <c r="L92" s="667"/>
      <c r="M92" s="21">
        <f t="shared" si="28"/>
        <v>1</v>
      </c>
      <c r="N92" s="667"/>
      <c r="O92" s="21">
        <f t="shared" si="29"/>
        <v>1</v>
      </c>
      <c r="P92" s="667"/>
      <c r="Q92" s="21">
        <f t="shared" si="30"/>
        <v>1</v>
      </c>
      <c r="R92" s="663">
        <f t="shared" si="31"/>
        <v>0</v>
      </c>
      <c r="S92" s="316">
        <f t="shared" si="22"/>
        <v>0</v>
      </c>
    </row>
    <row r="93" spans="1:19">
      <c r="A93" s="150"/>
      <c r="B93" s="54"/>
      <c r="C93" s="21">
        <f t="shared" si="23"/>
        <v>1</v>
      </c>
      <c r="D93" s="667"/>
      <c r="E93" s="21">
        <f t="shared" si="24"/>
        <v>1</v>
      </c>
      <c r="F93" s="667"/>
      <c r="G93" s="21">
        <f t="shared" si="25"/>
        <v>1</v>
      </c>
      <c r="H93" s="667"/>
      <c r="I93" s="21">
        <f t="shared" si="26"/>
        <v>1</v>
      </c>
      <c r="J93" s="667"/>
      <c r="K93" s="21">
        <f t="shared" si="27"/>
        <v>1</v>
      </c>
      <c r="L93" s="667"/>
      <c r="M93" s="21">
        <f t="shared" si="28"/>
        <v>1</v>
      </c>
      <c r="N93" s="667"/>
      <c r="O93" s="21">
        <f t="shared" si="29"/>
        <v>1</v>
      </c>
      <c r="P93" s="667"/>
      <c r="Q93" s="21">
        <f t="shared" si="30"/>
        <v>1</v>
      </c>
      <c r="R93" s="663">
        <f t="shared" si="31"/>
        <v>0</v>
      </c>
      <c r="S93" s="316">
        <f t="shared" si="22"/>
        <v>0</v>
      </c>
    </row>
    <row r="94" spans="1:19">
      <c r="A94" s="150"/>
      <c r="B94" s="54"/>
      <c r="C94" s="21">
        <f t="shared" si="23"/>
        <v>1</v>
      </c>
      <c r="D94" s="667"/>
      <c r="E94" s="21">
        <f t="shared" si="24"/>
        <v>1</v>
      </c>
      <c r="F94" s="667"/>
      <c r="G94" s="21">
        <f t="shared" si="25"/>
        <v>1</v>
      </c>
      <c r="H94" s="667"/>
      <c r="I94" s="21">
        <f t="shared" si="26"/>
        <v>1</v>
      </c>
      <c r="J94" s="667"/>
      <c r="K94" s="21">
        <f t="shared" si="27"/>
        <v>1</v>
      </c>
      <c r="L94" s="667"/>
      <c r="M94" s="21">
        <f t="shared" si="28"/>
        <v>1</v>
      </c>
      <c r="N94" s="667"/>
      <c r="O94" s="21">
        <f t="shared" si="29"/>
        <v>1</v>
      </c>
      <c r="P94" s="667"/>
      <c r="Q94" s="21">
        <f t="shared" si="30"/>
        <v>1</v>
      </c>
      <c r="R94" s="663">
        <f t="shared" si="31"/>
        <v>0</v>
      </c>
      <c r="S94" s="316">
        <f t="shared" si="22"/>
        <v>0</v>
      </c>
    </row>
    <row r="95" spans="1:19">
      <c r="A95" s="150"/>
      <c r="B95" s="54"/>
      <c r="C95" s="21">
        <f t="shared" si="23"/>
        <v>1</v>
      </c>
      <c r="D95" s="667"/>
      <c r="E95" s="21">
        <f t="shared" si="24"/>
        <v>1</v>
      </c>
      <c r="F95" s="667"/>
      <c r="G95" s="21">
        <f t="shared" si="25"/>
        <v>1</v>
      </c>
      <c r="H95" s="667"/>
      <c r="I95" s="21">
        <f t="shared" si="26"/>
        <v>1</v>
      </c>
      <c r="J95" s="667"/>
      <c r="K95" s="21">
        <f t="shared" si="27"/>
        <v>1</v>
      </c>
      <c r="L95" s="667"/>
      <c r="M95" s="21">
        <f t="shared" si="28"/>
        <v>1</v>
      </c>
      <c r="N95" s="667"/>
      <c r="O95" s="21">
        <f t="shared" si="29"/>
        <v>1</v>
      </c>
      <c r="P95" s="667"/>
      <c r="Q95" s="21">
        <f t="shared" si="30"/>
        <v>1</v>
      </c>
      <c r="R95" s="663">
        <f t="shared" si="31"/>
        <v>0</v>
      </c>
      <c r="S95" s="316">
        <f t="shared" si="22"/>
        <v>0</v>
      </c>
    </row>
    <row r="96" spans="1:19">
      <c r="A96" s="150"/>
      <c r="B96" s="54"/>
      <c r="C96" s="21">
        <f t="shared" si="23"/>
        <v>1</v>
      </c>
      <c r="D96" s="667"/>
      <c r="E96" s="21">
        <f t="shared" si="24"/>
        <v>1</v>
      </c>
      <c r="F96" s="667"/>
      <c r="G96" s="21">
        <f t="shared" si="25"/>
        <v>1</v>
      </c>
      <c r="H96" s="667"/>
      <c r="I96" s="21">
        <f t="shared" si="26"/>
        <v>1</v>
      </c>
      <c r="J96" s="667"/>
      <c r="K96" s="21">
        <f t="shared" si="27"/>
        <v>1</v>
      </c>
      <c r="L96" s="667"/>
      <c r="M96" s="21">
        <f t="shared" si="28"/>
        <v>1</v>
      </c>
      <c r="N96" s="667"/>
      <c r="O96" s="21">
        <f t="shared" si="29"/>
        <v>1</v>
      </c>
      <c r="P96" s="667"/>
      <c r="Q96" s="21">
        <f t="shared" si="30"/>
        <v>1</v>
      </c>
      <c r="R96" s="663">
        <f t="shared" si="31"/>
        <v>0</v>
      </c>
      <c r="S96" s="316">
        <f t="shared" si="22"/>
        <v>0</v>
      </c>
    </row>
    <row r="97" spans="1:19">
      <c r="A97" s="150"/>
      <c r="B97" s="54"/>
      <c r="C97" s="21">
        <f t="shared" si="23"/>
        <v>1</v>
      </c>
      <c r="D97" s="667"/>
      <c r="E97" s="21">
        <f t="shared" si="24"/>
        <v>1</v>
      </c>
      <c r="F97" s="667"/>
      <c r="G97" s="21">
        <f t="shared" si="25"/>
        <v>1</v>
      </c>
      <c r="H97" s="667"/>
      <c r="I97" s="21">
        <f t="shared" si="26"/>
        <v>1</v>
      </c>
      <c r="J97" s="667"/>
      <c r="K97" s="21">
        <f t="shared" si="27"/>
        <v>1</v>
      </c>
      <c r="L97" s="667"/>
      <c r="M97" s="21">
        <f t="shared" si="28"/>
        <v>1</v>
      </c>
      <c r="N97" s="667"/>
      <c r="O97" s="21">
        <f t="shared" si="29"/>
        <v>1</v>
      </c>
      <c r="P97" s="667"/>
      <c r="Q97" s="21">
        <f t="shared" si="30"/>
        <v>1</v>
      </c>
      <c r="R97" s="663">
        <f t="shared" si="31"/>
        <v>0</v>
      </c>
      <c r="S97" s="316">
        <f t="shared" si="22"/>
        <v>0</v>
      </c>
    </row>
    <row r="98" spans="1:19">
      <c r="A98" s="150"/>
      <c r="B98" s="54"/>
      <c r="C98" s="21">
        <f t="shared" si="23"/>
        <v>1</v>
      </c>
      <c r="D98" s="667"/>
      <c r="E98" s="21">
        <f t="shared" si="24"/>
        <v>1</v>
      </c>
      <c r="F98" s="667"/>
      <c r="G98" s="21">
        <f t="shared" si="25"/>
        <v>1</v>
      </c>
      <c r="H98" s="667"/>
      <c r="I98" s="21">
        <f t="shared" si="26"/>
        <v>1</v>
      </c>
      <c r="J98" s="667"/>
      <c r="K98" s="21">
        <f t="shared" si="27"/>
        <v>1</v>
      </c>
      <c r="L98" s="667"/>
      <c r="M98" s="21">
        <f t="shared" si="28"/>
        <v>1</v>
      </c>
      <c r="N98" s="667"/>
      <c r="O98" s="21">
        <f t="shared" si="29"/>
        <v>1</v>
      </c>
      <c r="P98" s="667"/>
      <c r="Q98" s="21">
        <f t="shared" si="30"/>
        <v>1</v>
      </c>
      <c r="R98" s="663">
        <f t="shared" si="31"/>
        <v>0</v>
      </c>
      <c r="S98" s="316">
        <f t="shared" si="22"/>
        <v>0</v>
      </c>
    </row>
    <row r="99" spans="1:19">
      <c r="A99" s="150"/>
      <c r="B99" s="54"/>
      <c r="C99" s="21">
        <f t="shared" si="23"/>
        <v>1</v>
      </c>
      <c r="D99" s="667"/>
      <c r="E99" s="21">
        <f t="shared" si="24"/>
        <v>1</v>
      </c>
      <c r="F99" s="667"/>
      <c r="G99" s="21">
        <f t="shared" si="25"/>
        <v>1</v>
      </c>
      <c r="H99" s="667"/>
      <c r="I99" s="21">
        <f t="shared" si="26"/>
        <v>1</v>
      </c>
      <c r="J99" s="667"/>
      <c r="K99" s="21">
        <f t="shared" si="27"/>
        <v>1</v>
      </c>
      <c r="L99" s="667"/>
      <c r="M99" s="21">
        <f t="shared" si="28"/>
        <v>1</v>
      </c>
      <c r="N99" s="667"/>
      <c r="O99" s="21">
        <f t="shared" si="29"/>
        <v>1</v>
      </c>
      <c r="P99" s="667"/>
      <c r="Q99" s="21">
        <f t="shared" si="30"/>
        <v>1</v>
      </c>
      <c r="R99" s="663">
        <f t="shared" si="31"/>
        <v>0</v>
      </c>
      <c r="S99" s="316">
        <f t="shared" si="22"/>
        <v>0</v>
      </c>
    </row>
    <row r="100" spans="1:19">
      <c r="A100" s="150"/>
      <c r="B100" s="54"/>
      <c r="C100" s="21">
        <f t="shared" si="23"/>
        <v>1</v>
      </c>
      <c r="D100" s="667"/>
      <c r="E100" s="21">
        <f t="shared" si="24"/>
        <v>1</v>
      </c>
      <c r="F100" s="667"/>
      <c r="G100" s="21">
        <f t="shared" si="25"/>
        <v>1</v>
      </c>
      <c r="H100" s="667"/>
      <c r="I100" s="21">
        <f t="shared" si="26"/>
        <v>1</v>
      </c>
      <c r="J100" s="667"/>
      <c r="K100" s="21">
        <f t="shared" si="27"/>
        <v>1</v>
      </c>
      <c r="L100" s="667"/>
      <c r="M100" s="21">
        <f t="shared" si="28"/>
        <v>1</v>
      </c>
      <c r="N100" s="667"/>
      <c r="O100" s="21">
        <f t="shared" si="29"/>
        <v>1</v>
      </c>
      <c r="P100" s="667"/>
      <c r="Q100" s="21">
        <f t="shared" si="30"/>
        <v>1</v>
      </c>
      <c r="R100" s="663">
        <f t="shared" si="31"/>
        <v>0</v>
      </c>
      <c r="S100" s="316">
        <f t="shared" si="22"/>
        <v>0</v>
      </c>
    </row>
    <row r="101" spans="1:19">
      <c r="A101" s="150"/>
      <c r="B101" s="54"/>
      <c r="C101" s="21">
        <f t="shared" si="23"/>
        <v>1</v>
      </c>
      <c r="D101" s="667"/>
      <c r="E101" s="21">
        <f t="shared" si="24"/>
        <v>1</v>
      </c>
      <c r="F101" s="667"/>
      <c r="G101" s="21">
        <f t="shared" si="25"/>
        <v>1</v>
      </c>
      <c r="H101" s="667"/>
      <c r="I101" s="21">
        <f t="shared" si="26"/>
        <v>1</v>
      </c>
      <c r="J101" s="667"/>
      <c r="K101" s="21">
        <f t="shared" si="27"/>
        <v>1</v>
      </c>
      <c r="L101" s="667"/>
      <c r="M101" s="21">
        <f t="shared" si="28"/>
        <v>1</v>
      </c>
      <c r="N101" s="667"/>
      <c r="O101" s="21">
        <f t="shared" si="29"/>
        <v>1</v>
      </c>
      <c r="P101" s="667"/>
      <c r="Q101" s="21">
        <f t="shared" si="30"/>
        <v>1</v>
      </c>
      <c r="R101" s="663">
        <f t="shared" si="31"/>
        <v>0</v>
      </c>
      <c r="S101" s="316">
        <f t="shared" si="22"/>
        <v>0</v>
      </c>
    </row>
    <row r="102" spans="1:19">
      <c r="A102" s="150"/>
      <c r="B102" s="54"/>
      <c r="C102" s="21">
        <f t="shared" si="23"/>
        <v>1</v>
      </c>
      <c r="D102" s="667"/>
      <c r="E102" s="21">
        <f t="shared" si="24"/>
        <v>1</v>
      </c>
      <c r="F102" s="667"/>
      <c r="G102" s="21">
        <f t="shared" si="25"/>
        <v>1</v>
      </c>
      <c r="H102" s="667"/>
      <c r="I102" s="21">
        <f t="shared" si="26"/>
        <v>1</v>
      </c>
      <c r="J102" s="667"/>
      <c r="K102" s="21">
        <f t="shared" si="27"/>
        <v>1</v>
      </c>
      <c r="L102" s="667"/>
      <c r="M102" s="21">
        <f t="shared" si="28"/>
        <v>1</v>
      </c>
      <c r="N102" s="667"/>
      <c r="O102" s="21">
        <f t="shared" si="29"/>
        <v>1</v>
      </c>
      <c r="P102" s="667"/>
      <c r="Q102" s="21">
        <f t="shared" si="30"/>
        <v>1</v>
      </c>
      <c r="R102" s="663">
        <f t="shared" si="31"/>
        <v>0</v>
      </c>
      <c r="S102" s="316">
        <f t="shared" si="22"/>
        <v>0</v>
      </c>
    </row>
    <row r="103" spans="1:19">
      <c r="A103" s="150"/>
      <c r="B103" s="54"/>
      <c r="C103" s="21">
        <f t="shared" si="23"/>
        <v>1</v>
      </c>
      <c r="D103" s="667"/>
      <c r="E103" s="21">
        <f t="shared" si="24"/>
        <v>1</v>
      </c>
      <c r="F103" s="667"/>
      <c r="G103" s="21">
        <f t="shared" si="25"/>
        <v>1</v>
      </c>
      <c r="H103" s="667"/>
      <c r="I103" s="21">
        <f t="shared" si="26"/>
        <v>1</v>
      </c>
      <c r="J103" s="667"/>
      <c r="K103" s="21">
        <f t="shared" si="27"/>
        <v>1</v>
      </c>
      <c r="L103" s="667"/>
      <c r="M103" s="21">
        <f t="shared" si="28"/>
        <v>1</v>
      </c>
      <c r="N103" s="667"/>
      <c r="O103" s="21">
        <f t="shared" si="29"/>
        <v>1</v>
      </c>
      <c r="P103" s="667"/>
      <c r="Q103" s="21">
        <f t="shared" si="30"/>
        <v>1</v>
      </c>
      <c r="R103" s="663">
        <f t="shared" si="31"/>
        <v>0</v>
      </c>
      <c r="S103" s="316">
        <f t="shared" si="22"/>
        <v>0</v>
      </c>
    </row>
    <row r="104" spans="1:19">
      <c r="A104" s="150"/>
      <c r="B104" s="54"/>
      <c r="C104" s="21">
        <f t="shared" si="23"/>
        <v>1</v>
      </c>
      <c r="D104" s="667"/>
      <c r="E104" s="21">
        <f t="shared" si="24"/>
        <v>1</v>
      </c>
      <c r="F104" s="667"/>
      <c r="G104" s="21">
        <f t="shared" si="25"/>
        <v>1</v>
      </c>
      <c r="H104" s="667"/>
      <c r="I104" s="21">
        <f t="shared" si="26"/>
        <v>1</v>
      </c>
      <c r="J104" s="667"/>
      <c r="K104" s="21">
        <f t="shared" si="27"/>
        <v>1</v>
      </c>
      <c r="L104" s="667"/>
      <c r="M104" s="21">
        <f t="shared" si="28"/>
        <v>1</v>
      </c>
      <c r="N104" s="667"/>
      <c r="O104" s="21">
        <f t="shared" si="29"/>
        <v>1</v>
      </c>
      <c r="P104" s="667"/>
      <c r="Q104" s="21">
        <f t="shared" si="30"/>
        <v>1</v>
      </c>
      <c r="R104" s="663">
        <f t="shared" si="31"/>
        <v>0</v>
      </c>
      <c r="S104" s="316">
        <f t="shared" si="22"/>
        <v>0</v>
      </c>
    </row>
    <row r="105" spans="1:19">
      <c r="A105" s="150"/>
      <c r="B105" s="54"/>
      <c r="C105" s="21">
        <f t="shared" si="23"/>
        <v>1</v>
      </c>
      <c r="D105" s="667"/>
      <c r="E105" s="21">
        <f t="shared" si="24"/>
        <v>1</v>
      </c>
      <c r="F105" s="667"/>
      <c r="G105" s="21">
        <f t="shared" si="25"/>
        <v>1</v>
      </c>
      <c r="H105" s="667"/>
      <c r="I105" s="21">
        <f t="shared" si="26"/>
        <v>1</v>
      </c>
      <c r="J105" s="667"/>
      <c r="K105" s="21">
        <f t="shared" si="27"/>
        <v>1</v>
      </c>
      <c r="L105" s="667"/>
      <c r="M105" s="21">
        <f t="shared" si="28"/>
        <v>1</v>
      </c>
      <c r="N105" s="667"/>
      <c r="O105" s="21">
        <f t="shared" si="29"/>
        <v>1</v>
      </c>
      <c r="P105" s="667"/>
      <c r="Q105" s="21">
        <f t="shared" si="30"/>
        <v>1</v>
      </c>
      <c r="R105" s="663">
        <f t="shared" si="31"/>
        <v>0</v>
      </c>
      <c r="S105" s="316">
        <f t="shared" si="22"/>
        <v>0</v>
      </c>
    </row>
    <row r="106" spans="1:19">
      <c r="A106" s="150"/>
      <c r="B106" s="54"/>
      <c r="C106" s="21">
        <f t="shared" si="23"/>
        <v>1</v>
      </c>
      <c r="D106" s="667"/>
      <c r="E106" s="21">
        <f t="shared" si="24"/>
        <v>1</v>
      </c>
      <c r="F106" s="667"/>
      <c r="G106" s="21">
        <f t="shared" si="25"/>
        <v>1</v>
      </c>
      <c r="H106" s="667"/>
      <c r="I106" s="21">
        <f t="shared" si="26"/>
        <v>1</v>
      </c>
      <c r="J106" s="667"/>
      <c r="K106" s="21">
        <f t="shared" si="27"/>
        <v>1</v>
      </c>
      <c r="L106" s="667"/>
      <c r="M106" s="21">
        <f t="shared" si="28"/>
        <v>1</v>
      </c>
      <c r="N106" s="667"/>
      <c r="O106" s="21">
        <f t="shared" si="29"/>
        <v>1</v>
      </c>
      <c r="P106" s="667"/>
      <c r="Q106" s="21">
        <f t="shared" si="30"/>
        <v>1</v>
      </c>
      <c r="R106" s="663">
        <f t="shared" si="31"/>
        <v>0</v>
      </c>
      <c r="S106" s="316">
        <f t="shared" si="22"/>
        <v>0</v>
      </c>
    </row>
    <row r="107" spans="1:19">
      <c r="A107" s="150"/>
      <c r="B107" s="54"/>
      <c r="C107" s="21">
        <f t="shared" si="23"/>
        <v>1</v>
      </c>
      <c r="D107" s="667"/>
      <c r="E107" s="21">
        <f t="shared" si="24"/>
        <v>1</v>
      </c>
      <c r="F107" s="667"/>
      <c r="G107" s="21">
        <f t="shared" si="25"/>
        <v>1</v>
      </c>
      <c r="H107" s="667"/>
      <c r="I107" s="21">
        <f t="shared" si="26"/>
        <v>1</v>
      </c>
      <c r="J107" s="667"/>
      <c r="K107" s="21">
        <f t="shared" si="27"/>
        <v>1</v>
      </c>
      <c r="L107" s="667"/>
      <c r="M107" s="21">
        <f t="shared" si="28"/>
        <v>1</v>
      </c>
      <c r="N107" s="667"/>
      <c r="O107" s="21">
        <f t="shared" si="29"/>
        <v>1</v>
      </c>
      <c r="P107" s="667"/>
      <c r="Q107" s="21">
        <f t="shared" si="30"/>
        <v>1</v>
      </c>
      <c r="R107" s="663">
        <f t="shared" si="31"/>
        <v>0</v>
      </c>
      <c r="S107" s="316">
        <f t="shared" si="22"/>
        <v>0</v>
      </c>
    </row>
    <row r="108" spans="1:19">
      <c r="A108" s="150"/>
      <c r="B108" s="54"/>
      <c r="C108" s="21">
        <f t="shared" si="23"/>
        <v>1</v>
      </c>
      <c r="D108" s="667"/>
      <c r="E108" s="21">
        <f t="shared" si="24"/>
        <v>1</v>
      </c>
      <c r="F108" s="667"/>
      <c r="G108" s="21">
        <f t="shared" si="25"/>
        <v>1</v>
      </c>
      <c r="H108" s="667"/>
      <c r="I108" s="21">
        <f t="shared" si="26"/>
        <v>1</v>
      </c>
      <c r="J108" s="667"/>
      <c r="K108" s="21">
        <f t="shared" si="27"/>
        <v>1</v>
      </c>
      <c r="L108" s="667"/>
      <c r="M108" s="21">
        <f t="shared" si="28"/>
        <v>1</v>
      </c>
      <c r="N108" s="667"/>
      <c r="O108" s="21">
        <f t="shared" si="29"/>
        <v>1</v>
      </c>
      <c r="P108" s="667"/>
      <c r="Q108" s="21">
        <f t="shared" si="30"/>
        <v>1</v>
      </c>
      <c r="R108" s="663">
        <f t="shared" si="31"/>
        <v>0</v>
      </c>
      <c r="S108" s="316">
        <f t="shared" si="22"/>
        <v>0</v>
      </c>
    </row>
    <row r="109" spans="1:19">
      <c r="A109" s="150"/>
      <c r="B109" s="54"/>
      <c r="C109" s="21">
        <f t="shared" si="23"/>
        <v>1</v>
      </c>
      <c r="D109" s="667"/>
      <c r="E109" s="21">
        <f t="shared" si="24"/>
        <v>1</v>
      </c>
      <c r="F109" s="667"/>
      <c r="G109" s="21">
        <f t="shared" si="25"/>
        <v>1</v>
      </c>
      <c r="H109" s="667"/>
      <c r="I109" s="21">
        <f t="shared" si="26"/>
        <v>1</v>
      </c>
      <c r="J109" s="667"/>
      <c r="K109" s="21">
        <f t="shared" si="27"/>
        <v>1</v>
      </c>
      <c r="L109" s="667"/>
      <c r="M109" s="21">
        <f t="shared" si="28"/>
        <v>1</v>
      </c>
      <c r="N109" s="667"/>
      <c r="O109" s="21">
        <f t="shared" si="29"/>
        <v>1</v>
      </c>
      <c r="P109" s="667"/>
      <c r="Q109" s="21">
        <f t="shared" si="30"/>
        <v>1</v>
      </c>
      <c r="R109" s="663">
        <f t="shared" si="31"/>
        <v>0</v>
      </c>
      <c r="S109" s="316">
        <f t="shared" si="22"/>
        <v>0</v>
      </c>
    </row>
    <row r="110" spans="1:19">
      <c r="A110" s="150"/>
      <c r="B110" s="54"/>
      <c r="C110" s="21">
        <f t="shared" si="23"/>
        <v>1</v>
      </c>
      <c r="D110" s="667"/>
      <c r="E110" s="21">
        <f t="shared" si="24"/>
        <v>1</v>
      </c>
      <c r="F110" s="667"/>
      <c r="G110" s="21">
        <f t="shared" si="25"/>
        <v>1</v>
      </c>
      <c r="H110" s="667"/>
      <c r="I110" s="21">
        <f t="shared" si="26"/>
        <v>1</v>
      </c>
      <c r="J110" s="667"/>
      <c r="K110" s="21">
        <f t="shared" si="27"/>
        <v>1</v>
      </c>
      <c r="L110" s="667"/>
      <c r="M110" s="21">
        <f t="shared" si="28"/>
        <v>1</v>
      </c>
      <c r="N110" s="667"/>
      <c r="O110" s="21">
        <f t="shared" si="29"/>
        <v>1</v>
      </c>
      <c r="P110" s="667"/>
      <c r="Q110" s="21">
        <f t="shared" si="30"/>
        <v>1</v>
      </c>
      <c r="R110" s="663">
        <f t="shared" si="31"/>
        <v>0</v>
      </c>
      <c r="S110" s="316">
        <f t="shared" si="22"/>
        <v>0</v>
      </c>
    </row>
    <row r="111" spans="1:19">
      <c r="A111" s="150"/>
      <c r="B111" s="54"/>
      <c r="C111" s="21">
        <f t="shared" si="23"/>
        <v>1</v>
      </c>
      <c r="D111" s="667"/>
      <c r="E111" s="21">
        <f t="shared" si="24"/>
        <v>1</v>
      </c>
      <c r="F111" s="667"/>
      <c r="G111" s="21">
        <f t="shared" si="25"/>
        <v>1</v>
      </c>
      <c r="H111" s="667"/>
      <c r="I111" s="21">
        <f t="shared" si="26"/>
        <v>1</v>
      </c>
      <c r="J111" s="667"/>
      <c r="K111" s="21">
        <f t="shared" si="27"/>
        <v>1</v>
      </c>
      <c r="L111" s="667"/>
      <c r="M111" s="21">
        <f t="shared" si="28"/>
        <v>1</v>
      </c>
      <c r="N111" s="667"/>
      <c r="O111" s="21">
        <f t="shared" si="29"/>
        <v>1</v>
      </c>
      <c r="P111" s="667"/>
      <c r="Q111" s="21">
        <f t="shared" si="30"/>
        <v>1</v>
      </c>
      <c r="R111" s="663">
        <f t="shared" si="31"/>
        <v>0</v>
      </c>
      <c r="S111" s="316">
        <f t="shared" si="22"/>
        <v>0</v>
      </c>
    </row>
    <row r="112" spans="1:19">
      <c r="A112" s="150"/>
      <c r="B112" s="54"/>
      <c r="C112" s="21">
        <f t="shared" si="23"/>
        <v>1</v>
      </c>
      <c r="D112" s="667"/>
      <c r="E112" s="21">
        <f t="shared" si="24"/>
        <v>1</v>
      </c>
      <c r="F112" s="667"/>
      <c r="G112" s="21">
        <f t="shared" si="25"/>
        <v>1</v>
      </c>
      <c r="H112" s="667"/>
      <c r="I112" s="21">
        <f t="shared" si="26"/>
        <v>1</v>
      </c>
      <c r="J112" s="667"/>
      <c r="K112" s="21">
        <f t="shared" si="27"/>
        <v>1</v>
      </c>
      <c r="L112" s="667"/>
      <c r="M112" s="21">
        <f t="shared" si="28"/>
        <v>1</v>
      </c>
      <c r="N112" s="667"/>
      <c r="O112" s="21">
        <f t="shared" si="29"/>
        <v>1</v>
      </c>
      <c r="P112" s="667"/>
      <c r="Q112" s="21">
        <f t="shared" si="30"/>
        <v>1</v>
      </c>
      <c r="R112" s="663">
        <f t="shared" si="31"/>
        <v>0</v>
      </c>
      <c r="S112" s="316">
        <f t="shared" si="22"/>
        <v>0</v>
      </c>
    </row>
    <row r="113" spans="1:19">
      <c r="A113" s="150"/>
      <c r="B113" s="54"/>
      <c r="C113" s="21">
        <f t="shared" si="23"/>
        <v>1</v>
      </c>
      <c r="D113" s="667"/>
      <c r="E113" s="21">
        <f t="shared" si="24"/>
        <v>1</v>
      </c>
      <c r="F113" s="667"/>
      <c r="G113" s="21">
        <f t="shared" si="25"/>
        <v>1</v>
      </c>
      <c r="H113" s="667"/>
      <c r="I113" s="21">
        <f t="shared" si="26"/>
        <v>1</v>
      </c>
      <c r="J113" s="667"/>
      <c r="K113" s="21">
        <f t="shared" si="27"/>
        <v>1</v>
      </c>
      <c r="L113" s="667"/>
      <c r="M113" s="21">
        <f t="shared" si="28"/>
        <v>1</v>
      </c>
      <c r="N113" s="667"/>
      <c r="O113" s="21">
        <f t="shared" si="29"/>
        <v>1</v>
      </c>
      <c r="P113" s="667"/>
      <c r="Q113" s="21">
        <f t="shared" si="30"/>
        <v>1</v>
      </c>
      <c r="R113" s="663">
        <f t="shared" si="31"/>
        <v>0</v>
      </c>
      <c r="S113" s="316">
        <f t="shared" si="22"/>
        <v>0</v>
      </c>
    </row>
    <row r="114" spans="1:19">
      <c r="A114" s="150"/>
      <c r="B114" s="54"/>
      <c r="C114" s="21">
        <f t="shared" si="23"/>
        <v>1</v>
      </c>
      <c r="D114" s="667"/>
      <c r="E114" s="21">
        <f t="shared" si="24"/>
        <v>1</v>
      </c>
      <c r="F114" s="667"/>
      <c r="G114" s="21">
        <f t="shared" si="25"/>
        <v>1</v>
      </c>
      <c r="H114" s="667"/>
      <c r="I114" s="21">
        <f t="shared" si="26"/>
        <v>1</v>
      </c>
      <c r="J114" s="667"/>
      <c r="K114" s="21">
        <f t="shared" si="27"/>
        <v>1</v>
      </c>
      <c r="L114" s="667"/>
      <c r="M114" s="21">
        <f t="shared" si="28"/>
        <v>1</v>
      </c>
      <c r="N114" s="667"/>
      <c r="O114" s="21">
        <f t="shared" si="29"/>
        <v>1</v>
      </c>
      <c r="P114" s="667"/>
      <c r="Q114" s="21">
        <f t="shared" si="30"/>
        <v>1</v>
      </c>
      <c r="R114" s="663">
        <f t="shared" si="31"/>
        <v>0</v>
      </c>
      <c r="S114" s="316">
        <f t="shared" si="22"/>
        <v>0</v>
      </c>
    </row>
    <row r="115" spans="1:19">
      <c r="A115" s="150"/>
      <c r="B115" s="54"/>
      <c r="C115" s="21">
        <f t="shared" si="23"/>
        <v>1</v>
      </c>
      <c r="D115" s="667"/>
      <c r="E115" s="21">
        <f t="shared" si="24"/>
        <v>1</v>
      </c>
      <c r="F115" s="667"/>
      <c r="G115" s="21">
        <f t="shared" si="25"/>
        <v>1</v>
      </c>
      <c r="H115" s="667"/>
      <c r="I115" s="21">
        <f t="shared" si="26"/>
        <v>1</v>
      </c>
      <c r="J115" s="667"/>
      <c r="K115" s="21">
        <f t="shared" si="27"/>
        <v>1</v>
      </c>
      <c r="L115" s="667"/>
      <c r="M115" s="21">
        <f t="shared" si="28"/>
        <v>1</v>
      </c>
      <c r="N115" s="667"/>
      <c r="O115" s="21">
        <f t="shared" si="29"/>
        <v>1</v>
      </c>
      <c r="P115" s="667"/>
      <c r="Q115" s="21">
        <f t="shared" si="30"/>
        <v>1</v>
      </c>
      <c r="R115" s="663">
        <f t="shared" si="31"/>
        <v>0</v>
      </c>
      <c r="S115" s="316">
        <f t="shared" si="22"/>
        <v>0</v>
      </c>
    </row>
    <row r="116" spans="1:19">
      <c r="A116" s="150"/>
      <c r="B116" s="54"/>
      <c r="C116" s="21">
        <f t="shared" si="23"/>
        <v>1</v>
      </c>
      <c r="D116" s="667"/>
      <c r="E116" s="21">
        <f t="shared" si="24"/>
        <v>1</v>
      </c>
      <c r="F116" s="667"/>
      <c r="G116" s="21">
        <f t="shared" si="25"/>
        <v>1</v>
      </c>
      <c r="H116" s="667"/>
      <c r="I116" s="21">
        <f t="shared" si="26"/>
        <v>1</v>
      </c>
      <c r="J116" s="667"/>
      <c r="K116" s="21">
        <f t="shared" si="27"/>
        <v>1</v>
      </c>
      <c r="L116" s="667"/>
      <c r="M116" s="21">
        <f t="shared" si="28"/>
        <v>1</v>
      </c>
      <c r="N116" s="667"/>
      <c r="O116" s="21">
        <f t="shared" si="29"/>
        <v>1</v>
      </c>
      <c r="P116" s="667"/>
      <c r="Q116" s="21">
        <f t="shared" si="30"/>
        <v>1</v>
      </c>
      <c r="R116" s="663">
        <f t="shared" si="31"/>
        <v>0</v>
      </c>
      <c r="S116" s="316">
        <f t="shared" si="22"/>
        <v>0</v>
      </c>
    </row>
    <row r="117" spans="1:19">
      <c r="A117" s="150"/>
      <c r="B117" s="54"/>
      <c r="C117" s="21">
        <f t="shared" si="23"/>
        <v>1</v>
      </c>
      <c r="D117" s="667"/>
      <c r="E117" s="21">
        <f t="shared" si="24"/>
        <v>1</v>
      </c>
      <c r="F117" s="667"/>
      <c r="G117" s="21">
        <f t="shared" si="25"/>
        <v>1</v>
      </c>
      <c r="H117" s="667"/>
      <c r="I117" s="21">
        <f t="shared" si="26"/>
        <v>1</v>
      </c>
      <c r="J117" s="667"/>
      <c r="K117" s="21">
        <f t="shared" si="27"/>
        <v>1</v>
      </c>
      <c r="L117" s="667"/>
      <c r="M117" s="21">
        <f t="shared" si="28"/>
        <v>1</v>
      </c>
      <c r="N117" s="667"/>
      <c r="O117" s="21">
        <f t="shared" si="29"/>
        <v>1</v>
      </c>
      <c r="P117" s="667"/>
      <c r="Q117" s="21">
        <f t="shared" si="30"/>
        <v>1</v>
      </c>
      <c r="R117" s="663">
        <f t="shared" si="31"/>
        <v>0</v>
      </c>
      <c r="S117" s="316">
        <f t="shared" si="22"/>
        <v>0</v>
      </c>
    </row>
    <row r="118" spans="1:19">
      <c r="A118" s="150"/>
      <c r="B118" s="54"/>
      <c r="C118" s="21">
        <f t="shared" si="23"/>
        <v>1</v>
      </c>
      <c r="D118" s="667"/>
      <c r="E118" s="21">
        <f t="shared" si="24"/>
        <v>1</v>
      </c>
      <c r="F118" s="667"/>
      <c r="G118" s="21">
        <f t="shared" si="25"/>
        <v>1</v>
      </c>
      <c r="H118" s="667"/>
      <c r="I118" s="21">
        <f t="shared" si="26"/>
        <v>1</v>
      </c>
      <c r="J118" s="667"/>
      <c r="K118" s="21">
        <f t="shared" si="27"/>
        <v>1</v>
      </c>
      <c r="L118" s="667"/>
      <c r="M118" s="21">
        <f t="shared" si="28"/>
        <v>1</v>
      </c>
      <c r="N118" s="667"/>
      <c r="O118" s="21">
        <f t="shared" si="29"/>
        <v>1</v>
      </c>
      <c r="P118" s="667"/>
      <c r="Q118" s="21">
        <f t="shared" si="30"/>
        <v>1</v>
      </c>
      <c r="R118" s="663">
        <f t="shared" si="31"/>
        <v>0</v>
      </c>
      <c r="S118" s="316">
        <f t="shared" si="22"/>
        <v>0</v>
      </c>
    </row>
    <row r="119" spans="1:19">
      <c r="A119" s="150"/>
      <c r="B119" s="54"/>
      <c r="C119" s="21">
        <f t="shared" si="23"/>
        <v>1</v>
      </c>
      <c r="D119" s="667"/>
      <c r="E119" s="21">
        <f t="shared" si="24"/>
        <v>1</v>
      </c>
      <c r="F119" s="667"/>
      <c r="G119" s="21">
        <f t="shared" si="25"/>
        <v>1</v>
      </c>
      <c r="H119" s="667"/>
      <c r="I119" s="21">
        <f t="shared" si="26"/>
        <v>1</v>
      </c>
      <c r="J119" s="667"/>
      <c r="K119" s="21">
        <f t="shared" si="27"/>
        <v>1</v>
      </c>
      <c r="L119" s="667"/>
      <c r="M119" s="21">
        <f t="shared" si="28"/>
        <v>1</v>
      </c>
      <c r="N119" s="667"/>
      <c r="O119" s="21">
        <f t="shared" si="29"/>
        <v>1</v>
      </c>
      <c r="P119" s="667"/>
      <c r="Q119" s="21">
        <f t="shared" si="30"/>
        <v>1</v>
      </c>
      <c r="R119" s="663">
        <f t="shared" si="31"/>
        <v>0</v>
      </c>
      <c r="S119" s="316">
        <f t="shared" si="22"/>
        <v>0</v>
      </c>
    </row>
    <row r="120" spans="1:19">
      <c r="A120" s="150"/>
      <c r="B120" s="54"/>
      <c r="C120" s="21">
        <f t="shared" si="23"/>
        <v>1</v>
      </c>
      <c r="D120" s="667"/>
      <c r="E120" s="21">
        <f t="shared" si="24"/>
        <v>1</v>
      </c>
      <c r="F120" s="667"/>
      <c r="G120" s="21">
        <f t="shared" si="25"/>
        <v>1</v>
      </c>
      <c r="H120" s="667"/>
      <c r="I120" s="21">
        <f t="shared" si="26"/>
        <v>1</v>
      </c>
      <c r="J120" s="667"/>
      <c r="K120" s="21">
        <f t="shared" si="27"/>
        <v>1</v>
      </c>
      <c r="L120" s="667"/>
      <c r="M120" s="21">
        <f t="shared" si="28"/>
        <v>1</v>
      </c>
      <c r="N120" s="667"/>
      <c r="O120" s="21">
        <f t="shared" si="29"/>
        <v>1</v>
      </c>
      <c r="P120" s="667"/>
      <c r="Q120" s="21">
        <f t="shared" si="30"/>
        <v>1</v>
      </c>
      <c r="R120" s="663">
        <f t="shared" si="31"/>
        <v>0</v>
      </c>
      <c r="S120" s="316">
        <f t="shared" si="22"/>
        <v>0</v>
      </c>
    </row>
    <row r="121" spans="1:19">
      <c r="A121" s="150"/>
      <c r="B121" s="54"/>
      <c r="C121" s="21">
        <f t="shared" si="23"/>
        <v>1</v>
      </c>
      <c r="D121" s="667"/>
      <c r="E121" s="21">
        <f t="shared" si="24"/>
        <v>1</v>
      </c>
      <c r="F121" s="667"/>
      <c r="G121" s="21">
        <f t="shared" si="25"/>
        <v>1</v>
      </c>
      <c r="H121" s="667"/>
      <c r="I121" s="21">
        <f t="shared" si="26"/>
        <v>1</v>
      </c>
      <c r="J121" s="667"/>
      <c r="K121" s="21">
        <f t="shared" si="27"/>
        <v>1</v>
      </c>
      <c r="L121" s="667"/>
      <c r="M121" s="21">
        <f t="shared" si="28"/>
        <v>1</v>
      </c>
      <c r="N121" s="667"/>
      <c r="O121" s="21">
        <f t="shared" si="29"/>
        <v>1</v>
      </c>
      <c r="P121" s="667"/>
      <c r="Q121" s="21">
        <f t="shared" si="30"/>
        <v>1</v>
      </c>
      <c r="R121" s="663">
        <f t="shared" si="31"/>
        <v>0</v>
      </c>
      <c r="S121" s="316">
        <f t="shared" si="22"/>
        <v>0</v>
      </c>
    </row>
    <row r="122" spans="1:19">
      <c r="A122" s="150"/>
      <c r="B122" s="54"/>
      <c r="C122" s="21">
        <f t="shared" si="23"/>
        <v>1</v>
      </c>
      <c r="D122" s="667"/>
      <c r="E122" s="21">
        <f t="shared" si="24"/>
        <v>1</v>
      </c>
      <c r="F122" s="667"/>
      <c r="G122" s="21">
        <f t="shared" si="25"/>
        <v>1</v>
      </c>
      <c r="H122" s="667"/>
      <c r="I122" s="21">
        <f t="shared" si="26"/>
        <v>1</v>
      </c>
      <c r="J122" s="667"/>
      <c r="K122" s="21">
        <f t="shared" si="27"/>
        <v>1</v>
      </c>
      <c r="L122" s="667"/>
      <c r="M122" s="21">
        <f t="shared" si="28"/>
        <v>1</v>
      </c>
      <c r="N122" s="667"/>
      <c r="O122" s="21">
        <f t="shared" si="29"/>
        <v>1</v>
      </c>
      <c r="P122" s="667"/>
      <c r="Q122" s="21">
        <f t="shared" si="30"/>
        <v>1</v>
      </c>
      <c r="R122" s="663">
        <f t="shared" si="31"/>
        <v>0</v>
      </c>
      <c r="S122" s="316">
        <f t="shared" si="22"/>
        <v>0</v>
      </c>
    </row>
    <row r="123" spans="1:19">
      <c r="A123" s="150"/>
      <c r="B123" s="54"/>
      <c r="C123" s="21">
        <f t="shared" si="23"/>
        <v>1</v>
      </c>
      <c r="D123" s="667"/>
      <c r="E123" s="21">
        <f t="shared" si="24"/>
        <v>1</v>
      </c>
      <c r="F123" s="667"/>
      <c r="G123" s="21">
        <f t="shared" si="25"/>
        <v>1</v>
      </c>
      <c r="H123" s="667"/>
      <c r="I123" s="21">
        <f t="shared" si="26"/>
        <v>1</v>
      </c>
      <c r="J123" s="667"/>
      <c r="K123" s="21">
        <f t="shared" si="27"/>
        <v>1</v>
      </c>
      <c r="L123" s="667"/>
      <c r="M123" s="21">
        <f t="shared" si="28"/>
        <v>1</v>
      </c>
      <c r="N123" s="667"/>
      <c r="O123" s="21">
        <f t="shared" si="29"/>
        <v>1</v>
      </c>
      <c r="P123" s="667"/>
      <c r="Q123" s="21">
        <f t="shared" si="30"/>
        <v>1</v>
      </c>
      <c r="R123" s="663">
        <f t="shared" si="31"/>
        <v>0</v>
      </c>
      <c r="S123" s="316">
        <f t="shared" ref="S123:S186" si="32">ROUND(R123*B123/10000,0)</f>
        <v>0</v>
      </c>
    </row>
    <row r="124" spans="1:19">
      <c r="A124" s="150"/>
      <c r="B124" s="54"/>
      <c r="C124" s="21">
        <f t="shared" si="23"/>
        <v>1</v>
      </c>
      <c r="D124" s="667"/>
      <c r="E124" s="21">
        <f t="shared" si="24"/>
        <v>1</v>
      </c>
      <c r="F124" s="667"/>
      <c r="G124" s="21">
        <f t="shared" si="25"/>
        <v>1</v>
      </c>
      <c r="H124" s="667"/>
      <c r="I124" s="21">
        <f t="shared" si="26"/>
        <v>1</v>
      </c>
      <c r="J124" s="667"/>
      <c r="K124" s="21">
        <f t="shared" si="27"/>
        <v>1</v>
      </c>
      <c r="L124" s="667"/>
      <c r="M124" s="21">
        <f t="shared" si="28"/>
        <v>1</v>
      </c>
      <c r="N124" s="667"/>
      <c r="O124" s="21">
        <f t="shared" si="29"/>
        <v>1</v>
      </c>
      <c r="P124" s="667"/>
      <c r="Q124" s="21">
        <f t="shared" si="30"/>
        <v>1</v>
      </c>
      <c r="R124" s="663">
        <f t="shared" si="31"/>
        <v>0</v>
      </c>
      <c r="S124" s="316">
        <f t="shared" si="32"/>
        <v>0</v>
      </c>
    </row>
    <row r="125" spans="1:19">
      <c r="A125" s="150"/>
      <c r="B125" s="54"/>
      <c r="C125" s="21">
        <f t="shared" si="23"/>
        <v>1</v>
      </c>
      <c r="D125" s="667"/>
      <c r="E125" s="21">
        <f t="shared" si="24"/>
        <v>1</v>
      </c>
      <c r="F125" s="667"/>
      <c r="G125" s="21">
        <f t="shared" si="25"/>
        <v>1</v>
      </c>
      <c r="H125" s="667"/>
      <c r="I125" s="21">
        <f t="shared" si="26"/>
        <v>1</v>
      </c>
      <c r="J125" s="667"/>
      <c r="K125" s="21">
        <f t="shared" si="27"/>
        <v>1</v>
      </c>
      <c r="L125" s="667"/>
      <c r="M125" s="21">
        <f t="shared" si="28"/>
        <v>1</v>
      </c>
      <c r="N125" s="667"/>
      <c r="O125" s="21">
        <f t="shared" si="29"/>
        <v>1</v>
      </c>
      <c r="P125" s="667"/>
      <c r="Q125" s="21">
        <f t="shared" si="30"/>
        <v>1</v>
      </c>
      <c r="R125" s="663">
        <f t="shared" si="31"/>
        <v>0</v>
      </c>
      <c r="S125" s="316">
        <f t="shared" si="32"/>
        <v>0</v>
      </c>
    </row>
    <row r="126" spans="1:19">
      <c r="A126" s="150"/>
      <c r="B126" s="54"/>
      <c r="C126" s="21">
        <f t="shared" si="23"/>
        <v>1</v>
      </c>
      <c r="D126" s="667"/>
      <c r="E126" s="21">
        <f t="shared" si="24"/>
        <v>1</v>
      </c>
      <c r="F126" s="667"/>
      <c r="G126" s="21">
        <f t="shared" si="25"/>
        <v>1</v>
      </c>
      <c r="H126" s="667"/>
      <c r="I126" s="21">
        <f t="shared" si="26"/>
        <v>1</v>
      </c>
      <c r="J126" s="667"/>
      <c r="K126" s="21">
        <f t="shared" si="27"/>
        <v>1</v>
      </c>
      <c r="L126" s="667"/>
      <c r="M126" s="21">
        <f t="shared" si="28"/>
        <v>1</v>
      </c>
      <c r="N126" s="667"/>
      <c r="O126" s="21">
        <f t="shared" si="29"/>
        <v>1</v>
      </c>
      <c r="P126" s="667"/>
      <c r="Q126" s="21">
        <f t="shared" si="30"/>
        <v>1</v>
      </c>
      <c r="R126" s="663">
        <f t="shared" si="31"/>
        <v>0</v>
      </c>
      <c r="S126" s="316">
        <f t="shared" si="32"/>
        <v>0</v>
      </c>
    </row>
    <row r="127" spans="1:19">
      <c r="A127" s="150"/>
      <c r="B127" s="54"/>
      <c r="C127" s="21">
        <f t="shared" si="23"/>
        <v>1</v>
      </c>
      <c r="D127" s="667"/>
      <c r="E127" s="21">
        <f t="shared" si="24"/>
        <v>1</v>
      </c>
      <c r="F127" s="667"/>
      <c r="G127" s="21">
        <f t="shared" si="25"/>
        <v>1</v>
      </c>
      <c r="H127" s="667"/>
      <c r="I127" s="21">
        <f t="shared" si="26"/>
        <v>1</v>
      </c>
      <c r="J127" s="667"/>
      <c r="K127" s="21">
        <f t="shared" si="27"/>
        <v>1</v>
      </c>
      <c r="L127" s="667"/>
      <c r="M127" s="21">
        <f t="shared" si="28"/>
        <v>1</v>
      </c>
      <c r="N127" s="667"/>
      <c r="O127" s="21">
        <f t="shared" si="29"/>
        <v>1</v>
      </c>
      <c r="P127" s="667"/>
      <c r="Q127" s="21">
        <f t="shared" si="30"/>
        <v>1</v>
      </c>
      <c r="R127" s="663">
        <f t="shared" si="31"/>
        <v>0</v>
      </c>
      <c r="S127" s="316">
        <f t="shared" si="32"/>
        <v>0</v>
      </c>
    </row>
    <row r="128" spans="1:19">
      <c r="A128" s="150"/>
      <c r="B128" s="54"/>
      <c r="C128" s="21">
        <f t="shared" si="23"/>
        <v>1</v>
      </c>
      <c r="D128" s="667"/>
      <c r="E128" s="21">
        <f t="shared" si="24"/>
        <v>1</v>
      </c>
      <c r="F128" s="667"/>
      <c r="G128" s="21">
        <f t="shared" si="25"/>
        <v>1</v>
      </c>
      <c r="H128" s="667"/>
      <c r="I128" s="21">
        <f t="shared" si="26"/>
        <v>1</v>
      </c>
      <c r="J128" s="667"/>
      <c r="K128" s="21">
        <f t="shared" si="27"/>
        <v>1</v>
      </c>
      <c r="L128" s="667"/>
      <c r="M128" s="21">
        <f t="shared" si="28"/>
        <v>1</v>
      </c>
      <c r="N128" s="667"/>
      <c r="O128" s="21">
        <f t="shared" si="29"/>
        <v>1</v>
      </c>
      <c r="P128" s="667"/>
      <c r="Q128" s="21">
        <f t="shared" si="30"/>
        <v>1</v>
      </c>
      <c r="R128" s="663">
        <f t="shared" si="31"/>
        <v>0</v>
      </c>
      <c r="S128" s="316">
        <f t="shared" si="32"/>
        <v>0</v>
      </c>
    </row>
    <row r="129" spans="1:19">
      <c r="A129" s="150"/>
      <c r="B129" s="54"/>
      <c r="C129" s="21">
        <f t="shared" si="23"/>
        <v>1</v>
      </c>
      <c r="D129" s="667"/>
      <c r="E129" s="21">
        <f t="shared" si="24"/>
        <v>1</v>
      </c>
      <c r="F129" s="667"/>
      <c r="G129" s="21">
        <f t="shared" si="25"/>
        <v>1</v>
      </c>
      <c r="H129" s="667"/>
      <c r="I129" s="21">
        <f t="shared" si="26"/>
        <v>1</v>
      </c>
      <c r="J129" s="667"/>
      <c r="K129" s="21">
        <f t="shared" si="27"/>
        <v>1</v>
      </c>
      <c r="L129" s="667"/>
      <c r="M129" s="21">
        <f t="shared" si="28"/>
        <v>1</v>
      </c>
      <c r="N129" s="667"/>
      <c r="O129" s="21">
        <f t="shared" si="29"/>
        <v>1</v>
      </c>
      <c r="P129" s="667"/>
      <c r="Q129" s="21">
        <f t="shared" si="30"/>
        <v>1</v>
      </c>
      <c r="R129" s="663">
        <f t="shared" si="31"/>
        <v>0</v>
      </c>
      <c r="S129" s="316">
        <f t="shared" si="32"/>
        <v>0</v>
      </c>
    </row>
    <row r="130" spans="1:19">
      <c r="A130" s="150"/>
      <c r="B130" s="54"/>
      <c r="C130" s="21">
        <f t="shared" si="23"/>
        <v>1</v>
      </c>
      <c r="D130" s="667"/>
      <c r="E130" s="21">
        <f t="shared" si="24"/>
        <v>1</v>
      </c>
      <c r="F130" s="667"/>
      <c r="G130" s="21">
        <f t="shared" si="25"/>
        <v>1</v>
      </c>
      <c r="H130" s="667"/>
      <c r="I130" s="21">
        <f t="shared" si="26"/>
        <v>1</v>
      </c>
      <c r="J130" s="667"/>
      <c r="K130" s="21">
        <f t="shared" si="27"/>
        <v>1</v>
      </c>
      <c r="L130" s="667"/>
      <c r="M130" s="21">
        <f t="shared" si="28"/>
        <v>1</v>
      </c>
      <c r="N130" s="667"/>
      <c r="O130" s="21">
        <f t="shared" si="29"/>
        <v>1</v>
      </c>
      <c r="P130" s="667"/>
      <c r="Q130" s="21">
        <f t="shared" si="30"/>
        <v>1</v>
      </c>
      <c r="R130" s="663">
        <f t="shared" si="31"/>
        <v>0</v>
      </c>
      <c r="S130" s="316">
        <f t="shared" si="32"/>
        <v>0</v>
      </c>
    </row>
    <row r="131" spans="1:19">
      <c r="A131" s="150"/>
      <c r="B131" s="54"/>
      <c r="C131" s="21">
        <f t="shared" si="23"/>
        <v>1</v>
      </c>
      <c r="D131" s="667"/>
      <c r="E131" s="21">
        <f t="shared" si="24"/>
        <v>1</v>
      </c>
      <c r="F131" s="667"/>
      <c r="G131" s="21">
        <f t="shared" si="25"/>
        <v>1</v>
      </c>
      <c r="H131" s="667"/>
      <c r="I131" s="21">
        <f t="shared" si="26"/>
        <v>1</v>
      </c>
      <c r="J131" s="667"/>
      <c r="K131" s="21">
        <f t="shared" si="27"/>
        <v>1</v>
      </c>
      <c r="L131" s="667"/>
      <c r="M131" s="21">
        <f t="shared" si="28"/>
        <v>1</v>
      </c>
      <c r="N131" s="667"/>
      <c r="O131" s="21">
        <f t="shared" si="29"/>
        <v>1</v>
      </c>
      <c r="P131" s="667"/>
      <c r="Q131" s="21">
        <f t="shared" si="30"/>
        <v>1</v>
      </c>
      <c r="R131" s="663">
        <f t="shared" si="31"/>
        <v>0</v>
      </c>
      <c r="S131" s="316">
        <f t="shared" si="32"/>
        <v>0</v>
      </c>
    </row>
    <row r="132" spans="1:19">
      <c r="A132" s="150"/>
      <c r="B132" s="54"/>
      <c r="C132" s="21">
        <f t="shared" si="23"/>
        <v>1</v>
      </c>
      <c r="D132" s="667"/>
      <c r="E132" s="21">
        <f t="shared" si="24"/>
        <v>1</v>
      </c>
      <c r="F132" s="667"/>
      <c r="G132" s="21">
        <f t="shared" si="25"/>
        <v>1</v>
      </c>
      <c r="H132" s="667"/>
      <c r="I132" s="21">
        <f t="shared" si="26"/>
        <v>1</v>
      </c>
      <c r="J132" s="667"/>
      <c r="K132" s="21">
        <f t="shared" si="27"/>
        <v>1</v>
      </c>
      <c r="L132" s="667"/>
      <c r="M132" s="21">
        <f t="shared" si="28"/>
        <v>1</v>
      </c>
      <c r="N132" s="667"/>
      <c r="O132" s="21">
        <f t="shared" si="29"/>
        <v>1</v>
      </c>
      <c r="P132" s="667"/>
      <c r="Q132" s="21">
        <f t="shared" si="30"/>
        <v>1</v>
      </c>
      <c r="R132" s="663">
        <f t="shared" si="31"/>
        <v>0</v>
      </c>
      <c r="S132" s="316">
        <f t="shared" si="32"/>
        <v>0</v>
      </c>
    </row>
    <row r="133" spans="1:19">
      <c r="A133" s="150"/>
      <c r="B133" s="54"/>
      <c r="C133" s="21">
        <f t="shared" si="23"/>
        <v>1</v>
      </c>
      <c r="D133" s="667"/>
      <c r="E133" s="21">
        <f t="shared" si="24"/>
        <v>1</v>
      </c>
      <c r="F133" s="667"/>
      <c r="G133" s="21">
        <f t="shared" si="25"/>
        <v>1</v>
      </c>
      <c r="H133" s="667"/>
      <c r="I133" s="21">
        <f t="shared" si="26"/>
        <v>1</v>
      </c>
      <c r="J133" s="667"/>
      <c r="K133" s="21">
        <f t="shared" si="27"/>
        <v>1</v>
      </c>
      <c r="L133" s="667"/>
      <c r="M133" s="21">
        <f t="shared" si="28"/>
        <v>1</v>
      </c>
      <c r="N133" s="667"/>
      <c r="O133" s="21">
        <f t="shared" si="29"/>
        <v>1</v>
      </c>
      <c r="P133" s="667"/>
      <c r="Q133" s="21">
        <f t="shared" si="30"/>
        <v>1</v>
      </c>
      <c r="R133" s="663">
        <f t="shared" si="31"/>
        <v>0</v>
      </c>
      <c r="S133" s="316">
        <f t="shared" si="32"/>
        <v>0</v>
      </c>
    </row>
    <row r="134" spans="1:19">
      <c r="A134" s="150"/>
      <c r="B134" s="54"/>
      <c r="C134" s="21">
        <f t="shared" si="23"/>
        <v>1</v>
      </c>
      <c r="D134" s="667"/>
      <c r="E134" s="21">
        <f t="shared" si="24"/>
        <v>1</v>
      </c>
      <c r="F134" s="667"/>
      <c r="G134" s="21">
        <f t="shared" si="25"/>
        <v>1</v>
      </c>
      <c r="H134" s="667"/>
      <c r="I134" s="21">
        <f t="shared" si="26"/>
        <v>1</v>
      </c>
      <c r="J134" s="667"/>
      <c r="K134" s="21">
        <f t="shared" si="27"/>
        <v>1</v>
      </c>
      <c r="L134" s="667"/>
      <c r="M134" s="21">
        <f t="shared" si="28"/>
        <v>1</v>
      </c>
      <c r="N134" s="667"/>
      <c r="O134" s="21">
        <f t="shared" si="29"/>
        <v>1</v>
      </c>
      <c r="P134" s="667"/>
      <c r="Q134" s="21">
        <f t="shared" si="30"/>
        <v>1</v>
      </c>
      <c r="R134" s="663">
        <f t="shared" si="31"/>
        <v>0</v>
      </c>
      <c r="S134" s="316">
        <f t="shared" si="32"/>
        <v>0</v>
      </c>
    </row>
    <row r="135" spans="1:19">
      <c r="A135" s="150"/>
      <c r="B135" s="54"/>
      <c r="C135" s="21">
        <f t="shared" si="23"/>
        <v>1</v>
      </c>
      <c r="D135" s="667"/>
      <c r="E135" s="21">
        <f t="shared" si="24"/>
        <v>1</v>
      </c>
      <c r="F135" s="667"/>
      <c r="G135" s="21">
        <f t="shared" si="25"/>
        <v>1</v>
      </c>
      <c r="H135" s="667"/>
      <c r="I135" s="21">
        <f t="shared" si="26"/>
        <v>1</v>
      </c>
      <c r="J135" s="667"/>
      <c r="K135" s="21">
        <f t="shared" si="27"/>
        <v>1</v>
      </c>
      <c r="L135" s="667"/>
      <c r="M135" s="21">
        <f t="shared" si="28"/>
        <v>1</v>
      </c>
      <c r="N135" s="667"/>
      <c r="O135" s="21">
        <f t="shared" si="29"/>
        <v>1</v>
      </c>
      <c r="P135" s="667"/>
      <c r="Q135" s="21">
        <f t="shared" si="30"/>
        <v>1</v>
      </c>
      <c r="R135" s="663">
        <f t="shared" si="31"/>
        <v>0</v>
      </c>
      <c r="S135" s="316">
        <f t="shared" si="32"/>
        <v>0</v>
      </c>
    </row>
    <row r="136" spans="1:19">
      <c r="A136" s="150"/>
      <c r="B136" s="54"/>
      <c r="C136" s="21">
        <f t="shared" si="23"/>
        <v>1</v>
      </c>
      <c r="D136" s="667"/>
      <c r="E136" s="21">
        <f t="shared" si="24"/>
        <v>1</v>
      </c>
      <c r="F136" s="667"/>
      <c r="G136" s="21">
        <f t="shared" si="25"/>
        <v>1</v>
      </c>
      <c r="H136" s="667"/>
      <c r="I136" s="21">
        <f t="shared" si="26"/>
        <v>1</v>
      </c>
      <c r="J136" s="667"/>
      <c r="K136" s="21">
        <f t="shared" si="27"/>
        <v>1</v>
      </c>
      <c r="L136" s="667"/>
      <c r="M136" s="21">
        <f t="shared" si="28"/>
        <v>1</v>
      </c>
      <c r="N136" s="667"/>
      <c r="O136" s="21">
        <f t="shared" si="29"/>
        <v>1</v>
      </c>
      <c r="P136" s="667"/>
      <c r="Q136" s="21">
        <f t="shared" si="30"/>
        <v>1</v>
      </c>
      <c r="R136" s="663">
        <f t="shared" si="31"/>
        <v>0</v>
      </c>
      <c r="S136" s="316">
        <f t="shared" si="32"/>
        <v>0</v>
      </c>
    </row>
    <row r="137" spans="1:19">
      <c r="A137" s="150"/>
      <c r="B137" s="54"/>
      <c r="C137" s="21">
        <f t="shared" si="23"/>
        <v>1</v>
      </c>
      <c r="D137" s="667"/>
      <c r="E137" s="21">
        <f t="shared" si="24"/>
        <v>1</v>
      </c>
      <c r="F137" s="667"/>
      <c r="G137" s="21">
        <f t="shared" si="25"/>
        <v>1</v>
      </c>
      <c r="H137" s="667"/>
      <c r="I137" s="21">
        <f t="shared" si="26"/>
        <v>1</v>
      </c>
      <c r="J137" s="667"/>
      <c r="K137" s="21">
        <f t="shared" si="27"/>
        <v>1</v>
      </c>
      <c r="L137" s="667"/>
      <c r="M137" s="21">
        <f t="shared" si="28"/>
        <v>1</v>
      </c>
      <c r="N137" s="667"/>
      <c r="O137" s="21">
        <f t="shared" si="29"/>
        <v>1</v>
      </c>
      <c r="P137" s="667"/>
      <c r="Q137" s="21">
        <f t="shared" si="30"/>
        <v>1</v>
      </c>
      <c r="R137" s="663">
        <f t="shared" si="31"/>
        <v>0</v>
      </c>
      <c r="S137" s="316">
        <f t="shared" si="32"/>
        <v>0</v>
      </c>
    </row>
    <row r="138" spans="1:19">
      <c r="A138" s="150"/>
      <c r="B138" s="54"/>
      <c r="C138" s="21">
        <f t="shared" si="23"/>
        <v>1</v>
      </c>
      <c r="D138" s="667"/>
      <c r="E138" s="21">
        <f t="shared" si="24"/>
        <v>1</v>
      </c>
      <c r="F138" s="667"/>
      <c r="G138" s="21">
        <f t="shared" si="25"/>
        <v>1</v>
      </c>
      <c r="H138" s="667"/>
      <c r="I138" s="21">
        <f t="shared" si="26"/>
        <v>1</v>
      </c>
      <c r="J138" s="667"/>
      <c r="K138" s="21">
        <f t="shared" si="27"/>
        <v>1</v>
      </c>
      <c r="L138" s="667"/>
      <c r="M138" s="21">
        <f t="shared" si="28"/>
        <v>1</v>
      </c>
      <c r="N138" s="667"/>
      <c r="O138" s="21">
        <f t="shared" si="29"/>
        <v>1</v>
      </c>
      <c r="P138" s="667"/>
      <c r="Q138" s="21">
        <f t="shared" si="30"/>
        <v>1</v>
      </c>
      <c r="R138" s="663">
        <f t="shared" si="31"/>
        <v>0</v>
      </c>
      <c r="S138" s="316">
        <f t="shared" si="32"/>
        <v>0</v>
      </c>
    </row>
    <row r="139" spans="1:19">
      <c r="A139" s="150"/>
      <c r="B139" s="54"/>
      <c r="C139" s="21">
        <f t="shared" si="23"/>
        <v>1</v>
      </c>
      <c r="D139" s="667"/>
      <c r="E139" s="21">
        <f t="shared" si="24"/>
        <v>1</v>
      </c>
      <c r="F139" s="667"/>
      <c r="G139" s="21">
        <f t="shared" si="25"/>
        <v>1</v>
      </c>
      <c r="H139" s="667"/>
      <c r="I139" s="21">
        <f t="shared" si="26"/>
        <v>1</v>
      </c>
      <c r="J139" s="667"/>
      <c r="K139" s="21">
        <f t="shared" si="27"/>
        <v>1</v>
      </c>
      <c r="L139" s="667"/>
      <c r="M139" s="21">
        <f t="shared" si="28"/>
        <v>1</v>
      </c>
      <c r="N139" s="667"/>
      <c r="O139" s="21">
        <f t="shared" si="29"/>
        <v>1</v>
      </c>
      <c r="P139" s="667"/>
      <c r="Q139" s="21">
        <f t="shared" si="30"/>
        <v>1</v>
      </c>
      <c r="R139" s="663">
        <f t="shared" si="31"/>
        <v>0</v>
      </c>
      <c r="S139" s="316">
        <f t="shared" si="32"/>
        <v>0</v>
      </c>
    </row>
    <row r="140" spans="1:19">
      <c r="A140" s="150"/>
      <c r="B140" s="54"/>
      <c r="C140" s="21">
        <f t="shared" si="23"/>
        <v>1</v>
      </c>
      <c r="D140" s="667"/>
      <c r="E140" s="21">
        <f t="shared" si="24"/>
        <v>1</v>
      </c>
      <c r="F140" s="667"/>
      <c r="G140" s="21">
        <f t="shared" si="25"/>
        <v>1</v>
      </c>
      <c r="H140" s="667"/>
      <c r="I140" s="21">
        <f t="shared" si="26"/>
        <v>1</v>
      </c>
      <c r="J140" s="667"/>
      <c r="K140" s="21">
        <f t="shared" si="27"/>
        <v>1</v>
      </c>
      <c r="L140" s="667"/>
      <c r="M140" s="21">
        <f t="shared" si="28"/>
        <v>1</v>
      </c>
      <c r="N140" s="667"/>
      <c r="O140" s="21">
        <f t="shared" si="29"/>
        <v>1</v>
      </c>
      <c r="P140" s="667"/>
      <c r="Q140" s="21">
        <f t="shared" si="30"/>
        <v>1</v>
      </c>
      <c r="R140" s="663">
        <f t="shared" si="31"/>
        <v>0</v>
      </c>
      <c r="S140" s="316">
        <f t="shared" si="32"/>
        <v>0</v>
      </c>
    </row>
    <row r="141" spans="1:19">
      <c r="A141" s="150"/>
      <c r="B141" s="54"/>
      <c r="C141" s="21">
        <f t="shared" si="23"/>
        <v>1</v>
      </c>
      <c r="D141" s="667"/>
      <c r="E141" s="21">
        <f t="shared" si="24"/>
        <v>1</v>
      </c>
      <c r="F141" s="667"/>
      <c r="G141" s="21">
        <f t="shared" si="25"/>
        <v>1</v>
      </c>
      <c r="H141" s="667"/>
      <c r="I141" s="21">
        <f t="shared" si="26"/>
        <v>1</v>
      </c>
      <c r="J141" s="667"/>
      <c r="K141" s="21">
        <f t="shared" si="27"/>
        <v>1</v>
      </c>
      <c r="L141" s="667"/>
      <c r="M141" s="21">
        <f t="shared" si="28"/>
        <v>1</v>
      </c>
      <c r="N141" s="667"/>
      <c r="O141" s="21">
        <f t="shared" si="29"/>
        <v>1</v>
      </c>
      <c r="P141" s="667"/>
      <c r="Q141" s="21">
        <f t="shared" si="30"/>
        <v>1</v>
      </c>
      <c r="R141" s="663">
        <f t="shared" si="31"/>
        <v>0</v>
      </c>
      <c r="S141" s="316">
        <f t="shared" si="32"/>
        <v>0</v>
      </c>
    </row>
    <row r="142" spans="1:19">
      <c r="A142" s="150"/>
      <c r="B142" s="54"/>
      <c r="C142" s="21">
        <f t="shared" si="23"/>
        <v>1</v>
      </c>
      <c r="D142" s="667"/>
      <c r="E142" s="21">
        <f t="shared" si="24"/>
        <v>1</v>
      </c>
      <c r="F142" s="667"/>
      <c r="G142" s="21">
        <f t="shared" si="25"/>
        <v>1</v>
      </c>
      <c r="H142" s="667"/>
      <c r="I142" s="21">
        <f t="shared" si="26"/>
        <v>1</v>
      </c>
      <c r="J142" s="667"/>
      <c r="K142" s="21">
        <f t="shared" si="27"/>
        <v>1</v>
      </c>
      <c r="L142" s="667"/>
      <c r="M142" s="21">
        <f t="shared" si="28"/>
        <v>1</v>
      </c>
      <c r="N142" s="667"/>
      <c r="O142" s="21">
        <f t="shared" si="29"/>
        <v>1</v>
      </c>
      <c r="P142" s="667"/>
      <c r="Q142" s="21">
        <f t="shared" si="30"/>
        <v>1</v>
      </c>
      <c r="R142" s="663">
        <f t="shared" si="31"/>
        <v>0</v>
      </c>
      <c r="S142" s="316">
        <f t="shared" si="32"/>
        <v>0</v>
      </c>
    </row>
    <row r="143" spans="1:19">
      <c r="A143" s="150"/>
      <c r="B143" s="54"/>
      <c r="C143" s="21">
        <f t="shared" si="23"/>
        <v>1</v>
      </c>
      <c r="D143" s="667"/>
      <c r="E143" s="21">
        <f t="shared" si="24"/>
        <v>1</v>
      </c>
      <c r="F143" s="667"/>
      <c r="G143" s="21">
        <f t="shared" si="25"/>
        <v>1</v>
      </c>
      <c r="H143" s="667"/>
      <c r="I143" s="21">
        <f t="shared" si="26"/>
        <v>1</v>
      </c>
      <c r="J143" s="667"/>
      <c r="K143" s="21">
        <f t="shared" si="27"/>
        <v>1</v>
      </c>
      <c r="L143" s="667"/>
      <c r="M143" s="21">
        <f t="shared" si="28"/>
        <v>1</v>
      </c>
      <c r="N143" s="667"/>
      <c r="O143" s="21">
        <f t="shared" si="29"/>
        <v>1</v>
      </c>
      <c r="P143" s="667"/>
      <c r="Q143" s="21">
        <f t="shared" si="30"/>
        <v>1</v>
      </c>
      <c r="R143" s="663">
        <f t="shared" si="31"/>
        <v>0</v>
      </c>
      <c r="S143" s="316">
        <f t="shared" si="32"/>
        <v>0</v>
      </c>
    </row>
    <row r="144" spans="1:19">
      <c r="A144" s="150"/>
      <c r="B144" s="54"/>
      <c r="C144" s="21">
        <f t="shared" si="23"/>
        <v>1</v>
      </c>
      <c r="D144" s="667"/>
      <c r="E144" s="21">
        <f t="shared" si="24"/>
        <v>1</v>
      </c>
      <c r="F144" s="667"/>
      <c r="G144" s="21">
        <f t="shared" si="25"/>
        <v>1</v>
      </c>
      <c r="H144" s="667"/>
      <c r="I144" s="21">
        <f t="shared" si="26"/>
        <v>1</v>
      </c>
      <c r="J144" s="667"/>
      <c r="K144" s="21">
        <f t="shared" si="27"/>
        <v>1</v>
      </c>
      <c r="L144" s="667"/>
      <c r="M144" s="21">
        <f t="shared" si="28"/>
        <v>1</v>
      </c>
      <c r="N144" s="667"/>
      <c r="O144" s="21">
        <f t="shared" si="29"/>
        <v>1</v>
      </c>
      <c r="P144" s="667"/>
      <c r="Q144" s="21">
        <f t="shared" si="30"/>
        <v>1</v>
      </c>
      <c r="R144" s="663">
        <f t="shared" si="31"/>
        <v>0</v>
      </c>
      <c r="S144" s="316">
        <f t="shared" si="32"/>
        <v>0</v>
      </c>
    </row>
    <row r="145" spans="1:19">
      <c r="A145" s="150"/>
      <c r="B145" s="54"/>
      <c r="C145" s="21">
        <f t="shared" si="23"/>
        <v>1</v>
      </c>
      <c r="D145" s="667"/>
      <c r="E145" s="21">
        <f t="shared" si="24"/>
        <v>1</v>
      </c>
      <c r="F145" s="667"/>
      <c r="G145" s="21">
        <f t="shared" si="25"/>
        <v>1</v>
      </c>
      <c r="H145" s="667"/>
      <c r="I145" s="21">
        <f t="shared" si="26"/>
        <v>1</v>
      </c>
      <c r="J145" s="667"/>
      <c r="K145" s="21">
        <f t="shared" si="27"/>
        <v>1</v>
      </c>
      <c r="L145" s="667"/>
      <c r="M145" s="21">
        <f t="shared" si="28"/>
        <v>1</v>
      </c>
      <c r="N145" s="667"/>
      <c r="O145" s="21">
        <f t="shared" si="29"/>
        <v>1</v>
      </c>
      <c r="P145" s="667"/>
      <c r="Q145" s="21">
        <f t="shared" si="30"/>
        <v>1</v>
      </c>
      <c r="R145" s="663">
        <f t="shared" si="31"/>
        <v>0</v>
      </c>
      <c r="S145" s="316">
        <f t="shared" si="32"/>
        <v>0</v>
      </c>
    </row>
    <row r="146" spans="1:19">
      <c r="A146" s="150"/>
      <c r="B146" s="54"/>
      <c r="C146" s="21">
        <f t="shared" si="23"/>
        <v>1</v>
      </c>
      <c r="D146" s="667"/>
      <c r="E146" s="21">
        <f t="shared" si="24"/>
        <v>1</v>
      </c>
      <c r="F146" s="667"/>
      <c r="G146" s="21">
        <f t="shared" si="25"/>
        <v>1</v>
      </c>
      <c r="H146" s="667"/>
      <c r="I146" s="21">
        <f t="shared" si="26"/>
        <v>1</v>
      </c>
      <c r="J146" s="667"/>
      <c r="K146" s="21">
        <f t="shared" si="27"/>
        <v>1</v>
      </c>
      <c r="L146" s="667"/>
      <c r="M146" s="21">
        <f t="shared" si="28"/>
        <v>1</v>
      </c>
      <c r="N146" s="667"/>
      <c r="O146" s="21">
        <f t="shared" si="29"/>
        <v>1</v>
      </c>
      <c r="P146" s="667"/>
      <c r="Q146" s="21">
        <f t="shared" si="30"/>
        <v>1</v>
      </c>
      <c r="R146" s="663">
        <f t="shared" si="31"/>
        <v>0</v>
      </c>
      <c r="S146" s="316">
        <f t="shared" si="32"/>
        <v>0</v>
      </c>
    </row>
    <row r="147" spans="1:19">
      <c r="A147" s="150"/>
      <c r="B147" s="54"/>
      <c r="C147" s="21">
        <f t="shared" si="23"/>
        <v>1</v>
      </c>
      <c r="D147" s="667"/>
      <c r="E147" s="21">
        <f t="shared" si="24"/>
        <v>1</v>
      </c>
      <c r="F147" s="667"/>
      <c r="G147" s="21">
        <f t="shared" si="25"/>
        <v>1</v>
      </c>
      <c r="H147" s="667"/>
      <c r="I147" s="21">
        <f t="shared" si="26"/>
        <v>1</v>
      </c>
      <c r="J147" s="667"/>
      <c r="K147" s="21">
        <f t="shared" si="27"/>
        <v>1</v>
      </c>
      <c r="L147" s="667"/>
      <c r="M147" s="21">
        <f t="shared" si="28"/>
        <v>1</v>
      </c>
      <c r="N147" s="667"/>
      <c r="O147" s="21">
        <f t="shared" si="29"/>
        <v>1</v>
      </c>
      <c r="P147" s="667"/>
      <c r="Q147" s="21">
        <f t="shared" si="30"/>
        <v>1</v>
      </c>
      <c r="R147" s="663">
        <f t="shared" si="31"/>
        <v>0</v>
      </c>
      <c r="S147" s="316">
        <f t="shared" si="32"/>
        <v>0</v>
      </c>
    </row>
    <row r="148" spans="1:19">
      <c r="A148" s="150"/>
      <c r="B148" s="54"/>
      <c r="C148" s="21">
        <f t="shared" si="23"/>
        <v>1</v>
      </c>
      <c r="D148" s="667"/>
      <c r="E148" s="21">
        <f t="shared" si="24"/>
        <v>1</v>
      </c>
      <c r="F148" s="667"/>
      <c r="G148" s="21">
        <f t="shared" si="25"/>
        <v>1</v>
      </c>
      <c r="H148" s="667"/>
      <c r="I148" s="21">
        <f t="shared" si="26"/>
        <v>1</v>
      </c>
      <c r="J148" s="667"/>
      <c r="K148" s="21">
        <f t="shared" si="27"/>
        <v>1</v>
      </c>
      <c r="L148" s="667"/>
      <c r="M148" s="21">
        <f t="shared" si="28"/>
        <v>1</v>
      </c>
      <c r="N148" s="667"/>
      <c r="O148" s="21">
        <f t="shared" si="29"/>
        <v>1</v>
      </c>
      <c r="P148" s="667"/>
      <c r="Q148" s="21">
        <f t="shared" si="30"/>
        <v>1</v>
      </c>
      <c r="R148" s="663">
        <f t="shared" si="31"/>
        <v>0</v>
      </c>
      <c r="S148" s="316">
        <f t="shared" si="32"/>
        <v>0</v>
      </c>
    </row>
    <row r="149" spans="1:19">
      <c r="A149" s="150"/>
      <c r="B149" s="54"/>
      <c r="C149" s="21">
        <f t="shared" si="23"/>
        <v>1</v>
      </c>
      <c r="D149" s="667"/>
      <c r="E149" s="21">
        <f t="shared" si="24"/>
        <v>1</v>
      </c>
      <c r="F149" s="667"/>
      <c r="G149" s="21">
        <f t="shared" si="25"/>
        <v>1</v>
      </c>
      <c r="H149" s="667"/>
      <c r="I149" s="21">
        <f t="shared" si="26"/>
        <v>1</v>
      </c>
      <c r="J149" s="667"/>
      <c r="K149" s="21">
        <f t="shared" si="27"/>
        <v>1</v>
      </c>
      <c r="L149" s="667"/>
      <c r="M149" s="21">
        <f t="shared" si="28"/>
        <v>1</v>
      </c>
      <c r="N149" s="667"/>
      <c r="O149" s="21">
        <f t="shared" si="29"/>
        <v>1</v>
      </c>
      <c r="P149" s="667"/>
      <c r="Q149" s="21">
        <f t="shared" si="30"/>
        <v>1</v>
      </c>
      <c r="R149" s="663">
        <f t="shared" si="31"/>
        <v>0</v>
      </c>
      <c r="S149" s="316">
        <f t="shared" si="32"/>
        <v>0</v>
      </c>
    </row>
    <row r="150" spans="1:19">
      <c r="A150" s="150"/>
      <c r="B150" s="54"/>
      <c r="C150" s="21">
        <f t="shared" si="23"/>
        <v>1</v>
      </c>
      <c r="D150" s="667"/>
      <c r="E150" s="21">
        <f t="shared" si="24"/>
        <v>1</v>
      </c>
      <c r="F150" s="667"/>
      <c r="G150" s="21">
        <f t="shared" si="25"/>
        <v>1</v>
      </c>
      <c r="H150" s="667"/>
      <c r="I150" s="21">
        <f t="shared" si="26"/>
        <v>1</v>
      </c>
      <c r="J150" s="667"/>
      <c r="K150" s="21">
        <f t="shared" si="27"/>
        <v>1</v>
      </c>
      <c r="L150" s="667"/>
      <c r="M150" s="21">
        <f t="shared" si="28"/>
        <v>1</v>
      </c>
      <c r="N150" s="667"/>
      <c r="O150" s="21">
        <f t="shared" si="29"/>
        <v>1</v>
      </c>
      <c r="P150" s="667"/>
      <c r="Q150" s="21">
        <f t="shared" si="30"/>
        <v>1</v>
      </c>
      <c r="R150" s="663">
        <f t="shared" si="31"/>
        <v>0</v>
      </c>
      <c r="S150" s="316">
        <f t="shared" si="32"/>
        <v>0</v>
      </c>
    </row>
    <row r="151" spans="1:19">
      <c r="A151" s="150"/>
      <c r="B151" s="54"/>
      <c r="C151" s="21">
        <f t="shared" si="23"/>
        <v>1</v>
      </c>
      <c r="D151" s="667"/>
      <c r="E151" s="21">
        <f t="shared" si="24"/>
        <v>1</v>
      </c>
      <c r="F151" s="667"/>
      <c r="G151" s="21">
        <f t="shared" si="25"/>
        <v>1</v>
      </c>
      <c r="H151" s="667"/>
      <c r="I151" s="21">
        <f t="shared" si="26"/>
        <v>1</v>
      </c>
      <c r="J151" s="667"/>
      <c r="K151" s="21">
        <f t="shared" si="27"/>
        <v>1</v>
      </c>
      <c r="L151" s="667"/>
      <c r="M151" s="21">
        <f t="shared" si="28"/>
        <v>1</v>
      </c>
      <c r="N151" s="667"/>
      <c r="O151" s="21">
        <f t="shared" si="29"/>
        <v>1</v>
      </c>
      <c r="P151" s="667"/>
      <c r="Q151" s="21">
        <f t="shared" si="30"/>
        <v>1</v>
      </c>
      <c r="R151" s="663">
        <f t="shared" si="31"/>
        <v>0</v>
      </c>
      <c r="S151" s="316">
        <f t="shared" si="32"/>
        <v>0</v>
      </c>
    </row>
    <row r="152" spans="1:19">
      <c r="A152" s="150"/>
      <c r="B152" s="54"/>
      <c r="C152" s="21">
        <f t="shared" si="23"/>
        <v>1</v>
      </c>
      <c r="D152" s="667"/>
      <c r="E152" s="21">
        <f t="shared" si="24"/>
        <v>1</v>
      </c>
      <c r="F152" s="667"/>
      <c r="G152" s="21">
        <f t="shared" si="25"/>
        <v>1</v>
      </c>
      <c r="H152" s="667"/>
      <c r="I152" s="21">
        <f t="shared" si="26"/>
        <v>1</v>
      </c>
      <c r="J152" s="667"/>
      <c r="K152" s="21">
        <f t="shared" si="27"/>
        <v>1</v>
      </c>
      <c r="L152" s="667"/>
      <c r="M152" s="21">
        <f t="shared" si="28"/>
        <v>1</v>
      </c>
      <c r="N152" s="667"/>
      <c r="O152" s="21">
        <f t="shared" si="29"/>
        <v>1</v>
      </c>
      <c r="P152" s="667"/>
      <c r="Q152" s="21">
        <f t="shared" si="30"/>
        <v>1</v>
      </c>
      <c r="R152" s="663">
        <f t="shared" si="31"/>
        <v>0</v>
      </c>
      <c r="S152" s="316">
        <f t="shared" si="32"/>
        <v>0</v>
      </c>
    </row>
    <row r="153" spans="1:19">
      <c r="A153" s="150"/>
      <c r="B153" s="54"/>
      <c r="C153" s="21">
        <f t="shared" si="23"/>
        <v>1</v>
      </c>
      <c r="D153" s="667"/>
      <c r="E153" s="21">
        <f t="shared" si="24"/>
        <v>1</v>
      </c>
      <c r="F153" s="667"/>
      <c r="G153" s="21">
        <f t="shared" si="25"/>
        <v>1</v>
      </c>
      <c r="H153" s="667"/>
      <c r="I153" s="21">
        <f t="shared" si="26"/>
        <v>1</v>
      </c>
      <c r="J153" s="667"/>
      <c r="K153" s="21">
        <f t="shared" si="27"/>
        <v>1</v>
      </c>
      <c r="L153" s="667"/>
      <c r="M153" s="21">
        <f t="shared" si="28"/>
        <v>1</v>
      </c>
      <c r="N153" s="667"/>
      <c r="O153" s="21">
        <f t="shared" si="29"/>
        <v>1</v>
      </c>
      <c r="P153" s="667"/>
      <c r="Q153" s="21">
        <f t="shared" si="30"/>
        <v>1</v>
      </c>
      <c r="R153" s="663">
        <f t="shared" si="31"/>
        <v>0</v>
      </c>
      <c r="S153" s="316">
        <f t="shared" si="32"/>
        <v>0</v>
      </c>
    </row>
    <row r="154" spans="1:19">
      <c r="A154" s="150"/>
      <c r="B154" s="54"/>
      <c r="C154" s="21">
        <f t="shared" ref="C154:C217" si="33">IF(B154="",1,(LOOKUP(B154,$3:$3,$4:$4)-LOOKUP($B$24,$3:$3,$4:$4)+100)/100)</f>
        <v>1</v>
      </c>
      <c r="D154" s="667"/>
      <c r="E154" s="21">
        <f t="shared" ref="E154:E217" si="34">(SUMIF($5:$5,D154,$6:$6)-SUMIF($5:$5,$D$24,$6:$6)+100)/100</f>
        <v>1</v>
      </c>
      <c r="F154" s="667"/>
      <c r="G154" s="21">
        <f t="shared" ref="G154:G217" si="35">(SUMIF($7:$7,F154,$8:$8)-SUMIF($7:$7,$F$24,$8:$8)+100)/100</f>
        <v>1</v>
      </c>
      <c r="H154" s="667"/>
      <c r="I154" s="21">
        <f t="shared" ref="I154:I217" si="36">(SUMIF($9:$9,H154,$10:$10)-SUMIF($9:$9,$H$24,$10:$10)+100)/100</f>
        <v>1</v>
      </c>
      <c r="J154" s="667"/>
      <c r="K154" s="21">
        <f t="shared" ref="K154:K217" si="37">(SUMIF($11:$11,J154,$12:$12)-SUMIF($11:$11,$J$24,$12:$12)+100)/100</f>
        <v>1</v>
      </c>
      <c r="L154" s="667"/>
      <c r="M154" s="21">
        <f t="shared" ref="M154:M217" si="38">(SUMIF($13:$13,L154,$14:$14)-SUMIF($13:$13,$L$24,$14:$14)+100)/100</f>
        <v>1</v>
      </c>
      <c r="N154" s="667"/>
      <c r="O154" s="21">
        <f t="shared" ref="O154:O217" si="39">(SUMIF($15:$15,N154,$16:$16)-SUMIF($15:$15,$N$24,$16:$16)+100)/100</f>
        <v>1</v>
      </c>
      <c r="P154" s="667"/>
      <c r="Q154" s="21">
        <f t="shared" ref="Q154:Q217" si="40">(SUMIF($17:$17,P154,$18:$18)-SUMIF($17:$17,$P$24,$18:$18)+100)/100</f>
        <v>1</v>
      </c>
      <c r="R154" s="663">
        <f t="shared" ref="R154:R217" si="41">IF(B154="",0,ROUND($R$24*C154*E154*G154*I154*K154*M154*O154*Q154,0))</f>
        <v>0</v>
      </c>
      <c r="S154" s="316">
        <f t="shared" si="32"/>
        <v>0</v>
      </c>
    </row>
    <row r="155" spans="1:19">
      <c r="A155" s="150"/>
      <c r="B155" s="54"/>
      <c r="C155" s="21">
        <f t="shared" si="33"/>
        <v>1</v>
      </c>
      <c r="D155" s="667"/>
      <c r="E155" s="21">
        <f t="shared" si="34"/>
        <v>1</v>
      </c>
      <c r="F155" s="667"/>
      <c r="G155" s="21">
        <f t="shared" si="35"/>
        <v>1</v>
      </c>
      <c r="H155" s="667"/>
      <c r="I155" s="21">
        <f t="shared" si="36"/>
        <v>1</v>
      </c>
      <c r="J155" s="667"/>
      <c r="K155" s="21">
        <f t="shared" si="37"/>
        <v>1</v>
      </c>
      <c r="L155" s="667"/>
      <c r="M155" s="21">
        <f t="shared" si="38"/>
        <v>1</v>
      </c>
      <c r="N155" s="667"/>
      <c r="O155" s="21">
        <f t="shared" si="39"/>
        <v>1</v>
      </c>
      <c r="P155" s="667"/>
      <c r="Q155" s="21">
        <f t="shared" si="40"/>
        <v>1</v>
      </c>
      <c r="R155" s="663">
        <f t="shared" si="41"/>
        <v>0</v>
      </c>
      <c r="S155" s="316">
        <f t="shared" si="32"/>
        <v>0</v>
      </c>
    </row>
    <row r="156" spans="1:19">
      <c r="A156" s="150"/>
      <c r="B156" s="54"/>
      <c r="C156" s="21">
        <f t="shared" si="33"/>
        <v>1</v>
      </c>
      <c r="D156" s="667"/>
      <c r="E156" s="21">
        <f t="shared" si="34"/>
        <v>1</v>
      </c>
      <c r="F156" s="667"/>
      <c r="G156" s="21">
        <f t="shared" si="35"/>
        <v>1</v>
      </c>
      <c r="H156" s="667"/>
      <c r="I156" s="21">
        <f t="shared" si="36"/>
        <v>1</v>
      </c>
      <c r="J156" s="667"/>
      <c r="K156" s="21">
        <f t="shared" si="37"/>
        <v>1</v>
      </c>
      <c r="L156" s="667"/>
      <c r="M156" s="21">
        <f t="shared" si="38"/>
        <v>1</v>
      </c>
      <c r="N156" s="667"/>
      <c r="O156" s="21">
        <f t="shared" si="39"/>
        <v>1</v>
      </c>
      <c r="P156" s="667"/>
      <c r="Q156" s="21">
        <f t="shared" si="40"/>
        <v>1</v>
      </c>
      <c r="R156" s="663">
        <f t="shared" si="41"/>
        <v>0</v>
      </c>
      <c r="S156" s="316">
        <f t="shared" si="32"/>
        <v>0</v>
      </c>
    </row>
    <row r="157" spans="1:19">
      <c r="A157" s="150"/>
      <c r="B157" s="54"/>
      <c r="C157" s="21">
        <f t="shared" si="33"/>
        <v>1</v>
      </c>
      <c r="D157" s="667"/>
      <c r="E157" s="21">
        <f t="shared" si="34"/>
        <v>1</v>
      </c>
      <c r="F157" s="667"/>
      <c r="G157" s="21">
        <f t="shared" si="35"/>
        <v>1</v>
      </c>
      <c r="H157" s="667"/>
      <c r="I157" s="21">
        <f t="shared" si="36"/>
        <v>1</v>
      </c>
      <c r="J157" s="667"/>
      <c r="K157" s="21">
        <f t="shared" si="37"/>
        <v>1</v>
      </c>
      <c r="L157" s="667"/>
      <c r="M157" s="21">
        <f t="shared" si="38"/>
        <v>1</v>
      </c>
      <c r="N157" s="667"/>
      <c r="O157" s="21">
        <f t="shared" si="39"/>
        <v>1</v>
      </c>
      <c r="P157" s="667"/>
      <c r="Q157" s="21">
        <f t="shared" si="40"/>
        <v>1</v>
      </c>
      <c r="R157" s="663">
        <f t="shared" si="41"/>
        <v>0</v>
      </c>
      <c r="S157" s="316">
        <f t="shared" si="32"/>
        <v>0</v>
      </c>
    </row>
    <row r="158" spans="1:19">
      <c r="A158" s="150"/>
      <c r="B158" s="54"/>
      <c r="C158" s="21">
        <f t="shared" si="33"/>
        <v>1</v>
      </c>
      <c r="D158" s="667"/>
      <c r="E158" s="21">
        <f t="shared" si="34"/>
        <v>1</v>
      </c>
      <c r="F158" s="667"/>
      <c r="G158" s="21">
        <f t="shared" si="35"/>
        <v>1</v>
      </c>
      <c r="H158" s="667"/>
      <c r="I158" s="21">
        <f t="shared" si="36"/>
        <v>1</v>
      </c>
      <c r="J158" s="667"/>
      <c r="K158" s="21">
        <f t="shared" si="37"/>
        <v>1</v>
      </c>
      <c r="L158" s="667"/>
      <c r="M158" s="21">
        <f t="shared" si="38"/>
        <v>1</v>
      </c>
      <c r="N158" s="667"/>
      <c r="O158" s="21">
        <f t="shared" si="39"/>
        <v>1</v>
      </c>
      <c r="P158" s="667"/>
      <c r="Q158" s="21">
        <f t="shared" si="40"/>
        <v>1</v>
      </c>
      <c r="R158" s="663">
        <f t="shared" si="41"/>
        <v>0</v>
      </c>
      <c r="S158" s="316">
        <f t="shared" si="32"/>
        <v>0</v>
      </c>
    </row>
    <row r="159" spans="1:19">
      <c r="A159" s="150"/>
      <c r="B159" s="54"/>
      <c r="C159" s="21">
        <f t="shared" si="33"/>
        <v>1</v>
      </c>
      <c r="D159" s="667"/>
      <c r="E159" s="21">
        <f t="shared" si="34"/>
        <v>1</v>
      </c>
      <c r="F159" s="667"/>
      <c r="G159" s="21">
        <f t="shared" si="35"/>
        <v>1</v>
      </c>
      <c r="H159" s="667"/>
      <c r="I159" s="21">
        <f t="shared" si="36"/>
        <v>1</v>
      </c>
      <c r="J159" s="667"/>
      <c r="K159" s="21">
        <f t="shared" si="37"/>
        <v>1</v>
      </c>
      <c r="L159" s="667"/>
      <c r="M159" s="21">
        <f t="shared" si="38"/>
        <v>1</v>
      </c>
      <c r="N159" s="667"/>
      <c r="O159" s="21">
        <f t="shared" si="39"/>
        <v>1</v>
      </c>
      <c r="P159" s="667"/>
      <c r="Q159" s="21">
        <f t="shared" si="40"/>
        <v>1</v>
      </c>
      <c r="R159" s="663">
        <f t="shared" si="41"/>
        <v>0</v>
      </c>
      <c r="S159" s="316">
        <f t="shared" si="32"/>
        <v>0</v>
      </c>
    </row>
    <row r="160" spans="1:19">
      <c r="A160" s="150"/>
      <c r="B160" s="54"/>
      <c r="C160" s="21">
        <f t="shared" si="33"/>
        <v>1</v>
      </c>
      <c r="D160" s="667"/>
      <c r="E160" s="21">
        <f t="shared" si="34"/>
        <v>1</v>
      </c>
      <c r="F160" s="667"/>
      <c r="G160" s="21">
        <f t="shared" si="35"/>
        <v>1</v>
      </c>
      <c r="H160" s="667"/>
      <c r="I160" s="21">
        <f t="shared" si="36"/>
        <v>1</v>
      </c>
      <c r="J160" s="667"/>
      <c r="K160" s="21">
        <f t="shared" si="37"/>
        <v>1</v>
      </c>
      <c r="L160" s="667"/>
      <c r="M160" s="21">
        <f t="shared" si="38"/>
        <v>1</v>
      </c>
      <c r="N160" s="667"/>
      <c r="O160" s="21">
        <f t="shared" si="39"/>
        <v>1</v>
      </c>
      <c r="P160" s="667"/>
      <c r="Q160" s="21">
        <f t="shared" si="40"/>
        <v>1</v>
      </c>
      <c r="R160" s="663">
        <f t="shared" si="41"/>
        <v>0</v>
      </c>
      <c r="S160" s="316">
        <f t="shared" si="32"/>
        <v>0</v>
      </c>
    </row>
    <row r="161" spans="1:19">
      <c r="A161" s="150"/>
      <c r="B161" s="54"/>
      <c r="C161" s="21">
        <f t="shared" si="33"/>
        <v>1</v>
      </c>
      <c r="D161" s="667"/>
      <c r="E161" s="21">
        <f t="shared" si="34"/>
        <v>1</v>
      </c>
      <c r="F161" s="667"/>
      <c r="G161" s="21">
        <f t="shared" si="35"/>
        <v>1</v>
      </c>
      <c r="H161" s="667"/>
      <c r="I161" s="21">
        <f t="shared" si="36"/>
        <v>1</v>
      </c>
      <c r="J161" s="667"/>
      <c r="K161" s="21">
        <f t="shared" si="37"/>
        <v>1</v>
      </c>
      <c r="L161" s="667"/>
      <c r="M161" s="21">
        <f t="shared" si="38"/>
        <v>1</v>
      </c>
      <c r="N161" s="667"/>
      <c r="O161" s="21">
        <f t="shared" si="39"/>
        <v>1</v>
      </c>
      <c r="P161" s="667"/>
      <c r="Q161" s="21">
        <f t="shared" si="40"/>
        <v>1</v>
      </c>
      <c r="R161" s="663">
        <f t="shared" si="41"/>
        <v>0</v>
      </c>
      <c r="S161" s="316">
        <f t="shared" si="32"/>
        <v>0</v>
      </c>
    </row>
    <row r="162" spans="1:19">
      <c r="A162" s="150"/>
      <c r="B162" s="54"/>
      <c r="C162" s="21">
        <f t="shared" si="33"/>
        <v>1</v>
      </c>
      <c r="D162" s="667"/>
      <c r="E162" s="21">
        <f t="shared" si="34"/>
        <v>1</v>
      </c>
      <c r="F162" s="667"/>
      <c r="G162" s="21">
        <f t="shared" si="35"/>
        <v>1</v>
      </c>
      <c r="H162" s="667"/>
      <c r="I162" s="21">
        <f t="shared" si="36"/>
        <v>1</v>
      </c>
      <c r="J162" s="667"/>
      <c r="K162" s="21">
        <f t="shared" si="37"/>
        <v>1</v>
      </c>
      <c r="L162" s="667"/>
      <c r="M162" s="21">
        <f t="shared" si="38"/>
        <v>1</v>
      </c>
      <c r="N162" s="667"/>
      <c r="O162" s="21">
        <f t="shared" si="39"/>
        <v>1</v>
      </c>
      <c r="P162" s="667"/>
      <c r="Q162" s="21">
        <f t="shared" si="40"/>
        <v>1</v>
      </c>
      <c r="R162" s="663">
        <f t="shared" si="41"/>
        <v>0</v>
      </c>
      <c r="S162" s="316">
        <f t="shared" si="32"/>
        <v>0</v>
      </c>
    </row>
    <row r="163" spans="1:19">
      <c r="A163" s="150"/>
      <c r="B163" s="54"/>
      <c r="C163" s="21">
        <f t="shared" si="33"/>
        <v>1</v>
      </c>
      <c r="D163" s="667"/>
      <c r="E163" s="21">
        <f t="shared" si="34"/>
        <v>1</v>
      </c>
      <c r="F163" s="667"/>
      <c r="G163" s="21">
        <f t="shared" si="35"/>
        <v>1</v>
      </c>
      <c r="H163" s="667"/>
      <c r="I163" s="21">
        <f t="shared" si="36"/>
        <v>1</v>
      </c>
      <c r="J163" s="667"/>
      <c r="K163" s="21">
        <f t="shared" si="37"/>
        <v>1</v>
      </c>
      <c r="L163" s="667"/>
      <c r="M163" s="21">
        <f t="shared" si="38"/>
        <v>1</v>
      </c>
      <c r="N163" s="667"/>
      <c r="O163" s="21">
        <f t="shared" si="39"/>
        <v>1</v>
      </c>
      <c r="P163" s="667"/>
      <c r="Q163" s="21">
        <f t="shared" si="40"/>
        <v>1</v>
      </c>
      <c r="R163" s="663">
        <f t="shared" si="41"/>
        <v>0</v>
      </c>
      <c r="S163" s="316">
        <f t="shared" si="32"/>
        <v>0</v>
      </c>
    </row>
    <row r="164" spans="1:19">
      <c r="A164" s="150"/>
      <c r="B164" s="54"/>
      <c r="C164" s="21">
        <f t="shared" si="33"/>
        <v>1</v>
      </c>
      <c r="D164" s="667"/>
      <c r="E164" s="21">
        <f t="shared" si="34"/>
        <v>1</v>
      </c>
      <c r="F164" s="667"/>
      <c r="G164" s="21">
        <f t="shared" si="35"/>
        <v>1</v>
      </c>
      <c r="H164" s="667"/>
      <c r="I164" s="21">
        <f t="shared" si="36"/>
        <v>1</v>
      </c>
      <c r="J164" s="667"/>
      <c r="K164" s="21">
        <f t="shared" si="37"/>
        <v>1</v>
      </c>
      <c r="L164" s="667"/>
      <c r="M164" s="21">
        <f t="shared" si="38"/>
        <v>1</v>
      </c>
      <c r="N164" s="667"/>
      <c r="O164" s="21">
        <f t="shared" si="39"/>
        <v>1</v>
      </c>
      <c r="P164" s="667"/>
      <c r="Q164" s="21">
        <f t="shared" si="40"/>
        <v>1</v>
      </c>
      <c r="R164" s="663">
        <f t="shared" si="41"/>
        <v>0</v>
      </c>
      <c r="S164" s="316">
        <f t="shared" si="32"/>
        <v>0</v>
      </c>
    </row>
    <row r="165" spans="1:19">
      <c r="A165" s="150"/>
      <c r="B165" s="54"/>
      <c r="C165" s="21">
        <f t="shared" si="33"/>
        <v>1</v>
      </c>
      <c r="D165" s="667"/>
      <c r="E165" s="21">
        <f t="shared" si="34"/>
        <v>1</v>
      </c>
      <c r="F165" s="667"/>
      <c r="G165" s="21">
        <f t="shared" si="35"/>
        <v>1</v>
      </c>
      <c r="H165" s="667"/>
      <c r="I165" s="21">
        <f t="shared" si="36"/>
        <v>1</v>
      </c>
      <c r="J165" s="667"/>
      <c r="K165" s="21">
        <f t="shared" si="37"/>
        <v>1</v>
      </c>
      <c r="L165" s="667"/>
      <c r="M165" s="21">
        <f t="shared" si="38"/>
        <v>1</v>
      </c>
      <c r="N165" s="667"/>
      <c r="O165" s="21">
        <f t="shared" si="39"/>
        <v>1</v>
      </c>
      <c r="P165" s="667"/>
      <c r="Q165" s="21">
        <f t="shared" si="40"/>
        <v>1</v>
      </c>
      <c r="R165" s="663">
        <f t="shared" si="41"/>
        <v>0</v>
      </c>
      <c r="S165" s="316">
        <f t="shared" si="32"/>
        <v>0</v>
      </c>
    </row>
    <row r="166" spans="1:19">
      <c r="A166" s="150"/>
      <c r="B166" s="54"/>
      <c r="C166" s="21">
        <f t="shared" si="33"/>
        <v>1</v>
      </c>
      <c r="D166" s="667"/>
      <c r="E166" s="21">
        <f t="shared" si="34"/>
        <v>1</v>
      </c>
      <c r="F166" s="667"/>
      <c r="G166" s="21">
        <f t="shared" si="35"/>
        <v>1</v>
      </c>
      <c r="H166" s="667"/>
      <c r="I166" s="21">
        <f t="shared" si="36"/>
        <v>1</v>
      </c>
      <c r="J166" s="667"/>
      <c r="K166" s="21">
        <f t="shared" si="37"/>
        <v>1</v>
      </c>
      <c r="L166" s="667"/>
      <c r="M166" s="21">
        <f t="shared" si="38"/>
        <v>1</v>
      </c>
      <c r="N166" s="667"/>
      <c r="O166" s="21">
        <f t="shared" si="39"/>
        <v>1</v>
      </c>
      <c r="P166" s="667"/>
      <c r="Q166" s="21">
        <f t="shared" si="40"/>
        <v>1</v>
      </c>
      <c r="R166" s="663">
        <f t="shared" si="41"/>
        <v>0</v>
      </c>
      <c r="S166" s="316">
        <f t="shared" si="32"/>
        <v>0</v>
      </c>
    </row>
    <row r="167" spans="1:19">
      <c r="A167" s="150"/>
      <c r="B167" s="54"/>
      <c r="C167" s="21">
        <f t="shared" si="33"/>
        <v>1</v>
      </c>
      <c r="D167" s="667"/>
      <c r="E167" s="21">
        <f t="shared" si="34"/>
        <v>1</v>
      </c>
      <c r="F167" s="667"/>
      <c r="G167" s="21">
        <f t="shared" si="35"/>
        <v>1</v>
      </c>
      <c r="H167" s="667"/>
      <c r="I167" s="21">
        <f t="shared" si="36"/>
        <v>1</v>
      </c>
      <c r="J167" s="667"/>
      <c r="K167" s="21">
        <f t="shared" si="37"/>
        <v>1</v>
      </c>
      <c r="L167" s="667"/>
      <c r="M167" s="21">
        <f t="shared" si="38"/>
        <v>1</v>
      </c>
      <c r="N167" s="667"/>
      <c r="O167" s="21">
        <f t="shared" si="39"/>
        <v>1</v>
      </c>
      <c r="P167" s="667"/>
      <c r="Q167" s="21">
        <f t="shared" si="40"/>
        <v>1</v>
      </c>
      <c r="R167" s="663">
        <f t="shared" si="41"/>
        <v>0</v>
      </c>
      <c r="S167" s="316">
        <f t="shared" si="32"/>
        <v>0</v>
      </c>
    </row>
    <row r="168" spans="1:19">
      <c r="A168" s="150"/>
      <c r="B168" s="54"/>
      <c r="C168" s="21">
        <f t="shared" si="33"/>
        <v>1</v>
      </c>
      <c r="D168" s="667"/>
      <c r="E168" s="21">
        <f t="shared" si="34"/>
        <v>1</v>
      </c>
      <c r="F168" s="667"/>
      <c r="G168" s="21">
        <f t="shared" si="35"/>
        <v>1</v>
      </c>
      <c r="H168" s="667"/>
      <c r="I168" s="21">
        <f t="shared" si="36"/>
        <v>1</v>
      </c>
      <c r="J168" s="667"/>
      <c r="K168" s="21">
        <f t="shared" si="37"/>
        <v>1</v>
      </c>
      <c r="L168" s="667"/>
      <c r="M168" s="21">
        <f t="shared" si="38"/>
        <v>1</v>
      </c>
      <c r="N168" s="667"/>
      <c r="O168" s="21">
        <f t="shared" si="39"/>
        <v>1</v>
      </c>
      <c r="P168" s="667"/>
      <c r="Q168" s="21">
        <f t="shared" si="40"/>
        <v>1</v>
      </c>
      <c r="R168" s="663">
        <f t="shared" si="41"/>
        <v>0</v>
      </c>
      <c r="S168" s="316">
        <f t="shared" si="32"/>
        <v>0</v>
      </c>
    </row>
    <row r="169" spans="1:19">
      <c r="A169" s="150"/>
      <c r="B169" s="54"/>
      <c r="C169" s="21">
        <f t="shared" si="33"/>
        <v>1</v>
      </c>
      <c r="D169" s="667"/>
      <c r="E169" s="21">
        <f t="shared" si="34"/>
        <v>1</v>
      </c>
      <c r="F169" s="667"/>
      <c r="G169" s="21">
        <f t="shared" si="35"/>
        <v>1</v>
      </c>
      <c r="H169" s="667"/>
      <c r="I169" s="21">
        <f t="shared" si="36"/>
        <v>1</v>
      </c>
      <c r="J169" s="667"/>
      <c r="K169" s="21">
        <f t="shared" si="37"/>
        <v>1</v>
      </c>
      <c r="L169" s="667"/>
      <c r="M169" s="21">
        <f t="shared" si="38"/>
        <v>1</v>
      </c>
      <c r="N169" s="667"/>
      <c r="O169" s="21">
        <f t="shared" si="39"/>
        <v>1</v>
      </c>
      <c r="P169" s="667"/>
      <c r="Q169" s="21">
        <f t="shared" si="40"/>
        <v>1</v>
      </c>
      <c r="R169" s="663">
        <f t="shared" si="41"/>
        <v>0</v>
      </c>
      <c r="S169" s="316">
        <f t="shared" si="32"/>
        <v>0</v>
      </c>
    </row>
    <row r="170" spans="1:19">
      <c r="A170" s="150"/>
      <c r="B170" s="54"/>
      <c r="C170" s="21">
        <f t="shared" si="33"/>
        <v>1</v>
      </c>
      <c r="D170" s="667"/>
      <c r="E170" s="21">
        <f t="shared" si="34"/>
        <v>1</v>
      </c>
      <c r="F170" s="667"/>
      <c r="G170" s="21">
        <f t="shared" si="35"/>
        <v>1</v>
      </c>
      <c r="H170" s="667"/>
      <c r="I170" s="21">
        <f t="shared" si="36"/>
        <v>1</v>
      </c>
      <c r="J170" s="667"/>
      <c r="K170" s="21">
        <f t="shared" si="37"/>
        <v>1</v>
      </c>
      <c r="L170" s="667"/>
      <c r="M170" s="21">
        <f t="shared" si="38"/>
        <v>1</v>
      </c>
      <c r="N170" s="667"/>
      <c r="O170" s="21">
        <f t="shared" si="39"/>
        <v>1</v>
      </c>
      <c r="P170" s="667"/>
      <c r="Q170" s="21">
        <f t="shared" si="40"/>
        <v>1</v>
      </c>
      <c r="R170" s="663">
        <f t="shared" si="41"/>
        <v>0</v>
      </c>
      <c r="S170" s="316">
        <f t="shared" si="32"/>
        <v>0</v>
      </c>
    </row>
    <row r="171" spans="1:19">
      <c r="A171" s="150"/>
      <c r="B171" s="54"/>
      <c r="C171" s="21">
        <f t="shared" si="33"/>
        <v>1</v>
      </c>
      <c r="D171" s="667"/>
      <c r="E171" s="21">
        <f t="shared" si="34"/>
        <v>1</v>
      </c>
      <c r="F171" s="667"/>
      <c r="G171" s="21">
        <f t="shared" si="35"/>
        <v>1</v>
      </c>
      <c r="H171" s="667"/>
      <c r="I171" s="21">
        <f t="shared" si="36"/>
        <v>1</v>
      </c>
      <c r="J171" s="667"/>
      <c r="K171" s="21">
        <f t="shared" si="37"/>
        <v>1</v>
      </c>
      <c r="L171" s="667"/>
      <c r="M171" s="21">
        <f t="shared" si="38"/>
        <v>1</v>
      </c>
      <c r="N171" s="667"/>
      <c r="O171" s="21">
        <f t="shared" si="39"/>
        <v>1</v>
      </c>
      <c r="P171" s="667"/>
      <c r="Q171" s="21">
        <f t="shared" si="40"/>
        <v>1</v>
      </c>
      <c r="R171" s="663">
        <f t="shared" si="41"/>
        <v>0</v>
      </c>
      <c r="S171" s="316">
        <f t="shared" si="32"/>
        <v>0</v>
      </c>
    </row>
    <row r="172" spans="1:19">
      <c r="A172" s="150"/>
      <c r="B172" s="54"/>
      <c r="C172" s="21">
        <f t="shared" si="33"/>
        <v>1</v>
      </c>
      <c r="D172" s="667"/>
      <c r="E172" s="21">
        <f t="shared" si="34"/>
        <v>1</v>
      </c>
      <c r="F172" s="667"/>
      <c r="G172" s="21">
        <f t="shared" si="35"/>
        <v>1</v>
      </c>
      <c r="H172" s="667"/>
      <c r="I172" s="21">
        <f t="shared" si="36"/>
        <v>1</v>
      </c>
      <c r="J172" s="667"/>
      <c r="K172" s="21">
        <f t="shared" si="37"/>
        <v>1</v>
      </c>
      <c r="L172" s="667"/>
      <c r="M172" s="21">
        <f t="shared" si="38"/>
        <v>1</v>
      </c>
      <c r="N172" s="667"/>
      <c r="O172" s="21">
        <f t="shared" si="39"/>
        <v>1</v>
      </c>
      <c r="P172" s="667"/>
      <c r="Q172" s="21">
        <f t="shared" si="40"/>
        <v>1</v>
      </c>
      <c r="R172" s="663">
        <f t="shared" si="41"/>
        <v>0</v>
      </c>
      <c r="S172" s="316">
        <f t="shared" si="32"/>
        <v>0</v>
      </c>
    </row>
    <row r="173" spans="1:19">
      <c r="A173" s="150"/>
      <c r="B173" s="54"/>
      <c r="C173" s="21">
        <f t="shared" si="33"/>
        <v>1</v>
      </c>
      <c r="D173" s="667"/>
      <c r="E173" s="21">
        <f t="shared" si="34"/>
        <v>1</v>
      </c>
      <c r="F173" s="667"/>
      <c r="G173" s="21">
        <f t="shared" si="35"/>
        <v>1</v>
      </c>
      <c r="H173" s="667"/>
      <c r="I173" s="21">
        <f t="shared" si="36"/>
        <v>1</v>
      </c>
      <c r="J173" s="667"/>
      <c r="K173" s="21">
        <f t="shared" si="37"/>
        <v>1</v>
      </c>
      <c r="L173" s="667"/>
      <c r="M173" s="21">
        <f t="shared" si="38"/>
        <v>1</v>
      </c>
      <c r="N173" s="667"/>
      <c r="O173" s="21">
        <f t="shared" si="39"/>
        <v>1</v>
      </c>
      <c r="P173" s="667"/>
      <c r="Q173" s="21">
        <f t="shared" si="40"/>
        <v>1</v>
      </c>
      <c r="R173" s="663">
        <f t="shared" si="41"/>
        <v>0</v>
      </c>
      <c r="S173" s="316">
        <f t="shared" si="32"/>
        <v>0</v>
      </c>
    </row>
    <row r="174" spans="1:19">
      <c r="A174" s="150"/>
      <c r="B174" s="54"/>
      <c r="C174" s="21">
        <f t="shared" si="33"/>
        <v>1</v>
      </c>
      <c r="D174" s="667"/>
      <c r="E174" s="21">
        <f t="shared" si="34"/>
        <v>1</v>
      </c>
      <c r="F174" s="667"/>
      <c r="G174" s="21">
        <f t="shared" si="35"/>
        <v>1</v>
      </c>
      <c r="H174" s="667"/>
      <c r="I174" s="21">
        <f t="shared" si="36"/>
        <v>1</v>
      </c>
      <c r="J174" s="667"/>
      <c r="K174" s="21">
        <f t="shared" si="37"/>
        <v>1</v>
      </c>
      <c r="L174" s="667"/>
      <c r="M174" s="21">
        <f t="shared" si="38"/>
        <v>1</v>
      </c>
      <c r="N174" s="667"/>
      <c r="O174" s="21">
        <f t="shared" si="39"/>
        <v>1</v>
      </c>
      <c r="P174" s="667"/>
      <c r="Q174" s="21">
        <f t="shared" si="40"/>
        <v>1</v>
      </c>
      <c r="R174" s="663">
        <f t="shared" si="41"/>
        <v>0</v>
      </c>
      <c r="S174" s="316">
        <f t="shared" si="32"/>
        <v>0</v>
      </c>
    </row>
    <row r="175" spans="1:19">
      <c r="A175" s="150"/>
      <c r="B175" s="54"/>
      <c r="C175" s="21">
        <f t="shared" si="33"/>
        <v>1</v>
      </c>
      <c r="D175" s="667"/>
      <c r="E175" s="21">
        <f t="shared" si="34"/>
        <v>1</v>
      </c>
      <c r="F175" s="667"/>
      <c r="G175" s="21">
        <f t="shared" si="35"/>
        <v>1</v>
      </c>
      <c r="H175" s="667"/>
      <c r="I175" s="21">
        <f t="shared" si="36"/>
        <v>1</v>
      </c>
      <c r="J175" s="667"/>
      <c r="K175" s="21">
        <f t="shared" si="37"/>
        <v>1</v>
      </c>
      <c r="L175" s="667"/>
      <c r="M175" s="21">
        <f t="shared" si="38"/>
        <v>1</v>
      </c>
      <c r="N175" s="667"/>
      <c r="O175" s="21">
        <f t="shared" si="39"/>
        <v>1</v>
      </c>
      <c r="P175" s="667"/>
      <c r="Q175" s="21">
        <f t="shared" si="40"/>
        <v>1</v>
      </c>
      <c r="R175" s="663">
        <f t="shared" si="41"/>
        <v>0</v>
      </c>
      <c r="S175" s="316">
        <f t="shared" si="32"/>
        <v>0</v>
      </c>
    </row>
    <row r="176" spans="1:19">
      <c r="A176" s="150"/>
      <c r="B176" s="54"/>
      <c r="C176" s="21">
        <f t="shared" si="33"/>
        <v>1</v>
      </c>
      <c r="D176" s="667"/>
      <c r="E176" s="21">
        <f t="shared" si="34"/>
        <v>1</v>
      </c>
      <c r="F176" s="667"/>
      <c r="G176" s="21">
        <f t="shared" si="35"/>
        <v>1</v>
      </c>
      <c r="H176" s="667"/>
      <c r="I176" s="21">
        <f t="shared" si="36"/>
        <v>1</v>
      </c>
      <c r="J176" s="667"/>
      <c r="K176" s="21">
        <f t="shared" si="37"/>
        <v>1</v>
      </c>
      <c r="L176" s="667"/>
      <c r="M176" s="21">
        <f t="shared" si="38"/>
        <v>1</v>
      </c>
      <c r="N176" s="667"/>
      <c r="O176" s="21">
        <f t="shared" si="39"/>
        <v>1</v>
      </c>
      <c r="P176" s="667"/>
      <c r="Q176" s="21">
        <f t="shared" si="40"/>
        <v>1</v>
      </c>
      <c r="R176" s="663">
        <f t="shared" si="41"/>
        <v>0</v>
      </c>
      <c r="S176" s="316">
        <f t="shared" si="32"/>
        <v>0</v>
      </c>
    </row>
    <row r="177" spans="1:19">
      <c r="A177" s="150"/>
      <c r="B177" s="54"/>
      <c r="C177" s="21">
        <f t="shared" si="33"/>
        <v>1</v>
      </c>
      <c r="D177" s="667"/>
      <c r="E177" s="21">
        <f t="shared" si="34"/>
        <v>1</v>
      </c>
      <c r="F177" s="667"/>
      <c r="G177" s="21">
        <f t="shared" si="35"/>
        <v>1</v>
      </c>
      <c r="H177" s="667"/>
      <c r="I177" s="21">
        <f t="shared" si="36"/>
        <v>1</v>
      </c>
      <c r="J177" s="667"/>
      <c r="K177" s="21">
        <f t="shared" si="37"/>
        <v>1</v>
      </c>
      <c r="L177" s="667"/>
      <c r="M177" s="21">
        <f t="shared" si="38"/>
        <v>1</v>
      </c>
      <c r="N177" s="667"/>
      <c r="O177" s="21">
        <f t="shared" si="39"/>
        <v>1</v>
      </c>
      <c r="P177" s="667"/>
      <c r="Q177" s="21">
        <f t="shared" si="40"/>
        <v>1</v>
      </c>
      <c r="R177" s="663">
        <f t="shared" si="41"/>
        <v>0</v>
      </c>
      <c r="S177" s="316">
        <f t="shared" si="32"/>
        <v>0</v>
      </c>
    </row>
    <row r="178" spans="1:19">
      <c r="A178" s="150"/>
      <c r="B178" s="54"/>
      <c r="C178" s="21">
        <f t="shared" si="33"/>
        <v>1</v>
      </c>
      <c r="D178" s="667"/>
      <c r="E178" s="21">
        <f t="shared" si="34"/>
        <v>1</v>
      </c>
      <c r="F178" s="667"/>
      <c r="G178" s="21">
        <f t="shared" si="35"/>
        <v>1</v>
      </c>
      <c r="H178" s="667"/>
      <c r="I178" s="21">
        <f t="shared" si="36"/>
        <v>1</v>
      </c>
      <c r="J178" s="667"/>
      <c r="K178" s="21">
        <f t="shared" si="37"/>
        <v>1</v>
      </c>
      <c r="L178" s="667"/>
      <c r="M178" s="21">
        <f t="shared" si="38"/>
        <v>1</v>
      </c>
      <c r="N178" s="667"/>
      <c r="O178" s="21">
        <f t="shared" si="39"/>
        <v>1</v>
      </c>
      <c r="P178" s="667"/>
      <c r="Q178" s="21">
        <f t="shared" si="40"/>
        <v>1</v>
      </c>
      <c r="R178" s="663">
        <f t="shared" si="41"/>
        <v>0</v>
      </c>
      <c r="S178" s="316">
        <f t="shared" si="32"/>
        <v>0</v>
      </c>
    </row>
    <row r="179" spans="1:19">
      <c r="A179" s="150"/>
      <c r="B179" s="54"/>
      <c r="C179" s="21">
        <f t="shared" si="33"/>
        <v>1</v>
      </c>
      <c r="D179" s="667"/>
      <c r="E179" s="21">
        <f t="shared" si="34"/>
        <v>1</v>
      </c>
      <c r="F179" s="667"/>
      <c r="G179" s="21">
        <f t="shared" si="35"/>
        <v>1</v>
      </c>
      <c r="H179" s="667"/>
      <c r="I179" s="21">
        <f t="shared" si="36"/>
        <v>1</v>
      </c>
      <c r="J179" s="667"/>
      <c r="K179" s="21">
        <f t="shared" si="37"/>
        <v>1</v>
      </c>
      <c r="L179" s="667"/>
      <c r="M179" s="21">
        <f t="shared" si="38"/>
        <v>1</v>
      </c>
      <c r="N179" s="667"/>
      <c r="O179" s="21">
        <f t="shared" si="39"/>
        <v>1</v>
      </c>
      <c r="P179" s="667"/>
      <c r="Q179" s="21">
        <f t="shared" si="40"/>
        <v>1</v>
      </c>
      <c r="R179" s="663">
        <f t="shared" si="41"/>
        <v>0</v>
      </c>
      <c r="S179" s="316">
        <f t="shared" si="32"/>
        <v>0</v>
      </c>
    </row>
    <row r="180" spans="1:19">
      <c r="A180" s="150"/>
      <c r="B180" s="54"/>
      <c r="C180" s="21">
        <f t="shared" si="33"/>
        <v>1</v>
      </c>
      <c r="D180" s="667"/>
      <c r="E180" s="21">
        <f t="shared" si="34"/>
        <v>1</v>
      </c>
      <c r="F180" s="667"/>
      <c r="G180" s="21">
        <f t="shared" si="35"/>
        <v>1</v>
      </c>
      <c r="H180" s="667"/>
      <c r="I180" s="21">
        <f t="shared" si="36"/>
        <v>1</v>
      </c>
      <c r="J180" s="667"/>
      <c r="K180" s="21">
        <f t="shared" si="37"/>
        <v>1</v>
      </c>
      <c r="L180" s="667"/>
      <c r="M180" s="21">
        <f t="shared" si="38"/>
        <v>1</v>
      </c>
      <c r="N180" s="667"/>
      <c r="O180" s="21">
        <f t="shared" si="39"/>
        <v>1</v>
      </c>
      <c r="P180" s="667"/>
      <c r="Q180" s="21">
        <f t="shared" si="40"/>
        <v>1</v>
      </c>
      <c r="R180" s="663">
        <f t="shared" si="41"/>
        <v>0</v>
      </c>
      <c r="S180" s="316">
        <f t="shared" si="32"/>
        <v>0</v>
      </c>
    </row>
    <row r="181" spans="1:19">
      <c r="A181" s="150"/>
      <c r="B181" s="54"/>
      <c r="C181" s="21">
        <f t="shared" si="33"/>
        <v>1</v>
      </c>
      <c r="D181" s="667"/>
      <c r="E181" s="21">
        <f t="shared" si="34"/>
        <v>1</v>
      </c>
      <c r="F181" s="667"/>
      <c r="G181" s="21">
        <f t="shared" si="35"/>
        <v>1</v>
      </c>
      <c r="H181" s="667"/>
      <c r="I181" s="21">
        <f t="shared" si="36"/>
        <v>1</v>
      </c>
      <c r="J181" s="667"/>
      <c r="K181" s="21">
        <f t="shared" si="37"/>
        <v>1</v>
      </c>
      <c r="L181" s="667"/>
      <c r="M181" s="21">
        <f t="shared" si="38"/>
        <v>1</v>
      </c>
      <c r="N181" s="667"/>
      <c r="O181" s="21">
        <f t="shared" si="39"/>
        <v>1</v>
      </c>
      <c r="P181" s="667"/>
      <c r="Q181" s="21">
        <f t="shared" si="40"/>
        <v>1</v>
      </c>
      <c r="R181" s="663">
        <f t="shared" si="41"/>
        <v>0</v>
      </c>
      <c r="S181" s="316">
        <f t="shared" si="32"/>
        <v>0</v>
      </c>
    </row>
    <row r="182" spans="1:19">
      <c r="A182" s="150"/>
      <c r="B182" s="54"/>
      <c r="C182" s="21">
        <f t="shared" si="33"/>
        <v>1</v>
      </c>
      <c r="D182" s="667"/>
      <c r="E182" s="21">
        <f t="shared" si="34"/>
        <v>1</v>
      </c>
      <c r="F182" s="667"/>
      <c r="G182" s="21">
        <f t="shared" si="35"/>
        <v>1</v>
      </c>
      <c r="H182" s="667"/>
      <c r="I182" s="21">
        <f t="shared" si="36"/>
        <v>1</v>
      </c>
      <c r="J182" s="667"/>
      <c r="K182" s="21">
        <f t="shared" si="37"/>
        <v>1</v>
      </c>
      <c r="L182" s="667"/>
      <c r="M182" s="21">
        <f t="shared" si="38"/>
        <v>1</v>
      </c>
      <c r="N182" s="667"/>
      <c r="O182" s="21">
        <f t="shared" si="39"/>
        <v>1</v>
      </c>
      <c r="P182" s="667"/>
      <c r="Q182" s="21">
        <f t="shared" si="40"/>
        <v>1</v>
      </c>
      <c r="R182" s="663">
        <f t="shared" si="41"/>
        <v>0</v>
      </c>
      <c r="S182" s="316">
        <f t="shared" si="32"/>
        <v>0</v>
      </c>
    </row>
    <row r="183" spans="1:19">
      <c r="A183" s="150"/>
      <c r="B183" s="54"/>
      <c r="C183" s="21">
        <f t="shared" si="33"/>
        <v>1</v>
      </c>
      <c r="D183" s="667"/>
      <c r="E183" s="21">
        <f t="shared" si="34"/>
        <v>1</v>
      </c>
      <c r="F183" s="667"/>
      <c r="G183" s="21">
        <f t="shared" si="35"/>
        <v>1</v>
      </c>
      <c r="H183" s="667"/>
      <c r="I183" s="21">
        <f t="shared" si="36"/>
        <v>1</v>
      </c>
      <c r="J183" s="667"/>
      <c r="K183" s="21">
        <f t="shared" si="37"/>
        <v>1</v>
      </c>
      <c r="L183" s="667"/>
      <c r="M183" s="21">
        <f t="shared" si="38"/>
        <v>1</v>
      </c>
      <c r="N183" s="667"/>
      <c r="O183" s="21">
        <f t="shared" si="39"/>
        <v>1</v>
      </c>
      <c r="P183" s="667"/>
      <c r="Q183" s="21">
        <f t="shared" si="40"/>
        <v>1</v>
      </c>
      <c r="R183" s="663">
        <f t="shared" si="41"/>
        <v>0</v>
      </c>
      <c r="S183" s="316">
        <f t="shared" si="32"/>
        <v>0</v>
      </c>
    </row>
    <row r="184" spans="1:19">
      <c r="A184" s="150"/>
      <c r="B184" s="54"/>
      <c r="C184" s="21">
        <f t="shared" si="33"/>
        <v>1</v>
      </c>
      <c r="D184" s="667"/>
      <c r="E184" s="21">
        <f t="shared" si="34"/>
        <v>1</v>
      </c>
      <c r="F184" s="667"/>
      <c r="G184" s="21">
        <f t="shared" si="35"/>
        <v>1</v>
      </c>
      <c r="H184" s="667"/>
      <c r="I184" s="21">
        <f t="shared" si="36"/>
        <v>1</v>
      </c>
      <c r="J184" s="667"/>
      <c r="K184" s="21">
        <f t="shared" si="37"/>
        <v>1</v>
      </c>
      <c r="L184" s="667"/>
      <c r="M184" s="21">
        <f t="shared" si="38"/>
        <v>1</v>
      </c>
      <c r="N184" s="667"/>
      <c r="O184" s="21">
        <f t="shared" si="39"/>
        <v>1</v>
      </c>
      <c r="P184" s="667"/>
      <c r="Q184" s="21">
        <f t="shared" si="40"/>
        <v>1</v>
      </c>
      <c r="R184" s="663">
        <f t="shared" si="41"/>
        <v>0</v>
      </c>
      <c r="S184" s="316">
        <f t="shared" si="32"/>
        <v>0</v>
      </c>
    </row>
    <row r="185" spans="1:19">
      <c r="A185" s="150"/>
      <c r="B185" s="54"/>
      <c r="C185" s="21">
        <f t="shared" si="33"/>
        <v>1</v>
      </c>
      <c r="D185" s="667"/>
      <c r="E185" s="21">
        <f t="shared" si="34"/>
        <v>1</v>
      </c>
      <c r="F185" s="667"/>
      <c r="G185" s="21">
        <f t="shared" si="35"/>
        <v>1</v>
      </c>
      <c r="H185" s="667"/>
      <c r="I185" s="21">
        <f t="shared" si="36"/>
        <v>1</v>
      </c>
      <c r="J185" s="667"/>
      <c r="K185" s="21">
        <f t="shared" si="37"/>
        <v>1</v>
      </c>
      <c r="L185" s="667"/>
      <c r="M185" s="21">
        <f t="shared" si="38"/>
        <v>1</v>
      </c>
      <c r="N185" s="667"/>
      <c r="O185" s="21">
        <f t="shared" si="39"/>
        <v>1</v>
      </c>
      <c r="P185" s="667"/>
      <c r="Q185" s="21">
        <f t="shared" si="40"/>
        <v>1</v>
      </c>
      <c r="R185" s="663">
        <f t="shared" si="41"/>
        <v>0</v>
      </c>
      <c r="S185" s="316">
        <f t="shared" si="32"/>
        <v>0</v>
      </c>
    </row>
    <row r="186" spans="1:19">
      <c r="A186" s="150"/>
      <c r="B186" s="54"/>
      <c r="C186" s="21">
        <f t="shared" si="33"/>
        <v>1</v>
      </c>
      <c r="D186" s="667"/>
      <c r="E186" s="21">
        <f t="shared" si="34"/>
        <v>1</v>
      </c>
      <c r="F186" s="667"/>
      <c r="G186" s="21">
        <f t="shared" si="35"/>
        <v>1</v>
      </c>
      <c r="H186" s="667"/>
      <c r="I186" s="21">
        <f t="shared" si="36"/>
        <v>1</v>
      </c>
      <c r="J186" s="667"/>
      <c r="K186" s="21">
        <f t="shared" si="37"/>
        <v>1</v>
      </c>
      <c r="L186" s="667"/>
      <c r="M186" s="21">
        <f t="shared" si="38"/>
        <v>1</v>
      </c>
      <c r="N186" s="667"/>
      <c r="O186" s="21">
        <f t="shared" si="39"/>
        <v>1</v>
      </c>
      <c r="P186" s="667"/>
      <c r="Q186" s="21">
        <f t="shared" si="40"/>
        <v>1</v>
      </c>
      <c r="R186" s="663">
        <f t="shared" si="41"/>
        <v>0</v>
      </c>
      <c r="S186" s="316">
        <f t="shared" si="32"/>
        <v>0</v>
      </c>
    </row>
    <row r="187" spans="1:19">
      <c r="A187" s="150"/>
      <c r="B187" s="54"/>
      <c r="C187" s="21">
        <f t="shared" si="33"/>
        <v>1</v>
      </c>
      <c r="D187" s="667"/>
      <c r="E187" s="21">
        <f t="shared" si="34"/>
        <v>1</v>
      </c>
      <c r="F187" s="667"/>
      <c r="G187" s="21">
        <f t="shared" si="35"/>
        <v>1</v>
      </c>
      <c r="H187" s="667"/>
      <c r="I187" s="21">
        <f t="shared" si="36"/>
        <v>1</v>
      </c>
      <c r="J187" s="667"/>
      <c r="K187" s="21">
        <f t="shared" si="37"/>
        <v>1</v>
      </c>
      <c r="L187" s="667"/>
      <c r="M187" s="21">
        <f t="shared" si="38"/>
        <v>1</v>
      </c>
      <c r="N187" s="667"/>
      <c r="O187" s="21">
        <f t="shared" si="39"/>
        <v>1</v>
      </c>
      <c r="P187" s="667"/>
      <c r="Q187" s="21">
        <f t="shared" si="40"/>
        <v>1</v>
      </c>
      <c r="R187" s="663">
        <f t="shared" si="41"/>
        <v>0</v>
      </c>
      <c r="S187" s="316">
        <f t="shared" ref="S187:S222" si="42">ROUND(R187*B187/10000,0)</f>
        <v>0</v>
      </c>
    </row>
    <row r="188" spans="1:19">
      <c r="A188" s="150"/>
      <c r="B188" s="54"/>
      <c r="C188" s="21">
        <f t="shared" si="33"/>
        <v>1</v>
      </c>
      <c r="D188" s="667"/>
      <c r="E188" s="21">
        <f t="shared" si="34"/>
        <v>1</v>
      </c>
      <c r="F188" s="667"/>
      <c r="G188" s="21">
        <f t="shared" si="35"/>
        <v>1</v>
      </c>
      <c r="H188" s="667"/>
      <c r="I188" s="21">
        <f t="shared" si="36"/>
        <v>1</v>
      </c>
      <c r="J188" s="667"/>
      <c r="K188" s="21">
        <f t="shared" si="37"/>
        <v>1</v>
      </c>
      <c r="L188" s="667"/>
      <c r="M188" s="21">
        <f t="shared" si="38"/>
        <v>1</v>
      </c>
      <c r="N188" s="667"/>
      <c r="O188" s="21">
        <f t="shared" si="39"/>
        <v>1</v>
      </c>
      <c r="P188" s="667"/>
      <c r="Q188" s="21">
        <f t="shared" si="40"/>
        <v>1</v>
      </c>
      <c r="R188" s="663">
        <f t="shared" si="41"/>
        <v>0</v>
      </c>
      <c r="S188" s="316">
        <f t="shared" si="42"/>
        <v>0</v>
      </c>
    </row>
    <row r="189" spans="1:19">
      <c r="A189" s="150"/>
      <c r="B189" s="54"/>
      <c r="C189" s="21">
        <f t="shared" si="33"/>
        <v>1</v>
      </c>
      <c r="D189" s="667"/>
      <c r="E189" s="21">
        <f t="shared" si="34"/>
        <v>1</v>
      </c>
      <c r="F189" s="667"/>
      <c r="G189" s="21">
        <f t="shared" si="35"/>
        <v>1</v>
      </c>
      <c r="H189" s="667"/>
      <c r="I189" s="21">
        <f t="shared" si="36"/>
        <v>1</v>
      </c>
      <c r="J189" s="667"/>
      <c r="K189" s="21">
        <f t="shared" si="37"/>
        <v>1</v>
      </c>
      <c r="L189" s="667"/>
      <c r="M189" s="21">
        <f t="shared" si="38"/>
        <v>1</v>
      </c>
      <c r="N189" s="667"/>
      <c r="O189" s="21">
        <f t="shared" si="39"/>
        <v>1</v>
      </c>
      <c r="P189" s="667"/>
      <c r="Q189" s="21">
        <f t="shared" si="40"/>
        <v>1</v>
      </c>
      <c r="R189" s="663">
        <f t="shared" si="41"/>
        <v>0</v>
      </c>
      <c r="S189" s="316">
        <f t="shared" si="42"/>
        <v>0</v>
      </c>
    </row>
    <row r="190" spans="1:19">
      <c r="A190" s="150"/>
      <c r="B190" s="54"/>
      <c r="C190" s="21">
        <f t="shared" si="33"/>
        <v>1</v>
      </c>
      <c r="D190" s="667"/>
      <c r="E190" s="21">
        <f t="shared" si="34"/>
        <v>1</v>
      </c>
      <c r="F190" s="667"/>
      <c r="G190" s="21">
        <f t="shared" si="35"/>
        <v>1</v>
      </c>
      <c r="H190" s="667"/>
      <c r="I190" s="21">
        <f t="shared" si="36"/>
        <v>1</v>
      </c>
      <c r="J190" s="667"/>
      <c r="K190" s="21">
        <f t="shared" si="37"/>
        <v>1</v>
      </c>
      <c r="L190" s="667"/>
      <c r="M190" s="21">
        <f t="shared" si="38"/>
        <v>1</v>
      </c>
      <c r="N190" s="667"/>
      <c r="O190" s="21">
        <f t="shared" si="39"/>
        <v>1</v>
      </c>
      <c r="P190" s="667"/>
      <c r="Q190" s="21">
        <f t="shared" si="40"/>
        <v>1</v>
      </c>
      <c r="R190" s="663">
        <f t="shared" si="41"/>
        <v>0</v>
      </c>
      <c r="S190" s="316">
        <f t="shared" si="42"/>
        <v>0</v>
      </c>
    </row>
    <row r="191" spans="1:19">
      <c r="A191" s="150"/>
      <c r="B191" s="54"/>
      <c r="C191" s="21">
        <f t="shared" si="33"/>
        <v>1</v>
      </c>
      <c r="D191" s="667"/>
      <c r="E191" s="21">
        <f t="shared" si="34"/>
        <v>1</v>
      </c>
      <c r="F191" s="667"/>
      <c r="G191" s="21">
        <f t="shared" si="35"/>
        <v>1</v>
      </c>
      <c r="H191" s="667"/>
      <c r="I191" s="21">
        <f t="shared" si="36"/>
        <v>1</v>
      </c>
      <c r="J191" s="667"/>
      <c r="K191" s="21">
        <f t="shared" si="37"/>
        <v>1</v>
      </c>
      <c r="L191" s="667"/>
      <c r="M191" s="21">
        <f t="shared" si="38"/>
        <v>1</v>
      </c>
      <c r="N191" s="667"/>
      <c r="O191" s="21">
        <f t="shared" si="39"/>
        <v>1</v>
      </c>
      <c r="P191" s="667"/>
      <c r="Q191" s="21">
        <f t="shared" si="40"/>
        <v>1</v>
      </c>
      <c r="R191" s="663">
        <f t="shared" si="41"/>
        <v>0</v>
      </c>
      <c r="S191" s="316">
        <f t="shared" si="42"/>
        <v>0</v>
      </c>
    </row>
    <row r="192" spans="1:19">
      <c r="A192" s="150"/>
      <c r="B192" s="54"/>
      <c r="C192" s="21">
        <f t="shared" si="33"/>
        <v>1</v>
      </c>
      <c r="D192" s="667"/>
      <c r="E192" s="21">
        <f t="shared" si="34"/>
        <v>1</v>
      </c>
      <c r="F192" s="667"/>
      <c r="G192" s="21">
        <f t="shared" si="35"/>
        <v>1</v>
      </c>
      <c r="H192" s="667"/>
      <c r="I192" s="21">
        <f t="shared" si="36"/>
        <v>1</v>
      </c>
      <c r="J192" s="667"/>
      <c r="K192" s="21">
        <f t="shared" si="37"/>
        <v>1</v>
      </c>
      <c r="L192" s="667"/>
      <c r="M192" s="21">
        <f t="shared" si="38"/>
        <v>1</v>
      </c>
      <c r="N192" s="667"/>
      <c r="O192" s="21">
        <f t="shared" si="39"/>
        <v>1</v>
      </c>
      <c r="P192" s="667"/>
      <c r="Q192" s="21">
        <f t="shared" si="40"/>
        <v>1</v>
      </c>
      <c r="R192" s="663">
        <f t="shared" si="41"/>
        <v>0</v>
      </c>
      <c r="S192" s="316">
        <f t="shared" si="42"/>
        <v>0</v>
      </c>
    </row>
    <row r="193" spans="1:19">
      <c r="A193" s="150"/>
      <c r="B193" s="54"/>
      <c r="C193" s="21">
        <f t="shared" si="33"/>
        <v>1</v>
      </c>
      <c r="D193" s="667"/>
      <c r="E193" s="21">
        <f t="shared" si="34"/>
        <v>1</v>
      </c>
      <c r="F193" s="667"/>
      <c r="G193" s="21">
        <f t="shared" si="35"/>
        <v>1</v>
      </c>
      <c r="H193" s="667"/>
      <c r="I193" s="21">
        <f t="shared" si="36"/>
        <v>1</v>
      </c>
      <c r="J193" s="667"/>
      <c r="K193" s="21">
        <f t="shared" si="37"/>
        <v>1</v>
      </c>
      <c r="L193" s="667"/>
      <c r="M193" s="21">
        <f t="shared" si="38"/>
        <v>1</v>
      </c>
      <c r="N193" s="667"/>
      <c r="O193" s="21">
        <f t="shared" si="39"/>
        <v>1</v>
      </c>
      <c r="P193" s="667"/>
      <c r="Q193" s="21">
        <f t="shared" si="40"/>
        <v>1</v>
      </c>
      <c r="R193" s="663">
        <f t="shared" si="41"/>
        <v>0</v>
      </c>
      <c r="S193" s="316">
        <f t="shared" si="42"/>
        <v>0</v>
      </c>
    </row>
    <row r="194" spans="1:19">
      <c r="A194" s="150"/>
      <c r="B194" s="54"/>
      <c r="C194" s="21">
        <f t="shared" si="33"/>
        <v>1</v>
      </c>
      <c r="D194" s="667"/>
      <c r="E194" s="21">
        <f t="shared" si="34"/>
        <v>1</v>
      </c>
      <c r="F194" s="667"/>
      <c r="G194" s="21">
        <f t="shared" si="35"/>
        <v>1</v>
      </c>
      <c r="H194" s="667"/>
      <c r="I194" s="21">
        <f t="shared" si="36"/>
        <v>1</v>
      </c>
      <c r="J194" s="667"/>
      <c r="K194" s="21">
        <f t="shared" si="37"/>
        <v>1</v>
      </c>
      <c r="L194" s="667"/>
      <c r="M194" s="21">
        <f t="shared" si="38"/>
        <v>1</v>
      </c>
      <c r="N194" s="667"/>
      <c r="O194" s="21">
        <f t="shared" si="39"/>
        <v>1</v>
      </c>
      <c r="P194" s="667"/>
      <c r="Q194" s="21">
        <f t="shared" si="40"/>
        <v>1</v>
      </c>
      <c r="R194" s="663">
        <f t="shared" si="41"/>
        <v>0</v>
      </c>
      <c r="S194" s="316">
        <f t="shared" si="42"/>
        <v>0</v>
      </c>
    </row>
    <row r="195" spans="1:19">
      <c r="A195" s="150"/>
      <c r="B195" s="54"/>
      <c r="C195" s="21">
        <f t="shared" si="33"/>
        <v>1</v>
      </c>
      <c r="D195" s="667"/>
      <c r="E195" s="21">
        <f t="shared" si="34"/>
        <v>1</v>
      </c>
      <c r="F195" s="667"/>
      <c r="G195" s="21">
        <f t="shared" si="35"/>
        <v>1</v>
      </c>
      <c r="H195" s="667"/>
      <c r="I195" s="21">
        <f t="shared" si="36"/>
        <v>1</v>
      </c>
      <c r="J195" s="667"/>
      <c r="K195" s="21">
        <f t="shared" si="37"/>
        <v>1</v>
      </c>
      <c r="L195" s="667"/>
      <c r="M195" s="21">
        <f t="shared" si="38"/>
        <v>1</v>
      </c>
      <c r="N195" s="667"/>
      <c r="O195" s="21">
        <f t="shared" si="39"/>
        <v>1</v>
      </c>
      <c r="P195" s="667"/>
      <c r="Q195" s="21">
        <f t="shared" si="40"/>
        <v>1</v>
      </c>
      <c r="R195" s="663">
        <f t="shared" si="41"/>
        <v>0</v>
      </c>
      <c r="S195" s="316">
        <f t="shared" si="42"/>
        <v>0</v>
      </c>
    </row>
    <row r="196" spans="1:19">
      <c r="A196" s="150"/>
      <c r="B196" s="54"/>
      <c r="C196" s="21">
        <f t="shared" si="33"/>
        <v>1</v>
      </c>
      <c r="D196" s="667"/>
      <c r="E196" s="21">
        <f t="shared" si="34"/>
        <v>1</v>
      </c>
      <c r="F196" s="667"/>
      <c r="G196" s="21">
        <f t="shared" si="35"/>
        <v>1</v>
      </c>
      <c r="H196" s="667"/>
      <c r="I196" s="21">
        <f t="shared" si="36"/>
        <v>1</v>
      </c>
      <c r="J196" s="667"/>
      <c r="K196" s="21">
        <f t="shared" si="37"/>
        <v>1</v>
      </c>
      <c r="L196" s="667"/>
      <c r="M196" s="21">
        <f t="shared" si="38"/>
        <v>1</v>
      </c>
      <c r="N196" s="667"/>
      <c r="O196" s="21">
        <f t="shared" si="39"/>
        <v>1</v>
      </c>
      <c r="P196" s="667"/>
      <c r="Q196" s="21">
        <f t="shared" si="40"/>
        <v>1</v>
      </c>
      <c r="R196" s="663">
        <f t="shared" si="41"/>
        <v>0</v>
      </c>
      <c r="S196" s="316">
        <f t="shared" si="42"/>
        <v>0</v>
      </c>
    </row>
    <row r="197" spans="1:19">
      <c r="A197" s="150"/>
      <c r="B197" s="54"/>
      <c r="C197" s="21">
        <f t="shared" si="33"/>
        <v>1</v>
      </c>
      <c r="D197" s="667"/>
      <c r="E197" s="21">
        <f t="shared" si="34"/>
        <v>1</v>
      </c>
      <c r="F197" s="667"/>
      <c r="G197" s="21">
        <f t="shared" si="35"/>
        <v>1</v>
      </c>
      <c r="H197" s="667"/>
      <c r="I197" s="21">
        <f t="shared" si="36"/>
        <v>1</v>
      </c>
      <c r="J197" s="667"/>
      <c r="K197" s="21">
        <f t="shared" si="37"/>
        <v>1</v>
      </c>
      <c r="L197" s="667"/>
      <c r="M197" s="21">
        <f t="shared" si="38"/>
        <v>1</v>
      </c>
      <c r="N197" s="667"/>
      <c r="O197" s="21">
        <f t="shared" si="39"/>
        <v>1</v>
      </c>
      <c r="P197" s="667"/>
      <c r="Q197" s="21">
        <f t="shared" si="40"/>
        <v>1</v>
      </c>
      <c r="R197" s="663">
        <f t="shared" si="41"/>
        <v>0</v>
      </c>
      <c r="S197" s="316">
        <f t="shared" si="42"/>
        <v>0</v>
      </c>
    </row>
    <row r="198" spans="1:19">
      <c r="A198" s="150"/>
      <c r="B198" s="54"/>
      <c r="C198" s="21">
        <f t="shared" si="33"/>
        <v>1</v>
      </c>
      <c r="D198" s="667"/>
      <c r="E198" s="21">
        <f t="shared" si="34"/>
        <v>1</v>
      </c>
      <c r="F198" s="667"/>
      <c r="G198" s="21">
        <f t="shared" si="35"/>
        <v>1</v>
      </c>
      <c r="H198" s="667"/>
      <c r="I198" s="21">
        <f t="shared" si="36"/>
        <v>1</v>
      </c>
      <c r="J198" s="667"/>
      <c r="K198" s="21">
        <f t="shared" si="37"/>
        <v>1</v>
      </c>
      <c r="L198" s="667"/>
      <c r="M198" s="21">
        <f t="shared" si="38"/>
        <v>1</v>
      </c>
      <c r="N198" s="667"/>
      <c r="O198" s="21">
        <f t="shared" si="39"/>
        <v>1</v>
      </c>
      <c r="P198" s="667"/>
      <c r="Q198" s="21">
        <f t="shared" si="40"/>
        <v>1</v>
      </c>
      <c r="R198" s="663">
        <f t="shared" si="41"/>
        <v>0</v>
      </c>
      <c r="S198" s="316">
        <f t="shared" si="42"/>
        <v>0</v>
      </c>
    </row>
    <row r="199" spans="1:19">
      <c r="A199" s="150"/>
      <c r="B199" s="54"/>
      <c r="C199" s="21">
        <f t="shared" si="33"/>
        <v>1</v>
      </c>
      <c r="D199" s="667"/>
      <c r="E199" s="21">
        <f t="shared" si="34"/>
        <v>1</v>
      </c>
      <c r="F199" s="667"/>
      <c r="G199" s="21">
        <f t="shared" si="35"/>
        <v>1</v>
      </c>
      <c r="H199" s="667"/>
      <c r="I199" s="21">
        <f t="shared" si="36"/>
        <v>1</v>
      </c>
      <c r="J199" s="667"/>
      <c r="K199" s="21">
        <f t="shared" si="37"/>
        <v>1</v>
      </c>
      <c r="L199" s="667"/>
      <c r="M199" s="21">
        <f t="shared" si="38"/>
        <v>1</v>
      </c>
      <c r="N199" s="667"/>
      <c r="O199" s="21">
        <f t="shared" si="39"/>
        <v>1</v>
      </c>
      <c r="P199" s="667"/>
      <c r="Q199" s="21">
        <f t="shared" si="40"/>
        <v>1</v>
      </c>
      <c r="R199" s="663">
        <f t="shared" si="41"/>
        <v>0</v>
      </c>
      <c r="S199" s="316">
        <f t="shared" si="42"/>
        <v>0</v>
      </c>
    </row>
    <row r="200" spans="1:19">
      <c r="A200" s="150"/>
      <c r="B200" s="54"/>
      <c r="C200" s="21">
        <f t="shared" si="33"/>
        <v>1</v>
      </c>
      <c r="D200" s="667"/>
      <c r="E200" s="21">
        <f t="shared" si="34"/>
        <v>1</v>
      </c>
      <c r="F200" s="667"/>
      <c r="G200" s="21">
        <f t="shared" si="35"/>
        <v>1</v>
      </c>
      <c r="H200" s="667"/>
      <c r="I200" s="21">
        <f t="shared" si="36"/>
        <v>1</v>
      </c>
      <c r="J200" s="667"/>
      <c r="K200" s="21">
        <f t="shared" si="37"/>
        <v>1</v>
      </c>
      <c r="L200" s="667"/>
      <c r="M200" s="21">
        <f t="shared" si="38"/>
        <v>1</v>
      </c>
      <c r="N200" s="667"/>
      <c r="O200" s="21">
        <f t="shared" si="39"/>
        <v>1</v>
      </c>
      <c r="P200" s="667"/>
      <c r="Q200" s="21">
        <f t="shared" si="40"/>
        <v>1</v>
      </c>
      <c r="R200" s="663">
        <f t="shared" si="41"/>
        <v>0</v>
      </c>
      <c r="S200" s="316">
        <f t="shared" si="42"/>
        <v>0</v>
      </c>
    </row>
    <row r="201" spans="1:19">
      <c r="A201" s="150"/>
      <c r="B201" s="54"/>
      <c r="C201" s="21">
        <f t="shared" si="33"/>
        <v>1</v>
      </c>
      <c r="D201" s="667"/>
      <c r="E201" s="21">
        <f t="shared" si="34"/>
        <v>1</v>
      </c>
      <c r="F201" s="667"/>
      <c r="G201" s="21">
        <f t="shared" si="35"/>
        <v>1</v>
      </c>
      <c r="H201" s="667"/>
      <c r="I201" s="21">
        <f t="shared" si="36"/>
        <v>1</v>
      </c>
      <c r="J201" s="667"/>
      <c r="K201" s="21">
        <f t="shared" si="37"/>
        <v>1</v>
      </c>
      <c r="L201" s="667"/>
      <c r="M201" s="21">
        <f t="shared" si="38"/>
        <v>1</v>
      </c>
      <c r="N201" s="667"/>
      <c r="O201" s="21">
        <f t="shared" si="39"/>
        <v>1</v>
      </c>
      <c r="P201" s="667"/>
      <c r="Q201" s="21">
        <f t="shared" si="40"/>
        <v>1</v>
      </c>
      <c r="R201" s="663">
        <f t="shared" si="41"/>
        <v>0</v>
      </c>
      <c r="S201" s="316">
        <f t="shared" si="42"/>
        <v>0</v>
      </c>
    </row>
    <row r="202" spans="1:19">
      <c r="A202" s="150"/>
      <c r="B202" s="54"/>
      <c r="C202" s="21">
        <f t="shared" si="33"/>
        <v>1</v>
      </c>
      <c r="D202" s="667"/>
      <c r="E202" s="21">
        <f t="shared" si="34"/>
        <v>1</v>
      </c>
      <c r="F202" s="667"/>
      <c r="G202" s="21">
        <f t="shared" si="35"/>
        <v>1</v>
      </c>
      <c r="H202" s="667"/>
      <c r="I202" s="21">
        <f t="shared" si="36"/>
        <v>1</v>
      </c>
      <c r="J202" s="667"/>
      <c r="K202" s="21">
        <f t="shared" si="37"/>
        <v>1</v>
      </c>
      <c r="L202" s="667"/>
      <c r="M202" s="21">
        <f t="shared" si="38"/>
        <v>1</v>
      </c>
      <c r="N202" s="667"/>
      <c r="O202" s="21">
        <f t="shared" si="39"/>
        <v>1</v>
      </c>
      <c r="P202" s="667"/>
      <c r="Q202" s="21">
        <f t="shared" si="40"/>
        <v>1</v>
      </c>
      <c r="R202" s="663">
        <f t="shared" si="41"/>
        <v>0</v>
      </c>
      <c r="S202" s="316">
        <f t="shared" si="42"/>
        <v>0</v>
      </c>
    </row>
    <row r="203" spans="1:19">
      <c r="A203" s="150"/>
      <c r="B203" s="54"/>
      <c r="C203" s="21">
        <f t="shared" si="33"/>
        <v>1</v>
      </c>
      <c r="D203" s="667"/>
      <c r="E203" s="21">
        <f t="shared" si="34"/>
        <v>1</v>
      </c>
      <c r="F203" s="667"/>
      <c r="G203" s="21">
        <f t="shared" si="35"/>
        <v>1</v>
      </c>
      <c r="H203" s="667"/>
      <c r="I203" s="21">
        <f t="shared" si="36"/>
        <v>1</v>
      </c>
      <c r="J203" s="667"/>
      <c r="K203" s="21">
        <f t="shared" si="37"/>
        <v>1</v>
      </c>
      <c r="L203" s="667"/>
      <c r="M203" s="21">
        <f t="shared" si="38"/>
        <v>1</v>
      </c>
      <c r="N203" s="667"/>
      <c r="O203" s="21">
        <f t="shared" si="39"/>
        <v>1</v>
      </c>
      <c r="P203" s="667"/>
      <c r="Q203" s="21">
        <f t="shared" si="40"/>
        <v>1</v>
      </c>
      <c r="R203" s="663">
        <f t="shared" si="41"/>
        <v>0</v>
      </c>
      <c r="S203" s="316">
        <f t="shared" si="42"/>
        <v>0</v>
      </c>
    </row>
    <row r="204" spans="1:19">
      <c r="A204" s="150"/>
      <c r="B204" s="54"/>
      <c r="C204" s="21">
        <f t="shared" si="33"/>
        <v>1</v>
      </c>
      <c r="D204" s="667"/>
      <c r="E204" s="21">
        <f t="shared" si="34"/>
        <v>1</v>
      </c>
      <c r="F204" s="667"/>
      <c r="G204" s="21">
        <f t="shared" si="35"/>
        <v>1</v>
      </c>
      <c r="H204" s="667"/>
      <c r="I204" s="21">
        <f t="shared" si="36"/>
        <v>1</v>
      </c>
      <c r="J204" s="667"/>
      <c r="K204" s="21">
        <f t="shared" si="37"/>
        <v>1</v>
      </c>
      <c r="L204" s="667"/>
      <c r="M204" s="21">
        <f t="shared" si="38"/>
        <v>1</v>
      </c>
      <c r="N204" s="667"/>
      <c r="O204" s="21">
        <f t="shared" si="39"/>
        <v>1</v>
      </c>
      <c r="P204" s="667"/>
      <c r="Q204" s="21">
        <f t="shared" si="40"/>
        <v>1</v>
      </c>
      <c r="R204" s="663">
        <f t="shared" si="41"/>
        <v>0</v>
      </c>
      <c r="S204" s="316">
        <f t="shared" si="42"/>
        <v>0</v>
      </c>
    </row>
    <row r="205" spans="1:19">
      <c r="A205" s="150"/>
      <c r="B205" s="54"/>
      <c r="C205" s="21">
        <f t="shared" si="33"/>
        <v>1</v>
      </c>
      <c r="D205" s="667"/>
      <c r="E205" s="21">
        <f t="shared" si="34"/>
        <v>1</v>
      </c>
      <c r="F205" s="667"/>
      <c r="G205" s="21">
        <f t="shared" si="35"/>
        <v>1</v>
      </c>
      <c r="H205" s="667"/>
      <c r="I205" s="21">
        <f t="shared" si="36"/>
        <v>1</v>
      </c>
      <c r="J205" s="667"/>
      <c r="K205" s="21">
        <f t="shared" si="37"/>
        <v>1</v>
      </c>
      <c r="L205" s="667"/>
      <c r="M205" s="21">
        <f t="shared" si="38"/>
        <v>1</v>
      </c>
      <c r="N205" s="667"/>
      <c r="O205" s="21">
        <f t="shared" si="39"/>
        <v>1</v>
      </c>
      <c r="P205" s="667"/>
      <c r="Q205" s="21">
        <f t="shared" si="40"/>
        <v>1</v>
      </c>
      <c r="R205" s="663">
        <f t="shared" si="41"/>
        <v>0</v>
      </c>
      <c r="S205" s="316">
        <f t="shared" si="42"/>
        <v>0</v>
      </c>
    </row>
    <row r="206" spans="1:19">
      <c r="A206" s="150"/>
      <c r="B206" s="54"/>
      <c r="C206" s="21">
        <f t="shared" si="33"/>
        <v>1</v>
      </c>
      <c r="D206" s="667"/>
      <c r="E206" s="21">
        <f t="shared" si="34"/>
        <v>1</v>
      </c>
      <c r="F206" s="667"/>
      <c r="G206" s="21">
        <f t="shared" si="35"/>
        <v>1</v>
      </c>
      <c r="H206" s="667"/>
      <c r="I206" s="21">
        <f t="shared" si="36"/>
        <v>1</v>
      </c>
      <c r="J206" s="667"/>
      <c r="K206" s="21">
        <f t="shared" si="37"/>
        <v>1</v>
      </c>
      <c r="L206" s="667"/>
      <c r="M206" s="21">
        <f t="shared" si="38"/>
        <v>1</v>
      </c>
      <c r="N206" s="667"/>
      <c r="O206" s="21">
        <f t="shared" si="39"/>
        <v>1</v>
      </c>
      <c r="P206" s="667"/>
      <c r="Q206" s="21">
        <f t="shared" si="40"/>
        <v>1</v>
      </c>
      <c r="R206" s="663">
        <f t="shared" si="41"/>
        <v>0</v>
      </c>
      <c r="S206" s="316">
        <f t="shared" si="42"/>
        <v>0</v>
      </c>
    </row>
    <row r="207" spans="1:19">
      <c r="A207" s="150"/>
      <c r="B207" s="54"/>
      <c r="C207" s="21">
        <f t="shared" si="33"/>
        <v>1</v>
      </c>
      <c r="D207" s="667"/>
      <c r="E207" s="21">
        <f t="shared" si="34"/>
        <v>1</v>
      </c>
      <c r="F207" s="667"/>
      <c r="G207" s="21">
        <f t="shared" si="35"/>
        <v>1</v>
      </c>
      <c r="H207" s="667"/>
      <c r="I207" s="21">
        <f t="shared" si="36"/>
        <v>1</v>
      </c>
      <c r="J207" s="667"/>
      <c r="K207" s="21">
        <f t="shared" si="37"/>
        <v>1</v>
      </c>
      <c r="L207" s="667"/>
      <c r="M207" s="21">
        <f t="shared" si="38"/>
        <v>1</v>
      </c>
      <c r="N207" s="667"/>
      <c r="O207" s="21">
        <f t="shared" si="39"/>
        <v>1</v>
      </c>
      <c r="P207" s="667"/>
      <c r="Q207" s="21">
        <f t="shared" si="40"/>
        <v>1</v>
      </c>
      <c r="R207" s="663">
        <f t="shared" si="41"/>
        <v>0</v>
      </c>
      <c r="S207" s="316">
        <f t="shared" si="42"/>
        <v>0</v>
      </c>
    </row>
    <row r="208" spans="1:19">
      <c r="A208" s="150"/>
      <c r="B208" s="54"/>
      <c r="C208" s="21">
        <f t="shared" si="33"/>
        <v>1</v>
      </c>
      <c r="D208" s="667"/>
      <c r="E208" s="21">
        <f t="shared" si="34"/>
        <v>1</v>
      </c>
      <c r="F208" s="667"/>
      <c r="G208" s="21">
        <f t="shared" si="35"/>
        <v>1</v>
      </c>
      <c r="H208" s="667"/>
      <c r="I208" s="21">
        <f t="shared" si="36"/>
        <v>1</v>
      </c>
      <c r="J208" s="667"/>
      <c r="K208" s="21">
        <f t="shared" si="37"/>
        <v>1</v>
      </c>
      <c r="L208" s="667"/>
      <c r="M208" s="21">
        <f t="shared" si="38"/>
        <v>1</v>
      </c>
      <c r="N208" s="667"/>
      <c r="O208" s="21">
        <f t="shared" si="39"/>
        <v>1</v>
      </c>
      <c r="P208" s="667"/>
      <c r="Q208" s="21">
        <f t="shared" si="40"/>
        <v>1</v>
      </c>
      <c r="R208" s="663">
        <f t="shared" si="41"/>
        <v>0</v>
      </c>
      <c r="S208" s="316">
        <f t="shared" si="42"/>
        <v>0</v>
      </c>
    </row>
    <row r="209" spans="1:19">
      <c r="A209" s="150"/>
      <c r="B209" s="54"/>
      <c r="C209" s="21">
        <f t="shared" si="33"/>
        <v>1</v>
      </c>
      <c r="D209" s="667"/>
      <c r="E209" s="21">
        <f t="shared" si="34"/>
        <v>1</v>
      </c>
      <c r="F209" s="667"/>
      <c r="G209" s="21">
        <f t="shared" si="35"/>
        <v>1</v>
      </c>
      <c r="H209" s="667"/>
      <c r="I209" s="21">
        <f t="shared" si="36"/>
        <v>1</v>
      </c>
      <c r="J209" s="667"/>
      <c r="K209" s="21">
        <f t="shared" si="37"/>
        <v>1</v>
      </c>
      <c r="L209" s="667"/>
      <c r="M209" s="21">
        <f t="shared" si="38"/>
        <v>1</v>
      </c>
      <c r="N209" s="667"/>
      <c r="O209" s="21">
        <f t="shared" si="39"/>
        <v>1</v>
      </c>
      <c r="P209" s="667"/>
      <c r="Q209" s="21">
        <f t="shared" si="40"/>
        <v>1</v>
      </c>
      <c r="R209" s="663">
        <f t="shared" si="41"/>
        <v>0</v>
      </c>
      <c r="S209" s="316">
        <f t="shared" si="42"/>
        <v>0</v>
      </c>
    </row>
    <row r="210" spans="1:19">
      <c r="A210" s="150"/>
      <c r="B210" s="54"/>
      <c r="C210" s="21">
        <f t="shared" si="33"/>
        <v>1</v>
      </c>
      <c r="D210" s="667"/>
      <c r="E210" s="21">
        <f t="shared" si="34"/>
        <v>1</v>
      </c>
      <c r="F210" s="667"/>
      <c r="G210" s="21">
        <f t="shared" si="35"/>
        <v>1</v>
      </c>
      <c r="H210" s="667"/>
      <c r="I210" s="21">
        <f t="shared" si="36"/>
        <v>1</v>
      </c>
      <c r="J210" s="667"/>
      <c r="K210" s="21">
        <f t="shared" si="37"/>
        <v>1</v>
      </c>
      <c r="L210" s="667"/>
      <c r="M210" s="21">
        <f t="shared" si="38"/>
        <v>1</v>
      </c>
      <c r="N210" s="667"/>
      <c r="O210" s="21">
        <f t="shared" si="39"/>
        <v>1</v>
      </c>
      <c r="P210" s="667"/>
      <c r="Q210" s="21">
        <f t="shared" si="40"/>
        <v>1</v>
      </c>
      <c r="R210" s="663">
        <f t="shared" si="41"/>
        <v>0</v>
      </c>
      <c r="S210" s="316">
        <f t="shared" si="42"/>
        <v>0</v>
      </c>
    </row>
    <row r="211" spans="1:19">
      <c r="A211" s="150"/>
      <c r="B211" s="54"/>
      <c r="C211" s="21">
        <f t="shared" si="33"/>
        <v>1</v>
      </c>
      <c r="D211" s="667"/>
      <c r="E211" s="21">
        <f t="shared" si="34"/>
        <v>1</v>
      </c>
      <c r="F211" s="667"/>
      <c r="G211" s="21">
        <f t="shared" si="35"/>
        <v>1</v>
      </c>
      <c r="H211" s="667"/>
      <c r="I211" s="21">
        <f t="shared" si="36"/>
        <v>1</v>
      </c>
      <c r="J211" s="667"/>
      <c r="K211" s="21">
        <f t="shared" si="37"/>
        <v>1</v>
      </c>
      <c r="L211" s="667"/>
      <c r="M211" s="21">
        <f t="shared" si="38"/>
        <v>1</v>
      </c>
      <c r="N211" s="667"/>
      <c r="O211" s="21">
        <f t="shared" si="39"/>
        <v>1</v>
      </c>
      <c r="P211" s="667"/>
      <c r="Q211" s="21">
        <f t="shared" si="40"/>
        <v>1</v>
      </c>
      <c r="R211" s="663">
        <f t="shared" si="41"/>
        <v>0</v>
      </c>
      <c r="S211" s="316">
        <f t="shared" si="42"/>
        <v>0</v>
      </c>
    </row>
    <row r="212" spans="1:19">
      <c r="A212" s="150"/>
      <c r="B212" s="54"/>
      <c r="C212" s="21">
        <f t="shared" si="33"/>
        <v>1</v>
      </c>
      <c r="D212" s="667"/>
      <c r="E212" s="21">
        <f t="shared" si="34"/>
        <v>1</v>
      </c>
      <c r="F212" s="667"/>
      <c r="G212" s="21">
        <f t="shared" si="35"/>
        <v>1</v>
      </c>
      <c r="H212" s="667"/>
      <c r="I212" s="21">
        <f t="shared" si="36"/>
        <v>1</v>
      </c>
      <c r="J212" s="667"/>
      <c r="K212" s="21">
        <f t="shared" si="37"/>
        <v>1</v>
      </c>
      <c r="L212" s="667"/>
      <c r="M212" s="21">
        <f t="shared" si="38"/>
        <v>1</v>
      </c>
      <c r="N212" s="667"/>
      <c r="O212" s="21">
        <f t="shared" si="39"/>
        <v>1</v>
      </c>
      <c r="P212" s="667"/>
      <c r="Q212" s="21">
        <f t="shared" si="40"/>
        <v>1</v>
      </c>
      <c r="R212" s="663">
        <f t="shared" si="41"/>
        <v>0</v>
      </c>
      <c r="S212" s="316">
        <f t="shared" si="42"/>
        <v>0</v>
      </c>
    </row>
    <row r="213" spans="1:19">
      <c r="A213" s="150"/>
      <c r="B213" s="54"/>
      <c r="C213" s="21">
        <f t="shared" si="33"/>
        <v>1</v>
      </c>
      <c r="D213" s="667"/>
      <c r="E213" s="21">
        <f t="shared" si="34"/>
        <v>1</v>
      </c>
      <c r="F213" s="667"/>
      <c r="G213" s="21">
        <f t="shared" si="35"/>
        <v>1</v>
      </c>
      <c r="H213" s="667"/>
      <c r="I213" s="21">
        <f t="shared" si="36"/>
        <v>1</v>
      </c>
      <c r="J213" s="667"/>
      <c r="K213" s="21">
        <f t="shared" si="37"/>
        <v>1</v>
      </c>
      <c r="L213" s="667"/>
      <c r="M213" s="21">
        <f t="shared" si="38"/>
        <v>1</v>
      </c>
      <c r="N213" s="667"/>
      <c r="O213" s="21">
        <f t="shared" si="39"/>
        <v>1</v>
      </c>
      <c r="P213" s="667"/>
      <c r="Q213" s="21">
        <f t="shared" si="40"/>
        <v>1</v>
      </c>
      <c r="R213" s="663">
        <f t="shared" si="41"/>
        <v>0</v>
      </c>
      <c r="S213" s="316">
        <f t="shared" si="42"/>
        <v>0</v>
      </c>
    </row>
    <row r="214" spans="1:19">
      <c r="A214" s="150"/>
      <c r="B214" s="54"/>
      <c r="C214" s="21">
        <f t="shared" si="33"/>
        <v>1</v>
      </c>
      <c r="D214" s="667"/>
      <c r="E214" s="21">
        <f t="shared" si="34"/>
        <v>1</v>
      </c>
      <c r="F214" s="667"/>
      <c r="G214" s="21">
        <f t="shared" si="35"/>
        <v>1</v>
      </c>
      <c r="H214" s="667"/>
      <c r="I214" s="21">
        <f t="shared" si="36"/>
        <v>1</v>
      </c>
      <c r="J214" s="667"/>
      <c r="K214" s="21">
        <f t="shared" si="37"/>
        <v>1</v>
      </c>
      <c r="L214" s="667"/>
      <c r="M214" s="21">
        <f t="shared" si="38"/>
        <v>1</v>
      </c>
      <c r="N214" s="667"/>
      <c r="O214" s="21">
        <f t="shared" si="39"/>
        <v>1</v>
      </c>
      <c r="P214" s="667"/>
      <c r="Q214" s="21">
        <f t="shared" si="40"/>
        <v>1</v>
      </c>
      <c r="R214" s="663">
        <f t="shared" si="41"/>
        <v>0</v>
      </c>
      <c r="S214" s="316">
        <f t="shared" si="42"/>
        <v>0</v>
      </c>
    </row>
    <row r="215" spans="1:19">
      <c r="A215" s="150"/>
      <c r="B215" s="54"/>
      <c r="C215" s="21">
        <f t="shared" si="33"/>
        <v>1</v>
      </c>
      <c r="D215" s="667"/>
      <c r="E215" s="21">
        <f t="shared" si="34"/>
        <v>1</v>
      </c>
      <c r="F215" s="667"/>
      <c r="G215" s="21">
        <f t="shared" si="35"/>
        <v>1</v>
      </c>
      <c r="H215" s="667"/>
      <c r="I215" s="21">
        <f t="shared" si="36"/>
        <v>1</v>
      </c>
      <c r="J215" s="667"/>
      <c r="K215" s="21">
        <f t="shared" si="37"/>
        <v>1</v>
      </c>
      <c r="L215" s="667"/>
      <c r="M215" s="21">
        <f t="shared" si="38"/>
        <v>1</v>
      </c>
      <c r="N215" s="667"/>
      <c r="O215" s="21">
        <f t="shared" si="39"/>
        <v>1</v>
      </c>
      <c r="P215" s="667"/>
      <c r="Q215" s="21">
        <f t="shared" si="40"/>
        <v>1</v>
      </c>
      <c r="R215" s="663">
        <f t="shared" si="41"/>
        <v>0</v>
      </c>
      <c r="S215" s="316">
        <f t="shared" si="42"/>
        <v>0</v>
      </c>
    </row>
    <row r="216" spans="1:19">
      <c r="A216" s="150"/>
      <c r="B216" s="54"/>
      <c r="C216" s="21">
        <f t="shared" si="33"/>
        <v>1</v>
      </c>
      <c r="D216" s="667"/>
      <c r="E216" s="21">
        <f t="shared" si="34"/>
        <v>1</v>
      </c>
      <c r="F216" s="667"/>
      <c r="G216" s="21">
        <f t="shared" si="35"/>
        <v>1</v>
      </c>
      <c r="H216" s="667"/>
      <c r="I216" s="21">
        <f t="shared" si="36"/>
        <v>1</v>
      </c>
      <c r="J216" s="667"/>
      <c r="K216" s="21">
        <f t="shared" si="37"/>
        <v>1</v>
      </c>
      <c r="L216" s="667"/>
      <c r="M216" s="21">
        <f t="shared" si="38"/>
        <v>1</v>
      </c>
      <c r="N216" s="667"/>
      <c r="O216" s="21">
        <f t="shared" si="39"/>
        <v>1</v>
      </c>
      <c r="P216" s="667"/>
      <c r="Q216" s="21">
        <f t="shared" si="40"/>
        <v>1</v>
      </c>
      <c r="R216" s="663">
        <f t="shared" si="41"/>
        <v>0</v>
      </c>
      <c r="S216" s="316">
        <f t="shared" si="42"/>
        <v>0</v>
      </c>
    </row>
    <row r="217" spans="1:19">
      <c r="A217" s="150"/>
      <c r="B217" s="54"/>
      <c r="C217" s="21">
        <f t="shared" si="33"/>
        <v>1</v>
      </c>
      <c r="D217" s="667"/>
      <c r="E217" s="21">
        <f t="shared" si="34"/>
        <v>1</v>
      </c>
      <c r="F217" s="667"/>
      <c r="G217" s="21">
        <f t="shared" si="35"/>
        <v>1</v>
      </c>
      <c r="H217" s="667"/>
      <c r="I217" s="21">
        <f t="shared" si="36"/>
        <v>1</v>
      </c>
      <c r="J217" s="667"/>
      <c r="K217" s="21">
        <f t="shared" si="37"/>
        <v>1</v>
      </c>
      <c r="L217" s="667"/>
      <c r="M217" s="21">
        <f t="shared" si="38"/>
        <v>1</v>
      </c>
      <c r="N217" s="667"/>
      <c r="O217" s="21">
        <f t="shared" si="39"/>
        <v>1</v>
      </c>
      <c r="P217" s="667"/>
      <c r="Q217" s="21">
        <f t="shared" si="40"/>
        <v>1</v>
      </c>
      <c r="R217" s="663">
        <f t="shared" si="41"/>
        <v>0</v>
      </c>
      <c r="S217" s="316">
        <f t="shared" si="42"/>
        <v>0</v>
      </c>
    </row>
    <row r="218" spans="1:19">
      <c r="A218" s="150"/>
      <c r="B218" s="54"/>
      <c r="C218" s="21">
        <f t="shared" ref="C218:C281" si="43">IF(B218="",1,(LOOKUP(B218,$3:$3,$4:$4)-LOOKUP($B$24,$3:$3,$4:$4)+100)/100)</f>
        <v>1</v>
      </c>
      <c r="D218" s="667"/>
      <c r="E218" s="21">
        <f t="shared" ref="E218:E281" si="44">(SUMIF($5:$5,D218,$6:$6)-SUMIF($5:$5,$D$24,$6:$6)+100)/100</f>
        <v>1</v>
      </c>
      <c r="F218" s="667"/>
      <c r="G218" s="21">
        <f t="shared" ref="G218:G281" si="45">(SUMIF($7:$7,F218,$8:$8)-SUMIF($7:$7,$F$24,$8:$8)+100)/100</f>
        <v>1</v>
      </c>
      <c r="H218" s="667"/>
      <c r="I218" s="21">
        <f t="shared" ref="I218:I281" si="46">(SUMIF($9:$9,H218,$10:$10)-SUMIF($9:$9,$H$24,$10:$10)+100)/100</f>
        <v>1</v>
      </c>
      <c r="J218" s="667"/>
      <c r="K218" s="21">
        <f t="shared" ref="K218:K281" si="47">(SUMIF($11:$11,J218,$12:$12)-SUMIF($11:$11,$J$24,$12:$12)+100)/100</f>
        <v>1</v>
      </c>
      <c r="L218" s="667"/>
      <c r="M218" s="21">
        <f t="shared" ref="M218:M281" si="48">(SUMIF($13:$13,L218,$14:$14)-SUMIF($13:$13,$L$24,$14:$14)+100)/100</f>
        <v>1</v>
      </c>
      <c r="N218" s="667"/>
      <c r="O218" s="21">
        <f t="shared" ref="O218:O281" si="49">(SUMIF($15:$15,N218,$16:$16)-SUMIF($15:$15,$N$24,$16:$16)+100)/100</f>
        <v>1</v>
      </c>
      <c r="P218" s="667"/>
      <c r="Q218" s="21">
        <f t="shared" ref="Q218:Q281" si="50">(SUMIF($17:$17,P218,$18:$18)-SUMIF($17:$17,$P$24,$18:$18)+100)/100</f>
        <v>1</v>
      </c>
      <c r="R218" s="663">
        <f t="shared" ref="R218:R281" si="51">IF(B218="",0,ROUND($R$24*C218*E218*G218*I218*K218*M218*O218*Q218,0))</f>
        <v>0</v>
      </c>
      <c r="S218" s="316">
        <f t="shared" si="42"/>
        <v>0</v>
      </c>
    </row>
    <row r="219" spans="1:19">
      <c r="A219" s="150"/>
      <c r="B219" s="54"/>
      <c r="C219" s="21">
        <f t="shared" si="43"/>
        <v>1</v>
      </c>
      <c r="D219" s="667"/>
      <c r="E219" s="21">
        <f t="shared" si="44"/>
        <v>1</v>
      </c>
      <c r="F219" s="667"/>
      <c r="G219" s="21">
        <f t="shared" si="45"/>
        <v>1</v>
      </c>
      <c r="H219" s="667"/>
      <c r="I219" s="21">
        <f t="shared" si="46"/>
        <v>1</v>
      </c>
      <c r="J219" s="667"/>
      <c r="K219" s="21">
        <f t="shared" si="47"/>
        <v>1</v>
      </c>
      <c r="L219" s="667"/>
      <c r="M219" s="21">
        <f t="shared" si="48"/>
        <v>1</v>
      </c>
      <c r="N219" s="667"/>
      <c r="O219" s="21">
        <f t="shared" si="49"/>
        <v>1</v>
      </c>
      <c r="P219" s="667"/>
      <c r="Q219" s="21">
        <f t="shared" si="50"/>
        <v>1</v>
      </c>
      <c r="R219" s="663">
        <f t="shared" si="51"/>
        <v>0</v>
      </c>
      <c r="S219" s="316">
        <f t="shared" si="42"/>
        <v>0</v>
      </c>
    </row>
    <row r="220" spans="1:19">
      <c r="A220" s="150"/>
      <c r="B220" s="54"/>
      <c r="C220" s="21">
        <f t="shared" si="43"/>
        <v>1</v>
      </c>
      <c r="D220" s="667"/>
      <c r="E220" s="21">
        <f t="shared" si="44"/>
        <v>1</v>
      </c>
      <c r="F220" s="667"/>
      <c r="G220" s="21">
        <f t="shared" si="45"/>
        <v>1</v>
      </c>
      <c r="H220" s="667"/>
      <c r="I220" s="21">
        <f t="shared" si="46"/>
        <v>1</v>
      </c>
      <c r="J220" s="667"/>
      <c r="K220" s="21">
        <f t="shared" si="47"/>
        <v>1</v>
      </c>
      <c r="L220" s="667"/>
      <c r="M220" s="21">
        <f t="shared" si="48"/>
        <v>1</v>
      </c>
      <c r="N220" s="667"/>
      <c r="O220" s="21">
        <f t="shared" si="49"/>
        <v>1</v>
      </c>
      <c r="P220" s="667"/>
      <c r="Q220" s="21">
        <f t="shared" si="50"/>
        <v>1</v>
      </c>
      <c r="R220" s="663">
        <f t="shared" si="51"/>
        <v>0</v>
      </c>
      <c r="S220" s="316">
        <f t="shared" si="42"/>
        <v>0</v>
      </c>
    </row>
    <row r="221" spans="1:19">
      <c r="A221" s="150"/>
      <c r="B221" s="54"/>
      <c r="C221" s="21">
        <f t="shared" si="43"/>
        <v>1</v>
      </c>
      <c r="D221" s="667"/>
      <c r="E221" s="21">
        <f t="shared" si="44"/>
        <v>1</v>
      </c>
      <c r="F221" s="667"/>
      <c r="G221" s="21">
        <f t="shared" si="45"/>
        <v>1</v>
      </c>
      <c r="H221" s="667"/>
      <c r="I221" s="21">
        <f t="shared" si="46"/>
        <v>1</v>
      </c>
      <c r="J221" s="667"/>
      <c r="K221" s="21">
        <f t="shared" si="47"/>
        <v>1</v>
      </c>
      <c r="L221" s="667"/>
      <c r="M221" s="21">
        <f t="shared" si="48"/>
        <v>1</v>
      </c>
      <c r="N221" s="667"/>
      <c r="O221" s="21">
        <f t="shared" si="49"/>
        <v>1</v>
      </c>
      <c r="P221" s="667"/>
      <c r="Q221" s="21">
        <f t="shared" si="50"/>
        <v>1</v>
      </c>
      <c r="R221" s="663">
        <f t="shared" si="51"/>
        <v>0</v>
      </c>
      <c r="S221" s="316">
        <f t="shared" si="42"/>
        <v>0</v>
      </c>
    </row>
    <row r="222" spans="1:19">
      <c r="A222" s="150"/>
      <c r="B222" s="54"/>
      <c r="C222" s="21">
        <f t="shared" si="43"/>
        <v>1</v>
      </c>
      <c r="D222" s="667"/>
      <c r="E222" s="21">
        <f t="shared" si="44"/>
        <v>1</v>
      </c>
      <c r="F222" s="667"/>
      <c r="G222" s="21">
        <f t="shared" si="45"/>
        <v>1</v>
      </c>
      <c r="H222" s="667"/>
      <c r="I222" s="21">
        <f t="shared" si="46"/>
        <v>1</v>
      </c>
      <c r="J222" s="667"/>
      <c r="K222" s="21">
        <f t="shared" si="47"/>
        <v>1</v>
      </c>
      <c r="L222" s="667"/>
      <c r="M222" s="21">
        <f t="shared" si="48"/>
        <v>1</v>
      </c>
      <c r="N222" s="667"/>
      <c r="O222" s="21">
        <f t="shared" si="49"/>
        <v>1</v>
      </c>
      <c r="P222" s="667"/>
      <c r="Q222" s="21">
        <f t="shared" si="50"/>
        <v>1</v>
      </c>
      <c r="R222" s="663">
        <f t="shared" si="51"/>
        <v>0</v>
      </c>
      <c r="S222" s="316">
        <f t="shared" si="42"/>
        <v>0</v>
      </c>
    </row>
    <row r="223" spans="1:19">
      <c r="A223" s="150"/>
      <c r="B223" s="54"/>
      <c r="C223" s="21">
        <f t="shared" si="43"/>
        <v>1</v>
      </c>
      <c r="D223" s="667"/>
      <c r="E223" s="21">
        <f t="shared" si="44"/>
        <v>1</v>
      </c>
      <c r="F223" s="667"/>
      <c r="G223" s="21">
        <f t="shared" si="45"/>
        <v>1</v>
      </c>
      <c r="H223" s="667"/>
      <c r="I223" s="21">
        <f t="shared" si="46"/>
        <v>1</v>
      </c>
      <c r="J223" s="667"/>
      <c r="K223" s="21">
        <f t="shared" si="47"/>
        <v>1</v>
      </c>
      <c r="L223" s="667"/>
      <c r="M223" s="21">
        <f t="shared" si="48"/>
        <v>1</v>
      </c>
      <c r="N223" s="667"/>
      <c r="O223" s="21">
        <f t="shared" si="49"/>
        <v>1</v>
      </c>
      <c r="P223" s="667"/>
      <c r="Q223" s="21">
        <f t="shared" si="50"/>
        <v>1</v>
      </c>
      <c r="R223" s="663">
        <f t="shared" si="51"/>
        <v>0</v>
      </c>
      <c r="S223" s="316">
        <f t="shared" ref="S223:S286" si="52">ROUND(R223*B223/10000,0)</f>
        <v>0</v>
      </c>
    </row>
    <row r="224" spans="1:19">
      <c r="A224" s="150"/>
      <c r="B224" s="54"/>
      <c r="C224" s="21">
        <f t="shared" si="43"/>
        <v>1</v>
      </c>
      <c r="D224" s="667"/>
      <c r="E224" s="21">
        <f t="shared" si="44"/>
        <v>1</v>
      </c>
      <c r="F224" s="667"/>
      <c r="G224" s="21">
        <f t="shared" si="45"/>
        <v>1</v>
      </c>
      <c r="H224" s="667"/>
      <c r="I224" s="21">
        <f t="shared" si="46"/>
        <v>1</v>
      </c>
      <c r="J224" s="667"/>
      <c r="K224" s="21">
        <f t="shared" si="47"/>
        <v>1</v>
      </c>
      <c r="L224" s="667"/>
      <c r="M224" s="21">
        <f t="shared" si="48"/>
        <v>1</v>
      </c>
      <c r="N224" s="667"/>
      <c r="O224" s="21">
        <f t="shared" si="49"/>
        <v>1</v>
      </c>
      <c r="P224" s="667"/>
      <c r="Q224" s="21">
        <f t="shared" si="50"/>
        <v>1</v>
      </c>
      <c r="R224" s="663">
        <f t="shared" si="51"/>
        <v>0</v>
      </c>
      <c r="S224" s="316">
        <f t="shared" si="52"/>
        <v>0</v>
      </c>
    </row>
    <row r="225" spans="1:19">
      <c r="A225" s="150"/>
      <c r="B225" s="54"/>
      <c r="C225" s="21">
        <f t="shared" si="43"/>
        <v>1</v>
      </c>
      <c r="D225" s="667"/>
      <c r="E225" s="21">
        <f t="shared" si="44"/>
        <v>1</v>
      </c>
      <c r="F225" s="667"/>
      <c r="G225" s="21">
        <f t="shared" si="45"/>
        <v>1</v>
      </c>
      <c r="H225" s="667"/>
      <c r="I225" s="21">
        <f t="shared" si="46"/>
        <v>1</v>
      </c>
      <c r="J225" s="667"/>
      <c r="K225" s="21">
        <f t="shared" si="47"/>
        <v>1</v>
      </c>
      <c r="L225" s="667"/>
      <c r="M225" s="21">
        <f t="shared" si="48"/>
        <v>1</v>
      </c>
      <c r="N225" s="667"/>
      <c r="O225" s="21">
        <f t="shared" si="49"/>
        <v>1</v>
      </c>
      <c r="P225" s="667"/>
      <c r="Q225" s="21">
        <f t="shared" si="50"/>
        <v>1</v>
      </c>
      <c r="R225" s="663">
        <f t="shared" si="51"/>
        <v>0</v>
      </c>
      <c r="S225" s="316">
        <f t="shared" si="52"/>
        <v>0</v>
      </c>
    </row>
    <row r="226" spans="1:19">
      <c r="A226" s="150"/>
      <c r="B226" s="54"/>
      <c r="C226" s="21">
        <f t="shared" si="43"/>
        <v>1</v>
      </c>
      <c r="D226" s="667"/>
      <c r="E226" s="21">
        <f t="shared" si="44"/>
        <v>1</v>
      </c>
      <c r="F226" s="667"/>
      <c r="G226" s="21">
        <f t="shared" si="45"/>
        <v>1</v>
      </c>
      <c r="H226" s="667"/>
      <c r="I226" s="21">
        <f t="shared" si="46"/>
        <v>1</v>
      </c>
      <c r="J226" s="667"/>
      <c r="K226" s="21">
        <f t="shared" si="47"/>
        <v>1</v>
      </c>
      <c r="L226" s="667"/>
      <c r="M226" s="21">
        <f t="shared" si="48"/>
        <v>1</v>
      </c>
      <c r="N226" s="667"/>
      <c r="O226" s="21">
        <f t="shared" si="49"/>
        <v>1</v>
      </c>
      <c r="P226" s="667"/>
      <c r="Q226" s="21">
        <f t="shared" si="50"/>
        <v>1</v>
      </c>
      <c r="R226" s="663">
        <f t="shared" si="51"/>
        <v>0</v>
      </c>
      <c r="S226" s="316">
        <f t="shared" si="52"/>
        <v>0</v>
      </c>
    </row>
    <row r="227" spans="1:19">
      <c r="A227" s="150"/>
      <c r="B227" s="54"/>
      <c r="C227" s="21">
        <f t="shared" si="43"/>
        <v>1</v>
      </c>
      <c r="D227" s="667"/>
      <c r="E227" s="21">
        <f t="shared" si="44"/>
        <v>1</v>
      </c>
      <c r="F227" s="667"/>
      <c r="G227" s="21">
        <f t="shared" si="45"/>
        <v>1</v>
      </c>
      <c r="H227" s="667"/>
      <c r="I227" s="21">
        <f t="shared" si="46"/>
        <v>1</v>
      </c>
      <c r="J227" s="667"/>
      <c r="K227" s="21">
        <f t="shared" si="47"/>
        <v>1</v>
      </c>
      <c r="L227" s="667"/>
      <c r="M227" s="21">
        <f t="shared" si="48"/>
        <v>1</v>
      </c>
      <c r="N227" s="667"/>
      <c r="O227" s="21">
        <f t="shared" si="49"/>
        <v>1</v>
      </c>
      <c r="P227" s="667"/>
      <c r="Q227" s="21">
        <f t="shared" si="50"/>
        <v>1</v>
      </c>
      <c r="R227" s="663">
        <f t="shared" si="51"/>
        <v>0</v>
      </c>
      <c r="S227" s="316">
        <f t="shared" si="52"/>
        <v>0</v>
      </c>
    </row>
    <row r="228" spans="1:19">
      <c r="A228" s="150"/>
      <c r="B228" s="54"/>
      <c r="C228" s="21">
        <f t="shared" si="43"/>
        <v>1</v>
      </c>
      <c r="D228" s="667"/>
      <c r="E228" s="21">
        <f t="shared" si="44"/>
        <v>1</v>
      </c>
      <c r="F228" s="667"/>
      <c r="G228" s="21">
        <f t="shared" si="45"/>
        <v>1</v>
      </c>
      <c r="H228" s="667"/>
      <c r="I228" s="21">
        <f t="shared" si="46"/>
        <v>1</v>
      </c>
      <c r="J228" s="667"/>
      <c r="K228" s="21">
        <f t="shared" si="47"/>
        <v>1</v>
      </c>
      <c r="L228" s="667"/>
      <c r="M228" s="21">
        <f t="shared" si="48"/>
        <v>1</v>
      </c>
      <c r="N228" s="667"/>
      <c r="O228" s="21">
        <f t="shared" si="49"/>
        <v>1</v>
      </c>
      <c r="P228" s="667"/>
      <c r="Q228" s="21">
        <f t="shared" si="50"/>
        <v>1</v>
      </c>
      <c r="R228" s="663">
        <f t="shared" si="51"/>
        <v>0</v>
      </c>
      <c r="S228" s="316">
        <f t="shared" si="52"/>
        <v>0</v>
      </c>
    </row>
    <row r="229" spans="1:19">
      <c r="A229" s="150"/>
      <c r="B229" s="54"/>
      <c r="C229" s="21">
        <f t="shared" si="43"/>
        <v>1</v>
      </c>
      <c r="D229" s="667"/>
      <c r="E229" s="21">
        <f t="shared" si="44"/>
        <v>1</v>
      </c>
      <c r="F229" s="667"/>
      <c r="G229" s="21">
        <f t="shared" si="45"/>
        <v>1</v>
      </c>
      <c r="H229" s="667"/>
      <c r="I229" s="21">
        <f t="shared" si="46"/>
        <v>1</v>
      </c>
      <c r="J229" s="667"/>
      <c r="K229" s="21">
        <f t="shared" si="47"/>
        <v>1</v>
      </c>
      <c r="L229" s="667"/>
      <c r="M229" s="21">
        <f t="shared" si="48"/>
        <v>1</v>
      </c>
      <c r="N229" s="667"/>
      <c r="O229" s="21">
        <f t="shared" si="49"/>
        <v>1</v>
      </c>
      <c r="P229" s="667"/>
      <c r="Q229" s="21">
        <f t="shared" si="50"/>
        <v>1</v>
      </c>
      <c r="R229" s="663">
        <f t="shared" si="51"/>
        <v>0</v>
      </c>
      <c r="S229" s="316">
        <f t="shared" si="52"/>
        <v>0</v>
      </c>
    </row>
    <row r="230" spans="1:19">
      <c r="A230" s="150"/>
      <c r="B230" s="54"/>
      <c r="C230" s="21">
        <f t="shared" si="43"/>
        <v>1</v>
      </c>
      <c r="D230" s="667"/>
      <c r="E230" s="21">
        <f t="shared" si="44"/>
        <v>1</v>
      </c>
      <c r="F230" s="667"/>
      <c r="G230" s="21">
        <f t="shared" si="45"/>
        <v>1</v>
      </c>
      <c r="H230" s="667"/>
      <c r="I230" s="21">
        <f t="shared" si="46"/>
        <v>1</v>
      </c>
      <c r="J230" s="667"/>
      <c r="K230" s="21">
        <f t="shared" si="47"/>
        <v>1</v>
      </c>
      <c r="L230" s="667"/>
      <c r="M230" s="21">
        <f t="shared" si="48"/>
        <v>1</v>
      </c>
      <c r="N230" s="667"/>
      <c r="O230" s="21">
        <f t="shared" si="49"/>
        <v>1</v>
      </c>
      <c r="P230" s="667"/>
      <c r="Q230" s="21">
        <f t="shared" si="50"/>
        <v>1</v>
      </c>
      <c r="R230" s="663">
        <f t="shared" si="51"/>
        <v>0</v>
      </c>
      <c r="S230" s="316">
        <f t="shared" si="52"/>
        <v>0</v>
      </c>
    </row>
    <row r="231" spans="1:19">
      <c r="A231" s="150"/>
      <c r="B231" s="54"/>
      <c r="C231" s="21">
        <f t="shared" si="43"/>
        <v>1</v>
      </c>
      <c r="D231" s="667"/>
      <c r="E231" s="21">
        <f t="shared" si="44"/>
        <v>1</v>
      </c>
      <c r="F231" s="667"/>
      <c r="G231" s="21">
        <f t="shared" si="45"/>
        <v>1</v>
      </c>
      <c r="H231" s="667"/>
      <c r="I231" s="21">
        <f t="shared" si="46"/>
        <v>1</v>
      </c>
      <c r="J231" s="667"/>
      <c r="K231" s="21">
        <f t="shared" si="47"/>
        <v>1</v>
      </c>
      <c r="L231" s="667"/>
      <c r="M231" s="21">
        <f t="shared" si="48"/>
        <v>1</v>
      </c>
      <c r="N231" s="667"/>
      <c r="O231" s="21">
        <f t="shared" si="49"/>
        <v>1</v>
      </c>
      <c r="P231" s="667"/>
      <c r="Q231" s="21">
        <f t="shared" si="50"/>
        <v>1</v>
      </c>
      <c r="R231" s="663">
        <f t="shared" si="51"/>
        <v>0</v>
      </c>
      <c r="S231" s="316">
        <f t="shared" si="52"/>
        <v>0</v>
      </c>
    </row>
    <row r="232" spans="1:19">
      <c r="A232" s="150"/>
      <c r="B232" s="54"/>
      <c r="C232" s="21">
        <f t="shared" si="43"/>
        <v>1</v>
      </c>
      <c r="D232" s="667"/>
      <c r="E232" s="21">
        <f t="shared" si="44"/>
        <v>1</v>
      </c>
      <c r="F232" s="667"/>
      <c r="G232" s="21">
        <f t="shared" si="45"/>
        <v>1</v>
      </c>
      <c r="H232" s="667"/>
      <c r="I232" s="21">
        <f t="shared" si="46"/>
        <v>1</v>
      </c>
      <c r="J232" s="667"/>
      <c r="K232" s="21">
        <f t="shared" si="47"/>
        <v>1</v>
      </c>
      <c r="L232" s="667"/>
      <c r="M232" s="21">
        <f t="shared" si="48"/>
        <v>1</v>
      </c>
      <c r="N232" s="667"/>
      <c r="O232" s="21">
        <f t="shared" si="49"/>
        <v>1</v>
      </c>
      <c r="P232" s="667"/>
      <c r="Q232" s="21">
        <f t="shared" si="50"/>
        <v>1</v>
      </c>
      <c r="R232" s="663">
        <f t="shared" si="51"/>
        <v>0</v>
      </c>
      <c r="S232" s="316">
        <f t="shared" si="52"/>
        <v>0</v>
      </c>
    </row>
    <row r="233" spans="1:19">
      <c r="A233" s="150"/>
      <c r="B233" s="54"/>
      <c r="C233" s="21">
        <f t="shared" si="43"/>
        <v>1</v>
      </c>
      <c r="D233" s="667"/>
      <c r="E233" s="21">
        <f t="shared" si="44"/>
        <v>1</v>
      </c>
      <c r="F233" s="667"/>
      <c r="G233" s="21">
        <f t="shared" si="45"/>
        <v>1</v>
      </c>
      <c r="H233" s="667"/>
      <c r="I233" s="21">
        <f t="shared" si="46"/>
        <v>1</v>
      </c>
      <c r="J233" s="667"/>
      <c r="K233" s="21">
        <f t="shared" si="47"/>
        <v>1</v>
      </c>
      <c r="L233" s="667"/>
      <c r="M233" s="21">
        <f t="shared" si="48"/>
        <v>1</v>
      </c>
      <c r="N233" s="667"/>
      <c r="O233" s="21">
        <f t="shared" si="49"/>
        <v>1</v>
      </c>
      <c r="P233" s="667"/>
      <c r="Q233" s="21">
        <f t="shared" si="50"/>
        <v>1</v>
      </c>
      <c r="R233" s="663">
        <f t="shared" si="51"/>
        <v>0</v>
      </c>
      <c r="S233" s="316">
        <f t="shared" si="52"/>
        <v>0</v>
      </c>
    </row>
    <row r="234" spans="1:19">
      <c r="A234" s="150"/>
      <c r="B234" s="54"/>
      <c r="C234" s="21">
        <f t="shared" si="43"/>
        <v>1</v>
      </c>
      <c r="D234" s="667"/>
      <c r="E234" s="21">
        <f t="shared" si="44"/>
        <v>1</v>
      </c>
      <c r="F234" s="667"/>
      <c r="G234" s="21">
        <f t="shared" si="45"/>
        <v>1</v>
      </c>
      <c r="H234" s="667"/>
      <c r="I234" s="21">
        <f t="shared" si="46"/>
        <v>1</v>
      </c>
      <c r="J234" s="667"/>
      <c r="K234" s="21">
        <f t="shared" si="47"/>
        <v>1</v>
      </c>
      <c r="L234" s="667"/>
      <c r="M234" s="21">
        <f t="shared" si="48"/>
        <v>1</v>
      </c>
      <c r="N234" s="667"/>
      <c r="O234" s="21">
        <f t="shared" si="49"/>
        <v>1</v>
      </c>
      <c r="P234" s="667"/>
      <c r="Q234" s="21">
        <f t="shared" si="50"/>
        <v>1</v>
      </c>
      <c r="R234" s="663">
        <f t="shared" si="51"/>
        <v>0</v>
      </c>
      <c r="S234" s="316">
        <f t="shared" si="52"/>
        <v>0</v>
      </c>
    </row>
    <row r="235" spans="1:19">
      <c r="A235" s="150"/>
      <c r="B235" s="54"/>
      <c r="C235" s="21">
        <f t="shared" si="43"/>
        <v>1</v>
      </c>
      <c r="D235" s="667"/>
      <c r="E235" s="21">
        <f t="shared" si="44"/>
        <v>1</v>
      </c>
      <c r="F235" s="667"/>
      <c r="G235" s="21">
        <f t="shared" si="45"/>
        <v>1</v>
      </c>
      <c r="H235" s="667"/>
      <c r="I235" s="21">
        <f t="shared" si="46"/>
        <v>1</v>
      </c>
      <c r="J235" s="667"/>
      <c r="K235" s="21">
        <f t="shared" si="47"/>
        <v>1</v>
      </c>
      <c r="L235" s="667"/>
      <c r="M235" s="21">
        <f t="shared" si="48"/>
        <v>1</v>
      </c>
      <c r="N235" s="667"/>
      <c r="O235" s="21">
        <f t="shared" si="49"/>
        <v>1</v>
      </c>
      <c r="P235" s="667"/>
      <c r="Q235" s="21">
        <f t="shared" si="50"/>
        <v>1</v>
      </c>
      <c r="R235" s="663">
        <f t="shared" si="51"/>
        <v>0</v>
      </c>
      <c r="S235" s="316">
        <f t="shared" si="52"/>
        <v>0</v>
      </c>
    </row>
    <row r="236" spans="1:19">
      <c r="A236" s="150"/>
      <c r="B236" s="54"/>
      <c r="C236" s="21">
        <f t="shared" si="43"/>
        <v>1</v>
      </c>
      <c r="D236" s="667"/>
      <c r="E236" s="21">
        <f t="shared" si="44"/>
        <v>1</v>
      </c>
      <c r="F236" s="667"/>
      <c r="G236" s="21">
        <f t="shared" si="45"/>
        <v>1</v>
      </c>
      <c r="H236" s="667"/>
      <c r="I236" s="21">
        <f t="shared" si="46"/>
        <v>1</v>
      </c>
      <c r="J236" s="667"/>
      <c r="K236" s="21">
        <f t="shared" si="47"/>
        <v>1</v>
      </c>
      <c r="L236" s="667"/>
      <c r="M236" s="21">
        <f t="shared" si="48"/>
        <v>1</v>
      </c>
      <c r="N236" s="667"/>
      <c r="O236" s="21">
        <f t="shared" si="49"/>
        <v>1</v>
      </c>
      <c r="P236" s="667"/>
      <c r="Q236" s="21">
        <f t="shared" si="50"/>
        <v>1</v>
      </c>
      <c r="R236" s="663">
        <f t="shared" si="51"/>
        <v>0</v>
      </c>
      <c r="S236" s="316">
        <f t="shared" si="52"/>
        <v>0</v>
      </c>
    </row>
    <row r="237" spans="1:19">
      <c r="A237" s="150"/>
      <c r="B237" s="54"/>
      <c r="C237" s="21">
        <f t="shared" si="43"/>
        <v>1</v>
      </c>
      <c r="D237" s="667"/>
      <c r="E237" s="21">
        <f t="shared" si="44"/>
        <v>1</v>
      </c>
      <c r="F237" s="667"/>
      <c r="G237" s="21">
        <f t="shared" si="45"/>
        <v>1</v>
      </c>
      <c r="H237" s="667"/>
      <c r="I237" s="21">
        <f t="shared" si="46"/>
        <v>1</v>
      </c>
      <c r="J237" s="667"/>
      <c r="K237" s="21">
        <f t="shared" si="47"/>
        <v>1</v>
      </c>
      <c r="L237" s="667"/>
      <c r="M237" s="21">
        <f t="shared" si="48"/>
        <v>1</v>
      </c>
      <c r="N237" s="667"/>
      <c r="O237" s="21">
        <f t="shared" si="49"/>
        <v>1</v>
      </c>
      <c r="P237" s="667"/>
      <c r="Q237" s="21">
        <f t="shared" si="50"/>
        <v>1</v>
      </c>
      <c r="R237" s="663">
        <f t="shared" si="51"/>
        <v>0</v>
      </c>
      <c r="S237" s="316">
        <f t="shared" si="52"/>
        <v>0</v>
      </c>
    </row>
    <row r="238" spans="1:19">
      <c r="A238" s="150"/>
      <c r="B238" s="54"/>
      <c r="C238" s="21">
        <f t="shared" si="43"/>
        <v>1</v>
      </c>
      <c r="D238" s="667"/>
      <c r="E238" s="21">
        <f t="shared" si="44"/>
        <v>1</v>
      </c>
      <c r="F238" s="667"/>
      <c r="G238" s="21">
        <f t="shared" si="45"/>
        <v>1</v>
      </c>
      <c r="H238" s="667"/>
      <c r="I238" s="21">
        <f t="shared" si="46"/>
        <v>1</v>
      </c>
      <c r="J238" s="667"/>
      <c r="K238" s="21">
        <f t="shared" si="47"/>
        <v>1</v>
      </c>
      <c r="L238" s="667"/>
      <c r="M238" s="21">
        <f t="shared" si="48"/>
        <v>1</v>
      </c>
      <c r="N238" s="667"/>
      <c r="O238" s="21">
        <f t="shared" si="49"/>
        <v>1</v>
      </c>
      <c r="P238" s="667"/>
      <c r="Q238" s="21">
        <f t="shared" si="50"/>
        <v>1</v>
      </c>
      <c r="R238" s="663">
        <f t="shared" si="51"/>
        <v>0</v>
      </c>
      <c r="S238" s="316">
        <f t="shared" si="52"/>
        <v>0</v>
      </c>
    </row>
    <row r="239" spans="1:19">
      <c r="A239" s="150"/>
      <c r="B239" s="54"/>
      <c r="C239" s="21">
        <f t="shared" si="43"/>
        <v>1</v>
      </c>
      <c r="D239" s="667"/>
      <c r="E239" s="21">
        <f t="shared" si="44"/>
        <v>1</v>
      </c>
      <c r="F239" s="667"/>
      <c r="G239" s="21">
        <f t="shared" si="45"/>
        <v>1</v>
      </c>
      <c r="H239" s="667"/>
      <c r="I239" s="21">
        <f t="shared" si="46"/>
        <v>1</v>
      </c>
      <c r="J239" s="667"/>
      <c r="K239" s="21">
        <f t="shared" si="47"/>
        <v>1</v>
      </c>
      <c r="L239" s="667"/>
      <c r="M239" s="21">
        <f t="shared" si="48"/>
        <v>1</v>
      </c>
      <c r="N239" s="667"/>
      <c r="O239" s="21">
        <f t="shared" si="49"/>
        <v>1</v>
      </c>
      <c r="P239" s="667"/>
      <c r="Q239" s="21">
        <f t="shared" si="50"/>
        <v>1</v>
      </c>
      <c r="R239" s="663">
        <f t="shared" si="51"/>
        <v>0</v>
      </c>
      <c r="S239" s="316">
        <f t="shared" si="52"/>
        <v>0</v>
      </c>
    </row>
    <row r="240" spans="1:19">
      <c r="A240" s="150"/>
      <c r="B240" s="54"/>
      <c r="C240" s="21">
        <f t="shared" si="43"/>
        <v>1</v>
      </c>
      <c r="D240" s="667"/>
      <c r="E240" s="21">
        <f t="shared" si="44"/>
        <v>1</v>
      </c>
      <c r="F240" s="667"/>
      <c r="G240" s="21">
        <f t="shared" si="45"/>
        <v>1</v>
      </c>
      <c r="H240" s="667"/>
      <c r="I240" s="21">
        <f t="shared" si="46"/>
        <v>1</v>
      </c>
      <c r="J240" s="667"/>
      <c r="K240" s="21">
        <f t="shared" si="47"/>
        <v>1</v>
      </c>
      <c r="L240" s="667"/>
      <c r="M240" s="21">
        <f t="shared" si="48"/>
        <v>1</v>
      </c>
      <c r="N240" s="667"/>
      <c r="O240" s="21">
        <f t="shared" si="49"/>
        <v>1</v>
      </c>
      <c r="P240" s="667"/>
      <c r="Q240" s="21">
        <f t="shared" si="50"/>
        <v>1</v>
      </c>
      <c r="R240" s="663">
        <f t="shared" si="51"/>
        <v>0</v>
      </c>
      <c r="S240" s="316">
        <f t="shared" si="52"/>
        <v>0</v>
      </c>
    </row>
    <row r="241" spans="1:19">
      <c r="A241" s="150"/>
      <c r="B241" s="54"/>
      <c r="C241" s="21">
        <f t="shared" si="43"/>
        <v>1</v>
      </c>
      <c r="D241" s="667"/>
      <c r="E241" s="21">
        <f t="shared" si="44"/>
        <v>1</v>
      </c>
      <c r="F241" s="667"/>
      <c r="G241" s="21">
        <f t="shared" si="45"/>
        <v>1</v>
      </c>
      <c r="H241" s="667"/>
      <c r="I241" s="21">
        <f t="shared" si="46"/>
        <v>1</v>
      </c>
      <c r="J241" s="667"/>
      <c r="K241" s="21">
        <f t="shared" si="47"/>
        <v>1</v>
      </c>
      <c r="L241" s="667"/>
      <c r="M241" s="21">
        <f t="shared" si="48"/>
        <v>1</v>
      </c>
      <c r="N241" s="667"/>
      <c r="O241" s="21">
        <f t="shared" si="49"/>
        <v>1</v>
      </c>
      <c r="P241" s="667"/>
      <c r="Q241" s="21">
        <f t="shared" si="50"/>
        <v>1</v>
      </c>
      <c r="R241" s="663">
        <f t="shared" si="51"/>
        <v>0</v>
      </c>
      <c r="S241" s="316">
        <f t="shared" si="52"/>
        <v>0</v>
      </c>
    </row>
    <row r="242" spans="1:19">
      <c r="A242" s="150"/>
      <c r="B242" s="54"/>
      <c r="C242" s="21">
        <f t="shared" si="43"/>
        <v>1</v>
      </c>
      <c r="D242" s="667"/>
      <c r="E242" s="21">
        <f t="shared" si="44"/>
        <v>1</v>
      </c>
      <c r="F242" s="667"/>
      <c r="G242" s="21">
        <f t="shared" si="45"/>
        <v>1</v>
      </c>
      <c r="H242" s="667"/>
      <c r="I242" s="21">
        <f t="shared" si="46"/>
        <v>1</v>
      </c>
      <c r="J242" s="667"/>
      <c r="K242" s="21">
        <f t="shared" si="47"/>
        <v>1</v>
      </c>
      <c r="L242" s="667"/>
      <c r="M242" s="21">
        <f t="shared" si="48"/>
        <v>1</v>
      </c>
      <c r="N242" s="667"/>
      <c r="O242" s="21">
        <f t="shared" si="49"/>
        <v>1</v>
      </c>
      <c r="P242" s="667"/>
      <c r="Q242" s="21">
        <f t="shared" si="50"/>
        <v>1</v>
      </c>
      <c r="R242" s="663">
        <f t="shared" si="51"/>
        <v>0</v>
      </c>
      <c r="S242" s="316">
        <f t="shared" si="52"/>
        <v>0</v>
      </c>
    </row>
    <row r="243" spans="1:19">
      <c r="A243" s="150"/>
      <c r="B243" s="54"/>
      <c r="C243" s="21">
        <f t="shared" si="43"/>
        <v>1</v>
      </c>
      <c r="D243" s="667"/>
      <c r="E243" s="21">
        <f t="shared" si="44"/>
        <v>1</v>
      </c>
      <c r="F243" s="667"/>
      <c r="G243" s="21">
        <f t="shared" si="45"/>
        <v>1</v>
      </c>
      <c r="H243" s="667"/>
      <c r="I243" s="21">
        <f t="shared" si="46"/>
        <v>1</v>
      </c>
      <c r="J243" s="667"/>
      <c r="K243" s="21">
        <f t="shared" si="47"/>
        <v>1</v>
      </c>
      <c r="L243" s="667"/>
      <c r="M243" s="21">
        <f t="shared" si="48"/>
        <v>1</v>
      </c>
      <c r="N243" s="667"/>
      <c r="O243" s="21">
        <f t="shared" si="49"/>
        <v>1</v>
      </c>
      <c r="P243" s="667"/>
      <c r="Q243" s="21">
        <f t="shared" si="50"/>
        <v>1</v>
      </c>
      <c r="R243" s="663">
        <f t="shared" si="51"/>
        <v>0</v>
      </c>
      <c r="S243" s="316">
        <f t="shared" si="52"/>
        <v>0</v>
      </c>
    </row>
    <row r="244" spans="1:19">
      <c r="A244" s="150"/>
      <c r="B244" s="54"/>
      <c r="C244" s="21">
        <f t="shared" si="43"/>
        <v>1</v>
      </c>
      <c r="D244" s="667"/>
      <c r="E244" s="21">
        <f t="shared" si="44"/>
        <v>1</v>
      </c>
      <c r="F244" s="667"/>
      <c r="G244" s="21">
        <f t="shared" si="45"/>
        <v>1</v>
      </c>
      <c r="H244" s="667"/>
      <c r="I244" s="21">
        <f t="shared" si="46"/>
        <v>1</v>
      </c>
      <c r="J244" s="667"/>
      <c r="K244" s="21">
        <f t="shared" si="47"/>
        <v>1</v>
      </c>
      <c r="L244" s="667"/>
      <c r="M244" s="21">
        <f t="shared" si="48"/>
        <v>1</v>
      </c>
      <c r="N244" s="667"/>
      <c r="O244" s="21">
        <f t="shared" si="49"/>
        <v>1</v>
      </c>
      <c r="P244" s="667"/>
      <c r="Q244" s="21">
        <f t="shared" si="50"/>
        <v>1</v>
      </c>
      <c r="R244" s="663">
        <f t="shared" si="51"/>
        <v>0</v>
      </c>
      <c r="S244" s="316">
        <f t="shared" si="52"/>
        <v>0</v>
      </c>
    </row>
    <row r="245" spans="1:19">
      <c r="A245" s="150"/>
      <c r="B245" s="54"/>
      <c r="C245" s="21">
        <f t="shared" si="43"/>
        <v>1</v>
      </c>
      <c r="D245" s="667"/>
      <c r="E245" s="21">
        <f t="shared" si="44"/>
        <v>1</v>
      </c>
      <c r="F245" s="667"/>
      <c r="G245" s="21">
        <f t="shared" si="45"/>
        <v>1</v>
      </c>
      <c r="H245" s="667"/>
      <c r="I245" s="21">
        <f t="shared" si="46"/>
        <v>1</v>
      </c>
      <c r="J245" s="667"/>
      <c r="K245" s="21">
        <f t="shared" si="47"/>
        <v>1</v>
      </c>
      <c r="L245" s="667"/>
      <c r="M245" s="21">
        <f t="shared" si="48"/>
        <v>1</v>
      </c>
      <c r="N245" s="667"/>
      <c r="O245" s="21">
        <f t="shared" si="49"/>
        <v>1</v>
      </c>
      <c r="P245" s="667"/>
      <c r="Q245" s="21">
        <f t="shared" si="50"/>
        <v>1</v>
      </c>
      <c r="R245" s="663">
        <f t="shared" si="51"/>
        <v>0</v>
      </c>
      <c r="S245" s="316">
        <f t="shared" si="52"/>
        <v>0</v>
      </c>
    </row>
    <row r="246" spans="1:19">
      <c r="A246" s="150"/>
      <c r="B246" s="54"/>
      <c r="C246" s="21">
        <f t="shared" si="43"/>
        <v>1</v>
      </c>
      <c r="D246" s="667"/>
      <c r="E246" s="21">
        <f t="shared" si="44"/>
        <v>1</v>
      </c>
      <c r="F246" s="667"/>
      <c r="G246" s="21">
        <f t="shared" si="45"/>
        <v>1</v>
      </c>
      <c r="H246" s="667"/>
      <c r="I246" s="21">
        <f t="shared" si="46"/>
        <v>1</v>
      </c>
      <c r="J246" s="667"/>
      <c r="K246" s="21">
        <f t="shared" si="47"/>
        <v>1</v>
      </c>
      <c r="L246" s="667"/>
      <c r="M246" s="21">
        <f t="shared" si="48"/>
        <v>1</v>
      </c>
      <c r="N246" s="667"/>
      <c r="O246" s="21">
        <f t="shared" si="49"/>
        <v>1</v>
      </c>
      <c r="P246" s="667"/>
      <c r="Q246" s="21">
        <f t="shared" si="50"/>
        <v>1</v>
      </c>
      <c r="R246" s="663">
        <f t="shared" si="51"/>
        <v>0</v>
      </c>
      <c r="S246" s="316">
        <f t="shared" si="52"/>
        <v>0</v>
      </c>
    </row>
    <row r="247" spans="1:19">
      <c r="A247" s="150"/>
      <c r="B247" s="54"/>
      <c r="C247" s="21">
        <f t="shared" si="43"/>
        <v>1</v>
      </c>
      <c r="D247" s="667"/>
      <c r="E247" s="21">
        <f t="shared" si="44"/>
        <v>1</v>
      </c>
      <c r="F247" s="667"/>
      <c r="G247" s="21">
        <f t="shared" si="45"/>
        <v>1</v>
      </c>
      <c r="H247" s="667"/>
      <c r="I247" s="21">
        <f t="shared" si="46"/>
        <v>1</v>
      </c>
      <c r="J247" s="667"/>
      <c r="K247" s="21">
        <f t="shared" si="47"/>
        <v>1</v>
      </c>
      <c r="L247" s="667"/>
      <c r="M247" s="21">
        <f t="shared" si="48"/>
        <v>1</v>
      </c>
      <c r="N247" s="667"/>
      <c r="O247" s="21">
        <f t="shared" si="49"/>
        <v>1</v>
      </c>
      <c r="P247" s="667"/>
      <c r="Q247" s="21">
        <f t="shared" si="50"/>
        <v>1</v>
      </c>
      <c r="R247" s="663">
        <f t="shared" si="51"/>
        <v>0</v>
      </c>
      <c r="S247" s="316">
        <f t="shared" si="52"/>
        <v>0</v>
      </c>
    </row>
    <row r="248" spans="1:19">
      <c r="A248" s="150"/>
      <c r="B248" s="54"/>
      <c r="C248" s="21">
        <f t="shared" si="43"/>
        <v>1</v>
      </c>
      <c r="D248" s="667"/>
      <c r="E248" s="21">
        <f t="shared" si="44"/>
        <v>1</v>
      </c>
      <c r="F248" s="667"/>
      <c r="G248" s="21">
        <f t="shared" si="45"/>
        <v>1</v>
      </c>
      <c r="H248" s="667"/>
      <c r="I248" s="21">
        <f t="shared" si="46"/>
        <v>1</v>
      </c>
      <c r="J248" s="667"/>
      <c r="K248" s="21">
        <f t="shared" si="47"/>
        <v>1</v>
      </c>
      <c r="L248" s="667"/>
      <c r="M248" s="21">
        <f t="shared" si="48"/>
        <v>1</v>
      </c>
      <c r="N248" s="667"/>
      <c r="O248" s="21">
        <f t="shared" si="49"/>
        <v>1</v>
      </c>
      <c r="P248" s="667"/>
      <c r="Q248" s="21">
        <f t="shared" si="50"/>
        <v>1</v>
      </c>
      <c r="R248" s="663">
        <f t="shared" si="51"/>
        <v>0</v>
      </c>
      <c r="S248" s="316">
        <f t="shared" si="52"/>
        <v>0</v>
      </c>
    </row>
    <row r="249" spans="1:19">
      <c r="A249" s="150"/>
      <c r="B249" s="54"/>
      <c r="C249" s="21">
        <f t="shared" si="43"/>
        <v>1</v>
      </c>
      <c r="D249" s="667"/>
      <c r="E249" s="21">
        <f t="shared" si="44"/>
        <v>1</v>
      </c>
      <c r="F249" s="667"/>
      <c r="G249" s="21">
        <f t="shared" si="45"/>
        <v>1</v>
      </c>
      <c r="H249" s="667"/>
      <c r="I249" s="21">
        <f t="shared" si="46"/>
        <v>1</v>
      </c>
      <c r="J249" s="667"/>
      <c r="K249" s="21">
        <f t="shared" si="47"/>
        <v>1</v>
      </c>
      <c r="L249" s="667"/>
      <c r="M249" s="21">
        <f t="shared" si="48"/>
        <v>1</v>
      </c>
      <c r="N249" s="667"/>
      <c r="O249" s="21">
        <f t="shared" si="49"/>
        <v>1</v>
      </c>
      <c r="P249" s="667"/>
      <c r="Q249" s="21">
        <f t="shared" si="50"/>
        <v>1</v>
      </c>
      <c r="R249" s="663">
        <f t="shared" si="51"/>
        <v>0</v>
      </c>
      <c r="S249" s="316">
        <f t="shared" si="52"/>
        <v>0</v>
      </c>
    </row>
    <row r="250" spans="1:19">
      <c r="A250" s="150"/>
      <c r="B250" s="54"/>
      <c r="C250" s="21">
        <f t="shared" si="43"/>
        <v>1</v>
      </c>
      <c r="D250" s="667"/>
      <c r="E250" s="21">
        <f t="shared" si="44"/>
        <v>1</v>
      </c>
      <c r="F250" s="667"/>
      <c r="G250" s="21">
        <f t="shared" si="45"/>
        <v>1</v>
      </c>
      <c r="H250" s="667"/>
      <c r="I250" s="21">
        <f t="shared" si="46"/>
        <v>1</v>
      </c>
      <c r="J250" s="667"/>
      <c r="K250" s="21">
        <f t="shared" si="47"/>
        <v>1</v>
      </c>
      <c r="L250" s="667"/>
      <c r="M250" s="21">
        <f t="shared" si="48"/>
        <v>1</v>
      </c>
      <c r="N250" s="667"/>
      <c r="O250" s="21">
        <f t="shared" si="49"/>
        <v>1</v>
      </c>
      <c r="P250" s="667"/>
      <c r="Q250" s="21">
        <f t="shared" si="50"/>
        <v>1</v>
      </c>
      <c r="R250" s="663">
        <f t="shared" si="51"/>
        <v>0</v>
      </c>
      <c r="S250" s="316">
        <f t="shared" si="52"/>
        <v>0</v>
      </c>
    </row>
    <row r="251" spans="1:19">
      <c r="A251" s="150"/>
      <c r="B251" s="54"/>
      <c r="C251" s="21">
        <f t="shared" si="43"/>
        <v>1</v>
      </c>
      <c r="D251" s="667"/>
      <c r="E251" s="21">
        <f t="shared" si="44"/>
        <v>1</v>
      </c>
      <c r="F251" s="667"/>
      <c r="G251" s="21">
        <f t="shared" si="45"/>
        <v>1</v>
      </c>
      <c r="H251" s="667"/>
      <c r="I251" s="21">
        <f t="shared" si="46"/>
        <v>1</v>
      </c>
      <c r="J251" s="667"/>
      <c r="K251" s="21">
        <f t="shared" si="47"/>
        <v>1</v>
      </c>
      <c r="L251" s="667"/>
      <c r="M251" s="21">
        <f t="shared" si="48"/>
        <v>1</v>
      </c>
      <c r="N251" s="667"/>
      <c r="O251" s="21">
        <f t="shared" si="49"/>
        <v>1</v>
      </c>
      <c r="P251" s="667"/>
      <c r="Q251" s="21">
        <f t="shared" si="50"/>
        <v>1</v>
      </c>
      <c r="R251" s="663">
        <f t="shared" si="51"/>
        <v>0</v>
      </c>
      <c r="S251" s="316">
        <f t="shared" si="52"/>
        <v>0</v>
      </c>
    </row>
    <row r="252" spans="1:19">
      <c r="A252" s="150"/>
      <c r="B252" s="54"/>
      <c r="C252" s="21">
        <f t="shared" si="43"/>
        <v>1</v>
      </c>
      <c r="D252" s="667"/>
      <c r="E252" s="21">
        <f t="shared" si="44"/>
        <v>1</v>
      </c>
      <c r="F252" s="667"/>
      <c r="G252" s="21">
        <f t="shared" si="45"/>
        <v>1</v>
      </c>
      <c r="H252" s="667"/>
      <c r="I252" s="21">
        <f t="shared" si="46"/>
        <v>1</v>
      </c>
      <c r="J252" s="667"/>
      <c r="K252" s="21">
        <f t="shared" si="47"/>
        <v>1</v>
      </c>
      <c r="L252" s="667"/>
      <c r="M252" s="21">
        <f t="shared" si="48"/>
        <v>1</v>
      </c>
      <c r="N252" s="667"/>
      <c r="O252" s="21">
        <f t="shared" si="49"/>
        <v>1</v>
      </c>
      <c r="P252" s="667"/>
      <c r="Q252" s="21">
        <f t="shared" si="50"/>
        <v>1</v>
      </c>
      <c r="R252" s="663">
        <f t="shared" si="51"/>
        <v>0</v>
      </c>
      <c r="S252" s="316">
        <f t="shared" si="52"/>
        <v>0</v>
      </c>
    </row>
    <row r="253" spans="1:19">
      <c r="A253" s="150"/>
      <c r="B253" s="54"/>
      <c r="C253" s="21">
        <f t="shared" si="43"/>
        <v>1</v>
      </c>
      <c r="D253" s="667"/>
      <c r="E253" s="21">
        <f t="shared" si="44"/>
        <v>1</v>
      </c>
      <c r="F253" s="667"/>
      <c r="G253" s="21">
        <f t="shared" si="45"/>
        <v>1</v>
      </c>
      <c r="H253" s="667"/>
      <c r="I253" s="21">
        <f t="shared" si="46"/>
        <v>1</v>
      </c>
      <c r="J253" s="667"/>
      <c r="K253" s="21">
        <f t="shared" si="47"/>
        <v>1</v>
      </c>
      <c r="L253" s="667"/>
      <c r="M253" s="21">
        <f t="shared" si="48"/>
        <v>1</v>
      </c>
      <c r="N253" s="667"/>
      <c r="O253" s="21">
        <f t="shared" si="49"/>
        <v>1</v>
      </c>
      <c r="P253" s="667"/>
      <c r="Q253" s="21">
        <f t="shared" si="50"/>
        <v>1</v>
      </c>
      <c r="R253" s="663">
        <f t="shared" si="51"/>
        <v>0</v>
      </c>
      <c r="S253" s="316">
        <f t="shared" si="52"/>
        <v>0</v>
      </c>
    </row>
    <row r="254" spans="1:19">
      <c r="A254" s="150"/>
      <c r="B254" s="54"/>
      <c r="C254" s="21">
        <f t="shared" si="43"/>
        <v>1</v>
      </c>
      <c r="D254" s="667"/>
      <c r="E254" s="21">
        <f t="shared" si="44"/>
        <v>1</v>
      </c>
      <c r="F254" s="667"/>
      <c r="G254" s="21">
        <f t="shared" si="45"/>
        <v>1</v>
      </c>
      <c r="H254" s="667"/>
      <c r="I254" s="21">
        <f t="shared" si="46"/>
        <v>1</v>
      </c>
      <c r="J254" s="667"/>
      <c r="K254" s="21">
        <f t="shared" si="47"/>
        <v>1</v>
      </c>
      <c r="L254" s="667"/>
      <c r="M254" s="21">
        <f t="shared" si="48"/>
        <v>1</v>
      </c>
      <c r="N254" s="667"/>
      <c r="O254" s="21">
        <f t="shared" si="49"/>
        <v>1</v>
      </c>
      <c r="P254" s="667"/>
      <c r="Q254" s="21">
        <f t="shared" si="50"/>
        <v>1</v>
      </c>
      <c r="R254" s="663">
        <f t="shared" si="51"/>
        <v>0</v>
      </c>
      <c r="S254" s="316">
        <f t="shared" si="52"/>
        <v>0</v>
      </c>
    </row>
    <row r="255" spans="1:19">
      <c r="A255" s="150"/>
      <c r="B255" s="54"/>
      <c r="C255" s="21">
        <f t="shared" si="43"/>
        <v>1</v>
      </c>
      <c r="D255" s="667"/>
      <c r="E255" s="21">
        <f t="shared" si="44"/>
        <v>1</v>
      </c>
      <c r="F255" s="667"/>
      <c r="G255" s="21">
        <f t="shared" si="45"/>
        <v>1</v>
      </c>
      <c r="H255" s="667"/>
      <c r="I255" s="21">
        <f t="shared" si="46"/>
        <v>1</v>
      </c>
      <c r="J255" s="667"/>
      <c r="K255" s="21">
        <f t="shared" si="47"/>
        <v>1</v>
      </c>
      <c r="L255" s="667"/>
      <c r="M255" s="21">
        <f t="shared" si="48"/>
        <v>1</v>
      </c>
      <c r="N255" s="667"/>
      <c r="O255" s="21">
        <f t="shared" si="49"/>
        <v>1</v>
      </c>
      <c r="P255" s="667"/>
      <c r="Q255" s="21">
        <f t="shared" si="50"/>
        <v>1</v>
      </c>
      <c r="R255" s="663">
        <f t="shared" si="51"/>
        <v>0</v>
      </c>
      <c r="S255" s="316">
        <f t="shared" si="52"/>
        <v>0</v>
      </c>
    </row>
    <row r="256" spans="1:19">
      <c r="A256" s="150"/>
      <c r="B256" s="54"/>
      <c r="C256" s="21">
        <f t="shared" si="43"/>
        <v>1</v>
      </c>
      <c r="D256" s="667"/>
      <c r="E256" s="21">
        <f t="shared" si="44"/>
        <v>1</v>
      </c>
      <c r="F256" s="667"/>
      <c r="G256" s="21">
        <f t="shared" si="45"/>
        <v>1</v>
      </c>
      <c r="H256" s="667"/>
      <c r="I256" s="21">
        <f t="shared" si="46"/>
        <v>1</v>
      </c>
      <c r="J256" s="667"/>
      <c r="K256" s="21">
        <f t="shared" si="47"/>
        <v>1</v>
      </c>
      <c r="L256" s="667"/>
      <c r="M256" s="21">
        <f t="shared" si="48"/>
        <v>1</v>
      </c>
      <c r="N256" s="667"/>
      <c r="O256" s="21">
        <f t="shared" si="49"/>
        <v>1</v>
      </c>
      <c r="P256" s="667"/>
      <c r="Q256" s="21">
        <f t="shared" si="50"/>
        <v>1</v>
      </c>
      <c r="R256" s="663">
        <f t="shared" si="51"/>
        <v>0</v>
      </c>
      <c r="S256" s="316">
        <f t="shared" si="52"/>
        <v>0</v>
      </c>
    </row>
    <row r="257" spans="1:19">
      <c r="A257" s="150"/>
      <c r="B257" s="54"/>
      <c r="C257" s="21">
        <f t="shared" si="43"/>
        <v>1</v>
      </c>
      <c r="D257" s="667"/>
      <c r="E257" s="21">
        <f t="shared" si="44"/>
        <v>1</v>
      </c>
      <c r="F257" s="667"/>
      <c r="G257" s="21">
        <f t="shared" si="45"/>
        <v>1</v>
      </c>
      <c r="H257" s="667"/>
      <c r="I257" s="21">
        <f t="shared" si="46"/>
        <v>1</v>
      </c>
      <c r="J257" s="667"/>
      <c r="K257" s="21">
        <f t="shared" si="47"/>
        <v>1</v>
      </c>
      <c r="L257" s="667"/>
      <c r="M257" s="21">
        <f t="shared" si="48"/>
        <v>1</v>
      </c>
      <c r="N257" s="667"/>
      <c r="O257" s="21">
        <f t="shared" si="49"/>
        <v>1</v>
      </c>
      <c r="P257" s="667"/>
      <c r="Q257" s="21">
        <f t="shared" si="50"/>
        <v>1</v>
      </c>
      <c r="R257" s="663">
        <f t="shared" si="51"/>
        <v>0</v>
      </c>
      <c r="S257" s="316">
        <f t="shared" si="52"/>
        <v>0</v>
      </c>
    </row>
    <row r="258" spans="1:19">
      <c r="A258" s="150"/>
      <c r="B258" s="54"/>
      <c r="C258" s="21">
        <f t="shared" si="43"/>
        <v>1</v>
      </c>
      <c r="D258" s="667"/>
      <c r="E258" s="21">
        <f t="shared" si="44"/>
        <v>1</v>
      </c>
      <c r="F258" s="667"/>
      <c r="G258" s="21">
        <f t="shared" si="45"/>
        <v>1</v>
      </c>
      <c r="H258" s="667"/>
      <c r="I258" s="21">
        <f t="shared" si="46"/>
        <v>1</v>
      </c>
      <c r="J258" s="667"/>
      <c r="K258" s="21">
        <f t="shared" si="47"/>
        <v>1</v>
      </c>
      <c r="L258" s="667"/>
      <c r="M258" s="21">
        <f t="shared" si="48"/>
        <v>1</v>
      </c>
      <c r="N258" s="667"/>
      <c r="O258" s="21">
        <f t="shared" si="49"/>
        <v>1</v>
      </c>
      <c r="P258" s="667"/>
      <c r="Q258" s="21">
        <f t="shared" si="50"/>
        <v>1</v>
      </c>
      <c r="R258" s="663">
        <f t="shared" si="51"/>
        <v>0</v>
      </c>
      <c r="S258" s="316">
        <f t="shared" si="52"/>
        <v>0</v>
      </c>
    </row>
    <row r="259" spans="1:19">
      <c r="A259" s="150"/>
      <c r="B259" s="54"/>
      <c r="C259" s="21">
        <f t="shared" si="43"/>
        <v>1</v>
      </c>
      <c r="D259" s="667"/>
      <c r="E259" s="21">
        <f t="shared" si="44"/>
        <v>1</v>
      </c>
      <c r="F259" s="667"/>
      <c r="G259" s="21">
        <f t="shared" si="45"/>
        <v>1</v>
      </c>
      <c r="H259" s="667"/>
      <c r="I259" s="21">
        <f t="shared" si="46"/>
        <v>1</v>
      </c>
      <c r="J259" s="667"/>
      <c r="K259" s="21">
        <f t="shared" si="47"/>
        <v>1</v>
      </c>
      <c r="L259" s="667"/>
      <c r="M259" s="21">
        <f t="shared" si="48"/>
        <v>1</v>
      </c>
      <c r="N259" s="667"/>
      <c r="O259" s="21">
        <f t="shared" si="49"/>
        <v>1</v>
      </c>
      <c r="P259" s="667"/>
      <c r="Q259" s="21">
        <f t="shared" si="50"/>
        <v>1</v>
      </c>
      <c r="R259" s="663">
        <f t="shared" si="51"/>
        <v>0</v>
      </c>
      <c r="S259" s="316">
        <f t="shared" si="52"/>
        <v>0</v>
      </c>
    </row>
    <row r="260" spans="1:19">
      <c r="A260" s="150"/>
      <c r="B260" s="54"/>
      <c r="C260" s="21">
        <f t="shared" si="43"/>
        <v>1</v>
      </c>
      <c r="D260" s="667"/>
      <c r="E260" s="21">
        <f t="shared" si="44"/>
        <v>1</v>
      </c>
      <c r="F260" s="667"/>
      <c r="G260" s="21">
        <f t="shared" si="45"/>
        <v>1</v>
      </c>
      <c r="H260" s="667"/>
      <c r="I260" s="21">
        <f t="shared" si="46"/>
        <v>1</v>
      </c>
      <c r="J260" s="667"/>
      <c r="K260" s="21">
        <f t="shared" si="47"/>
        <v>1</v>
      </c>
      <c r="L260" s="667"/>
      <c r="M260" s="21">
        <f t="shared" si="48"/>
        <v>1</v>
      </c>
      <c r="N260" s="667"/>
      <c r="O260" s="21">
        <f t="shared" si="49"/>
        <v>1</v>
      </c>
      <c r="P260" s="667"/>
      <c r="Q260" s="21">
        <f t="shared" si="50"/>
        <v>1</v>
      </c>
      <c r="R260" s="663">
        <f t="shared" si="51"/>
        <v>0</v>
      </c>
      <c r="S260" s="316">
        <f t="shared" si="52"/>
        <v>0</v>
      </c>
    </row>
    <row r="261" spans="1:19">
      <c r="A261" s="150"/>
      <c r="B261" s="54"/>
      <c r="C261" s="21">
        <f t="shared" si="43"/>
        <v>1</v>
      </c>
      <c r="D261" s="667"/>
      <c r="E261" s="21">
        <f t="shared" si="44"/>
        <v>1</v>
      </c>
      <c r="F261" s="667"/>
      <c r="G261" s="21">
        <f t="shared" si="45"/>
        <v>1</v>
      </c>
      <c r="H261" s="667"/>
      <c r="I261" s="21">
        <f t="shared" si="46"/>
        <v>1</v>
      </c>
      <c r="J261" s="667"/>
      <c r="K261" s="21">
        <f t="shared" si="47"/>
        <v>1</v>
      </c>
      <c r="L261" s="667"/>
      <c r="M261" s="21">
        <f t="shared" si="48"/>
        <v>1</v>
      </c>
      <c r="N261" s="667"/>
      <c r="O261" s="21">
        <f t="shared" si="49"/>
        <v>1</v>
      </c>
      <c r="P261" s="667"/>
      <c r="Q261" s="21">
        <f t="shared" si="50"/>
        <v>1</v>
      </c>
      <c r="R261" s="663">
        <f t="shared" si="51"/>
        <v>0</v>
      </c>
      <c r="S261" s="316">
        <f t="shared" si="52"/>
        <v>0</v>
      </c>
    </row>
    <row r="262" spans="1:19">
      <c r="A262" s="150"/>
      <c r="B262" s="54"/>
      <c r="C262" s="21">
        <f t="shared" si="43"/>
        <v>1</v>
      </c>
      <c r="D262" s="667"/>
      <c r="E262" s="21">
        <f t="shared" si="44"/>
        <v>1</v>
      </c>
      <c r="F262" s="667"/>
      <c r="G262" s="21">
        <f t="shared" si="45"/>
        <v>1</v>
      </c>
      <c r="H262" s="667"/>
      <c r="I262" s="21">
        <f t="shared" si="46"/>
        <v>1</v>
      </c>
      <c r="J262" s="667"/>
      <c r="K262" s="21">
        <f t="shared" si="47"/>
        <v>1</v>
      </c>
      <c r="L262" s="667"/>
      <c r="M262" s="21">
        <f t="shared" si="48"/>
        <v>1</v>
      </c>
      <c r="N262" s="667"/>
      <c r="O262" s="21">
        <f t="shared" si="49"/>
        <v>1</v>
      </c>
      <c r="P262" s="667"/>
      <c r="Q262" s="21">
        <f t="shared" si="50"/>
        <v>1</v>
      </c>
      <c r="R262" s="663">
        <f t="shared" si="51"/>
        <v>0</v>
      </c>
      <c r="S262" s="316">
        <f t="shared" si="52"/>
        <v>0</v>
      </c>
    </row>
    <row r="263" spans="1:19">
      <c r="A263" s="150"/>
      <c r="B263" s="54"/>
      <c r="C263" s="21">
        <f t="shared" si="43"/>
        <v>1</v>
      </c>
      <c r="D263" s="667"/>
      <c r="E263" s="21">
        <f t="shared" si="44"/>
        <v>1</v>
      </c>
      <c r="F263" s="667"/>
      <c r="G263" s="21">
        <f t="shared" si="45"/>
        <v>1</v>
      </c>
      <c r="H263" s="667"/>
      <c r="I263" s="21">
        <f t="shared" si="46"/>
        <v>1</v>
      </c>
      <c r="J263" s="667"/>
      <c r="K263" s="21">
        <f t="shared" si="47"/>
        <v>1</v>
      </c>
      <c r="L263" s="667"/>
      <c r="M263" s="21">
        <f t="shared" si="48"/>
        <v>1</v>
      </c>
      <c r="N263" s="667"/>
      <c r="O263" s="21">
        <f t="shared" si="49"/>
        <v>1</v>
      </c>
      <c r="P263" s="667"/>
      <c r="Q263" s="21">
        <f t="shared" si="50"/>
        <v>1</v>
      </c>
      <c r="R263" s="663">
        <f t="shared" si="51"/>
        <v>0</v>
      </c>
      <c r="S263" s="316">
        <f t="shared" si="52"/>
        <v>0</v>
      </c>
    </row>
    <row r="264" spans="1:19">
      <c r="A264" s="150"/>
      <c r="B264" s="54"/>
      <c r="C264" s="21">
        <f t="shared" si="43"/>
        <v>1</v>
      </c>
      <c r="D264" s="667"/>
      <c r="E264" s="21">
        <f t="shared" si="44"/>
        <v>1</v>
      </c>
      <c r="F264" s="667"/>
      <c r="G264" s="21">
        <f t="shared" si="45"/>
        <v>1</v>
      </c>
      <c r="H264" s="667"/>
      <c r="I264" s="21">
        <f t="shared" si="46"/>
        <v>1</v>
      </c>
      <c r="J264" s="667"/>
      <c r="K264" s="21">
        <f t="shared" si="47"/>
        <v>1</v>
      </c>
      <c r="L264" s="667"/>
      <c r="M264" s="21">
        <f t="shared" si="48"/>
        <v>1</v>
      </c>
      <c r="N264" s="667"/>
      <c r="O264" s="21">
        <f t="shared" si="49"/>
        <v>1</v>
      </c>
      <c r="P264" s="667"/>
      <c r="Q264" s="21">
        <f t="shared" si="50"/>
        <v>1</v>
      </c>
      <c r="R264" s="663">
        <f t="shared" si="51"/>
        <v>0</v>
      </c>
      <c r="S264" s="316">
        <f t="shared" si="52"/>
        <v>0</v>
      </c>
    </row>
    <row r="265" spans="1:19">
      <c r="A265" s="150"/>
      <c r="B265" s="54"/>
      <c r="C265" s="21">
        <f t="shared" si="43"/>
        <v>1</v>
      </c>
      <c r="D265" s="667"/>
      <c r="E265" s="21">
        <f t="shared" si="44"/>
        <v>1</v>
      </c>
      <c r="F265" s="667"/>
      <c r="G265" s="21">
        <f t="shared" si="45"/>
        <v>1</v>
      </c>
      <c r="H265" s="667"/>
      <c r="I265" s="21">
        <f t="shared" si="46"/>
        <v>1</v>
      </c>
      <c r="J265" s="667"/>
      <c r="K265" s="21">
        <f t="shared" si="47"/>
        <v>1</v>
      </c>
      <c r="L265" s="667"/>
      <c r="M265" s="21">
        <f t="shared" si="48"/>
        <v>1</v>
      </c>
      <c r="N265" s="667"/>
      <c r="O265" s="21">
        <f t="shared" si="49"/>
        <v>1</v>
      </c>
      <c r="P265" s="667"/>
      <c r="Q265" s="21">
        <f t="shared" si="50"/>
        <v>1</v>
      </c>
      <c r="R265" s="663">
        <f t="shared" si="51"/>
        <v>0</v>
      </c>
      <c r="S265" s="316">
        <f t="shared" si="52"/>
        <v>0</v>
      </c>
    </row>
    <row r="266" spans="1:19">
      <c r="A266" s="150"/>
      <c r="B266" s="54"/>
      <c r="C266" s="21">
        <f t="shared" si="43"/>
        <v>1</v>
      </c>
      <c r="D266" s="667"/>
      <c r="E266" s="21">
        <f t="shared" si="44"/>
        <v>1</v>
      </c>
      <c r="F266" s="667"/>
      <c r="G266" s="21">
        <f t="shared" si="45"/>
        <v>1</v>
      </c>
      <c r="H266" s="667"/>
      <c r="I266" s="21">
        <f t="shared" si="46"/>
        <v>1</v>
      </c>
      <c r="J266" s="667"/>
      <c r="K266" s="21">
        <f t="shared" si="47"/>
        <v>1</v>
      </c>
      <c r="L266" s="667"/>
      <c r="M266" s="21">
        <f t="shared" si="48"/>
        <v>1</v>
      </c>
      <c r="N266" s="667"/>
      <c r="O266" s="21">
        <f t="shared" si="49"/>
        <v>1</v>
      </c>
      <c r="P266" s="667"/>
      <c r="Q266" s="21">
        <f t="shared" si="50"/>
        <v>1</v>
      </c>
      <c r="R266" s="663">
        <f t="shared" si="51"/>
        <v>0</v>
      </c>
      <c r="S266" s="316">
        <f t="shared" si="52"/>
        <v>0</v>
      </c>
    </row>
    <row r="267" spans="1:19">
      <c r="A267" s="150"/>
      <c r="B267" s="54"/>
      <c r="C267" s="21">
        <f t="shared" si="43"/>
        <v>1</v>
      </c>
      <c r="D267" s="667"/>
      <c r="E267" s="21">
        <f t="shared" si="44"/>
        <v>1</v>
      </c>
      <c r="F267" s="667"/>
      <c r="G267" s="21">
        <f t="shared" si="45"/>
        <v>1</v>
      </c>
      <c r="H267" s="667"/>
      <c r="I267" s="21">
        <f t="shared" si="46"/>
        <v>1</v>
      </c>
      <c r="J267" s="667"/>
      <c r="K267" s="21">
        <f t="shared" si="47"/>
        <v>1</v>
      </c>
      <c r="L267" s="667"/>
      <c r="M267" s="21">
        <f t="shared" si="48"/>
        <v>1</v>
      </c>
      <c r="N267" s="667"/>
      <c r="O267" s="21">
        <f t="shared" si="49"/>
        <v>1</v>
      </c>
      <c r="P267" s="667"/>
      <c r="Q267" s="21">
        <f t="shared" si="50"/>
        <v>1</v>
      </c>
      <c r="R267" s="663">
        <f t="shared" si="51"/>
        <v>0</v>
      </c>
      <c r="S267" s="316">
        <f t="shared" si="52"/>
        <v>0</v>
      </c>
    </row>
    <row r="268" spans="1:19">
      <c r="A268" s="150"/>
      <c r="B268" s="54"/>
      <c r="C268" s="21">
        <f t="shared" si="43"/>
        <v>1</v>
      </c>
      <c r="D268" s="667"/>
      <c r="E268" s="21">
        <f t="shared" si="44"/>
        <v>1</v>
      </c>
      <c r="F268" s="667"/>
      <c r="G268" s="21">
        <f t="shared" si="45"/>
        <v>1</v>
      </c>
      <c r="H268" s="667"/>
      <c r="I268" s="21">
        <f t="shared" si="46"/>
        <v>1</v>
      </c>
      <c r="J268" s="667"/>
      <c r="K268" s="21">
        <f t="shared" si="47"/>
        <v>1</v>
      </c>
      <c r="L268" s="667"/>
      <c r="M268" s="21">
        <f t="shared" si="48"/>
        <v>1</v>
      </c>
      <c r="N268" s="667"/>
      <c r="O268" s="21">
        <f t="shared" si="49"/>
        <v>1</v>
      </c>
      <c r="P268" s="667"/>
      <c r="Q268" s="21">
        <f t="shared" si="50"/>
        <v>1</v>
      </c>
      <c r="R268" s="663">
        <f t="shared" si="51"/>
        <v>0</v>
      </c>
      <c r="S268" s="316">
        <f t="shared" si="52"/>
        <v>0</v>
      </c>
    </row>
    <row r="269" spans="1:19">
      <c r="A269" s="150"/>
      <c r="B269" s="54"/>
      <c r="C269" s="21">
        <f t="shared" si="43"/>
        <v>1</v>
      </c>
      <c r="D269" s="667"/>
      <c r="E269" s="21">
        <f t="shared" si="44"/>
        <v>1</v>
      </c>
      <c r="F269" s="667"/>
      <c r="G269" s="21">
        <f t="shared" si="45"/>
        <v>1</v>
      </c>
      <c r="H269" s="667"/>
      <c r="I269" s="21">
        <f t="shared" si="46"/>
        <v>1</v>
      </c>
      <c r="J269" s="667"/>
      <c r="K269" s="21">
        <f t="shared" si="47"/>
        <v>1</v>
      </c>
      <c r="L269" s="667"/>
      <c r="M269" s="21">
        <f t="shared" si="48"/>
        <v>1</v>
      </c>
      <c r="N269" s="667"/>
      <c r="O269" s="21">
        <f t="shared" si="49"/>
        <v>1</v>
      </c>
      <c r="P269" s="667"/>
      <c r="Q269" s="21">
        <f t="shared" si="50"/>
        <v>1</v>
      </c>
      <c r="R269" s="663">
        <f t="shared" si="51"/>
        <v>0</v>
      </c>
      <c r="S269" s="316">
        <f t="shared" si="52"/>
        <v>0</v>
      </c>
    </row>
    <row r="270" spans="1:19">
      <c r="A270" s="150"/>
      <c r="B270" s="54"/>
      <c r="C270" s="21">
        <f t="shared" si="43"/>
        <v>1</v>
      </c>
      <c r="D270" s="667"/>
      <c r="E270" s="21">
        <f t="shared" si="44"/>
        <v>1</v>
      </c>
      <c r="F270" s="667"/>
      <c r="G270" s="21">
        <f t="shared" si="45"/>
        <v>1</v>
      </c>
      <c r="H270" s="667"/>
      <c r="I270" s="21">
        <f t="shared" si="46"/>
        <v>1</v>
      </c>
      <c r="J270" s="667"/>
      <c r="K270" s="21">
        <f t="shared" si="47"/>
        <v>1</v>
      </c>
      <c r="L270" s="667"/>
      <c r="M270" s="21">
        <f t="shared" si="48"/>
        <v>1</v>
      </c>
      <c r="N270" s="667"/>
      <c r="O270" s="21">
        <f t="shared" si="49"/>
        <v>1</v>
      </c>
      <c r="P270" s="667"/>
      <c r="Q270" s="21">
        <f t="shared" si="50"/>
        <v>1</v>
      </c>
      <c r="R270" s="663">
        <f t="shared" si="51"/>
        <v>0</v>
      </c>
      <c r="S270" s="316">
        <f t="shared" si="52"/>
        <v>0</v>
      </c>
    </row>
    <row r="271" spans="1:19">
      <c r="A271" s="150"/>
      <c r="B271" s="54"/>
      <c r="C271" s="21">
        <f t="shared" si="43"/>
        <v>1</v>
      </c>
      <c r="D271" s="667"/>
      <c r="E271" s="21">
        <f t="shared" si="44"/>
        <v>1</v>
      </c>
      <c r="F271" s="667"/>
      <c r="G271" s="21">
        <f t="shared" si="45"/>
        <v>1</v>
      </c>
      <c r="H271" s="667"/>
      <c r="I271" s="21">
        <f t="shared" si="46"/>
        <v>1</v>
      </c>
      <c r="J271" s="667"/>
      <c r="K271" s="21">
        <f t="shared" si="47"/>
        <v>1</v>
      </c>
      <c r="L271" s="667"/>
      <c r="M271" s="21">
        <f t="shared" si="48"/>
        <v>1</v>
      </c>
      <c r="N271" s="667"/>
      <c r="O271" s="21">
        <f t="shared" si="49"/>
        <v>1</v>
      </c>
      <c r="P271" s="667"/>
      <c r="Q271" s="21">
        <f t="shared" si="50"/>
        <v>1</v>
      </c>
      <c r="R271" s="663">
        <f t="shared" si="51"/>
        <v>0</v>
      </c>
      <c r="S271" s="316">
        <f t="shared" si="52"/>
        <v>0</v>
      </c>
    </row>
    <row r="272" spans="1:19">
      <c r="A272" s="150"/>
      <c r="B272" s="54"/>
      <c r="C272" s="21">
        <f t="shared" si="43"/>
        <v>1</v>
      </c>
      <c r="D272" s="667"/>
      <c r="E272" s="21">
        <f t="shared" si="44"/>
        <v>1</v>
      </c>
      <c r="F272" s="667"/>
      <c r="G272" s="21">
        <f t="shared" si="45"/>
        <v>1</v>
      </c>
      <c r="H272" s="667"/>
      <c r="I272" s="21">
        <f t="shared" si="46"/>
        <v>1</v>
      </c>
      <c r="J272" s="667"/>
      <c r="K272" s="21">
        <f t="shared" si="47"/>
        <v>1</v>
      </c>
      <c r="L272" s="667"/>
      <c r="M272" s="21">
        <f t="shared" si="48"/>
        <v>1</v>
      </c>
      <c r="N272" s="667"/>
      <c r="O272" s="21">
        <f t="shared" si="49"/>
        <v>1</v>
      </c>
      <c r="P272" s="667"/>
      <c r="Q272" s="21">
        <f t="shared" si="50"/>
        <v>1</v>
      </c>
      <c r="R272" s="663">
        <f t="shared" si="51"/>
        <v>0</v>
      </c>
      <c r="S272" s="316">
        <f t="shared" si="52"/>
        <v>0</v>
      </c>
    </row>
    <row r="273" spans="1:19">
      <c r="A273" s="150"/>
      <c r="B273" s="54"/>
      <c r="C273" s="21">
        <f t="shared" si="43"/>
        <v>1</v>
      </c>
      <c r="D273" s="667"/>
      <c r="E273" s="21">
        <f t="shared" si="44"/>
        <v>1</v>
      </c>
      <c r="F273" s="667"/>
      <c r="G273" s="21">
        <f t="shared" si="45"/>
        <v>1</v>
      </c>
      <c r="H273" s="667"/>
      <c r="I273" s="21">
        <f t="shared" si="46"/>
        <v>1</v>
      </c>
      <c r="J273" s="667"/>
      <c r="K273" s="21">
        <f t="shared" si="47"/>
        <v>1</v>
      </c>
      <c r="L273" s="667"/>
      <c r="M273" s="21">
        <f t="shared" si="48"/>
        <v>1</v>
      </c>
      <c r="N273" s="667"/>
      <c r="O273" s="21">
        <f t="shared" si="49"/>
        <v>1</v>
      </c>
      <c r="P273" s="667"/>
      <c r="Q273" s="21">
        <f t="shared" si="50"/>
        <v>1</v>
      </c>
      <c r="R273" s="663">
        <f t="shared" si="51"/>
        <v>0</v>
      </c>
      <c r="S273" s="316">
        <f t="shared" si="52"/>
        <v>0</v>
      </c>
    </row>
    <row r="274" spans="1:19">
      <c r="A274" s="150"/>
      <c r="B274" s="54"/>
      <c r="C274" s="21">
        <f t="shared" si="43"/>
        <v>1</v>
      </c>
      <c r="D274" s="667"/>
      <c r="E274" s="21">
        <f t="shared" si="44"/>
        <v>1</v>
      </c>
      <c r="F274" s="667"/>
      <c r="G274" s="21">
        <f t="shared" si="45"/>
        <v>1</v>
      </c>
      <c r="H274" s="667"/>
      <c r="I274" s="21">
        <f t="shared" si="46"/>
        <v>1</v>
      </c>
      <c r="J274" s="667"/>
      <c r="K274" s="21">
        <f t="shared" si="47"/>
        <v>1</v>
      </c>
      <c r="L274" s="667"/>
      <c r="M274" s="21">
        <f t="shared" si="48"/>
        <v>1</v>
      </c>
      <c r="N274" s="667"/>
      <c r="O274" s="21">
        <f t="shared" si="49"/>
        <v>1</v>
      </c>
      <c r="P274" s="667"/>
      <c r="Q274" s="21">
        <f t="shared" si="50"/>
        <v>1</v>
      </c>
      <c r="R274" s="663">
        <f t="shared" si="51"/>
        <v>0</v>
      </c>
      <c r="S274" s="316">
        <f t="shared" si="52"/>
        <v>0</v>
      </c>
    </row>
    <row r="275" spans="1:19">
      <c r="A275" s="150"/>
      <c r="B275" s="54"/>
      <c r="C275" s="21">
        <f t="shared" si="43"/>
        <v>1</v>
      </c>
      <c r="D275" s="667"/>
      <c r="E275" s="21">
        <f t="shared" si="44"/>
        <v>1</v>
      </c>
      <c r="F275" s="667"/>
      <c r="G275" s="21">
        <f t="shared" si="45"/>
        <v>1</v>
      </c>
      <c r="H275" s="667"/>
      <c r="I275" s="21">
        <f t="shared" si="46"/>
        <v>1</v>
      </c>
      <c r="J275" s="667"/>
      <c r="K275" s="21">
        <f t="shared" si="47"/>
        <v>1</v>
      </c>
      <c r="L275" s="667"/>
      <c r="M275" s="21">
        <f t="shared" si="48"/>
        <v>1</v>
      </c>
      <c r="N275" s="667"/>
      <c r="O275" s="21">
        <f t="shared" si="49"/>
        <v>1</v>
      </c>
      <c r="P275" s="667"/>
      <c r="Q275" s="21">
        <f t="shared" si="50"/>
        <v>1</v>
      </c>
      <c r="R275" s="663">
        <f t="shared" si="51"/>
        <v>0</v>
      </c>
      <c r="S275" s="316">
        <f t="shared" si="52"/>
        <v>0</v>
      </c>
    </row>
    <row r="276" spans="1:19">
      <c r="A276" s="150"/>
      <c r="B276" s="54"/>
      <c r="C276" s="21">
        <f t="shared" si="43"/>
        <v>1</v>
      </c>
      <c r="D276" s="667"/>
      <c r="E276" s="21">
        <f t="shared" si="44"/>
        <v>1</v>
      </c>
      <c r="F276" s="667"/>
      <c r="G276" s="21">
        <f t="shared" si="45"/>
        <v>1</v>
      </c>
      <c r="H276" s="667"/>
      <c r="I276" s="21">
        <f t="shared" si="46"/>
        <v>1</v>
      </c>
      <c r="J276" s="667"/>
      <c r="K276" s="21">
        <f t="shared" si="47"/>
        <v>1</v>
      </c>
      <c r="L276" s="667"/>
      <c r="M276" s="21">
        <f t="shared" si="48"/>
        <v>1</v>
      </c>
      <c r="N276" s="667"/>
      <c r="O276" s="21">
        <f t="shared" si="49"/>
        <v>1</v>
      </c>
      <c r="P276" s="667"/>
      <c r="Q276" s="21">
        <f t="shared" si="50"/>
        <v>1</v>
      </c>
      <c r="R276" s="663">
        <f t="shared" si="51"/>
        <v>0</v>
      </c>
      <c r="S276" s="316">
        <f t="shared" si="52"/>
        <v>0</v>
      </c>
    </row>
    <row r="277" spans="1:19">
      <c r="A277" s="150"/>
      <c r="B277" s="54"/>
      <c r="C277" s="21">
        <f t="shared" si="43"/>
        <v>1</v>
      </c>
      <c r="D277" s="667"/>
      <c r="E277" s="21">
        <f t="shared" si="44"/>
        <v>1</v>
      </c>
      <c r="F277" s="667"/>
      <c r="G277" s="21">
        <f t="shared" si="45"/>
        <v>1</v>
      </c>
      <c r="H277" s="667"/>
      <c r="I277" s="21">
        <f t="shared" si="46"/>
        <v>1</v>
      </c>
      <c r="J277" s="667"/>
      <c r="K277" s="21">
        <f t="shared" si="47"/>
        <v>1</v>
      </c>
      <c r="L277" s="667"/>
      <c r="M277" s="21">
        <f t="shared" si="48"/>
        <v>1</v>
      </c>
      <c r="N277" s="667"/>
      <c r="O277" s="21">
        <f t="shared" si="49"/>
        <v>1</v>
      </c>
      <c r="P277" s="667"/>
      <c r="Q277" s="21">
        <f t="shared" si="50"/>
        <v>1</v>
      </c>
      <c r="R277" s="663">
        <f t="shared" si="51"/>
        <v>0</v>
      </c>
      <c r="S277" s="316">
        <f t="shared" si="52"/>
        <v>0</v>
      </c>
    </row>
    <row r="278" spans="1:19">
      <c r="A278" s="150"/>
      <c r="B278" s="54"/>
      <c r="C278" s="21">
        <f t="shared" si="43"/>
        <v>1</v>
      </c>
      <c r="D278" s="667"/>
      <c r="E278" s="21">
        <f t="shared" si="44"/>
        <v>1</v>
      </c>
      <c r="F278" s="667"/>
      <c r="G278" s="21">
        <f t="shared" si="45"/>
        <v>1</v>
      </c>
      <c r="H278" s="667"/>
      <c r="I278" s="21">
        <f t="shared" si="46"/>
        <v>1</v>
      </c>
      <c r="J278" s="667"/>
      <c r="K278" s="21">
        <f t="shared" si="47"/>
        <v>1</v>
      </c>
      <c r="L278" s="667"/>
      <c r="M278" s="21">
        <f t="shared" si="48"/>
        <v>1</v>
      </c>
      <c r="N278" s="667"/>
      <c r="O278" s="21">
        <f t="shared" si="49"/>
        <v>1</v>
      </c>
      <c r="P278" s="667"/>
      <c r="Q278" s="21">
        <f t="shared" si="50"/>
        <v>1</v>
      </c>
      <c r="R278" s="663">
        <f t="shared" si="51"/>
        <v>0</v>
      </c>
      <c r="S278" s="316">
        <f t="shared" si="52"/>
        <v>0</v>
      </c>
    </row>
    <row r="279" spans="1:19">
      <c r="A279" s="150"/>
      <c r="B279" s="54"/>
      <c r="C279" s="21">
        <f t="shared" si="43"/>
        <v>1</v>
      </c>
      <c r="D279" s="667"/>
      <c r="E279" s="21">
        <f t="shared" si="44"/>
        <v>1</v>
      </c>
      <c r="F279" s="667"/>
      <c r="G279" s="21">
        <f t="shared" si="45"/>
        <v>1</v>
      </c>
      <c r="H279" s="667"/>
      <c r="I279" s="21">
        <f t="shared" si="46"/>
        <v>1</v>
      </c>
      <c r="J279" s="667"/>
      <c r="K279" s="21">
        <f t="shared" si="47"/>
        <v>1</v>
      </c>
      <c r="L279" s="667"/>
      <c r="M279" s="21">
        <f t="shared" si="48"/>
        <v>1</v>
      </c>
      <c r="N279" s="667"/>
      <c r="O279" s="21">
        <f t="shared" si="49"/>
        <v>1</v>
      </c>
      <c r="P279" s="667"/>
      <c r="Q279" s="21">
        <f t="shared" si="50"/>
        <v>1</v>
      </c>
      <c r="R279" s="663">
        <f t="shared" si="51"/>
        <v>0</v>
      </c>
      <c r="S279" s="316">
        <f t="shared" si="52"/>
        <v>0</v>
      </c>
    </row>
    <row r="280" spans="1:19">
      <c r="A280" s="150"/>
      <c r="B280" s="54"/>
      <c r="C280" s="21">
        <f t="shared" si="43"/>
        <v>1</v>
      </c>
      <c r="D280" s="667"/>
      <c r="E280" s="21">
        <f t="shared" si="44"/>
        <v>1</v>
      </c>
      <c r="F280" s="667"/>
      <c r="G280" s="21">
        <f t="shared" si="45"/>
        <v>1</v>
      </c>
      <c r="H280" s="667"/>
      <c r="I280" s="21">
        <f t="shared" si="46"/>
        <v>1</v>
      </c>
      <c r="J280" s="667"/>
      <c r="K280" s="21">
        <f t="shared" si="47"/>
        <v>1</v>
      </c>
      <c r="L280" s="667"/>
      <c r="M280" s="21">
        <f t="shared" si="48"/>
        <v>1</v>
      </c>
      <c r="N280" s="667"/>
      <c r="O280" s="21">
        <f t="shared" si="49"/>
        <v>1</v>
      </c>
      <c r="P280" s="667"/>
      <c r="Q280" s="21">
        <f t="shared" si="50"/>
        <v>1</v>
      </c>
      <c r="R280" s="663">
        <f t="shared" si="51"/>
        <v>0</v>
      </c>
      <c r="S280" s="316">
        <f t="shared" si="52"/>
        <v>0</v>
      </c>
    </row>
    <row r="281" spans="1:19">
      <c r="A281" s="150"/>
      <c r="B281" s="54"/>
      <c r="C281" s="21">
        <f t="shared" si="43"/>
        <v>1</v>
      </c>
      <c r="D281" s="667"/>
      <c r="E281" s="21">
        <f t="shared" si="44"/>
        <v>1</v>
      </c>
      <c r="F281" s="667"/>
      <c r="G281" s="21">
        <f t="shared" si="45"/>
        <v>1</v>
      </c>
      <c r="H281" s="667"/>
      <c r="I281" s="21">
        <f t="shared" si="46"/>
        <v>1</v>
      </c>
      <c r="J281" s="667"/>
      <c r="K281" s="21">
        <f t="shared" si="47"/>
        <v>1</v>
      </c>
      <c r="L281" s="667"/>
      <c r="M281" s="21">
        <f t="shared" si="48"/>
        <v>1</v>
      </c>
      <c r="N281" s="667"/>
      <c r="O281" s="21">
        <f t="shared" si="49"/>
        <v>1</v>
      </c>
      <c r="P281" s="667"/>
      <c r="Q281" s="21">
        <f t="shared" si="50"/>
        <v>1</v>
      </c>
      <c r="R281" s="663">
        <f t="shared" si="51"/>
        <v>0</v>
      </c>
      <c r="S281" s="316">
        <f t="shared" si="52"/>
        <v>0</v>
      </c>
    </row>
    <row r="282" spans="1:19">
      <c r="A282" s="150"/>
      <c r="B282" s="54"/>
      <c r="C282" s="21">
        <f t="shared" ref="C282:C345" si="53">IF(B282="",1,(LOOKUP(B282,$3:$3,$4:$4)-LOOKUP($B$24,$3:$3,$4:$4)+100)/100)</f>
        <v>1</v>
      </c>
      <c r="D282" s="667"/>
      <c r="E282" s="21">
        <f t="shared" ref="E282:E345" si="54">(SUMIF($5:$5,D282,$6:$6)-SUMIF($5:$5,$D$24,$6:$6)+100)/100</f>
        <v>1</v>
      </c>
      <c r="F282" s="667"/>
      <c r="G282" s="21">
        <f t="shared" ref="G282:G345" si="55">(SUMIF($7:$7,F282,$8:$8)-SUMIF($7:$7,$F$24,$8:$8)+100)/100</f>
        <v>1</v>
      </c>
      <c r="H282" s="667"/>
      <c r="I282" s="21">
        <f t="shared" ref="I282:I345" si="56">(SUMIF($9:$9,H282,$10:$10)-SUMIF($9:$9,$H$24,$10:$10)+100)/100</f>
        <v>1</v>
      </c>
      <c r="J282" s="667"/>
      <c r="K282" s="21">
        <f t="shared" ref="K282:K345" si="57">(SUMIF($11:$11,J282,$12:$12)-SUMIF($11:$11,$J$24,$12:$12)+100)/100</f>
        <v>1</v>
      </c>
      <c r="L282" s="667"/>
      <c r="M282" s="21">
        <f t="shared" ref="M282:M345" si="58">(SUMIF($13:$13,L282,$14:$14)-SUMIF($13:$13,$L$24,$14:$14)+100)/100</f>
        <v>1</v>
      </c>
      <c r="N282" s="667"/>
      <c r="O282" s="21">
        <f t="shared" ref="O282:O345" si="59">(SUMIF($15:$15,N282,$16:$16)-SUMIF($15:$15,$N$24,$16:$16)+100)/100</f>
        <v>1</v>
      </c>
      <c r="P282" s="667"/>
      <c r="Q282" s="21">
        <f t="shared" ref="Q282:Q345" si="60">(SUMIF($17:$17,P282,$18:$18)-SUMIF($17:$17,$P$24,$18:$18)+100)/100</f>
        <v>1</v>
      </c>
      <c r="R282" s="663">
        <f t="shared" ref="R282:R345" si="61">IF(B282="",0,ROUND($R$24*C282*E282*G282*I282*K282*M282*O282*Q282,0))</f>
        <v>0</v>
      </c>
      <c r="S282" s="316">
        <f t="shared" si="52"/>
        <v>0</v>
      </c>
    </row>
    <row r="283" spans="1:19">
      <c r="A283" s="150"/>
      <c r="B283" s="54"/>
      <c r="C283" s="21">
        <f t="shared" si="53"/>
        <v>1</v>
      </c>
      <c r="D283" s="667"/>
      <c r="E283" s="21">
        <f t="shared" si="54"/>
        <v>1</v>
      </c>
      <c r="F283" s="667"/>
      <c r="G283" s="21">
        <f t="shared" si="55"/>
        <v>1</v>
      </c>
      <c r="H283" s="667"/>
      <c r="I283" s="21">
        <f t="shared" si="56"/>
        <v>1</v>
      </c>
      <c r="J283" s="667"/>
      <c r="K283" s="21">
        <f t="shared" si="57"/>
        <v>1</v>
      </c>
      <c r="L283" s="667"/>
      <c r="M283" s="21">
        <f t="shared" si="58"/>
        <v>1</v>
      </c>
      <c r="N283" s="667"/>
      <c r="O283" s="21">
        <f t="shared" si="59"/>
        <v>1</v>
      </c>
      <c r="P283" s="667"/>
      <c r="Q283" s="21">
        <f t="shared" si="60"/>
        <v>1</v>
      </c>
      <c r="R283" s="663">
        <f t="shared" si="61"/>
        <v>0</v>
      </c>
      <c r="S283" s="316">
        <f t="shared" si="52"/>
        <v>0</v>
      </c>
    </row>
    <row r="284" spans="1:19">
      <c r="A284" s="150"/>
      <c r="B284" s="54"/>
      <c r="C284" s="21">
        <f t="shared" si="53"/>
        <v>1</v>
      </c>
      <c r="D284" s="667"/>
      <c r="E284" s="21">
        <f t="shared" si="54"/>
        <v>1</v>
      </c>
      <c r="F284" s="667"/>
      <c r="G284" s="21">
        <f t="shared" si="55"/>
        <v>1</v>
      </c>
      <c r="H284" s="667"/>
      <c r="I284" s="21">
        <f t="shared" si="56"/>
        <v>1</v>
      </c>
      <c r="J284" s="667"/>
      <c r="K284" s="21">
        <f t="shared" si="57"/>
        <v>1</v>
      </c>
      <c r="L284" s="667"/>
      <c r="M284" s="21">
        <f t="shared" si="58"/>
        <v>1</v>
      </c>
      <c r="N284" s="667"/>
      <c r="O284" s="21">
        <f t="shared" si="59"/>
        <v>1</v>
      </c>
      <c r="P284" s="667"/>
      <c r="Q284" s="21">
        <f t="shared" si="60"/>
        <v>1</v>
      </c>
      <c r="R284" s="663">
        <f t="shared" si="61"/>
        <v>0</v>
      </c>
      <c r="S284" s="316">
        <f t="shared" si="52"/>
        <v>0</v>
      </c>
    </row>
    <row r="285" spans="1:19">
      <c r="A285" s="150"/>
      <c r="B285" s="54"/>
      <c r="C285" s="21">
        <f t="shared" si="53"/>
        <v>1</v>
      </c>
      <c r="D285" s="667"/>
      <c r="E285" s="21">
        <f t="shared" si="54"/>
        <v>1</v>
      </c>
      <c r="F285" s="667"/>
      <c r="G285" s="21">
        <f t="shared" si="55"/>
        <v>1</v>
      </c>
      <c r="H285" s="667"/>
      <c r="I285" s="21">
        <f t="shared" si="56"/>
        <v>1</v>
      </c>
      <c r="J285" s="667"/>
      <c r="K285" s="21">
        <f t="shared" si="57"/>
        <v>1</v>
      </c>
      <c r="L285" s="667"/>
      <c r="M285" s="21">
        <f t="shared" si="58"/>
        <v>1</v>
      </c>
      <c r="N285" s="667"/>
      <c r="O285" s="21">
        <f t="shared" si="59"/>
        <v>1</v>
      </c>
      <c r="P285" s="667"/>
      <c r="Q285" s="21">
        <f t="shared" si="60"/>
        <v>1</v>
      </c>
      <c r="R285" s="663">
        <f t="shared" si="61"/>
        <v>0</v>
      </c>
      <c r="S285" s="316">
        <f t="shared" si="52"/>
        <v>0</v>
      </c>
    </row>
    <row r="286" spans="1:19">
      <c r="A286" s="150"/>
      <c r="B286" s="54"/>
      <c r="C286" s="21">
        <f t="shared" si="53"/>
        <v>1</v>
      </c>
      <c r="D286" s="667"/>
      <c r="E286" s="21">
        <f t="shared" si="54"/>
        <v>1</v>
      </c>
      <c r="F286" s="667"/>
      <c r="G286" s="21">
        <f t="shared" si="55"/>
        <v>1</v>
      </c>
      <c r="H286" s="667"/>
      <c r="I286" s="21">
        <f t="shared" si="56"/>
        <v>1</v>
      </c>
      <c r="J286" s="667"/>
      <c r="K286" s="21">
        <f t="shared" si="57"/>
        <v>1</v>
      </c>
      <c r="L286" s="667"/>
      <c r="M286" s="21">
        <f t="shared" si="58"/>
        <v>1</v>
      </c>
      <c r="N286" s="667"/>
      <c r="O286" s="21">
        <f t="shared" si="59"/>
        <v>1</v>
      </c>
      <c r="P286" s="667"/>
      <c r="Q286" s="21">
        <f t="shared" si="60"/>
        <v>1</v>
      </c>
      <c r="R286" s="663">
        <f t="shared" si="61"/>
        <v>0</v>
      </c>
      <c r="S286" s="316">
        <f t="shared" si="52"/>
        <v>0</v>
      </c>
    </row>
    <row r="287" spans="1:19">
      <c r="A287" s="150"/>
      <c r="B287" s="54"/>
      <c r="C287" s="21">
        <f t="shared" si="53"/>
        <v>1</v>
      </c>
      <c r="D287" s="667"/>
      <c r="E287" s="21">
        <f t="shared" si="54"/>
        <v>1</v>
      </c>
      <c r="F287" s="667"/>
      <c r="G287" s="21">
        <f t="shared" si="55"/>
        <v>1</v>
      </c>
      <c r="H287" s="667"/>
      <c r="I287" s="21">
        <f t="shared" si="56"/>
        <v>1</v>
      </c>
      <c r="J287" s="667"/>
      <c r="K287" s="21">
        <f t="shared" si="57"/>
        <v>1</v>
      </c>
      <c r="L287" s="667"/>
      <c r="M287" s="21">
        <f t="shared" si="58"/>
        <v>1</v>
      </c>
      <c r="N287" s="667"/>
      <c r="O287" s="21">
        <f t="shared" si="59"/>
        <v>1</v>
      </c>
      <c r="P287" s="667"/>
      <c r="Q287" s="21">
        <f t="shared" si="60"/>
        <v>1</v>
      </c>
      <c r="R287" s="663">
        <f t="shared" si="61"/>
        <v>0</v>
      </c>
      <c r="S287" s="316">
        <f t="shared" ref="S287:S320" si="62">ROUND(R287*B287/10000,0)</f>
        <v>0</v>
      </c>
    </row>
    <row r="288" spans="1:19">
      <c r="A288" s="150"/>
      <c r="B288" s="54"/>
      <c r="C288" s="21">
        <f t="shared" si="53"/>
        <v>1</v>
      </c>
      <c r="D288" s="667"/>
      <c r="E288" s="21">
        <f t="shared" si="54"/>
        <v>1</v>
      </c>
      <c r="F288" s="667"/>
      <c r="G288" s="21">
        <f t="shared" si="55"/>
        <v>1</v>
      </c>
      <c r="H288" s="667"/>
      <c r="I288" s="21">
        <f t="shared" si="56"/>
        <v>1</v>
      </c>
      <c r="J288" s="667"/>
      <c r="K288" s="21">
        <f t="shared" si="57"/>
        <v>1</v>
      </c>
      <c r="L288" s="667"/>
      <c r="M288" s="21">
        <f t="shared" si="58"/>
        <v>1</v>
      </c>
      <c r="N288" s="667"/>
      <c r="O288" s="21">
        <f t="shared" si="59"/>
        <v>1</v>
      </c>
      <c r="P288" s="667"/>
      <c r="Q288" s="21">
        <f t="shared" si="60"/>
        <v>1</v>
      </c>
      <c r="R288" s="663">
        <f t="shared" si="61"/>
        <v>0</v>
      </c>
      <c r="S288" s="316">
        <f t="shared" si="62"/>
        <v>0</v>
      </c>
    </row>
    <row r="289" spans="1:19">
      <c r="A289" s="150"/>
      <c r="B289" s="54"/>
      <c r="C289" s="21">
        <f t="shared" si="53"/>
        <v>1</v>
      </c>
      <c r="D289" s="667"/>
      <c r="E289" s="21">
        <f t="shared" si="54"/>
        <v>1</v>
      </c>
      <c r="F289" s="667"/>
      <c r="G289" s="21">
        <f t="shared" si="55"/>
        <v>1</v>
      </c>
      <c r="H289" s="667"/>
      <c r="I289" s="21">
        <f t="shared" si="56"/>
        <v>1</v>
      </c>
      <c r="J289" s="667"/>
      <c r="K289" s="21">
        <f t="shared" si="57"/>
        <v>1</v>
      </c>
      <c r="L289" s="667"/>
      <c r="M289" s="21">
        <f t="shared" si="58"/>
        <v>1</v>
      </c>
      <c r="N289" s="667"/>
      <c r="O289" s="21">
        <f t="shared" si="59"/>
        <v>1</v>
      </c>
      <c r="P289" s="667"/>
      <c r="Q289" s="21">
        <f t="shared" si="60"/>
        <v>1</v>
      </c>
      <c r="R289" s="663">
        <f t="shared" si="61"/>
        <v>0</v>
      </c>
      <c r="S289" s="316">
        <f t="shared" si="62"/>
        <v>0</v>
      </c>
    </row>
    <row r="290" spans="1:19">
      <c r="A290" s="150"/>
      <c r="B290" s="54"/>
      <c r="C290" s="21">
        <f t="shared" si="53"/>
        <v>1</v>
      </c>
      <c r="D290" s="667"/>
      <c r="E290" s="21">
        <f t="shared" si="54"/>
        <v>1</v>
      </c>
      <c r="F290" s="667"/>
      <c r="G290" s="21">
        <f t="shared" si="55"/>
        <v>1</v>
      </c>
      <c r="H290" s="667"/>
      <c r="I290" s="21">
        <f t="shared" si="56"/>
        <v>1</v>
      </c>
      <c r="J290" s="667"/>
      <c r="K290" s="21">
        <f t="shared" si="57"/>
        <v>1</v>
      </c>
      <c r="L290" s="667"/>
      <c r="M290" s="21">
        <f t="shared" si="58"/>
        <v>1</v>
      </c>
      <c r="N290" s="667"/>
      <c r="O290" s="21">
        <f t="shared" si="59"/>
        <v>1</v>
      </c>
      <c r="P290" s="667"/>
      <c r="Q290" s="21">
        <f t="shared" si="60"/>
        <v>1</v>
      </c>
      <c r="R290" s="663">
        <f t="shared" si="61"/>
        <v>0</v>
      </c>
      <c r="S290" s="316">
        <f t="shared" si="62"/>
        <v>0</v>
      </c>
    </row>
    <row r="291" spans="1:19">
      <c r="A291" s="150"/>
      <c r="B291" s="54"/>
      <c r="C291" s="21">
        <f t="shared" si="53"/>
        <v>1</v>
      </c>
      <c r="D291" s="667"/>
      <c r="E291" s="21">
        <f t="shared" si="54"/>
        <v>1</v>
      </c>
      <c r="F291" s="667"/>
      <c r="G291" s="21">
        <f t="shared" si="55"/>
        <v>1</v>
      </c>
      <c r="H291" s="667"/>
      <c r="I291" s="21">
        <f t="shared" si="56"/>
        <v>1</v>
      </c>
      <c r="J291" s="667"/>
      <c r="K291" s="21">
        <f t="shared" si="57"/>
        <v>1</v>
      </c>
      <c r="L291" s="667"/>
      <c r="M291" s="21">
        <f t="shared" si="58"/>
        <v>1</v>
      </c>
      <c r="N291" s="667"/>
      <c r="O291" s="21">
        <f t="shared" si="59"/>
        <v>1</v>
      </c>
      <c r="P291" s="667"/>
      <c r="Q291" s="21">
        <f t="shared" si="60"/>
        <v>1</v>
      </c>
      <c r="R291" s="663">
        <f t="shared" si="61"/>
        <v>0</v>
      </c>
      <c r="S291" s="316">
        <f t="shared" si="62"/>
        <v>0</v>
      </c>
    </row>
    <row r="292" spans="1:19">
      <c r="A292" s="150"/>
      <c r="B292" s="54"/>
      <c r="C292" s="21">
        <f t="shared" si="53"/>
        <v>1</v>
      </c>
      <c r="D292" s="667"/>
      <c r="E292" s="21">
        <f t="shared" si="54"/>
        <v>1</v>
      </c>
      <c r="F292" s="667"/>
      <c r="G292" s="21">
        <f t="shared" si="55"/>
        <v>1</v>
      </c>
      <c r="H292" s="667"/>
      <c r="I292" s="21">
        <f t="shared" si="56"/>
        <v>1</v>
      </c>
      <c r="J292" s="667"/>
      <c r="K292" s="21">
        <f t="shared" si="57"/>
        <v>1</v>
      </c>
      <c r="L292" s="667"/>
      <c r="M292" s="21">
        <f t="shared" si="58"/>
        <v>1</v>
      </c>
      <c r="N292" s="667"/>
      <c r="O292" s="21">
        <f t="shared" si="59"/>
        <v>1</v>
      </c>
      <c r="P292" s="667"/>
      <c r="Q292" s="21">
        <f t="shared" si="60"/>
        <v>1</v>
      </c>
      <c r="R292" s="663">
        <f t="shared" si="61"/>
        <v>0</v>
      </c>
      <c r="S292" s="316">
        <f t="shared" si="62"/>
        <v>0</v>
      </c>
    </row>
    <row r="293" spans="1:19">
      <c r="A293" s="150"/>
      <c r="B293" s="54"/>
      <c r="C293" s="21">
        <f t="shared" si="53"/>
        <v>1</v>
      </c>
      <c r="D293" s="667"/>
      <c r="E293" s="21">
        <f t="shared" si="54"/>
        <v>1</v>
      </c>
      <c r="F293" s="667"/>
      <c r="G293" s="21">
        <f t="shared" si="55"/>
        <v>1</v>
      </c>
      <c r="H293" s="667"/>
      <c r="I293" s="21">
        <f t="shared" si="56"/>
        <v>1</v>
      </c>
      <c r="J293" s="667"/>
      <c r="K293" s="21">
        <f t="shared" si="57"/>
        <v>1</v>
      </c>
      <c r="L293" s="667"/>
      <c r="M293" s="21">
        <f t="shared" si="58"/>
        <v>1</v>
      </c>
      <c r="N293" s="667"/>
      <c r="O293" s="21">
        <f t="shared" si="59"/>
        <v>1</v>
      </c>
      <c r="P293" s="667"/>
      <c r="Q293" s="21">
        <f t="shared" si="60"/>
        <v>1</v>
      </c>
      <c r="R293" s="663">
        <f t="shared" si="61"/>
        <v>0</v>
      </c>
      <c r="S293" s="316">
        <f t="shared" si="62"/>
        <v>0</v>
      </c>
    </row>
    <row r="294" spans="1:19">
      <c r="A294" s="150"/>
      <c r="B294" s="54"/>
      <c r="C294" s="21">
        <f t="shared" si="53"/>
        <v>1</v>
      </c>
      <c r="D294" s="667"/>
      <c r="E294" s="21">
        <f t="shared" si="54"/>
        <v>1</v>
      </c>
      <c r="F294" s="667"/>
      <c r="G294" s="21">
        <f t="shared" si="55"/>
        <v>1</v>
      </c>
      <c r="H294" s="667"/>
      <c r="I294" s="21">
        <f t="shared" si="56"/>
        <v>1</v>
      </c>
      <c r="J294" s="667"/>
      <c r="K294" s="21">
        <f t="shared" si="57"/>
        <v>1</v>
      </c>
      <c r="L294" s="667"/>
      <c r="M294" s="21">
        <f t="shared" si="58"/>
        <v>1</v>
      </c>
      <c r="N294" s="667"/>
      <c r="O294" s="21">
        <f t="shared" si="59"/>
        <v>1</v>
      </c>
      <c r="P294" s="667"/>
      <c r="Q294" s="21">
        <f t="shared" si="60"/>
        <v>1</v>
      </c>
      <c r="R294" s="663">
        <f t="shared" si="61"/>
        <v>0</v>
      </c>
      <c r="S294" s="316">
        <f t="shared" si="62"/>
        <v>0</v>
      </c>
    </row>
    <row r="295" spans="1:19">
      <c r="A295" s="150"/>
      <c r="B295" s="54"/>
      <c r="C295" s="21">
        <f t="shared" si="53"/>
        <v>1</v>
      </c>
      <c r="D295" s="667"/>
      <c r="E295" s="21">
        <f t="shared" si="54"/>
        <v>1</v>
      </c>
      <c r="F295" s="667"/>
      <c r="G295" s="21">
        <f t="shared" si="55"/>
        <v>1</v>
      </c>
      <c r="H295" s="667"/>
      <c r="I295" s="21">
        <f t="shared" si="56"/>
        <v>1</v>
      </c>
      <c r="J295" s="667"/>
      <c r="K295" s="21">
        <f t="shared" si="57"/>
        <v>1</v>
      </c>
      <c r="L295" s="667"/>
      <c r="M295" s="21">
        <f t="shared" si="58"/>
        <v>1</v>
      </c>
      <c r="N295" s="667"/>
      <c r="O295" s="21">
        <f t="shared" si="59"/>
        <v>1</v>
      </c>
      <c r="P295" s="667"/>
      <c r="Q295" s="21">
        <f t="shared" si="60"/>
        <v>1</v>
      </c>
      <c r="R295" s="663">
        <f t="shared" si="61"/>
        <v>0</v>
      </c>
      <c r="S295" s="316">
        <f t="shared" si="62"/>
        <v>0</v>
      </c>
    </row>
    <row r="296" spans="1:19">
      <c r="A296" s="150"/>
      <c r="B296" s="54"/>
      <c r="C296" s="21">
        <f t="shared" si="53"/>
        <v>1</v>
      </c>
      <c r="D296" s="667"/>
      <c r="E296" s="21">
        <f t="shared" si="54"/>
        <v>1</v>
      </c>
      <c r="F296" s="667"/>
      <c r="G296" s="21">
        <f t="shared" si="55"/>
        <v>1</v>
      </c>
      <c r="H296" s="667"/>
      <c r="I296" s="21">
        <f t="shared" si="56"/>
        <v>1</v>
      </c>
      <c r="J296" s="667"/>
      <c r="K296" s="21">
        <f t="shared" si="57"/>
        <v>1</v>
      </c>
      <c r="L296" s="667"/>
      <c r="M296" s="21">
        <f t="shared" si="58"/>
        <v>1</v>
      </c>
      <c r="N296" s="667"/>
      <c r="O296" s="21">
        <f t="shared" si="59"/>
        <v>1</v>
      </c>
      <c r="P296" s="667"/>
      <c r="Q296" s="21">
        <f t="shared" si="60"/>
        <v>1</v>
      </c>
      <c r="R296" s="663">
        <f t="shared" si="61"/>
        <v>0</v>
      </c>
      <c r="S296" s="316">
        <f t="shared" si="62"/>
        <v>0</v>
      </c>
    </row>
    <row r="297" spans="1:19">
      <c r="A297" s="150"/>
      <c r="B297" s="54"/>
      <c r="C297" s="21">
        <f t="shared" si="53"/>
        <v>1</v>
      </c>
      <c r="D297" s="667"/>
      <c r="E297" s="21">
        <f t="shared" si="54"/>
        <v>1</v>
      </c>
      <c r="F297" s="667"/>
      <c r="G297" s="21">
        <f t="shared" si="55"/>
        <v>1</v>
      </c>
      <c r="H297" s="667"/>
      <c r="I297" s="21">
        <f t="shared" si="56"/>
        <v>1</v>
      </c>
      <c r="J297" s="667"/>
      <c r="K297" s="21">
        <f t="shared" si="57"/>
        <v>1</v>
      </c>
      <c r="L297" s="667"/>
      <c r="M297" s="21">
        <f t="shared" si="58"/>
        <v>1</v>
      </c>
      <c r="N297" s="667"/>
      <c r="O297" s="21">
        <f t="shared" si="59"/>
        <v>1</v>
      </c>
      <c r="P297" s="667"/>
      <c r="Q297" s="21">
        <f t="shared" si="60"/>
        <v>1</v>
      </c>
      <c r="R297" s="663">
        <f t="shared" si="61"/>
        <v>0</v>
      </c>
      <c r="S297" s="316">
        <f t="shared" si="62"/>
        <v>0</v>
      </c>
    </row>
    <row r="298" spans="1:19">
      <c r="A298" s="150"/>
      <c r="B298" s="54"/>
      <c r="C298" s="21">
        <f t="shared" si="53"/>
        <v>1</v>
      </c>
      <c r="D298" s="667"/>
      <c r="E298" s="21">
        <f t="shared" si="54"/>
        <v>1</v>
      </c>
      <c r="F298" s="667"/>
      <c r="G298" s="21">
        <f t="shared" si="55"/>
        <v>1</v>
      </c>
      <c r="H298" s="667"/>
      <c r="I298" s="21">
        <f t="shared" si="56"/>
        <v>1</v>
      </c>
      <c r="J298" s="667"/>
      <c r="K298" s="21">
        <f t="shared" si="57"/>
        <v>1</v>
      </c>
      <c r="L298" s="667"/>
      <c r="M298" s="21">
        <f t="shared" si="58"/>
        <v>1</v>
      </c>
      <c r="N298" s="667"/>
      <c r="O298" s="21">
        <f t="shared" si="59"/>
        <v>1</v>
      </c>
      <c r="P298" s="667"/>
      <c r="Q298" s="21">
        <f t="shared" si="60"/>
        <v>1</v>
      </c>
      <c r="R298" s="663">
        <f t="shared" si="61"/>
        <v>0</v>
      </c>
      <c r="S298" s="316">
        <f t="shared" si="62"/>
        <v>0</v>
      </c>
    </row>
    <row r="299" spans="1:19">
      <c r="A299" s="150"/>
      <c r="B299" s="54"/>
      <c r="C299" s="21">
        <f t="shared" si="53"/>
        <v>1</v>
      </c>
      <c r="D299" s="667"/>
      <c r="E299" s="21">
        <f t="shared" si="54"/>
        <v>1</v>
      </c>
      <c r="F299" s="667"/>
      <c r="G299" s="21">
        <f t="shared" si="55"/>
        <v>1</v>
      </c>
      <c r="H299" s="667"/>
      <c r="I299" s="21">
        <f t="shared" si="56"/>
        <v>1</v>
      </c>
      <c r="J299" s="667"/>
      <c r="K299" s="21">
        <f t="shared" si="57"/>
        <v>1</v>
      </c>
      <c r="L299" s="667"/>
      <c r="M299" s="21">
        <f t="shared" si="58"/>
        <v>1</v>
      </c>
      <c r="N299" s="667"/>
      <c r="O299" s="21">
        <f t="shared" si="59"/>
        <v>1</v>
      </c>
      <c r="P299" s="667"/>
      <c r="Q299" s="21">
        <f t="shared" si="60"/>
        <v>1</v>
      </c>
      <c r="R299" s="663">
        <f t="shared" si="61"/>
        <v>0</v>
      </c>
      <c r="S299" s="316">
        <f t="shared" si="62"/>
        <v>0</v>
      </c>
    </row>
    <row r="300" spans="1:19">
      <c r="A300" s="150"/>
      <c r="B300" s="54"/>
      <c r="C300" s="21">
        <f t="shared" si="53"/>
        <v>1</v>
      </c>
      <c r="D300" s="667"/>
      <c r="E300" s="21">
        <f t="shared" si="54"/>
        <v>1</v>
      </c>
      <c r="F300" s="667"/>
      <c r="G300" s="21">
        <f t="shared" si="55"/>
        <v>1</v>
      </c>
      <c r="H300" s="667"/>
      <c r="I300" s="21">
        <f t="shared" si="56"/>
        <v>1</v>
      </c>
      <c r="J300" s="667"/>
      <c r="K300" s="21">
        <f t="shared" si="57"/>
        <v>1</v>
      </c>
      <c r="L300" s="667"/>
      <c r="M300" s="21">
        <f t="shared" si="58"/>
        <v>1</v>
      </c>
      <c r="N300" s="667"/>
      <c r="O300" s="21">
        <f t="shared" si="59"/>
        <v>1</v>
      </c>
      <c r="P300" s="667"/>
      <c r="Q300" s="21">
        <f t="shared" si="60"/>
        <v>1</v>
      </c>
      <c r="R300" s="663">
        <f t="shared" si="61"/>
        <v>0</v>
      </c>
      <c r="S300" s="316">
        <f t="shared" si="62"/>
        <v>0</v>
      </c>
    </row>
    <row r="301" spans="1:19">
      <c r="A301" s="150"/>
      <c r="B301" s="54"/>
      <c r="C301" s="21">
        <f t="shared" si="53"/>
        <v>1</v>
      </c>
      <c r="D301" s="667"/>
      <c r="E301" s="21">
        <f t="shared" si="54"/>
        <v>1</v>
      </c>
      <c r="F301" s="667"/>
      <c r="G301" s="21">
        <f t="shared" si="55"/>
        <v>1</v>
      </c>
      <c r="H301" s="667"/>
      <c r="I301" s="21">
        <f t="shared" si="56"/>
        <v>1</v>
      </c>
      <c r="J301" s="667"/>
      <c r="K301" s="21">
        <f t="shared" si="57"/>
        <v>1</v>
      </c>
      <c r="L301" s="667"/>
      <c r="M301" s="21">
        <f t="shared" si="58"/>
        <v>1</v>
      </c>
      <c r="N301" s="667"/>
      <c r="O301" s="21">
        <f t="shared" si="59"/>
        <v>1</v>
      </c>
      <c r="P301" s="667"/>
      <c r="Q301" s="21">
        <f t="shared" si="60"/>
        <v>1</v>
      </c>
      <c r="R301" s="663">
        <f t="shared" si="61"/>
        <v>0</v>
      </c>
      <c r="S301" s="316">
        <f t="shared" si="62"/>
        <v>0</v>
      </c>
    </row>
    <row r="302" spans="1:19">
      <c r="A302" s="150"/>
      <c r="B302" s="54"/>
      <c r="C302" s="21">
        <f t="shared" si="53"/>
        <v>1</v>
      </c>
      <c r="D302" s="667"/>
      <c r="E302" s="21">
        <f t="shared" si="54"/>
        <v>1</v>
      </c>
      <c r="F302" s="667"/>
      <c r="G302" s="21">
        <f t="shared" si="55"/>
        <v>1</v>
      </c>
      <c r="H302" s="667"/>
      <c r="I302" s="21">
        <f t="shared" si="56"/>
        <v>1</v>
      </c>
      <c r="J302" s="667"/>
      <c r="K302" s="21">
        <f t="shared" si="57"/>
        <v>1</v>
      </c>
      <c r="L302" s="667"/>
      <c r="M302" s="21">
        <f t="shared" si="58"/>
        <v>1</v>
      </c>
      <c r="N302" s="667"/>
      <c r="O302" s="21">
        <f t="shared" si="59"/>
        <v>1</v>
      </c>
      <c r="P302" s="667"/>
      <c r="Q302" s="21">
        <f t="shared" si="60"/>
        <v>1</v>
      </c>
      <c r="R302" s="663">
        <f t="shared" si="61"/>
        <v>0</v>
      </c>
      <c r="S302" s="316">
        <f t="shared" si="62"/>
        <v>0</v>
      </c>
    </row>
    <row r="303" spans="1:19">
      <c r="A303" s="150"/>
      <c r="B303" s="54"/>
      <c r="C303" s="21">
        <f t="shared" si="53"/>
        <v>1</v>
      </c>
      <c r="D303" s="667"/>
      <c r="E303" s="21">
        <f t="shared" si="54"/>
        <v>1</v>
      </c>
      <c r="F303" s="667"/>
      <c r="G303" s="21">
        <f t="shared" si="55"/>
        <v>1</v>
      </c>
      <c r="H303" s="667"/>
      <c r="I303" s="21">
        <f t="shared" si="56"/>
        <v>1</v>
      </c>
      <c r="J303" s="667"/>
      <c r="K303" s="21">
        <f t="shared" si="57"/>
        <v>1</v>
      </c>
      <c r="L303" s="667"/>
      <c r="M303" s="21">
        <f t="shared" si="58"/>
        <v>1</v>
      </c>
      <c r="N303" s="667"/>
      <c r="O303" s="21">
        <f t="shared" si="59"/>
        <v>1</v>
      </c>
      <c r="P303" s="667"/>
      <c r="Q303" s="21">
        <f t="shared" si="60"/>
        <v>1</v>
      </c>
      <c r="R303" s="663">
        <f t="shared" si="61"/>
        <v>0</v>
      </c>
      <c r="S303" s="316">
        <f t="shared" si="62"/>
        <v>0</v>
      </c>
    </row>
    <row r="304" spans="1:19">
      <c r="A304" s="150"/>
      <c r="B304" s="54"/>
      <c r="C304" s="21">
        <f t="shared" si="53"/>
        <v>1</v>
      </c>
      <c r="D304" s="667"/>
      <c r="E304" s="21">
        <f t="shared" si="54"/>
        <v>1</v>
      </c>
      <c r="F304" s="667"/>
      <c r="G304" s="21">
        <f t="shared" si="55"/>
        <v>1</v>
      </c>
      <c r="H304" s="667"/>
      <c r="I304" s="21">
        <f t="shared" si="56"/>
        <v>1</v>
      </c>
      <c r="J304" s="667"/>
      <c r="K304" s="21">
        <f t="shared" si="57"/>
        <v>1</v>
      </c>
      <c r="L304" s="667"/>
      <c r="M304" s="21">
        <f t="shared" si="58"/>
        <v>1</v>
      </c>
      <c r="N304" s="667"/>
      <c r="O304" s="21">
        <f t="shared" si="59"/>
        <v>1</v>
      </c>
      <c r="P304" s="667"/>
      <c r="Q304" s="21">
        <f t="shared" si="60"/>
        <v>1</v>
      </c>
      <c r="R304" s="663">
        <f t="shared" si="61"/>
        <v>0</v>
      </c>
      <c r="S304" s="316">
        <f t="shared" si="62"/>
        <v>0</v>
      </c>
    </row>
    <row r="305" spans="1:19">
      <c r="A305" s="150"/>
      <c r="B305" s="54"/>
      <c r="C305" s="21">
        <f t="shared" si="53"/>
        <v>1</v>
      </c>
      <c r="D305" s="667"/>
      <c r="E305" s="21">
        <f t="shared" si="54"/>
        <v>1</v>
      </c>
      <c r="F305" s="667"/>
      <c r="G305" s="21">
        <f t="shared" si="55"/>
        <v>1</v>
      </c>
      <c r="H305" s="667"/>
      <c r="I305" s="21">
        <f t="shared" si="56"/>
        <v>1</v>
      </c>
      <c r="J305" s="667"/>
      <c r="K305" s="21">
        <f t="shared" si="57"/>
        <v>1</v>
      </c>
      <c r="L305" s="667"/>
      <c r="M305" s="21">
        <f t="shared" si="58"/>
        <v>1</v>
      </c>
      <c r="N305" s="667"/>
      <c r="O305" s="21">
        <f t="shared" si="59"/>
        <v>1</v>
      </c>
      <c r="P305" s="667"/>
      <c r="Q305" s="21">
        <f t="shared" si="60"/>
        <v>1</v>
      </c>
      <c r="R305" s="663">
        <f t="shared" si="61"/>
        <v>0</v>
      </c>
      <c r="S305" s="316">
        <f t="shared" si="62"/>
        <v>0</v>
      </c>
    </row>
    <row r="306" spans="1:19">
      <c r="A306" s="150"/>
      <c r="B306" s="54"/>
      <c r="C306" s="21">
        <f t="shared" si="53"/>
        <v>1</v>
      </c>
      <c r="D306" s="667"/>
      <c r="E306" s="21">
        <f t="shared" si="54"/>
        <v>1</v>
      </c>
      <c r="F306" s="667"/>
      <c r="G306" s="21">
        <f t="shared" si="55"/>
        <v>1</v>
      </c>
      <c r="H306" s="667"/>
      <c r="I306" s="21">
        <f t="shared" si="56"/>
        <v>1</v>
      </c>
      <c r="J306" s="667"/>
      <c r="K306" s="21">
        <f t="shared" si="57"/>
        <v>1</v>
      </c>
      <c r="L306" s="667"/>
      <c r="M306" s="21">
        <f t="shared" si="58"/>
        <v>1</v>
      </c>
      <c r="N306" s="667"/>
      <c r="O306" s="21">
        <f t="shared" si="59"/>
        <v>1</v>
      </c>
      <c r="P306" s="667"/>
      <c r="Q306" s="21">
        <f t="shared" si="60"/>
        <v>1</v>
      </c>
      <c r="R306" s="663">
        <f t="shared" si="61"/>
        <v>0</v>
      </c>
      <c r="S306" s="316">
        <f t="shared" si="62"/>
        <v>0</v>
      </c>
    </row>
    <row r="307" spans="1:19">
      <c r="A307" s="150"/>
      <c r="B307" s="54"/>
      <c r="C307" s="21">
        <f t="shared" si="53"/>
        <v>1</v>
      </c>
      <c r="D307" s="667"/>
      <c r="E307" s="21">
        <f t="shared" si="54"/>
        <v>1</v>
      </c>
      <c r="F307" s="667"/>
      <c r="G307" s="21">
        <f t="shared" si="55"/>
        <v>1</v>
      </c>
      <c r="H307" s="667"/>
      <c r="I307" s="21">
        <f t="shared" si="56"/>
        <v>1</v>
      </c>
      <c r="J307" s="667"/>
      <c r="K307" s="21">
        <f t="shared" si="57"/>
        <v>1</v>
      </c>
      <c r="L307" s="667"/>
      <c r="M307" s="21">
        <f t="shared" si="58"/>
        <v>1</v>
      </c>
      <c r="N307" s="667"/>
      <c r="O307" s="21">
        <f t="shared" si="59"/>
        <v>1</v>
      </c>
      <c r="P307" s="667"/>
      <c r="Q307" s="21">
        <f t="shared" si="60"/>
        <v>1</v>
      </c>
      <c r="R307" s="663">
        <f t="shared" si="61"/>
        <v>0</v>
      </c>
      <c r="S307" s="316">
        <f t="shared" si="62"/>
        <v>0</v>
      </c>
    </row>
    <row r="308" spans="1:19">
      <c r="A308" s="150"/>
      <c r="B308" s="54"/>
      <c r="C308" s="21">
        <f t="shared" si="53"/>
        <v>1</v>
      </c>
      <c r="D308" s="667"/>
      <c r="E308" s="21">
        <f t="shared" si="54"/>
        <v>1</v>
      </c>
      <c r="F308" s="667"/>
      <c r="G308" s="21">
        <f t="shared" si="55"/>
        <v>1</v>
      </c>
      <c r="H308" s="667"/>
      <c r="I308" s="21">
        <f t="shared" si="56"/>
        <v>1</v>
      </c>
      <c r="J308" s="667"/>
      <c r="K308" s="21">
        <f t="shared" si="57"/>
        <v>1</v>
      </c>
      <c r="L308" s="667"/>
      <c r="M308" s="21">
        <f t="shared" si="58"/>
        <v>1</v>
      </c>
      <c r="N308" s="667"/>
      <c r="O308" s="21">
        <f t="shared" si="59"/>
        <v>1</v>
      </c>
      <c r="P308" s="667"/>
      <c r="Q308" s="21">
        <f t="shared" si="60"/>
        <v>1</v>
      </c>
      <c r="R308" s="663">
        <f t="shared" si="61"/>
        <v>0</v>
      </c>
      <c r="S308" s="316">
        <f t="shared" si="62"/>
        <v>0</v>
      </c>
    </row>
    <row r="309" spans="1:19">
      <c r="A309" s="150"/>
      <c r="B309" s="54"/>
      <c r="C309" s="21">
        <f t="shared" si="53"/>
        <v>1</v>
      </c>
      <c r="D309" s="667"/>
      <c r="E309" s="21">
        <f t="shared" si="54"/>
        <v>1</v>
      </c>
      <c r="F309" s="667"/>
      <c r="G309" s="21">
        <f t="shared" si="55"/>
        <v>1</v>
      </c>
      <c r="H309" s="667"/>
      <c r="I309" s="21">
        <f t="shared" si="56"/>
        <v>1</v>
      </c>
      <c r="J309" s="667"/>
      <c r="K309" s="21">
        <f t="shared" si="57"/>
        <v>1</v>
      </c>
      <c r="L309" s="667"/>
      <c r="M309" s="21">
        <f t="shared" si="58"/>
        <v>1</v>
      </c>
      <c r="N309" s="667"/>
      <c r="O309" s="21">
        <f t="shared" si="59"/>
        <v>1</v>
      </c>
      <c r="P309" s="667"/>
      <c r="Q309" s="21">
        <f t="shared" si="60"/>
        <v>1</v>
      </c>
      <c r="R309" s="663">
        <f t="shared" si="61"/>
        <v>0</v>
      </c>
      <c r="S309" s="316">
        <f t="shared" si="62"/>
        <v>0</v>
      </c>
    </row>
    <row r="310" spans="1:19">
      <c r="A310" s="150"/>
      <c r="B310" s="54"/>
      <c r="C310" s="21">
        <f t="shared" si="53"/>
        <v>1</v>
      </c>
      <c r="D310" s="667"/>
      <c r="E310" s="21">
        <f t="shared" si="54"/>
        <v>1</v>
      </c>
      <c r="F310" s="667"/>
      <c r="G310" s="21">
        <f t="shared" si="55"/>
        <v>1</v>
      </c>
      <c r="H310" s="667"/>
      <c r="I310" s="21">
        <f t="shared" si="56"/>
        <v>1</v>
      </c>
      <c r="J310" s="667"/>
      <c r="K310" s="21">
        <f t="shared" si="57"/>
        <v>1</v>
      </c>
      <c r="L310" s="667"/>
      <c r="M310" s="21">
        <f t="shared" si="58"/>
        <v>1</v>
      </c>
      <c r="N310" s="667"/>
      <c r="O310" s="21">
        <f t="shared" si="59"/>
        <v>1</v>
      </c>
      <c r="P310" s="667"/>
      <c r="Q310" s="21">
        <f t="shared" si="60"/>
        <v>1</v>
      </c>
      <c r="R310" s="663">
        <f t="shared" si="61"/>
        <v>0</v>
      </c>
      <c r="S310" s="316">
        <f t="shared" si="62"/>
        <v>0</v>
      </c>
    </row>
    <row r="311" spans="1:19">
      <c r="A311" s="150"/>
      <c r="B311" s="54"/>
      <c r="C311" s="21">
        <f t="shared" si="53"/>
        <v>1</v>
      </c>
      <c r="D311" s="667"/>
      <c r="E311" s="21">
        <f t="shared" si="54"/>
        <v>1</v>
      </c>
      <c r="F311" s="667"/>
      <c r="G311" s="21">
        <f t="shared" si="55"/>
        <v>1</v>
      </c>
      <c r="H311" s="667"/>
      <c r="I311" s="21">
        <f t="shared" si="56"/>
        <v>1</v>
      </c>
      <c r="J311" s="667"/>
      <c r="K311" s="21">
        <f t="shared" si="57"/>
        <v>1</v>
      </c>
      <c r="L311" s="667"/>
      <c r="M311" s="21">
        <f t="shared" si="58"/>
        <v>1</v>
      </c>
      <c r="N311" s="667"/>
      <c r="O311" s="21">
        <f t="shared" si="59"/>
        <v>1</v>
      </c>
      <c r="P311" s="667"/>
      <c r="Q311" s="21">
        <f t="shared" si="60"/>
        <v>1</v>
      </c>
      <c r="R311" s="663">
        <f t="shared" si="61"/>
        <v>0</v>
      </c>
      <c r="S311" s="316">
        <f t="shared" si="62"/>
        <v>0</v>
      </c>
    </row>
    <row r="312" spans="1:19">
      <c r="A312" s="150"/>
      <c r="B312" s="54"/>
      <c r="C312" s="21">
        <f t="shared" si="53"/>
        <v>1</v>
      </c>
      <c r="D312" s="667"/>
      <c r="E312" s="21">
        <f t="shared" si="54"/>
        <v>1</v>
      </c>
      <c r="F312" s="667"/>
      <c r="G312" s="21">
        <f t="shared" si="55"/>
        <v>1</v>
      </c>
      <c r="H312" s="667"/>
      <c r="I312" s="21">
        <f t="shared" si="56"/>
        <v>1</v>
      </c>
      <c r="J312" s="667"/>
      <c r="K312" s="21">
        <f t="shared" si="57"/>
        <v>1</v>
      </c>
      <c r="L312" s="667"/>
      <c r="M312" s="21">
        <f t="shared" si="58"/>
        <v>1</v>
      </c>
      <c r="N312" s="667"/>
      <c r="O312" s="21">
        <f t="shared" si="59"/>
        <v>1</v>
      </c>
      <c r="P312" s="667"/>
      <c r="Q312" s="21">
        <f t="shared" si="60"/>
        <v>1</v>
      </c>
      <c r="R312" s="663">
        <f t="shared" si="61"/>
        <v>0</v>
      </c>
      <c r="S312" s="316">
        <f t="shared" si="62"/>
        <v>0</v>
      </c>
    </row>
    <row r="313" spans="1:19">
      <c r="A313" s="150"/>
      <c r="B313" s="54"/>
      <c r="C313" s="21">
        <f t="shared" si="53"/>
        <v>1</v>
      </c>
      <c r="D313" s="667"/>
      <c r="E313" s="21">
        <f t="shared" si="54"/>
        <v>1</v>
      </c>
      <c r="F313" s="667"/>
      <c r="G313" s="21">
        <f t="shared" si="55"/>
        <v>1</v>
      </c>
      <c r="H313" s="667"/>
      <c r="I313" s="21">
        <f t="shared" si="56"/>
        <v>1</v>
      </c>
      <c r="J313" s="667"/>
      <c r="K313" s="21">
        <f t="shared" si="57"/>
        <v>1</v>
      </c>
      <c r="L313" s="667"/>
      <c r="M313" s="21">
        <f t="shared" si="58"/>
        <v>1</v>
      </c>
      <c r="N313" s="667"/>
      <c r="O313" s="21">
        <f t="shared" si="59"/>
        <v>1</v>
      </c>
      <c r="P313" s="667"/>
      <c r="Q313" s="21">
        <f t="shared" si="60"/>
        <v>1</v>
      </c>
      <c r="R313" s="663">
        <f t="shared" si="61"/>
        <v>0</v>
      </c>
      <c r="S313" s="316">
        <f t="shared" si="62"/>
        <v>0</v>
      </c>
    </row>
    <row r="314" spans="1:19">
      <c r="A314" s="150"/>
      <c r="B314" s="54"/>
      <c r="C314" s="21">
        <f t="shared" si="53"/>
        <v>1</v>
      </c>
      <c r="D314" s="667"/>
      <c r="E314" s="21">
        <f t="shared" si="54"/>
        <v>1</v>
      </c>
      <c r="F314" s="667"/>
      <c r="G314" s="21">
        <f t="shared" si="55"/>
        <v>1</v>
      </c>
      <c r="H314" s="667"/>
      <c r="I314" s="21">
        <f t="shared" si="56"/>
        <v>1</v>
      </c>
      <c r="J314" s="667"/>
      <c r="K314" s="21">
        <f t="shared" si="57"/>
        <v>1</v>
      </c>
      <c r="L314" s="667"/>
      <c r="M314" s="21">
        <f t="shared" si="58"/>
        <v>1</v>
      </c>
      <c r="N314" s="667"/>
      <c r="O314" s="21">
        <f t="shared" si="59"/>
        <v>1</v>
      </c>
      <c r="P314" s="667"/>
      <c r="Q314" s="21">
        <f t="shared" si="60"/>
        <v>1</v>
      </c>
      <c r="R314" s="663">
        <f t="shared" si="61"/>
        <v>0</v>
      </c>
      <c r="S314" s="316">
        <f t="shared" si="62"/>
        <v>0</v>
      </c>
    </row>
    <row r="315" spans="1:19">
      <c r="A315" s="150"/>
      <c r="B315" s="54"/>
      <c r="C315" s="21">
        <f t="shared" si="53"/>
        <v>1</v>
      </c>
      <c r="D315" s="667"/>
      <c r="E315" s="21">
        <f t="shared" si="54"/>
        <v>1</v>
      </c>
      <c r="F315" s="667"/>
      <c r="G315" s="21">
        <f t="shared" si="55"/>
        <v>1</v>
      </c>
      <c r="H315" s="667"/>
      <c r="I315" s="21">
        <f t="shared" si="56"/>
        <v>1</v>
      </c>
      <c r="J315" s="667"/>
      <c r="K315" s="21">
        <f t="shared" si="57"/>
        <v>1</v>
      </c>
      <c r="L315" s="667"/>
      <c r="M315" s="21">
        <f t="shared" si="58"/>
        <v>1</v>
      </c>
      <c r="N315" s="667"/>
      <c r="O315" s="21">
        <f t="shared" si="59"/>
        <v>1</v>
      </c>
      <c r="P315" s="667"/>
      <c r="Q315" s="21">
        <f t="shared" si="60"/>
        <v>1</v>
      </c>
      <c r="R315" s="663">
        <f t="shared" si="61"/>
        <v>0</v>
      </c>
      <c r="S315" s="316">
        <f t="shared" si="62"/>
        <v>0</v>
      </c>
    </row>
    <row r="316" spans="1:19">
      <c r="A316" s="150"/>
      <c r="B316" s="54"/>
      <c r="C316" s="21">
        <f t="shared" si="53"/>
        <v>1</v>
      </c>
      <c r="D316" s="667"/>
      <c r="E316" s="21">
        <f t="shared" si="54"/>
        <v>1</v>
      </c>
      <c r="F316" s="667"/>
      <c r="G316" s="21">
        <f t="shared" si="55"/>
        <v>1</v>
      </c>
      <c r="H316" s="667"/>
      <c r="I316" s="21">
        <f t="shared" si="56"/>
        <v>1</v>
      </c>
      <c r="J316" s="667"/>
      <c r="K316" s="21">
        <f t="shared" si="57"/>
        <v>1</v>
      </c>
      <c r="L316" s="667"/>
      <c r="M316" s="21">
        <f t="shared" si="58"/>
        <v>1</v>
      </c>
      <c r="N316" s="667"/>
      <c r="O316" s="21">
        <f t="shared" si="59"/>
        <v>1</v>
      </c>
      <c r="P316" s="667"/>
      <c r="Q316" s="21">
        <f t="shared" si="60"/>
        <v>1</v>
      </c>
      <c r="R316" s="663">
        <f t="shared" si="61"/>
        <v>0</v>
      </c>
      <c r="S316" s="316">
        <f t="shared" si="62"/>
        <v>0</v>
      </c>
    </row>
    <row r="317" spans="1:19">
      <c r="A317" s="150"/>
      <c r="B317" s="54"/>
      <c r="C317" s="21">
        <f t="shared" si="53"/>
        <v>1</v>
      </c>
      <c r="D317" s="667"/>
      <c r="E317" s="21">
        <f t="shared" si="54"/>
        <v>1</v>
      </c>
      <c r="F317" s="667"/>
      <c r="G317" s="21">
        <f t="shared" si="55"/>
        <v>1</v>
      </c>
      <c r="H317" s="667"/>
      <c r="I317" s="21">
        <f t="shared" si="56"/>
        <v>1</v>
      </c>
      <c r="J317" s="667"/>
      <c r="K317" s="21">
        <f t="shared" si="57"/>
        <v>1</v>
      </c>
      <c r="L317" s="667"/>
      <c r="M317" s="21">
        <f t="shared" si="58"/>
        <v>1</v>
      </c>
      <c r="N317" s="667"/>
      <c r="O317" s="21">
        <f t="shared" si="59"/>
        <v>1</v>
      </c>
      <c r="P317" s="667"/>
      <c r="Q317" s="21">
        <f t="shared" si="60"/>
        <v>1</v>
      </c>
      <c r="R317" s="663">
        <f t="shared" si="61"/>
        <v>0</v>
      </c>
      <c r="S317" s="316">
        <f t="shared" si="62"/>
        <v>0</v>
      </c>
    </row>
    <row r="318" spans="1:19">
      <c r="A318" s="150"/>
      <c r="B318" s="54"/>
      <c r="C318" s="21">
        <f t="shared" si="53"/>
        <v>1</v>
      </c>
      <c r="D318" s="667"/>
      <c r="E318" s="21">
        <f t="shared" si="54"/>
        <v>1</v>
      </c>
      <c r="F318" s="667"/>
      <c r="G318" s="21">
        <f t="shared" si="55"/>
        <v>1</v>
      </c>
      <c r="H318" s="667"/>
      <c r="I318" s="21">
        <f t="shared" si="56"/>
        <v>1</v>
      </c>
      <c r="J318" s="667"/>
      <c r="K318" s="21">
        <f t="shared" si="57"/>
        <v>1</v>
      </c>
      <c r="L318" s="667"/>
      <c r="M318" s="21">
        <f t="shared" si="58"/>
        <v>1</v>
      </c>
      <c r="N318" s="667"/>
      <c r="O318" s="21">
        <f t="shared" si="59"/>
        <v>1</v>
      </c>
      <c r="P318" s="667"/>
      <c r="Q318" s="21">
        <f t="shared" si="60"/>
        <v>1</v>
      </c>
      <c r="R318" s="663">
        <f t="shared" si="61"/>
        <v>0</v>
      </c>
      <c r="S318" s="316">
        <f t="shared" si="62"/>
        <v>0</v>
      </c>
    </row>
    <row r="319" spans="1:19">
      <c r="A319" s="150"/>
      <c r="B319" s="54"/>
      <c r="C319" s="21">
        <f t="shared" si="53"/>
        <v>1</v>
      </c>
      <c r="D319" s="667"/>
      <c r="E319" s="21">
        <f t="shared" si="54"/>
        <v>1</v>
      </c>
      <c r="F319" s="667"/>
      <c r="G319" s="21">
        <f t="shared" si="55"/>
        <v>1</v>
      </c>
      <c r="H319" s="667"/>
      <c r="I319" s="21">
        <f t="shared" si="56"/>
        <v>1</v>
      </c>
      <c r="J319" s="667"/>
      <c r="K319" s="21">
        <f t="shared" si="57"/>
        <v>1</v>
      </c>
      <c r="L319" s="667"/>
      <c r="M319" s="21">
        <f t="shared" si="58"/>
        <v>1</v>
      </c>
      <c r="N319" s="667"/>
      <c r="O319" s="21">
        <f t="shared" si="59"/>
        <v>1</v>
      </c>
      <c r="P319" s="667"/>
      <c r="Q319" s="21">
        <f t="shared" si="60"/>
        <v>1</v>
      </c>
      <c r="R319" s="663">
        <f t="shared" si="61"/>
        <v>0</v>
      </c>
      <c r="S319" s="316">
        <f t="shared" si="62"/>
        <v>0</v>
      </c>
    </row>
    <row r="320" spans="1:19">
      <c r="A320" s="150"/>
      <c r="B320" s="54"/>
      <c r="C320" s="21">
        <f t="shared" si="53"/>
        <v>1</v>
      </c>
      <c r="D320" s="667"/>
      <c r="E320" s="21">
        <f t="shared" si="54"/>
        <v>1</v>
      </c>
      <c r="F320" s="667"/>
      <c r="G320" s="21">
        <f t="shared" si="55"/>
        <v>1</v>
      </c>
      <c r="H320" s="667"/>
      <c r="I320" s="21">
        <f t="shared" si="56"/>
        <v>1</v>
      </c>
      <c r="J320" s="667"/>
      <c r="K320" s="21">
        <f t="shared" si="57"/>
        <v>1</v>
      </c>
      <c r="L320" s="667"/>
      <c r="M320" s="21">
        <f t="shared" si="58"/>
        <v>1</v>
      </c>
      <c r="N320" s="667"/>
      <c r="O320" s="21">
        <f t="shared" si="59"/>
        <v>1</v>
      </c>
      <c r="P320" s="667"/>
      <c r="Q320" s="21">
        <f t="shared" si="60"/>
        <v>1</v>
      </c>
      <c r="R320" s="663">
        <f t="shared" si="61"/>
        <v>0</v>
      </c>
      <c r="S320" s="316">
        <f t="shared" si="62"/>
        <v>0</v>
      </c>
    </row>
    <row r="321" spans="1:19">
      <c r="A321" s="150"/>
      <c r="B321" s="54"/>
      <c r="C321" s="21">
        <f t="shared" si="53"/>
        <v>1</v>
      </c>
      <c r="D321" s="667"/>
      <c r="E321" s="21">
        <f t="shared" si="54"/>
        <v>1</v>
      </c>
      <c r="F321" s="667"/>
      <c r="G321" s="21">
        <f t="shared" si="55"/>
        <v>1</v>
      </c>
      <c r="H321" s="667"/>
      <c r="I321" s="21">
        <f t="shared" si="56"/>
        <v>1</v>
      </c>
      <c r="J321" s="667"/>
      <c r="K321" s="21">
        <f t="shared" si="57"/>
        <v>1</v>
      </c>
      <c r="L321" s="667"/>
      <c r="M321" s="21">
        <f t="shared" si="58"/>
        <v>1</v>
      </c>
      <c r="N321" s="667"/>
      <c r="O321" s="21">
        <f t="shared" si="59"/>
        <v>1</v>
      </c>
      <c r="P321" s="667"/>
      <c r="Q321" s="21">
        <f t="shared" si="60"/>
        <v>1</v>
      </c>
      <c r="R321" s="663">
        <f t="shared" si="61"/>
        <v>0</v>
      </c>
      <c r="S321" s="316">
        <f t="shared" ref="S321:S384" si="63">ROUND(R321*B321/10000,0)</f>
        <v>0</v>
      </c>
    </row>
    <row r="322" spans="1:19">
      <c r="A322" s="150"/>
      <c r="B322" s="54"/>
      <c r="C322" s="21">
        <f t="shared" si="53"/>
        <v>1</v>
      </c>
      <c r="D322" s="667"/>
      <c r="E322" s="21">
        <f t="shared" si="54"/>
        <v>1</v>
      </c>
      <c r="F322" s="667"/>
      <c r="G322" s="21">
        <f t="shared" si="55"/>
        <v>1</v>
      </c>
      <c r="H322" s="667"/>
      <c r="I322" s="21">
        <f t="shared" si="56"/>
        <v>1</v>
      </c>
      <c r="J322" s="667"/>
      <c r="K322" s="21">
        <f t="shared" si="57"/>
        <v>1</v>
      </c>
      <c r="L322" s="667"/>
      <c r="M322" s="21">
        <f t="shared" si="58"/>
        <v>1</v>
      </c>
      <c r="N322" s="667"/>
      <c r="O322" s="21">
        <f t="shared" si="59"/>
        <v>1</v>
      </c>
      <c r="P322" s="667"/>
      <c r="Q322" s="21">
        <f t="shared" si="60"/>
        <v>1</v>
      </c>
      <c r="R322" s="663">
        <f t="shared" si="61"/>
        <v>0</v>
      </c>
      <c r="S322" s="316">
        <f t="shared" si="63"/>
        <v>0</v>
      </c>
    </row>
    <row r="323" spans="1:19">
      <c r="A323" s="150"/>
      <c r="B323" s="54"/>
      <c r="C323" s="21">
        <f t="shared" si="53"/>
        <v>1</v>
      </c>
      <c r="D323" s="667"/>
      <c r="E323" s="21">
        <f t="shared" si="54"/>
        <v>1</v>
      </c>
      <c r="F323" s="667"/>
      <c r="G323" s="21">
        <f t="shared" si="55"/>
        <v>1</v>
      </c>
      <c r="H323" s="667"/>
      <c r="I323" s="21">
        <f t="shared" si="56"/>
        <v>1</v>
      </c>
      <c r="J323" s="667"/>
      <c r="K323" s="21">
        <f t="shared" si="57"/>
        <v>1</v>
      </c>
      <c r="L323" s="667"/>
      <c r="M323" s="21">
        <f t="shared" si="58"/>
        <v>1</v>
      </c>
      <c r="N323" s="667"/>
      <c r="O323" s="21">
        <f t="shared" si="59"/>
        <v>1</v>
      </c>
      <c r="P323" s="667"/>
      <c r="Q323" s="21">
        <f t="shared" si="60"/>
        <v>1</v>
      </c>
      <c r="R323" s="663">
        <f t="shared" si="61"/>
        <v>0</v>
      </c>
      <c r="S323" s="316">
        <f t="shared" si="63"/>
        <v>0</v>
      </c>
    </row>
    <row r="324" spans="1:19">
      <c r="A324" s="150"/>
      <c r="B324" s="54"/>
      <c r="C324" s="21">
        <f t="shared" si="53"/>
        <v>1</v>
      </c>
      <c r="D324" s="667"/>
      <c r="E324" s="21">
        <f t="shared" si="54"/>
        <v>1</v>
      </c>
      <c r="F324" s="667"/>
      <c r="G324" s="21">
        <f t="shared" si="55"/>
        <v>1</v>
      </c>
      <c r="H324" s="667"/>
      <c r="I324" s="21">
        <f t="shared" si="56"/>
        <v>1</v>
      </c>
      <c r="J324" s="667"/>
      <c r="K324" s="21">
        <f t="shared" si="57"/>
        <v>1</v>
      </c>
      <c r="L324" s="667"/>
      <c r="M324" s="21">
        <f t="shared" si="58"/>
        <v>1</v>
      </c>
      <c r="N324" s="667"/>
      <c r="O324" s="21">
        <f t="shared" si="59"/>
        <v>1</v>
      </c>
      <c r="P324" s="667"/>
      <c r="Q324" s="21">
        <f t="shared" si="60"/>
        <v>1</v>
      </c>
      <c r="R324" s="663">
        <f t="shared" si="61"/>
        <v>0</v>
      </c>
      <c r="S324" s="316">
        <f t="shared" si="63"/>
        <v>0</v>
      </c>
    </row>
    <row r="325" spans="1:19">
      <c r="A325" s="150"/>
      <c r="B325" s="54"/>
      <c r="C325" s="21">
        <f t="shared" si="53"/>
        <v>1</v>
      </c>
      <c r="D325" s="667"/>
      <c r="E325" s="21">
        <f t="shared" si="54"/>
        <v>1</v>
      </c>
      <c r="F325" s="667"/>
      <c r="G325" s="21">
        <f t="shared" si="55"/>
        <v>1</v>
      </c>
      <c r="H325" s="667"/>
      <c r="I325" s="21">
        <f t="shared" si="56"/>
        <v>1</v>
      </c>
      <c r="J325" s="667"/>
      <c r="K325" s="21">
        <f t="shared" si="57"/>
        <v>1</v>
      </c>
      <c r="L325" s="667"/>
      <c r="M325" s="21">
        <f t="shared" si="58"/>
        <v>1</v>
      </c>
      <c r="N325" s="667"/>
      <c r="O325" s="21">
        <f t="shared" si="59"/>
        <v>1</v>
      </c>
      <c r="P325" s="667"/>
      <c r="Q325" s="21">
        <f t="shared" si="60"/>
        <v>1</v>
      </c>
      <c r="R325" s="663">
        <f t="shared" si="61"/>
        <v>0</v>
      </c>
      <c r="S325" s="316">
        <f t="shared" si="63"/>
        <v>0</v>
      </c>
    </row>
    <row r="326" spans="1:19">
      <c r="A326" s="150"/>
      <c r="B326" s="54"/>
      <c r="C326" s="21">
        <f t="shared" si="53"/>
        <v>1</v>
      </c>
      <c r="D326" s="667"/>
      <c r="E326" s="21">
        <f t="shared" si="54"/>
        <v>1</v>
      </c>
      <c r="F326" s="667"/>
      <c r="G326" s="21">
        <f t="shared" si="55"/>
        <v>1</v>
      </c>
      <c r="H326" s="667"/>
      <c r="I326" s="21">
        <f t="shared" si="56"/>
        <v>1</v>
      </c>
      <c r="J326" s="667"/>
      <c r="K326" s="21">
        <f t="shared" si="57"/>
        <v>1</v>
      </c>
      <c r="L326" s="667"/>
      <c r="M326" s="21">
        <f t="shared" si="58"/>
        <v>1</v>
      </c>
      <c r="N326" s="667"/>
      <c r="O326" s="21">
        <f t="shared" si="59"/>
        <v>1</v>
      </c>
      <c r="P326" s="667"/>
      <c r="Q326" s="21">
        <f t="shared" si="60"/>
        <v>1</v>
      </c>
      <c r="R326" s="663">
        <f t="shared" si="61"/>
        <v>0</v>
      </c>
      <c r="S326" s="316">
        <f t="shared" si="63"/>
        <v>0</v>
      </c>
    </row>
    <row r="327" spans="1:19">
      <c r="A327" s="150"/>
      <c r="B327" s="54"/>
      <c r="C327" s="21">
        <f t="shared" si="53"/>
        <v>1</v>
      </c>
      <c r="D327" s="667"/>
      <c r="E327" s="21">
        <f t="shared" si="54"/>
        <v>1</v>
      </c>
      <c r="F327" s="667"/>
      <c r="G327" s="21">
        <f t="shared" si="55"/>
        <v>1</v>
      </c>
      <c r="H327" s="667"/>
      <c r="I327" s="21">
        <f t="shared" si="56"/>
        <v>1</v>
      </c>
      <c r="J327" s="667"/>
      <c r="K327" s="21">
        <f t="shared" si="57"/>
        <v>1</v>
      </c>
      <c r="L327" s="667"/>
      <c r="M327" s="21">
        <f t="shared" si="58"/>
        <v>1</v>
      </c>
      <c r="N327" s="667"/>
      <c r="O327" s="21">
        <f t="shared" si="59"/>
        <v>1</v>
      </c>
      <c r="P327" s="667"/>
      <c r="Q327" s="21">
        <f t="shared" si="60"/>
        <v>1</v>
      </c>
      <c r="R327" s="663">
        <f t="shared" si="61"/>
        <v>0</v>
      </c>
      <c r="S327" s="316">
        <f t="shared" si="63"/>
        <v>0</v>
      </c>
    </row>
    <row r="328" spans="1:19">
      <c r="A328" s="150"/>
      <c r="B328" s="54"/>
      <c r="C328" s="21">
        <f t="shared" si="53"/>
        <v>1</v>
      </c>
      <c r="D328" s="667"/>
      <c r="E328" s="21">
        <f t="shared" si="54"/>
        <v>1</v>
      </c>
      <c r="F328" s="667"/>
      <c r="G328" s="21">
        <f t="shared" si="55"/>
        <v>1</v>
      </c>
      <c r="H328" s="667"/>
      <c r="I328" s="21">
        <f t="shared" si="56"/>
        <v>1</v>
      </c>
      <c r="J328" s="667"/>
      <c r="K328" s="21">
        <f t="shared" si="57"/>
        <v>1</v>
      </c>
      <c r="L328" s="667"/>
      <c r="M328" s="21">
        <f t="shared" si="58"/>
        <v>1</v>
      </c>
      <c r="N328" s="667"/>
      <c r="O328" s="21">
        <f t="shared" si="59"/>
        <v>1</v>
      </c>
      <c r="P328" s="667"/>
      <c r="Q328" s="21">
        <f t="shared" si="60"/>
        <v>1</v>
      </c>
      <c r="R328" s="663">
        <f t="shared" si="61"/>
        <v>0</v>
      </c>
      <c r="S328" s="316">
        <f t="shared" si="63"/>
        <v>0</v>
      </c>
    </row>
    <row r="329" spans="1:19">
      <c r="A329" s="150"/>
      <c r="B329" s="54"/>
      <c r="C329" s="21">
        <f t="shared" si="53"/>
        <v>1</v>
      </c>
      <c r="D329" s="667"/>
      <c r="E329" s="21">
        <f t="shared" si="54"/>
        <v>1</v>
      </c>
      <c r="F329" s="667"/>
      <c r="G329" s="21">
        <f t="shared" si="55"/>
        <v>1</v>
      </c>
      <c r="H329" s="667"/>
      <c r="I329" s="21">
        <f t="shared" si="56"/>
        <v>1</v>
      </c>
      <c r="J329" s="667"/>
      <c r="K329" s="21">
        <f t="shared" si="57"/>
        <v>1</v>
      </c>
      <c r="L329" s="667"/>
      <c r="M329" s="21">
        <f t="shared" si="58"/>
        <v>1</v>
      </c>
      <c r="N329" s="667"/>
      <c r="O329" s="21">
        <f t="shared" si="59"/>
        <v>1</v>
      </c>
      <c r="P329" s="667"/>
      <c r="Q329" s="21">
        <f t="shared" si="60"/>
        <v>1</v>
      </c>
      <c r="R329" s="663">
        <f t="shared" si="61"/>
        <v>0</v>
      </c>
      <c r="S329" s="316">
        <f t="shared" si="63"/>
        <v>0</v>
      </c>
    </row>
    <row r="330" spans="1:19">
      <c r="A330" s="150"/>
      <c r="B330" s="54"/>
      <c r="C330" s="21">
        <f t="shared" si="53"/>
        <v>1</v>
      </c>
      <c r="D330" s="667"/>
      <c r="E330" s="21">
        <f t="shared" si="54"/>
        <v>1</v>
      </c>
      <c r="F330" s="667"/>
      <c r="G330" s="21">
        <f t="shared" si="55"/>
        <v>1</v>
      </c>
      <c r="H330" s="667"/>
      <c r="I330" s="21">
        <f t="shared" si="56"/>
        <v>1</v>
      </c>
      <c r="J330" s="667"/>
      <c r="K330" s="21">
        <f t="shared" si="57"/>
        <v>1</v>
      </c>
      <c r="L330" s="667"/>
      <c r="M330" s="21">
        <f t="shared" si="58"/>
        <v>1</v>
      </c>
      <c r="N330" s="667"/>
      <c r="O330" s="21">
        <f t="shared" si="59"/>
        <v>1</v>
      </c>
      <c r="P330" s="667"/>
      <c r="Q330" s="21">
        <f t="shared" si="60"/>
        <v>1</v>
      </c>
      <c r="R330" s="663">
        <f t="shared" si="61"/>
        <v>0</v>
      </c>
      <c r="S330" s="316">
        <f t="shared" si="63"/>
        <v>0</v>
      </c>
    </row>
    <row r="331" spans="1:19">
      <c r="A331" s="150"/>
      <c r="B331" s="54"/>
      <c r="C331" s="21">
        <f t="shared" si="53"/>
        <v>1</v>
      </c>
      <c r="D331" s="667"/>
      <c r="E331" s="21">
        <f t="shared" si="54"/>
        <v>1</v>
      </c>
      <c r="F331" s="667"/>
      <c r="G331" s="21">
        <f t="shared" si="55"/>
        <v>1</v>
      </c>
      <c r="H331" s="667"/>
      <c r="I331" s="21">
        <f t="shared" si="56"/>
        <v>1</v>
      </c>
      <c r="J331" s="667"/>
      <c r="K331" s="21">
        <f t="shared" si="57"/>
        <v>1</v>
      </c>
      <c r="L331" s="667"/>
      <c r="M331" s="21">
        <f t="shared" si="58"/>
        <v>1</v>
      </c>
      <c r="N331" s="667"/>
      <c r="O331" s="21">
        <f t="shared" si="59"/>
        <v>1</v>
      </c>
      <c r="P331" s="667"/>
      <c r="Q331" s="21">
        <f t="shared" si="60"/>
        <v>1</v>
      </c>
      <c r="R331" s="663">
        <f t="shared" si="61"/>
        <v>0</v>
      </c>
      <c r="S331" s="316">
        <f t="shared" si="63"/>
        <v>0</v>
      </c>
    </row>
    <row r="332" spans="1:19">
      <c r="A332" s="150"/>
      <c r="B332" s="54"/>
      <c r="C332" s="21">
        <f t="shared" si="53"/>
        <v>1</v>
      </c>
      <c r="D332" s="667"/>
      <c r="E332" s="21">
        <f t="shared" si="54"/>
        <v>1</v>
      </c>
      <c r="F332" s="667"/>
      <c r="G332" s="21">
        <f t="shared" si="55"/>
        <v>1</v>
      </c>
      <c r="H332" s="667"/>
      <c r="I332" s="21">
        <f t="shared" si="56"/>
        <v>1</v>
      </c>
      <c r="J332" s="667"/>
      <c r="K332" s="21">
        <f t="shared" si="57"/>
        <v>1</v>
      </c>
      <c r="L332" s="667"/>
      <c r="M332" s="21">
        <f t="shared" si="58"/>
        <v>1</v>
      </c>
      <c r="N332" s="667"/>
      <c r="O332" s="21">
        <f t="shared" si="59"/>
        <v>1</v>
      </c>
      <c r="P332" s="667"/>
      <c r="Q332" s="21">
        <f t="shared" si="60"/>
        <v>1</v>
      </c>
      <c r="R332" s="663">
        <f t="shared" si="61"/>
        <v>0</v>
      </c>
      <c r="S332" s="316">
        <f t="shared" si="63"/>
        <v>0</v>
      </c>
    </row>
    <row r="333" spans="1:19">
      <c r="A333" s="150"/>
      <c r="B333" s="54"/>
      <c r="C333" s="21">
        <f t="shared" si="53"/>
        <v>1</v>
      </c>
      <c r="D333" s="667"/>
      <c r="E333" s="21">
        <f t="shared" si="54"/>
        <v>1</v>
      </c>
      <c r="F333" s="667"/>
      <c r="G333" s="21">
        <f t="shared" si="55"/>
        <v>1</v>
      </c>
      <c r="H333" s="667"/>
      <c r="I333" s="21">
        <f t="shared" si="56"/>
        <v>1</v>
      </c>
      <c r="J333" s="667"/>
      <c r="K333" s="21">
        <f t="shared" si="57"/>
        <v>1</v>
      </c>
      <c r="L333" s="667"/>
      <c r="M333" s="21">
        <f t="shared" si="58"/>
        <v>1</v>
      </c>
      <c r="N333" s="667"/>
      <c r="O333" s="21">
        <f t="shared" si="59"/>
        <v>1</v>
      </c>
      <c r="P333" s="667"/>
      <c r="Q333" s="21">
        <f t="shared" si="60"/>
        <v>1</v>
      </c>
      <c r="R333" s="663">
        <f t="shared" si="61"/>
        <v>0</v>
      </c>
      <c r="S333" s="316">
        <f t="shared" si="63"/>
        <v>0</v>
      </c>
    </row>
    <row r="334" spans="1:19">
      <c r="A334" s="150"/>
      <c r="B334" s="54"/>
      <c r="C334" s="21">
        <f t="shared" si="53"/>
        <v>1</v>
      </c>
      <c r="D334" s="667"/>
      <c r="E334" s="21">
        <f t="shared" si="54"/>
        <v>1</v>
      </c>
      <c r="F334" s="667"/>
      <c r="G334" s="21">
        <f t="shared" si="55"/>
        <v>1</v>
      </c>
      <c r="H334" s="667"/>
      <c r="I334" s="21">
        <f t="shared" si="56"/>
        <v>1</v>
      </c>
      <c r="J334" s="667"/>
      <c r="K334" s="21">
        <f t="shared" si="57"/>
        <v>1</v>
      </c>
      <c r="L334" s="667"/>
      <c r="M334" s="21">
        <f t="shared" si="58"/>
        <v>1</v>
      </c>
      <c r="N334" s="667"/>
      <c r="O334" s="21">
        <f t="shared" si="59"/>
        <v>1</v>
      </c>
      <c r="P334" s="667"/>
      <c r="Q334" s="21">
        <f t="shared" si="60"/>
        <v>1</v>
      </c>
      <c r="R334" s="663">
        <f t="shared" si="61"/>
        <v>0</v>
      </c>
      <c r="S334" s="316">
        <f t="shared" si="63"/>
        <v>0</v>
      </c>
    </row>
    <row r="335" spans="1:19">
      <c r="A335" s="150"/>
      <c r="B335" s="54"/>
      <c r="C335" s="21">
        <f t="shared" si="53"/>
        <v>1</v>
      </c>
      <c r="D335" s="667"/>
      <c r="E335" s="21">
        <f t="shared" si="54"/>
        <v>1</v>
      </c>
      <c r="F335" s="667"/>
      <c r="G335" s="21">
        <f t="shared" si="55"/>
        <v>1</v>
      </c>
      <c r="H335" s="667"/>
      <c r="I335" s="21">
        <f t="shared" si="56"/>
        <v>1</v>
      </c>
      <c r="J335" s="667"/>
      <c r="K335" s="21">
        <f t="shared" si="57"/>
        <v>1</v>
      </c>
      <c r="L335" s="667"/>
      <c r="M335" s="21">
        <f t="shared" si="58"/>
        <v>1</v>
      </c>
      <c r="N335" s="667"/>
      <c r="O335" s="21">
        <f t="shared" si="59"/>
        <v>1</v>
      </c>
      <c r="P335" s="667"/>
      <c r="Q335" s="21">
        <f t="shared" si="60"/>
        <v>1</v>
      </c>
      <c r="R335" s="663">
        <f t="shared" si="61"/>
        <v>0</v>
      </c>
      <c r="S335" s="316">
        <f t="shared" si="63"/>
        <v>0</v>
      </c>
    </row>
    <row r="336" spans="1:19">
      <c r="A336" s="150"/>
      <c r="B336" s="54"/>
      <c r="C336" s="21">
        <f t="shared" si="53"/>
        <v>1</v>
      </c>
      <c r="D336" s="667"/>
      <c r="E336" s="21">
        <f t="shared" si="54"/>
        <v>1</v>
      </c>
      <c r="F336" s="667"/>
      <c r="G336" s="21">
        <f t="shared" si="55"/>
        <v>1</v>
      </c>
      <c r="H336" s="667"/>
      <c r="I336" s="21">
        <f t="shared" si="56"/>
        <v>1</v>
      </c>
      <c r="J336" s="667"/>
      <c r="K336" s="21">
        <f t="shared" si="57"/>
        <v>1</v>
      </c>
      <c r="L336" s="667"/>
      <c r="M336" s="21">
        <f t="shared" si="58"/>
        <v>1</v>
      </c>
      <c r="N336" s="667"/>
      <c r="O336" s="21">
        <f t="shared" si="59"/>
        <v>1</v>
      </c>
      <c r="P336" s="667"/>
      <c r="Q336" s="21">
        <f t="shared" si="60"/>
        <v>1</v>
      </c>
      <c r="R336" s="663">
        <f t="shared" si="61"/>
        <v>0</v>
      </c>
      <c r="S336" s="316">
        <f t="shared" si="63"/>
        <v>0</v>
      </c>
    </row>
    <row r="337" spans="1:19">
      <c r="A337" s="150"/>
      <c r="B337" s="54"/>
      <c r="C337" s="21">
        <f t="shared" si="53"/>
        <v>1</v>
      </c>
      <c r="D337" s="667"/>
      <c r="E337" s="21">
        <f t="shared" si="54"/>
        <v>1</v>
      </c>
      <c r="F337" s="667"/>
      <c r="G337" s="21">
        <f t="shared" si="55"/>
        <v>1</v>
      </c>
      <c r="H337" s="667"/>
      <c r="I337" s="21">
        <f t="shared" si="56"/>
        <v>1</v>
      </c>
      <c r="J337" s="667"/>
      <c r="K337" s="21">
        <f t="shared" si="57"/>
        <v>1</v>
      </c>
      <c r="L337" s="667"/>
      <c r="M337" s="21">
        <f t="shared" si="58"/>
        <v>1</v>
      </c>
      <c r="N337" s="667"/>
      <c r="O337" s="21">
        <f t="shared" si="59"/>
        <v>1</v>
      </c>
      <c r="P337" s="667"/>
      <c r="Q337" s="21">
        <f t="shared" si="60"/>
        <v>1</v>
      </c>
      <c r="R337" s="663">
        <f t="shared" si="61"/>
        <v>0</v>
      </c>
      <c r="S337" s="316">
        <f t="shared" si="63"/>
        <v>0</v>
      </c>
    </row>
    <row r="338" spans="1:19">
      <c r="A338" s="150"/>
      <c r="B338" s="54"/>
      <c r="C338" s="21">
        <f t="shared" si="53"/>
        <v>1</v>
      </c>
      <c r="D338" s="667"/>
      <c r="E338" s="21">
        <f t="shared" si="54"/>
        <v>1</v>
      </c>
      <c r="F338" s="667"/>
      <c r="G338" s="21">
        <f t="shared" si="55"/>
        <v>1</v>
      </c>
      <c r="H338" s="667"/>
      <c r="I338" s="21">
        <f t="shared" si="56"/>
        <v>1</v>
      </c>
      <c r="J338" s="667"/>
      <c r="K338" s="21">
        <f t="shared" si="57"/>
        <v>1</v>
      </c>
      <c r="L338" s="667"/>
      <c r="M338" s="21">
        <f t="shared" si="58"/>
        <v>1</v>
      </c>
      <c r="N338" s="667"/>
      <c r="O338" s="21">
        <f t="shared" si="59"/>
        <v>1</v>
      </c>
      <c r="P338" s="667"/>
      <c r="Q338" s="21">
        <f t="shared" si="60"/>
        <v>1</v>
      </c>
      <c r="R338" s="663">
        <f t="shared" si="61"/>
        <v>0</v>
      </c>
      <c r="S338" s="316">
        <f t="shared" si="63"/>
        <v>0</v>
      </c>
    </row>
    <row r="339" spans="1:19">
      <c r="A339" s="150"/>
      <c r="B339" s="54"/>
      <c r="C339" s="21">
        <f t="shared" si="53"/>
        <v>1</v>
      </c>
      <c r="D339" s="667"/>
      <c r="E339" s="21">
        <f t="shared" si="54"/>
        <v>1</v>
      </c>
      <c r="F339" s="667"/>
      <c r="G339" s="21">
        <f t="shared" si="55"/>
        <v>1</v>
      </c>
      <c r="H339" s="667"/>
      <c r="I339" s="21">
        <f t="shared" si="56"/>
        <v>1</v>
      </c>
      <c r="J339" s="667"/>
      <c r="K339" s="21">
        <f t="shared" si="57"/>
        <v>1</v>
      </c>
      <c r="L339" s="667"/>
      <c r="M339" s="21">
        <f t="shared" si="58"/>
        <v>1</v>
      </c>
      <c r="N339" s="667"/>
      <c r="O339" s="21">
        <f t="shared" si="59"/>
        <v>1</v>
      </c>
      <c r="P339" s="667"/>
      <c r="Q339" s="21">
        <f t="shared" si="60"/>
        <v>1</v>
      </c>
      <c r="R339" s="663">
        <f t="shared" si="61"/>
        <v>0</v>
      </c>
      <c r="S339" s="316">
        <f t="shared" si="63"/>
        <v>0</v>
      </c>
    </row>
    <row r="340" spans="1:19">
      <c r="A340" s="150"/>
      <c r="B340" s="54"/>
      <c r="C340" s="21">
        <f t="shared" si="53"/>
        <v>1</v>
      </c>
      <c r="D340" s="667"/>
      <c r="E340" s="21">
        <f t="shared" si="54"/>
        <v>1</v>
      </c>
      <c r="F340" s="667"/>
      <c r="G340" s="21">
        <f t="shared" si="55"/>
        <v>1</v>
      </c>
      <c r="H340" s="667"/>
      <c r="I340" s="21">
        <f t="shared" si="56"/>
        <v>1</v>
      </c>
      <c r="J340" s="667"/>
      <c r="K340" s="21">
        <f t="shared" si="57"/>
        <v>1</v>
      </c>
      <c r="L340" s="667"/>
      <c r="M340" s="21">
        <f t="shared" si="58"/>
        <v>1</v>
      </c>
      <c r="N340" s="667"/>
      <c r="O340" s="21">
        <f t="shared" si="59"/>
        <v>1</v>
      </c>
      <c r="P340" s="667"/>
      <c r="Q340" s="21">
        <f t="shared" si="60"/>
        <v>1</v>
      </c>
      <c r="R340" s="663">
        <f t="shared" si="61"/>
        <v>0</v>
      </c>
      <c r="S340" s="316">
        <f t="shared" si="63"/>
        <v>0</v>
      </c>
    </row>
    <row r="341" spans="1:19">
      <c r="A341" s="150"/>
      <c r="B341" s="54"/>
      <c r="C341" s="21">
        <f t="shared" si="53"/>
        <v>1</v>
      </c>
      <c r="D341" s="667"/>
      <c r="E341" s="21">
        <f t="shared" si="54"/>
        <v>1</v>
      </c>
      <c r="F341" s="667"/>
      <c r="G341" s="21">
        <f t="shared" si="55"/>
        <v>1</v>
      </c>
      <c r="H341" s="667"/>
      <c r="I341" s="21">
        <f t="shared" si="56"/>
        <v>1</v>
      </c>
      <c r="J341" s="667"/>
      <c r="K341" s="21">
        <f t="shared" si="57"/>
        <v>1</v>
      </c>
      <c r="L341" s="667"/>
      <c r="M341" s="21">
        <f t="shared" si="58"/>
        <v>1</v>
      </c>
      <c r="N341" s="667"/>
      <c r="O341" s="21">
        <f t="shared" si="59"/>
        <v>1</v>
      </c>
      <c r="P341" s="667"/>
      <c r="Q341" s="21">
        <f t="shared" si="60"/>
        <v>1</v>
      </c>
      <c r="R341" s="663">
        <f t="shared" si="61"/>
        <v>0</v>
      </c>
      <c r="S341" s="316">
        <f t="shared" si="63"/>
        <v>0</v>
      </c>
    </row>
    <row r="342" spans="1:19">
      <c r="A342" s="150"/>
      <c r="B342" s="54"/>
      <c r="C342" s="21">
        <f t="shared" si="53"/>
        <v>1</v>
      </c>
      <c r="D342" s="667"/>
      <c r="E342" s="21">
        <f t="shared" si="54"/>
        <v>1</v>
      </c>
      <c r="F342" s="667"/>
      <c r="G342" s="21">
        <f t="shared" si="55"/>
        <v>1</v>
      </c>
      <c r="H342" s="667"/>
      <c r="I342" s="21">
        <f t="shared" si="56"/>
        <v>1</v>
      </c>
      <c r="J342" s="667"/>
      <c r="K342" s="21">
        <f t="shared" si="57"/>
        <v>1</v>
      </c>
      <c r="L342" s="667"/>
      <c r="M342" s="21">
        <f t="shared" si="58"/>
        <v>1</v>
      </c>
      <c r="N342" s="667"/>
      <c r="O342" s="21">
        <f t="shared" si="59"/>
        <v>1</v>
      </c>
      <c r="P342" s="667"/>
      <c r="Q342" s="21">
        <f t="shared" si="60"/>
        <v>1</v>
      </c>
      <c r="R342" s="663">
        <f t="shared" si="61"/>
        <v>0</v>
      </c>
      <c r="S342" s="316">
        <f t="shared" si="63"/>
        <v>0</v>
      </c>
    </row>
    <row r="343" spans="1:19">
      <c r="A343" s="150"/>
      <c r="B343" s="54"/>
      <c r="C343" s="21">
        <f t="shared" si="53"/>
        <v>1</v>
      </c>
      <c r="D343" s="667"/>
      <c r="E343" s="21">
        <f t="shared" si="54"/>
        <v>1</v>
      </c>
      <c r="F343" s="667"/>
      <c r="G343" s="21">
        <f t="shared" si="55"/>
        <v>1</v>
      </c>
      <c r="H343" s="667"/>
      <c r="I343" s="21">
        <f t="shared" si="56"/>
        <v>1</v>
      </c>
      <c r="J343" s="667"/>
      <c r="K343" s="21">
        <f t="shared" si="57"/>
        <v>1</v>
      </c>
      <c r="L343" s="667"/>
      <c r="M343" s="21">
        <f t="shared" si="58"/>
        <v>1</v>
      </c>
      <c r="N343" s="667"/>
      <c r="O343" s="21">
        <f t="shared" si="59"/>
        <v>1</v>
      </c>
      <c r="P343" s="667"/>
      <c r="Q343" s="21">
        <f t="shared" si="60"/>
        <v>1</v>
      </c>
      <c r="R343" s="663">
        <f t="shared" si="61"/>
        <v>0</v>
      </c>
      <c r="S343" s="316">
        <f t="shared" si="63"/>
        <v>0</v>
      </c>
    </row>
    <row r="344" spans="1:19">
      <c r="A344" s="150"/>
      <c r="B344" s="54"/>
      <c r="C344" s="21">
        <f t="shared" si="53"/>
        <v>1</v>
      </c>
      <c r="D344" s="667"/>
      <c r="E344" s="21">
        <f t="shared" si="54"/>
        <v>1</v>
      </c>
      <c r="F344" s="667"/>
      <c r="G344" s="21">
        <f t="shared" si="55"/>
        <v>1</v>
      </c>
      <c r="H344" s="667"/>
      <c r="I344" s="21">
        <f t="shared" si="56"/>
        <v>1</v>
      </c>
      <c r="J344" s="667"/>
      <c r="K344" s="21">
        <f t="shared" si="57"/>
        <v>1</v>
      </c>
      <c r="L344" s="667"/>
      <c r="M344" s="21">
        <f t="shared" si="58"/>
        <v>1</v>
      </c>
      <c r="N344" s="667"/>
      <c r="O344" s="21">
        <f t="shared" si="59"/>
        <v>1</v>
      </c>
      <c r="P344" s="667"/>
      <c r="Q344" s="21">
        <f t="shared" si="60"/>
        <v>1</v>
      </c>
      <c r="R344" s="663">
        <f t="shared" si="61"/>
        <v>0</v>
      </c>
      <c r="S344" s="316">
        <f t="shared" si="63"/>
        <v>0</v>
      </c>
    </row>
    <row r="345" spans="1:19">
      <c r="A345" s="150"/>
      <c r="B345" s="54"/>
      <c r="C345" s="21">
        <f t="shared" si="53"/>
        <v>1</v>
      </c>
      <c r="D345" s="667"/>
      <c r="E345" s="21">
        <f t="shared" si="54"/>
        <v>1</v>
      </c>
      <c r="F345" s="667"/>
      <c r="G345" s="21">
        <f t="shared" si="55"/>
        <v>1</v>
      </c>
      <c r="H345" s="667"/>
      <c r="I345" s="21">
        <f t="shared" si="56"/>
        <v>1</v>
      </c>
      <c r="J345" s="667"/>
      <c r="K345" s="21">
        <f t="shared" si="57"/>
        <v>1</v>
      </c>
      <c r="L345" s="667"/>
      <c r="M345" s="21">
        <f t="shared" si="58"/>
        <v>1</v>
      </c>
      <c r="N345" s="667"/>
      <c r="O345" s="21">
        <f t="shared" si="59"/>
        <v>1</v>
      </c>
      <c r="P345" s="667"/>
      <c r="Q345" s="21">
        <f t="shared" si="60"/>
        <v>1</v>
      </c>
      <c r="R345" s="663">
        <f t="shared" si="61"/>
        <v>0</v>
      </c>
      <c r="S345" s="316">
        <f t="shared" si="63"/>
        <v>0</v>
      </c>
    </row>
    <row r="346" spans="1:19">
      <c r="A346" s="150"/>
      <c r="B346" s="54"/>
      <c r="C346" s="21">
        <f t="shared" ref="C346:C409" si="64">IF(B346="",1,(LOOKUP(B346,$3:$3,$4:$4)-LOOKUP($B$24,$3:$3,$4:$4)+100)/100)</f>
        <v>1</v>
      </c>
      <c r="D346" s="667"/>
      <c r="E346" s="21">
        <f t="shared" ref="E346:E409" si="65">(SUMIF($5:$5,D346,$6:$6)-SUMIF($5:$5,$D$24,$6:$6)+100)/100</f>
        <v>1</v>
      </c>
      <c r="F346" s="667"/>
      <c r="G346" s="21">
        <f t="shared" ref="G346:G409" si="66">(SUMIF($7:$7,F346,$8:$8)-SUMIF($7:$7,$F$24,$8:$8)+100)/100</f>
        <v>1</v>
      </c>
      <c r="H346" s="667"/>
      <c r="I346" s="21">
        <f t="shared" ref="I346:I409" si="67">(SUMIF($9:$9,H346,$10:$10)-SUMIF($9:$9,$H$24,$10:$10)+100)/100</f>
        <v>1</v>
      </c>
      <c r="J346" s="667"/>
      <c r="K346" s="21">
        <f t="shared" ref="K346:K409" si="68">(SUMIF($11:$11,J346,$12:$12)-SUMIF($11:$11,$J$24,$12:$12)+100)/100</f>
        <v>1</v>
      </c>
      <c r="L346" s="667"/>
      <c r="M346" s="21">
        <f t="shared" ref="M346:M409" si="69">(SUMIF($13:$13,L346,$14:$14)-SUMIF($13:$13,$L$24,$14:$14)+100)/100</f>
        <v>1</v>
      </c>
      <c r="N346" s="667"/>
      <c r="O346" s="21">
        <f t="shared" ref="O346:O409" si="70">(SUMIF($15:$15,N346,$16:$16)-SUMIF($15:$15,$N$24,$16:$16)+100)/100</f>
        <v>1</v>
      </c>
      <c r="P346" s="667"/>
      <c r="Q346" s="21">
        <f t="shared" ref="Q346:Q409" si="71">(SUMIF($17:$17,P346,$18:$18)-SUMIF($17:$17,$P$24,$18:$18)+100)/100</f>
        <v>1</v>
      </c>
      <c r="R346" s="663">
        <f t="shared" ref="R346:R409" si="72">IF(B346="",0,ROUND($R$24*C346*E346*G346*I346*K346*M346*O346*Q346,0))</f>
        <v>0</v>
      </c>
      <c r="S346" s="316">
        <f t="shared" si="63"/>
        <v>0</v>
      </c>
    </row>
    <row r="347" spans="1:19">
      <c r="A347" s="150"/>
      <c r="B347" s="54"/>
      <c r="C347" s="21">
        <f t="shared" si="64"/>
        <v>1</v>
      </c>
      <c r="D347" s="667"/>
      <c r="E347" s="21">
        <f t="shared" si="65"/>
        <v>1</v>
      </c>
      <c r="F347" s="667"/>
      <c r="G347" s="21">
        <f t="shared" si="66"/>
        <v>1</v>
      </c>
      <c r="H347" s="667"/>
      <c r="I347" s="21">
        <f t="shared" si="67"/>
        <v>1</v>
      </c>
      <c r="J347" s="667"/>
      <c r="K347" s="21">
        <f t="shared" si="68"/>
        <v>1</v>
      </c>
      <c r="L347" s="667"/>
      <c r="M347" s="21">
        <f t="shared" si="69"/>
        <v>1</v>
      </c>
      <c r="N347" s="667"/>
      <c r="O347" s="21">
        <f t="shared" si="70"/>
        <v>1</v>
      </c>
      <c r="P347" s="667"/>
      <c r="Q347" s="21">
        <f t="shared" si="71"/>
        <v>1</v>
      </c>
      <c r="R347" s="663">
        <f t="shared" si="72"/>
        <v>0</v>
      </c>
      <c r="S347" s="316">
        <f t="shared" si="63"/>
        <v>0</v>
      </c>
    </row>
    <row r="348" spans="1:19">
      <c r="A348" s="150"/>
      <c r="B348" s="54"/>
      <c r="C348" s="21">
        <f t="shared" si="64"/>
        <v>1</v>
      </c>
      <c r="D348" s="667"/>
      <c r="E348" s="21">
        <f t="shared" si="65"/>
        <v>1</v>
      </c>
      <c r="F348" s="667"/>
      <c r="G348" s="21">
        <f t="shared" si="66"/>
        <v>1</v>
      </c>
      <c r="H348" s="667"/>
      <c r="I348" s="21">
        <f t="shared" si="67"/>
        <v>1</v>
      </c>
      <c r="J348" s="667"/>
      <c r="K348" s="21">
        <f t="shared" si="68"/>
        <v>1</v>
      </c>
      <c r="L348" s="667"/>
      <c r="M348" s="21">
        <f t="shared" si="69"/>
        <v>1</v>
      </c>
      <c r="N348" s="667"/>
      <c r="O348" s="21">
        <f t="shared" si="70"/>
        <v>1</v>
      </c>
      <c r="P348" s="667"/>
      <c r="Q348" s="21">
        <f t="shared" si="71"/>
        <v>1</v>
      </c>
      <c r="R348" s="663">
        <f t="shared" si="72"/>
        <v>0</v>
      </c>
      <c r="S348" s="316">
        <f t="shared" si="63"/>
        <v>0</v>
      </c>
    </row>
    <row r="349" spans="1:19">
      <c r="A349" s="150"/>
      <c r="B349" s="54"/>
      <c r="C349" s="21">
        <f t="shared" si="64"/>
        <v>1</v>
      </c>
      <c r="D349" s="667"/>
      <c r="E349" s="21">
        <f t="shared" si="65"/>
        <v>1</v>
      </c>
      <c r="F349" s="667"/>
      <c r="G349" s="21">
        <f t="shared" si="66"/>
        <v>1</v>
      </c>
      <c r="H349" s="667"/>
      <c r="I349" s="21">
        <f t="shared" si="67"/>
        <v>1</v>
      </c>
      <c r="J349" s="667"/>
      <c r="K349" s="21">
        <f t="shared" si="68"/>
        <v>1</v>
      </c>
      <c r="L349" s="667"/>
      <c r="M349" s="21">
        <f t="shared" si="69"/>
        <v>1</v>
      </c>
      <c r="N349" s="667"/>
      <c r="O349" s="21">
        <f t="shared" si="70"/>
        <v>1</v>
      </c>
      <c r="P349" s="667"/>
      <c r="Q349" s="21">
        <f t="shared" si="71"/>
        <v>1</v>
      </c>
      <c r="R349" s="663">
        <f t="shared" si="72"/>
        <v>0</v>
      </c>
      <c r="S349" s="316">
        <f t="shared" si="63"/>
        <v>0</v>
      </c>
    </row>
    <row r="350" spans="1:19">
      <c r="A350" s="150"/>
      <c r="B350" s="54"/>
      <c r="C350" s="21">
        <f t="shared" si="64"/>
        <v>1</v>
      </c>
      <c r="D350" s="667"/>
      <c r="E350" s="21">
        <f t="shared" si="65"/>
        <v>1</v>
      </c>
      <c r="F350" s="667"/>
      <c r="G350" s="21">
        <f t="shared" si="66"/>
        <v>1</v>
      </c>
      <c r="H350" s="667"/>
      <c r="I350" s="21">
        <f t="shared" si="67"/>
        <v>1</v>
      </c>
      <c r="J350" s="667"/>
      <c r="K350" s="21">
        <f t="shared" si="68"/>
        <v>1</v>
      </c>
      <c r="L350" s="667"/>
      <c r="M350" s="21">
        <f t="shared" si="69"/>
        <v>1</v>
      </c>
      <c r="N350" s="667"/>
      <c r="O350" s="21">
        <f t="shared" si="70"/>
        <v>1</v>
      </c>
      <c r="P350" s="667"/>
      <c r="Q350" s="21">
        <f t="shared" si="71"/>
        <v>1</v>
      </c>
      <c r="R350" s="663">
        <f t="shared" si="72"/>
        <v>0</v>
      </c>
      <c r="S350" s="316">
        <f t="shared" si="63"/>
        <v>0</v>
      </c>
    </row>
    <row r="351" spans="1:19">
      <c r="A351" s="150"/>
      <c r="B351" s="54"/>
      <c r="C351" s="21">
        <f t="shared" si="64"/>
        <v>1</v>
      </c>
      <c r="D351" s="667"/>
      <c r="E351" s="21">
        <f t="shared" si="65"/>
        <v>1</v>
      </c>
      <c r="F351" s="667"/>
      <c r="G351" s="21">
        <f t="shared" si="66"/>
        <v>1</v>
      </c>
      <c r="H351" s="667"/>
      <c r="I351" s="21">
        <f t="shared" si="67"/>
        <v>1</v>
      </c>
      <c r="J351" s="667"/>
      <c r="K351" s="21">
        <f t="shared" si="68"/>
        <v>1</v>
      </c>
      <c r="L351" s="667"/>
      <c r="M351" s="21">
        <f t="shared" si="69"/>
        <v>1</v>
      </c>
      <c r="N351" s="667"/>
      <c r="O351" s="21">
        <f t="shared" si="70"/>
        <v>1</v>
      </c>
      <c r="P351" s="667"/>
      <c r="Q351" s="21">
        <f t="shared" si="71"/>
        <v>1</v>
      </c>
      <c r="R351" s="663">
        <f t="shared" si="72"/>
        <v>0</v>
      </c>
      <c r="S351" s="316">
        <f t="shared" si="63"/>
        <v>0</v>
      </c>
    </row>
    <row r="352" spans="1:19">
      <c r="A352" s="150"/>
      <c r="B352" s="54"/>
      <c r="C352" s="21">
        <f t="shared" si="64"/>
        <v>1</v>
      </c>
      <c r="D352" s="667"/>
      <c r="E352" s="21">
        <f t="shared" si="65"/>
        <v>1</v>
      </c>
      <c r="F352" s="667"/>
      <c r="G352" s="21">
        <f t="shared" si="66"/>
        <v>1</v>
      </c>
      <c r="H352" s="667"/>
      <c r="I352" s="21">
        <f t="shared" si="67"/>
        <v>1</v>
      </c>
      <c r="J352" s="667"/>
      <c r="K352" s="21">
        <f t="shared" si="68"/>
        <v>1</v>
      </c>
      <c r="L352" s="667"/>
      <c r="M352" s="21">
        <f t="shared" si="69"/>
        <v>1</v>
      </c>
      <c r="N352" s="667"/>
      <c r="O352" s="21">
        <f t="shared" si="70"/>
        <v>1</v>
      </c>
      <c r="P352" s="667"/>
      <c r="Q352" s="21">
        <f t="shared" si="71"/>
        <v>1</v>
      </c>
      <c r="R352" s="663">
        <f t="shared" si="72"/>
        <v>0</v>
      </c>
      <c r="S352" s="316">
        <f t="shared" si="63"/>
        <v>0</v>
      </c>
    </row>
    <row r="353" spans="1:19">
      <c r="A353" s="150"/>
      <c r="B353" s="54"/>
      <c r="C353" s="21">
        <f t="shared" si="64"/>
        <v>1</v>
      </c>
      <c r="D353" s="667"/>
      <c r="E353" s="21">
        <f t="shared" si="65"/>
        <v>1</v>
      </c>
      <c r="F353" s="667"/>
      <c r="G353" s="21">
        <f t="shared" si="66"/>
        <v>1</v>
      </c>
      <c r="H353" s="667"/>
      <c r="I353" s="21">
        <f t="shared" si="67"/>
        <v>1</v>
      </c>
      <c r="J353" s="667"/>
      <c r="K353" s="21">
        <f t="shared" si="68"/>
        <v>1</v>
      </c>
      <c r="L353" s="667"/>
      <c r="M353" s="21">
        <f t="shared" si="69"/>
        <v>1</v>
      </c>
      <c r="N353" s="667"/>
      <c r="O353" s="21">
        <f t="shared" si="70"/>
        <v>1</v>
      </c>
      <c r="P353" s="667"/>
      <c r="Q353" s="21">
        <f t="shared" si="71"/>
        <v>1</v>
      </c>
      <c r="R353" s="663">
        <f t="shared" si="72"/>
        <v>0</v>
      </c>
      <c r="S353" s="316">
        <f t="shared" si="63"/>
        <v>0</v>
      </c>
    </row>
    <row r="354" spans="1:19">
      <c r="A354" s="150"/>
      <c r="B354" s="54"/>
      <c r="C354" s="21">
        <f t="shared" si="64"/>
        <v>1</v>
      </c>
      <c r="D354" s="667"/>
      <c r="E354" s="21">
        <f t="shared" si="65"/>
        <v>1</v>
      </c>
      <c r="F354" s="667"/>
      <c r="G354" s="21">
        <f t="shared" si="66"/>
        <v>1</v>
      </c>
      <c r="H354" s="667"/>
      <c r="I354" s="21">
        <f t="shared" si="67"/>
        <v>1</v>
      </c>
      <c r="J354" s="667"/>
      <c r="K354" s="21">
        <f t="shared" si="68"/>
        <v>1</v>
      </c>
      <c r="L354" s="667"/>
      <c r="M354" s="21">
        <f t="shared" si="69"/>
        <v>1</v>
      </c>
      <c r="N354" s="667"/>
      <c r="O354" s="21">
        <f t="shared" si="70"/>
        <v>1</v>
      </c>
      <c r="P354" s="667"/>
      <c r="Q354" s="21">
        <f t="shared" si="71"/>
        <v>1</v>
      </c>
      <c r="R354" s="663">
        <f t="shared" si="72"/>
        <v>0</v>
      </c>
      <c r="S354" s="316">
        <f t="shared" si="63"/>
        <v>0</v>
      </c>
    </row>
    <row r="355" spans="1:19">
      <c r="A355" s="150"/>
      <c r="B355" s="54"/>
      <c r="C355" s="21">
        <f t="shared" si="64"/>
        <v>1</v>
      </c>
      <c r="D355" s="667"/>
      <c r="E355" s="21">
        <f t="shared" si="65"/>
        <v>1</v>
      </c>
      <c r="F355" s="667"/>
      <c r="G355" s="21">
        <f t="shared" si="66"/>
        <v>1</v>
      </c>
      <c r="H355" s="667"/>
      <c r="I355" s="21">
        <f t="shared" si="67"/>
        <v>1</v>
      </c>
      <c r="J355" s="667"/>
      <c r="K355" s="21">
        <f t="shared" si="68"/>
        <v>1</v>
      </c>
      <c r="L355" s="667"/>
      <c r="M355" s="21">
        <f t="shared" si="69"/>
        <v>1</v>
      </c>
      <c r="N355" s="667"/>
      <c r="O355" s="21">
        <f t="shared" si="70"/>
        <v>1</v>
      </c>
      <c r="P355" s="667"/>
      <c r="Q355" s="21">
        <f t="shared" si="71"/>
        <v>1</v>
      </c>
      <c r="R355" s="663">
        <f t="shared" si="72"/>
        <v>0</v>
      </c>
      <c r="S355" s="316">
        <f t="shared" si="63"/>
        <v>0</v>
      </c>
    </row>
    <row r="356" spans="1:19">
      <c r="A356" s="150"/>
      <c r="B356" s="54"/>
      <c r="C356" s="21">
        <f t="shared" si="64"/>
        <v>1</v>
      </c>
      <c r="D356" s="667"/>
      <c r="E356" s="21">
        <f t="shared" si="65"/>
        <v>1</v>
      </c>
      <c r="F356" s="667"/>
      <c r="G356" s="21">
        <f t="shared" si="66"/>
        <v>1</v>
      </c>
      <c r="H356" s="667"/>
      <c r="I356" s="21">
        <f t="shared" si="67"/>
        <v>1</v>
      </c>
      <c r="J356" s="667"/>
      <c r="K356" s="21">
        <f t="shared" si="68"/>
        <v>1</v>
      </c>
      <c r="L356" s="667"/>
      <c r="M356" s="21">
        <f t="shared" si="69"/>
        <v>1</v>
      </c>
      <c r="N356" s="667"/>
      <c r="O356" s="21">
        <f t="shared" si="70"/>
        <v>1</v>
      </c>
      <c r="P356" s="667"/>
      <c r="Q356" s="21">
        <f t="shared" si="71"/>
        <v>1</v>
      </c>
      <c r="R356" s="663">
        <f t="shared" si="72"/>
        <v>0</v>
      </c>
      <c r="S356" s="316">
        <f t="shared" si="63"/>
        <v>0</v>
      </c>
    </row>
    <row r="357" spans="1:19">
      <c r="A357" s="150"/>
      <c r="B357" s="54"/>
      <c r="C357" s="21">
        <f t="shared" si="64"/>
        <v>1</v>
      </c>
      <c r="D357" s="667"/>
      <c r="E357" s="21">
        <f t="shared" si="65"/>
        <v>1</v>
      </c>
      <c r="F357" s="667"/>
      <c r="G357" s="21">
        <f t="shared" si="66"/>
        <v>1</v>
      </c>
      <c r="H357" s="667"/>
      <c r="I357" s="21">
        <f t="shared" si="67"/>
        <v>1</v>
      </c>
      <c r="J357" s="667"/>
      <c r="K357" s="21">
        <f t="shared" si="68"/>
        <v>1</v>
      </c>
      <c r="L357" s="667"/>
      <c r="M357" s="21">
        <f t="shared" si="69"/>
        <v>1</v>
      </c>
      <c r="N357" s="667"/>
      <c r="O357" s="21">
        <f t="shared" si="70"/>
        <v>1</v>
      </c>
      <c r="P357" s="667"/>
      <c r="Q357" s="21">
        <f t="shared" si="71"/>
        <v>1</v>
      </c>
      <c r="R357" s="663">
        <f t="shared" si="72"/>
        <v>0</v>
      </c>
      <c r="S357" s="316">
        <f t="shared" si="63"/>
        <v>0</v>
      </c>
    </row>
    <row r="358" spans="1:19">
      <c r="A358" s="150"/>
      <c r="B358" s="54"/>
      <c r="C358" s="21">
        <f t="shared" si="64"/>
        <v>1</v>
      </c>
      <c r="D358" s="667"/>
      <c r="E358" s="21">
        <f t="shared" si="65"/>
        <v>1</v>
      </c>
      <c r="F358" s="667"/>
      <c r="G358" s="21">
        <f t="shared" si="66"/>
        <v>1</v>
      </c>
      <c r="H358" s="667"/>
      <c r="I358" s="21">
        <f t="shared" si="67"/>
        <v>1</v>
      </c>
      <c r="J358" s="667"/>
      <c r="K358" s="21">
        <f t="shared" si="68"/>
        <v>1</v>
      </c>
      <c r="L358" s="667"/>
      <c r="M358" s="21">
        <f t="shared" si="69"/>
        <v>1</v>
      </c>
      <c r="N358" s="667"/>
      <c r="O358" s="21">
        <f t="shared" si="70"/>
        <v>1</v>
      </c>
      <c r="P358" s="667"/>
      <c r="Q358" s="21">
        <f t="shared" si="71"/>
        <v>1</v>
      </c>
      <c r="R358" s="663">
        <f t="shared" si="72"/>
        <v>0</v>
      </c>
      <c r="S358" s="316">
        <f t="shared" si="63"/>
        <v>0</v>
      </c>
    </row>
    <row r="359" spans="1:19">
      <c r="A359" s="150"/>
      <c r="B359" s="54"/>
      <c r="C359" s="21">
        <f t="shared" si="64"/>
        <v>1</v>
      </c>
      <c r="D359" s="667"/>
      <c r="E359" s="21">
        <f t="shared" si="65"/>
        <v>1</v>
      </c>
      <c r="F359" s="667"/>
      <c r="G359" s="21">
        <f t="shared" si="66"/>
        <v>1</v>
      </c>
      <c r="H359" s="667"/>
      <c r="I359" s="21">
        <f t="shared" si="67"/>
        <v>1</v>
      </c>
      <c r="J359" s="667"/>
      <c r="K359" s="21">
        <f t="shared" si="68"/>
        <v>1</v>
      </c>
      <c r="L359" s="667"/>
      <c r="M359" s="21">
        <f t="shared" si="69"/>
        <v>1</v>
      </c>
      <c r="N359" s="667"/>
      <c r="O359" s="21">
        <f t="shared" si="70"/>
        <v>1</v>
      </c>
      <c r="P359" s="667"/>
      <c r="Q359" s="21">
        <f t="shared" si="71"/>
        <v>1</v>
      </c>
      <c r="R359" s="663">
        <f t="shared" si="72"/>
        <v>0</v>
      </c>
      <c r="S359" s="316">
        <f t="shared" si="63"/>
        <v>0</v>
      </c>
    </row>
    <row r="360" spans="1:19">
      <c r="A360" s="150"/>
      <c r="B360" s="54"/>
      <c r="C360" s="21">
        <f t="shared" si="64"/>
        <v>1</v>
      </c>
      <c r="D360" s="667"/>
      <c r="E360" s="21">
        <f t="shared" si="65"/>
        <v>1</v>
      </c>
      <c r="F360" s="667"/>
      <c r="G360" s="21">
        <f t="shared" si="66"/>
        <v>1</v>
      </c>
      <c r="H360" s="667"/>
      <c r="I360" s="21">
        <f t="shared" si="67"/>
        <v>1</v>
      </c>
      <c r="J360" s="667"/>
      <c r="K360" s="21">
        <f t="shared" si="68"/>
        <v>1</v>
      </c>
      <c r="L360" s="667"/>
      <c r="M360" s="21">
        <f t="shared" si="69"/>
        <v>1</v>
      </c>
      <c r="N360" s="667"/>
      <c r="O360" s="21">
        <f t="shared" si="70"/>
        <v>1</v>
      </c>
      <c r="P360" s="667"/>
      <c r="Q360" s="21">
        <f t="shared" si="71"/>
        <v>1</v>
      </c>
      <c r="R360" s="663">
        <f t="shared" si="72"/>
        <v>0</v>
      </c>
      <c r="S360" s="316">
        <f t="shared" si="63"/>
        <v>0</v>
      </c>
    </row>
    <row r="361" spans="1:19">
      <c r="A361" s="150"/>
      <c r="B361" s="54"/>
      <c r="C361" s="21">
        <f t="shared" si="64"/>
        <v>1</v>
      </c>
      <c r="D361" s="667"/>
      <c r="E361" s="21">
        <f t="shared" si="65"/>
        <v>1</v>
      </c>
      <c r="F361" s="667"/>
      <c r="G361" s="21">
        <f t="shared" si="66"/>
        <v>1</v>
      </c>
      <c r="H361" s="667"/>
      <c r="I361" s="21">
        <f t="shared" si="67"/>
        <v>1</v>
      </c>
      <c r="J361" s="667"/>
      <c r="K361" s="21">
        <f t="shared" si="68"/>
        <v>1</v>
      </c>
      <c r="L361" s="667"/>
      <c r="M361" s="21">
        <f t="shared" si="69"/>
        <v>1</v>
      </c>
      <c r="N361" s="667"/>
      <c r="O361" s="21">
        <f t="shared" si="70"/>
        <v>1</v>
      </c>
      <c r="P361" s="667"/>
      <c r="Q361" s="21">
        <f t="shared" si="71"/>
        <v>1</v>
      </c>
      <c r="R361" s="663">
        <f t="shared" si="72"/>
        <v>0</v>
      </c>
      <c r="S361" s="316">
        <f t="shared" si="63"/>
        <v>0</v>
      </c>
    </row>
    <row r="362" spans="1:19">
      <c r="A362" s="150"/>
      <c r="B362" s="54"/>
      <c r="C362" s="21">
        <f t="shared" si="64"/>
        <v>1</v>
      </c>
      <c r="D362" s="667"/>
      <c r="E362" s="21">
        <f t="shared" si="65"/>
        <v>1</v>
      </c>
      <c r="F362" s="667"/>
      <c r="G362" s="21">
        <f t="shared" si="66"/>
        <v>1</v>
      </c>
      <c r="H362" s="667"/>
      <c r="I362" s="21">
        <f t="shared" si="67"/>
        <v>1</v>
      </c>
      <c r="J362" s="667"/>
      <c r="K362" s="21">
        <f t="shared" si="68"/>
        <v>1</v>
      </c>
      <c r="L362" s="667"/>
      <c r="M362" s="21">
        <f t="shared" si="69"/>
        <v>1</v>
      </c>
      <c r="N362" s="667"/>
      <c r="O362" s="21">
        <f t="shared" si="70"/>
        <v>1</v>
      </c>
      <c r="P362" s="667"/>
      <c r="Q362" s="21">
        <f t="shared" si="71"/>
        <v>1</v>
      </c>
      <c r="R362" s="663">
        <f t="shared" si="72"/>
        <v>0</v>
      </c>
      <c r="S362" s="316">
        <f t="shared" si="63"/>
        <v>0</v>
      </c>
    </row>
    <row r="363" spans="1:19">
      <c r="A363" s="150"/>
      <c r="B363" s="54"/>
      <c r="C363" s="21">
        <f t="shared" si="64"/>
        <v>1</v>
      </c>
      <c r="D363" s="667"/>
      <c r="E363" s="21">
        <f t="shared" si="65"/>
        <v>1</v>
      </c>
      <c r="F363" s="667"/>
      <c r="G363" s="21">
        <f t="shared" si="66"/>
        <v>1</v>
      </c>
      <c r="H363" s="667"/>
      <c r="I363" s="21">
        <f t="shared" si="67"/>
        <v>1</v>
      </c>
      <c r="J363" s="667"/>
      <c r="K363" s="21">
        <f t="shared" si="68"/>
        <v>1</v>
      </c>
      <c r="L363" s="667"/>
      <c r="M363" s="21">
        <f t="shared" si="69"/>
        <v>1</v>
      </c>
      <c r="N363" s="667"/>
      <c r="O363" s="21">
        <f t="shared" si="70"/>
        <v>1</v>
      </c>
      <c r="P363" s="667"/>
      <c r="Q363" s="21">
        <f t="shared" si="71"/>
        <v>1</v>
      </c>
      <c r="R363" s="663">
        <f t="shared" si="72"/>
        <v>0</v>
      </c>
      <c r="S363" s="316">
        <f t="shared" si="63"/>
        <v>0</v>
      </c>
    </row>
    <row r="364" spans="1:19">
      <c r="A364" s="150"/>
      <c r="B364" s="54"/>
      <c r="C364" s="21">
        <f t="shared" si="64"/>
        <v>1</v>
      </c>
      <c r="D364" s="667"/>
      <c r="E364" s="21">
        <f t="shared" si="65"/>
        <v>1</v>
      </c>
      <c r="F364" s="667"/>
      <c r="G364" s="21">
        <f t="shared" si="66"/>
        <v>1</v>
      </c>
      <c r="H364" s="667"/>
      <c r="I364" s="21">
        <f t="shared" si="67"/>
        <v>1</v>
      </c>
      <c r="J364" s="667"/>
      <c r="K364" s="21">
        <f t="shared" si="68"/>
        <v>1</v>
      </c>
      <c r="L364" s="667"/>
      <c r="M364" s="21">
        <f t="shared" si="69"/>
        <v>1</v>
      </c>
      <c r="N364" s="667"/>
      <c r="O364" s="21">
        <f t="shared" si="70"/>
        <v>1</v>
      </c>
      <c r="P364" s="667"/>
      <c r="Q364" s="21">
        <f t="shared" si="71"/>
        <v>1</v>
      </c>
      <c r="R364" s="663">
        <f t="shared" si="72"/>
        <v>0</v>
      </c>
      <c r="S364" s="316">
        <f t="shared" si="63"/>
        <v>0</v>
      </c>
    </row>
    <row r="365" spans="1:19">
      <c r="A365" s="150"/>
      <c r="B365" s="54"/>
      <c r="C365" s="21">
        <f t="shared" si="64"/>
        <v>1</v>
      </c>
      <c r="D365" s="667"/>
      <c r="E365" s="21">
        <f t="shared" si="65"/>
        <v>1</v>
      </c>
      <c r="F365" s="667"/>
      <c r="G365" s="21">
        <f t="shared" si="66"/>
        <v>1</v>
      </c>
      <c r="H365" s="667"/>
      <c r="I365" s="21">
        <f t="shared" si="67"/>
        <v>1</v>
      </c>
      <c r="J365" s="667"/>
      <c r="K365" s="21">
        <f t="shared" si="68"/>
        <v>1</v>
      </c>
      <c r="L365" s="667"/>
      <c r="M365" s="21">
        <f t="shared" si="69"/>
        <v>1</v>
      </c>
      <c r="N365" s="667"/>
      <c r="O365" s="21">
        <f t="shared" si="70"/>
        <v>1</v>
      </c>
      <c r="P365" s="667"/>
      <c r="Q365" s="21">
        <f t="shared" si="71"/>
        <v>1</v>
      </c>
      <c r="R365" s="663">
        <f t="shared" si="72"/>
        <v>0</v>
      </c>
      <c r="S365" s="316">
        <f t="shared" si="63"/>
        <v>0</v>
      </c>
    </row>
    <row r="366" spans="1:19">
      <c r="A366" s="150"/>
      <c r="B366" s="54"/>
      <c r="C366" s="21">
        <f t="shared" si="64"/>
        <v>1</v>
      </c>
      <c r="D366" s="667"/>
      <c r="E366" s="21">
        <f t="shared" si="65"/>
        <v>1</v>
      </c>
      <c r="F366" s="667"/>
      <c r="G366" s="21">
        <f t="shared" si="66"/>
        <v>1</v>
      </c>
      <c r="H366" s="667"/>
      <c r="I366" s="21">
        <f t="shared" si="67"/>
        <v>1</v>
      </c>
      <c r="J366" s="667"/>
      <c r="K366" s="21">
        <f t="shared" si="68"/>
        <v>1</v>
      </c>
      <c r="L366" s="667"/>
      <c r="M366" s="21">
        <f t="shared" si="69"/>
        <v>1</v>
      </c>
      <c r="N366" s="667"/>
      <c r="O366" s="21">
        <f t="shared" si="70"/>
        <v>1</v>
      </c>
      <c r="P366" s="667"/>
      <c r="Q366" s="21">
        <f t="shared" si="71"/>
        <v>1</v>
      </c>
      <c r="R366" s="663">
        <f t="shared" si="72"/>
        <v>0</v>
      </c>
      <c r="S366" s="316">
        <f t="shared" si="63"/>
        <v>0</v>
      </c>
    </row>
    <row r="367" spans="1:19">
      <c r="A367" s="150"/>
      <c r="B367" s="54"/>
      <c r="C367" s="21">
        <f t="shared" si="64"/>
        <v>1</v>
      </c>
      <c r="D367" s="667"/>
      <c r="E367" s="21">
        <f t="shared" si="65"/>
        <v>1</v>
      </c>
      <c r="F367" s="667"/>
      <c r="G367" s="21">
        <f t="shared" si="66"/>
        <v>1</v>
      </c>
      <c r="H367" s="667"/>
      <c r="I367" s="21">
        <f t="shared" si="67"/>
        <v>1</v>
      </c>
      <c r="J367" s="667"/>
      <c r="K367" s="21">
        <f t="shared" si="68"/>
        <v>1</v>
      </c>
      <c r="L367" s="667"/>
      <c r="M367" s="21">
        <f t="shared" si="69"/>
        <v>1</v>
      </c>
      <c r="N367" s="667"/>
      <c r="O367" s="21">
        <f t="shared" si="70"/>
        <v>1</v>
      </c>
      <c r="P367" s="667"/>
      <c r="Q367" s="21">
        <f t="shared" si="71"/>
        <v>1</v>
      </c>
      <c r="R367" s="663">
        <f t="shared" si="72"/>
        <v>0</v>
      </c>
      <c r="S367" s="316">
        <f t="shared" si="63"/>
        <v>0</v>
      </c>
    </row>
    <row r="368" spans="1:19">
      <c r="A368" s="150"/>
      <c r="B368" s="54"/>
      <c r="C368" s="21">
        <f t="shared" si="64"/>
        <v>1</v>
      </c>
      <c r="D368" s="667"/>
      <c r="E368" s="21">
        <f t="shared" si="65"/>
        <v>1</v>
      </c>
      <c r="F368" s="667"/>
      <c r="G368" s="21">
        <f t="shared" si="66"/>
        <v>1</v>
      </c>
      <c r="H368" s="667"/>
      <c r="I368" s="21">
        <f t="shared" si="67"/>
        <v>1</v>
      </c>
      <c r="J368" s="667"/>
      <c r="K368" s="21">
        <f t="shared" si="68"/>
        <v>1</v>
      </c>
      <c r="L368" s="667"/>
      <c r="M368" s="21">
        <f t="shared" si="69"/>
        <v>1</v>
      </c>
      <c r="N368" s="667"/>
      <c r="O368" s="21">
        <f t="shared" si="70"/>
        <v>1</v>
      </c>
      <c r="P368" s="667"/>
      <c r="Q368" s="21">
        <f t="shared" si="71"/>
        <v>1</v>
      </c>
      <c r="R368" s="663">
        <f t="shared" si="72"/>
        <v>0</v>
      </c>
      <c r="S368" s="316">
        <f t="shared" si="63"/>
        <v>0</v>
      </c>
    </row>
    <row r="369" spans="1:19">
      <c r="A369" s="150"/>
      <c r="B369" s="54"/>
      <c r="C369" s="21">
        <f t="shared" si="64"/>
        <v>1</v>
      </c>
      <c r="D369" s="667"/>
      <c r="E369" s="21">
        <f t="shared" si="65"/>
        <v>1</v>
      </c>
      <c r="F369" s="667"/>
      <c r="G369" s="21">
        <f t="shared" si="66"/>
        <v>1</v>
      </c>
      <c r="H369" s="667"/>
      <c r="I369" s="21">
        <f t="shared" si="67"/>
        <v>1</v>
      </c>
      <c r="J369" s="667"/>
      <c r="K369" s="21">
        <f t="shared" si="68"/>
        <v>1</v>
      </c>
      <c r="L369" s="667"/>
      <c r="M369" s="21">
        <f t="shared" si="69"/>
        <v>1</v>
      </c>
      <c r="N369" s="667"/>
      <c r="O369" s="21">
        <f t="shared" si="70"/>
        <v>1</v>
      </c>
      <c r="P369" s="667"/>
      <c r="Q369" s="21">
        <f t="shared" si="71"/>
        <v>1</v>
      </c>
      <c r="R369" s="663">
        <f t="shared" si="72"/>
        <v>0</v>
      </c>
      <c r="S369" s="316">
        <f t="shared" si="63"/>
        <v>0</v>
      </c>
    </row>
    <row r="370" spans="1:19">
      <c r="A370" s="150"/>
      <c r="B370" s="54"/>
      <c r="C370" s="21">
        <f t="shared" si="64"/>
        <v>1</v>
      </c>
      <c r="D370" s="667"/>
      <c r="E370" s="21">
        <f t="shared" si="65"/>
        <v>1</v>
      </c>
      <c r="F370" s="667"/>
      <c r="G370" s="21">
        <f t="shared" si="66"/>
        <v>1</v>
      </c>
      <c r="H370" s="667"/>
      <c r="I370" s="21">
        <f t="shared" si="67"/>
        <v>1</v>
      </c>
      <c r="J370" s="667"/>
      <c r="K370" s="21">
        <f t="shared" si="68"/>
        <v>1</v>
      </c>
      <c r="L370" s="667"/>
      <c r="M370" s="21">
        <f t="shared" si="69"/>
        <v>1</v>
      </c>
      <c r="N370" s="667"/>
      <c r="O370" s="21">
        <f t="shared" si="70"/>
        <v>1</v>
      </c>
      <c r="P370" s="667"/>
      <c r="Q370" s="21">
        <f t="shared" si="71"/>
        <v>1</v>
      </c>
      <c r="R370" s="663">
        <f t="shared" si="72"/>
        <v>0</v>
      </c>
      <c r="S370" s="316">
        <f t="shared" si="63"/>
        <v>0</v>
      </c>
    </row>
    <row r="371" spans="1:19">
      <c r="A371" s="150"/>
      <c r="B371" s="54"/>
      <c r="C371" s="21">
        <f t="shared" si="64"/>
        <v>1</v>
      </c>
      <c r="D371" s="667"/>
      <c r="E371" s="21">
        <f t="shared" si="65"/>
        <v>1</v>
      </c>
      <c r="F371" s="667"/>
      <c r="G371" s="21">
        <f t="shared" si="66"/>
        <v>1</v>
      </c>
      <c r="H371" s="667"/>
      <c r="I371" s="21">
        <f t="shared" si="67"/>
        <v>1</v>
      </c>
      <c r="J371" s="667"/>
      <c r="K371" s="21">
        <f t="shared" si="68"/>
        <v>1</v>
      </c>
      <c r="L371" s="667"/>
      <c r="M371" s="21">
        <f t="shared" si="69"/>
        <v>1</v>
      </c>
      <c r="N371" s="667"/>
      <c r="O371" s="21">
        <f t="shared" si="70"/>
        <v>1</v>
      </c>
      <c r="P371" s="667"/>
      <c r="Q371" s="21">
        <f t="shared" si="71"/>
        <v>1</v>
      </c>
      <c r="R371" s="663">
        <f t="shared" si="72"/>
        <v>0</v>
      </c>
      <c r="S371" s="316">
        <f t="shared" si="63"/>
        <v>0</v>
      </c>
    </row>
    <row r="372" spans="1:19">
      <c r="A372" s="150"/>
      <c r="B372" s="54"/>
      <c r="C372" s="21">
        <f t="shared" si="64"/>
        <v>1</v>
      </c>
      <c r="D372" s="667"/>
      <c r="E372" s="21">
        <f t="shared" si="65"/>
        <v>1</v>
      </c>
      <c r="F372" s="667"/>
      <c r="G372" s="21">
        <f t="shared" si="66"/>
        <v>1</v>
      </c>
      <c r="H372" s="667"/>
      <c r="I372" s="21">
        <f t="shared" si="67"/>
        <v>1</v>
      </c>
      <c r="J372" s="667"/>
      <c r="K372" s="21">
        <f t="shared" si="68"/>
        <v>1</v>
      </c>
      <c r="L372" s="667"/>
      <c r="M372" s="21">
        <f t="shared" si="69"/>
        <v>1</v>
      </c>
      <c r="N372" s="667"/>
      <c r="O372" s="21">
        <f t="shared" si="70"/>
        <v>1</v>
      </c>
      <c r="P372" s="667"/>
      <c r="Q372" s="21">
        <f t="shared" si="71"/>
        <v>1</v>
      </c>
      <c r="R372" s="663">
        <f t="shared" si="72"/>
        <v>0</v>
      </c>
      <c r="S372" s="316">
        <f t="shared" si="63"/>
        <v>0</v>
      </c>
    </row>
    <row r="373" spans="1:19">
      <c r="A373" s="150"/>
      <c r="B373" s="54"/>
      <c r="C373" s="21">
        <f t="shared" si="64"/>
        <v>1</v>
      </c>
      <c r="D373" s="667"/>
      <c r="E373" s="21">
        <f t="shared" si="65"/>
        <v>1</v>
      </c>
      <c r="F373" s="667"/>
      <c r="G373" s="21">
        <f t="shared" si="66"/>
        <v>1</v>
      </c>
      <c r="H373" s="667"/>
      <c r="I373" s="21">
        <f t="shared" si="67"/>
        <v>1</v>
      </c>
      <c r="J373" s="667"/>
      <c r="K373" s="21">
        <f t="shared" si="68"/>
        <v>1</v>
      </c>
      <c r="L373" s="667"/>
      <c r="M373" s="21">
        <f t="shared" si="69"/>
        <v>1</v>
      </c>
      <c r="N373" s="667"/>
      <c r="O373" s="21">
        <f t="shared" si="70"/>
        <v>1</v>
      </c>
      <c r="P373" s="667"/>
      <c r="Q373" s="21">
        <f t="shared" si="71"/>
        <v>1</v>
      </c>
      <c r="R373" s="663">
        <f t="shared" si="72"/>
        <v>0</v>
      </c>
      <c r="S373" s="316">
        <f t="shared" si="63"/>
        <v>0</v>
      </c>
    </row>
    <row r="374" spans="1:19">
      <c r="A374" s="150"/>
      <c r="B374" s="54"/>
      <c r="C374" s="21">
        <f t="shared" si="64"/>
        <v>1</v>
      </c>
      <c r="D374" s="667"/>
      <c r="E374" s="21">
        <f t="shared" si="65"/>
        <v>1</v>
      </c>
      <c r="F374" s="667"/>
      <c r="G374" s="21">
        <f t="shared" si="66"/>
        <v>1</v>
      </c>
      <c r="H374" s="667"/>
      <c r="I374" s="21">
        <f t="shared" si="67"/>
        <v>1</v>
      </c>
      <c r="J374" s="667"/>
      <c r="K374" s="21">
        <f t="shared" si="68"/>
        <v>1</v>
      </c>
      <c r="L374" s="667"/>
      <c r="M374" s="21">
        <f t="shared" si="69"/>
        <v>1</v>
      </c>
      <c r="N374" s="667"/>
      <c r="O374" s="21">
        <f t="shared" si="70"/>
        <v>1</v>
      </c>
      <c r="P374" s="667"/>
      <c r="Q374" s="21">
        <f t="shared" si="71"/>
        <v>1</v>
      </c>
      <c r="R374" s="663">
        <f t="shared" si="72"/>
        <v>0</v>
      </c>
      <c r="S374" s="316">
        <f t="shared" si="63"/>
        <v>0</v>
      </c>
    </row>
    <row r="375" spans="1:19">
      <c r="A375" s="150"/>
      <c r="B375" s="54"/>
      <c r="C375" s="21">
        <f t="shared" si="64"/>
        <v>1</v>
      </c>
      <c r="D375" s="667"/>
      <c r="E375" s="21">
        <f t="shared" si="65"/>
        <v>1</v>
      </c>
      <c r="F375" s="667"/>
      <c r="G375" s="21">
        <f t="shared" si="66"/>
        <v>1</v>
      </c>
      <c r="H375" s="667"/>
      <c r="I375" s="21">
        <f t="shared" si="67"/>
        <v>1</v>
      </c>
      <c r="J375" s="667"/>
      <c r="K375" s="21">
        <f t="shared" si="68"/>
        <v>1</v>
      </c>
      <c r="L375" s="667"/>
      <c r="M375" s="21">
        <f t="shared" si="69"/>
        <v>1</v>
      </c>
      <c r="N375" s="667"/>
      <c r="O375" s="21">
        <f t="shared" si="70"/>
        <v>1</v>
      </c>
      <c r="P375" s="667"/>
      <c r="Q375" s="21">
        <f t="shared" si="71"/>
        <v>1</v>
      </c>
      <c r="R375" s="663">
        <f t="shared" si="72"/>
        <v>0</v>
      </c>
      <c r="S375" s="316">
        <f t="shared" si="63"/>
        <v>0</v>
      </c>
    </row>
    <row r="376" spans="1:19">
      <c r="A376" s="150"/>
      <c r="B376" s="54"/>
      <c r="C376" s="21">
        <f t="shared" si="64"/>
        <v>1</v>
      </c>
      <c r="D376" s="667"/>
      <c r="E376" s="21">
        <f t="shared" si="65"/>
        <v>1</v>
      </c>
      <c r="F376" s="667"/>
      <c r="G376" s="21">
        <f t="shared" si="66"/>
        <v>1</v>
      </c>
      <c r="H376" s="667"/>
      <c r="I376" s="21">
        <f t="shared" si="67"/>
        <v>1</v>
      </c>
      <c r="J376" s="667"/>
      <c r="K376" s="21">
        <f t="shared" si="68"/>
        <v>1</v>
      </c>
      <c r="L376" s="667"/>
      <c r="M376" s="21">
        <f t="shared" si="69"/>
        <v>1</v>
      </c>
      <c r="N376" s="667"/>
      <c r="O376" s="21">
        <f t="shared" si="70"/>
        <v>1</v>
      </c>
      <c r="P376" s="667"/>
      <c r="Q376" s="21">
        <f t="shared" si="71"/>
        <v>1</v>
      </c>
      <c r="R376" s="663">
        <f t="shared" si="72"/>
        <v>0</v>
      </c>
      <c r="S376" s="316">
        <f t="shared" si="63"/>
        <v>0</v>
      </c>
    </row>
    <row r="377" spans="1:19">
      <c r="A377" s="150"/>
      <c r="B377" s="54"/>
      <c r="C377" s="21">
        <f t="shared" si="64"/>
        <v>1</v>
      </c>
      <c r="D377" s="667"/>
      <c r="E377" s="21">
        <f t="shared" si="65"/>
        <v>1</v>
      </c>
      <c r="F377" s="667"/>
      <c r="G377" s="21">
        <f t="shared" si="66"/>
        <v>1</v>
      </c>
      <c r="H377" s="667"/>
      <c r="I377" s="21">
        <f t="shared" si="67"/>
        <v>1</v>
      </c>
      <c r="J377" s="667"/>
      <c r="K377" s="21">
        <f t="shared" si="68"/>
        <v>1</v>
      </c>
      <c r="L377" s="667"/>
      <c r="M377" s="21">
        <f t="shared" si="69"/>
        <v>1</v>
      </c>
      <c r="N377" s="667"/>
      <c r="O377" s="21">
        <f t="shared" si="70"/>
        <v>1</v>
      </c>
      <c r="P377" s="667"/>
      <c r="Q377" s="21">
        <f t="shared" si="71"/>
        <v>1</v>
      </c>
      <c r="R377" s="663">
        <f t="shared" si="72"/>
        <v>0</v>
      </c>
      <c r="S377" s="316">
        <f t="shared" si="63"/>
        <v>0</v>
      </c>
    </row>
    <row r="378" spans="1:19">
      <c r="A378" s="150"/>
      <c r="B378" s="54"/>
      <c r="C378" s="21">
        <f t="shared" si="64"/>
        <v>1</v>
      </c>
      <c r="D378" s="667"/>
      <c r="E378" s="21">
        <f t="shared" si="65"/>
        <v>1</v>
      </c>
      <c r="F378" s="667"/>
      <c r="G378" s="21">
        <f t="shared" si="66"/>
        <v>1</v>
      </c>
      <c r="H378" s="667"/>
      <c r="I378" s="21">
        <f t="shared" si="67"/>
        <v>1</v>
      </c>
      <c r="J378" s="667"/>
      <c r="K378" s="21">
        <f t="shared" si="68"/>
        <v>1</v>
      </c>
      <c r="L378" s="667"/>
      <c r="M378" s="21">
        <f t="shared" si="69"/>
        <v>1</v>
      </c>
      <c r="N378" s="667"/>
      <c r="O378" s="21">
        <f t="shared" si="70"/>
        <v>1</v>
      </c>
      <c r="P378" s="667"/>
      <c r="Q378" s="21">
        <f t="shared" si="71"/>
        <v>1</v>
      </c>
      <c r="R378" s="663">
        <f t="shared" si="72"/>
        <v>0</v>
      </c>
      <c r="S378" s="316">
        <f t="shared" si="63"/>
        <v>0</v>
      </c>
    </row>
    <row r="379" spans="1:19">
      <c r="A379" s="150"/>
      <c r="B379" s="54"/>
      <c r="C379" s="21">
        <f t="shared" si="64"/>
        <v>1</v>
      </c>
      <c r="D379" s="667"/>
      <c r="E379" s="21">
        <f t="shared" si="65"/>
        <v>1</v>
      </c>
      <c r="F379" s="667"/>
      <c r="G379" s="21">
        <f t="shared" si="66"/>
        <v>1</v>
      </c>
      <c r="H379" s="667"/>
      <c r="I379" s="21">
        <f t="shared" si="67"/>
        <v>1</v>
      </c>
      <c r="J379" s="667"/>
      <c r="K379" s="21">
        <f t="shared" si="68"/>
        <v>1</v>
      </c>
      <c r="L379" s="667"/>
      <c r="M379" s="21">
        <f t="shared" si="69"/>
        <v>1</v>
      </c>
      <c r="N379" s="667"/>
      <c r="O379" s="21">
        <f t="shared" si="70"/>
        <v>1</v>
      </c>
      <c r="P379" s="667"/>
      <c r="Q379" s="21">
        <f t="shared" si="71"/>
        <v>1</v>
      </c>
      <c r="R379" s="663">
        <f t="shared" si="72"/>
        <v>0</v>
      </c>
      <c r="S379" s="316">
        <f t="shared" si="63"/>
        <v>0</v>
      </c>
    </row>
    <row r="380" spans="1:19">
      <c r="A380" s="150"/>
      <c r="B380" s="54"/>
      <c r="C380" s="21">
        <f t="shared" si="64"/>
        <v>1</v>
      </c>
      <c r="D380" s="667"/>
      <c r="E380" s="21">
        <f t="shared" si="65"/>
        <v>1</v>
      </c>
      <c r="F380" s="667"/>
      <c r="G380" s="21">
        <f t="shared" si="66"/>
        <v>1</v>
      </c>
      <c r="H380" s="667"/>
      <c r="I380" s="21">
        <f t="shared" si="67"/>
        <v>1</v>
      </c>
      <c r="J380" s="667"/>
      <c r="K380" s="21">
        <f t="shared" si="68"/>
        <v>1</v>
      </c>
      <c r="L380" s="667"/>
      <c r="M380" s="21">
        <f t="shared" si="69"/>
        <v>1</v>
      </c>
      <c r="N380" s="667"/>
      <c r="O380" s="21">
        <f t="shared" si="70"/>
        <v>1</v>
      </c>
      <c r="P380" s="667"/>
      <c r="Q380" s="21">
        <f t="shared" si="71"/>
        <v>1</v>
      </c>
      <c r="R380" s="663">
        <f t="shared" si="72"/>
        <v>0</v>
      </c>
      <c r="S380" s="316">
        <f t="shared" si="63"/>
        <v>0</v>
      </c>
    </row>
    <row r="381" spans="1:19">
      <c r="A381" s="150"/>
      <c r="B381" s="54"/>
      <c r="C381" s="21">
        <f t="shared" si="64"/>
        <v>1</v>
      </c>
      <c r="D381" s="667"/>
      <c r="E381" s="21">
        <f t="shared" si="65"/>
        <v>1</v>
      </c>
      <c r="F381" s="667"/>
      <c r="G381" s="21">
        <f t="shared" si="66"/>
        <v>1</v>
      </c>
      <c r="H381" s="667"/>
      <c r="I381" s="21">
        <f t="shared" si="67"/>
        <v>1</v>
      </c>
      <c r="J381" s="667"/>
      <c r="K381" s="21">
        <f t="shared" si="68"/>
        <v>1</v>
      </c>
      <c r="L381" s="667"/>
      <c r="M381" s="21">
        <f t="shared" si="69"/>
        <v>1</v>
      </c>
      <c r="N381" s="667"/>
      <c r="O381" s="21">
        <f t="shared" si="70"/>
        <v>1</v>
      </c>
      <c r="P381" s="667"/>
      <c r="Q381" s="21">
        <f t="shared" si="71"/>
        <v>1</v>
      </c>
      <c r="R381" s="663">
        <f t="shared" si="72"/>
        <v>0</v>
      </c>
      <c r="S381" s="316">
        <f t="shared" si="63"/>
        <v>0</v>
      </c>
    </row>
    <row r="382" spans="1:19">
      <c r="A382" s="150"/>
      <c r="B382" s="54"/>
      <c r="C382" s="21">
        <f t="shared" si="64"/>
        <v>1</v>
      </c>
      <c r="D382" s="667"/>
      <c r="E382" s="21">
        <f t="shared" si="65"/>
        <v>1</v>
      </c>
      <c r="F382" s="667"/>
      <c r="G382" s="21">
        <f t="shared" si="66"/>
        <v>1</v>
      </c>
      <c r="H382" s="667"/>
      <c r="I382" s="21">
        <f t="shared" si="67"/>
        <v>1</v>
      </c>
      <c r="J382" s="667"/>
      <c r="K382" s="21">
        <f t="shared" si="68"/>
        <v>1</v>
      </c>
      <c r="L382" s="667"/>
      <c r="M382" s="21">
        <f t="shared" si="69"/>
        <v>1</v>
      </c>
      <c r="N382" s="667"/>
      <c r="O382" s="21">
        <f t="shared" si="70"/>
        <v>1</v>
      </c>
      <c r="P382" s="667"/>
      <c r="Q382" s="21">
        <f t="shared" si="71"/>
        <v>1</v>
      </c>
      <c r="R382" s="663">
        <f t="shared" si="72"/>
        <v>0</v>
      </c>
      <c r="S382" s="316">
        <f t="shared" si="63"/>
        <v>0</v>
      </c>
    </row>
    <row r="383" spans="1:19">
      <c r="A383" s="150"/>
      <c r="B383" s="54"/>
      <c r="C383" s="21">
        <f t="shared" si="64"/>
        <v>1</v>
      </c>
      <c r="D383" s="667"/>
      <c r="E383" s="21">
        <f t="shared" si="65"/>
        <v>1</v>
      </c>
      <c r="F383" s="667"/>
      <c r="G383" s="21">
        <f t="shared" si="66"/>
        <v>1</v>
      </c>
      <c r="H383" s="667"/>
      <c r="I383" s="21">
        <f t="shared" si="67"/>
        <v>1</v>
      </c>
      <c r="J383" s="667"/>
      <c r="K383" s="21">
        <f t="shared" si="68"/>
        <v>1</v>
      </c>
      <c r="L383" s="667"/>
      <c r="M383" s="21">
        <f t="shared" si="69"/>
        <v>1</v>
      </c>
      <c r="N383" s="667"/>
      <c r="O383" s="21">
        <f t="shared" si="70"/>
        <v>1</v>
      </c>
      <c r="P383" s="667"/>
      <c r="Q383" s="21">
        <f t="shared" si="71"/>
        <v>1</v>
      </c>
      <c r="R383" s="663">
        <f t="shared" si="72"/>
        <v>0</v>
      </c>
      <c r="S383" s="316">
        <f t="shared" si="63"/>
        <v>0</v>
      </c>
    </row>
    <row r="384" spans="1:19">
      <c r="A384" s="150"/>
      <c r="B384" s="54"/>
      <c r="C384" s="21">
        <f t="shared" si="64"/>
        <v>1</v>
      </c>
      <c r="D384" s="667"/>
      <c r="E384" s="21">
        <f t="shared" si="65"/>
        <v>1</v>
      </c>
      <c r="F384" s="667"/>
      <c r="G384" s="21">
        <f t="shared" si="66"/>
        <v>1</v>
      </c>
      <c r="H384" s="667"/>
      <c r="I384" s="21">
        <f t="shared" si="67"/>
        <v>1</v>
      </c>
      <c r="J384" s="667"/>
      <c r="K384" s="21">
        <f t="shared" si="68"/>
        <v>1</v>
      </c>
      <c r="L384" s="667"/>
      <c r="M384" s="21">
        <f t="shared" si="69"/>
        <v>1</v>
      </c>
      <c r="N384" s="667"/>
      <c r="O384" s="21">
        <f t="shared" si="70"/>
        <v>1</v>
      </c>
      <c r="P384" s="667"/>
      <c r="Q384" s="21">
        <f t="shared" si="71"/>
        <v>1</v>
      </c>
      <c r="R384" s="663">
        <f t="shared" si="72"/>
        <v>0</v>
      </c>
      <c r="S384" s="316">
        <f t="shared" si="63"/>
        <v>0</v>
      </c>
    </row>
    <row r="385" spans="1:19">
      <c r="A385" s="150"/>
      <c r="B385" s="54"/>
      <c r="C385" s="21">
        <f t="shared" si="64"/>
        <v>1</v>
      </c>
      <c r="D385" s="667"/>
      <c r="E385" s="21">
        <f t="shared" si="65"/>
        <v>1</v>
      </c>
      <c r="F385" s="667"/>
      <c r="G385" s="21">
        <f t="shared" si="66"/>
        <v>1</v>
      </c>
      <c r="H385" s="667"/>
      <c r="I385" s="21">
        <f t="shared" si="67"/>
        <v>1</v>
      </c>
      <c r="J385" s="667"/>
      <c r="K385" s="21">
        <f t="shared" si="68"/>
        <v>1</v>
      </c>
      <c r="L385" s="667"/>
      <c r="M385" s="21">
        <f t="shared" si="69"/>
        <v>1</v>
      </c>
      <c r="N385" s="667"/>
      <c r="O385" s="21">
        <f t="shared" si="70"/>
        <v>1</v>
      </c>
      <c r="P385" s="667"/>
      <c r="Q385" s="21">
        <f t="shared" si="71"/>
        <v>1</v>
      </c>
      <c r="R385" s="663">
        <f t="shared" si="72"/>
        <v>0</v>
      </c>
      <c r="S385" s="316">
        <f t="shared" ref="S385:S422" si="73">ROUND(R385*B385/10000,0)</f>
        <v>0</v>
      </c>
    </row>
    <row r="386" spans="1:19">
      <c r="A386" s="150"/>
      <c r="B386" s="54"/>
      <c r="C386" s="21">
        <f t="shared" si="64"/>
        <v>1</v>
      </c>
      <c r="D386" s="667"/>
      <c r="E386" s="21">
        <f t="shared" si="65"/>
        <v>1</v>
      </c>
      <c r="F386" s="667"/>
      <c r="G386" s="21">
        <f t="shared" si="66"/>
        <v>1</v>
      </c>
      <c r="H386" s="667"/>
      <c r="I386" s="21">
        <f t="shared" si="67"/>
        <v>1</v>
      </c>
      <c r="J386" s="667"/>
      <c r="K386" s="21">
        <f t="shared" si="68"/>
        <v>1</v>
      </c>
      <c r="L386" s="667"/>
      <c r="M386" s="21">
        <f t="shared" si="69"/>
        <v>1</v>
      </c>
      <c r="N386" s="667"/>
      <c r="O386" s="21">
        <f t="shared" si="70"/>
        <v>1</v>
      </c>
      <c r="P386" s="667"/>
      <c r="Q386" s="21">
        <f t="shared" si="71"/>
        <v>1</v>
      </c>
      <c r="R386" s="663">
        <f t="shared" si="72"/>
        <v>0</v>
      </c>
      <c r="S386" s="316">
        <f t="shared" si="73"/>
        <v>0</v>
      </c>
    </row>
    <row r="387" spans="1:19">
      <c r="A387" s="150"/>
      <c r="B387" s="54"/>
      <c r="C387" s="21">
        <f t="shared" si="64"/>
        <v>1</v>
      </c>
      <c r="D387" s="667"/>
      <c r="E387" s="21">
        <f t="shared" si="65"/>
        <v>1</v>
      </c>
      <c r="F387" s="667"/>
      <c r="G387" s="21">
        <f t="shared" si="66"/>
        <v>1</v>
      </c>
      <c r="H387" s="667"/>
      <c r="I387" s="21">
        <f t="shared" si="67"/>
        <v>1</v>
      </c>
      <c r="J387" s="667"/>
      <c r="K387" s="21">
        <f t="shared" si="68"/>
        <v>1</v>
      </c>
      <c r="L387" s="667"/>
      <c r="M387" s="21">
        <f t="shared" si="69"/>
        <v>1</v>
      </c>
      <c r="N387" s="667"/>
      <c r="O387" s="21">
        <f t="shared" si="70"/>
        <v>1</v>
      </c>
      <c r="P387" s="667"/>
      <c r="Q387" s="21">
        <f t="shared" si="71"/>
        <v>1</v>
      </c>
      <c r="R387" s="663">
        <f t="shared" si="72"/>
        <v>0</v>
      </c>
      <c r="S387" s="316">
        <f t="shared" si="73"/>
        <v>0</v>
      </c>
    </row>
    <row r="388" spans="1:19">
      <c r="A388" s="150"/>
      <c r="B388" s="54"/>
      <c r="C388" s="21">
        <f t="shared" si="64"/>
        <v>1</v>
      </c>
      <c r="D388" s="667"/>
      <c r="E388" s="21">
        <f t="shared" si="65"/>
        <v>1</v>
      </c>
      <c r="F388" s="667"/>
      <c r="G388" s="21">
        <f t="shared" si="66"/>
        <v>1</v>
      </c>
      <c r="H388" s="667"/>
      <c r="I388" s="21">
        <f t="shared" si="67"/>
        <v>1</v>
      </c>
      <c r="J388" s="667"/>
      <c r="K388" s="21">
        <f t="shared" si="68"/>
        <v>1</v>
      </c>
      <c r="L388" s="667"/>
      <c r="M388" s="21">
        <f t="shared" si="69"/>
        <v>1</v>
      </c>
      <c r="N388" s="667"/>
      <c r="O388" s="21">
        <f t="shared" si="70"/>
        <v>1</v>
      </c>
      <c r="P388" s="667"/>
      <c r="Q388" s="21">
        <f t="shared" si="71"/>
        <v>1</v>
      </c>
      <c r="R388" s="663">
        <f t="shared" si="72"/>
        <v>0</v>
      </c>
      <c r="S388" s="316">
        <f t="shared" si="73"/>
        <v>0</v>
      </c>
    </row>
    <row r="389" spans="1:19">
      <c r="A389" s="150"/>
      <c r="B389" s="54"/>
      <c r="C389" s="21">
        <f t="shared" si="64"/>
        <v>1</v>
      </c>
      <c r="D389" s="667"/>
      <c r="E389" s="21">
        <f t="shared" si="65"/>
        <v>1</v>
      </c>
      <c r="F389" s="667"/>
      <c r="G389" s="21">
        <f t="shared" si="66"/>
        <v>1</v>
      </c>
      <c r="H389" s="667"/>
      <c r="I389" s="21">
        <f t="shared" si="67"/>
        <v>1</v>
      </c>
      <c r="J389" s="667"/>
      <c r="K389" s="21">
        <f t="shared" si="68"/>
        <v>1</v>
      </c>
      <c r="L389" s="667"/>
      <c r="M389" s="21">
        <f t="shared" si="69"/>
        <v>1</v>
      </c>
      <c r="N389" s="667"/>
      <c r="O389" s="21">
        <f t="shared" si="70"/>
        <v>1</v>
      </c>
      <c r="P389" s="667"/>
      <c r="Q389" s="21">
        <f t="shared" si="71"/>
        <v>1</v>
      </c>
      <c r="R389" s="663">
        <f t="shared" si="72"/>
        <v>0</v>
      </c>
      <c r="S389" s="316">
        <f t="shared" si="73"/>
        <v>0</v>
      </c>
    </row>
    <row r="390" spans="1:19">
      <c r="A390" s="150"/>
      <c r="B390" s="54"/>
      <c r="C390" s="21">
        <f t="shared" si="64"/>
        <v>1</v>
      </c>
      <c r="D390" s="667"/>
      <c r="E390" s="21">
        <f t="shared" si="65"/>
        <v>1</v>
      </c>
      <c r="F390" s="667"/>
      <c r="G390" s="21">
        <f t="shared" si="66"/>
        <v>1</v>
      </c>
      <c r="H390" s="667"/>
      <c r="I390" s="21">
        <f t="shared" si="67"/>
        <v>1</v>
      </c>
      <c r="J390" s="667"/>
      <c r="K390" s="21">
        <f t="shared" si="68"/>
        <v>1</v>
      </c>
      <c r="L390" s="667"/>
      <c r="M390" s="21">
        <f t="shared" si="69"/>
        <v>1</v>
      </c>
      <c r="N390" s="667"/>
      <c r="O390" s="21">
        <f t="shared" si="70"/>
        <v>1</v>
      </c>
      <c r="P390" s="667"/>
      <c r="Q390" s="21">
        <f t="shared" si="71"/>
        <v>1</v>
      </c>
      <c r="R390" s="663">
        <f t="shared" si="72"/>
        <v>0</v>
      </c>
      <c r="S390" s="316">
        <f t="shared" si="73"/>
        <v>0</v>
      </c>
    </row>
    <row r="391" spans="1:19">
      <c r="A391" s="150"/>
      <c r="B391" s="54"/>
      <c r="C391" s="21">
        <f t="shared" si="64"/>
        <v>1</v>
      </c>
      <c r="D391" s="667"/>
      <c r="E391" s="21">
        <f t="shared" si="65"/>
        <v>1</v>
      </c>
      <c r="F391" s="667"/>
      <c r="G391" s="21">
        <f t="shared" si="66"/>
        <v>1</v>
      </c>
      <c r="H391" s="667"/>
      <c r="I391" s="21">
        <f t="shared" si="67"/>
        <v>1</v>
      </c>
      <c r="J391" s="667"/>
      <c r="K391" s="21">
        <f t="shared" si="68"/>
        <v>1</v>
      </c>
      <c r="L391" s="667"/>
      <c r="M391" s="21">
        <f t="shared" si="69"/>
        <v>1</v>
      </c>
      <c r="N391" s="667"/>
      <c r="O391" s="21">
        <f t="shared" si="70"/>
        <v>1</v>
      </c>
      <c r="P391" s="667"/>
      <c r="Q391" s="21">
        <f t="shared" si="71"/>
        <v>1</v>
      </c>
      <c r="R391" s="663">
        <f t="shared" si="72"/>
        <v>0</v>
      </c>
      <c r="S391" s="316">
        <f t="shared" si="73"/>
        <v>0</v>
      </c>
    </row>
    <row r="392" spans="1:19">
      <c r="A392" s="150"/>
      <c r="B392" s="54"/>
      <c r="C392" s="21">
        <f t="shared" si="64"/>
        <v>1</v>
      </c>
      <c r="D392" s="667"/>
      <c r="E392" s="21">
        <f t="shared" si="65"/>
        <v>1</v>
      </c>
      <c r="F392" s="667"/>
      <c r="G392" s="21">
        <f t="shared" si="66"/>
        <v>1</v>
      </c>
      <c r="H392" s="667"/>
      <c r="I392" s="21">
        <f t="shared" si="67"/>
        <v>1</v>
      </c>
      <c r="J392" s="667"/>
      <c r="K392" s="21">
        <f t="shared" si="68"/>
        <v>1</v>
      </c>
      <c r="L392" s="667"/>
      <c r="M392" s="21">
        <f t="shared" si="69"/>
        <v>1</v>
      </c>
      <c r="N392" s="667"/>
      <c r="O392" s="21">
        <f t="shared" si="70"/>
        <v>1</v>
      </c>
      <c r="P392" s="667"/>
      <c r="Q392" s="21">
        <f t="shared" si="71"/>
        <v>1</v>
      </c>
      <c r="R392" s="663">
        <f t="shared" si="72"/>
        <v>0</v>
      </c>
      <c r="S392" s="316">
        <f t="shared" si="73"/>
        <v>0</v>
      </c>
    </row>
    <row r="393" spans="1:19">
      <c r="A393" s="150"/>
      <c r="B393" s="54"/>
      <c r="C393" s="21">
        <f t="shared" si="64"/>
        <v>1</v>
      </c>
      <c r="D393" s="667"/>
      <c r="E393" s="21">
        <f t="shared" si="65"/>
        <v>1</v>
      </c>
      <c r="F393" s="667"/>
      <c r="G393" s="21">
        <f t="shared" si="66"/>
        <v>1</v>
      </c>
      <c r="H393" s="667"/>
      <c r="I393" s="21">
        <f t="shared" si="67"/>
        <v>1</v>
      </c>
      <c r="J393" s="667"/>
      <c r="K393" s="21">
        <f t="shared" si="68"/>
        <v>1</v>
      </c>
      <c r="L393" s="667"/>
      <c r="M393" s="21">
        <f t="shared" si="69"/>
        <v>1</v>
      </c>
      <c r="N393" s="667"/>
      <c r="O393" s="21">
        <f t="shared" si="70"/>
        <v>1</v>
      </c>
      <c r="P393" s="667"/>
      <c r="Q393" s="21">
        <f t="shared" si="71"/>
        <v>1</v>
      </c>
      <c r="R393" s="663">
        <f t="shared" si="72"/>
        <v>0</v>
      </c>
      <c r="S393" s="316">
        <f t="shared" si="73"/>
        <v>0</v>
      </c>
    </row>
    <row r="394" spans="1:19">
      <c r="A394" s="150"/>
      <c r="B394" s="54"/>
      <c r="C394" s="21">
        <f t="shared" si="64"/>
        <v>1</v>
      </c>
      <c r="D394" s="667"/>
      <c r="E394" s="21">
        <f t="shared" si="65"/>
        <v>1</v>
      </c>
      <c r="F394" s="667"/>
      <c r="G394" s="21">
        <f t="shared" si="66"/>
        <v>1</v>
      </c>
      <c r="H394" s="667"/>
      <c r="I394" s="21">
        <f t="shared" si="67"/>
        <v>1</v>
      </c>
      <c r="J394" s="667"/>
      <c r="K394" s="21">
        <f t="shared" si="68"/>
        <v>1</v>
      </c>
      <c r="L394" s="667"/>
      <c r="M394" s="21">
        <f t="shared" si="69"/>
        <v>1</v>
      </c>
      <c r="N394" s="667"/>
      <c r="O394" s="21">
        <f t="shared" si="70"/>
        <v>1</v>
      </c>
      <c r="P394" s="667"/>
      <c r="Q394" s="21">
        <f t="shared" si="71"/>
        <v>1</v>
      </c>
      <c r="R394" s="663">
        <f t="shared" si="72"/>
        <v>0</v>
      </c>
      <c r="S394" s="316">
        <f t="shared" si="73"/>
        <v>0</v>
      </c>
    </row>
    <row r="395" spans="1:19">
      <c r="A395" s="150"/>
      <c r="B395" s="54"/>
      <c r="C395" s="21">
        <f t="shared" si="64"/>
        <v>1</v>
      </c>
      <c r="D395" s="667"/>
      <c r="E395" s="21">
        <f t="shared" si="65"/>
        <v>1</v>
      </c>
      <c r="F395" s="667"/>
      <c r="G395" s="21">
        <f t="shared" si="66"/>
        <v>1</v>
      </c>
      <c r="H395" s="667"/>
      <c r="I395" s="21">
        <f t="shared" si="67"/>
        <v>1</v>
      </c>
      <c r="J395" s="667"/>
      <c r="K395" s="21">
        <f t="shared" si="68"/>
        <v>1</v>
      </c>
      <c r="L395" s="667"/>
      <c r="M395" s="21">
        <f t="shared" si="69"/>
        <v>1</v>
      </c>
      <c r="N395" s="667"/>
      <c r="O395" s="21">
        <f t="shared" si="70"/>
        <v>1</v>
      </c>
      <c r="P395" s="667"/>
      <c r="Q395" s="21">
        <f t="shared" si="71"/>
        <v>1</v>
      </c>
      <c r="R395" s="663">
        <f t="shared" si="72"/>
        <v>0</v>
      </c>
      <c r="S395" s="316">
        <f t="shared" si="73"/>
        <v>0</v>
      </c>
    </row>
    <row r="396" spans="1:19">
      <c r="A396" s="150"/>
      <c r="B396" s="54"/>
      <c r="C396" s="21">
        <f t="shared" si="64"/>
        <v>1</v>
      </c>
      <c r="D396" s="667"/>
      <c r="E396" s="21">
        <f t="shared" si="65"/>
        <v>1</v>
      </c>
      <c r="F396" s="667"/>
      <c r="G396" s="21">
        <f t="shared" si="66"/>
        <v>1</v>
      </c>
      <c r="H396" s="667"/>
      <c r="I396" s="21">
        <f t="shared" si="67"/>
        <v>1</v>
      </c>
      <c r="J396" s="667"/>
      <c r="K396" s="21">
        <f t="shared" si="68"/>
        <v>1</v>
      </c>
      <c r="L396" s="667"/>
      <c r="M396" s="21">
        <f t="shared" si="69"/>
        <v>1</v>
      </c>
      <c r="N396" s="667"/>
      <c r="O396" s="21">
        <f t="shared" si="70"/>
        <v>1</v>
      </c>
      <c r="P396" s="667"/>
      <c r="Q396" s="21">
        <f t="shared" si="71"/>
        <v>1</v>
      </c>
      <c r="R396" s="663">
        <f t="shared" si="72"/>
        <v>0</v>
      </c>
      <c r="S396" s="316">
        <f t="shared" si="73"/>
        <v>0</v>
      </c>
    </row>
    <row r="397" spans="1:19">
      <c r="A397" s="150"/>
      <c r="B397" s="54"/>
      <c r="C397" s="21">
        <f t="shared" si="64"/>
        <v>1</v>
      </c>
      <c r="D397" s="667"/>
      <c r="E397" s="21">
        <f t="shared" si="65"/>
        <v>1</v>
      </c>
      <c r="F397" s="667"/>
      <c r="G397" s="21">
        <f t="shared" si="66"/>
        <v>1</v>
      </c>
      <c r="H397" s="667"/>
      <c r="I397" s="21">
        <f t="shared" si="67"/>
        <v>1</v>
      </c>
      <c r="J397" s="667"/>
      <c r="K397" s="21">
        <f t="shared" si="68"/>
        <v>1</v>
      </c>
      <c r="L397" s="667"/>
      <c r="M397" s="21">
        <f t="shared" si="69"/>
        <v>1</v>
      </c>
      <c r="N397" s="667"/>
      <c r="O397" s="21">
        <f t="shared" si="70"/>
        <v>1</v>
      </c>
      <c r="P397" s="667"/>
      <c r="Q397" s="21">
        <f t="shared" si="71"/>
        <v>1</v>
      </c>
      <c r="R397" s="663">
        <f t="shared" si="72"/>
        <v>0</v>
      </c>
      <c r="S397" s="316">
        <f t="shared" si="73"/>
        <v>0</v>
      </c>
    </row>
    <row r="398" spans="1:19">
      <c r="A398" s="150"/>
      <c r="B398" s="54"/>
      <c r="C398" s="21">
        <f t="shared" si="64"/>
        <v>1</v>
      </c>
      <c r="D398" s="667"/>
      <c r="E398" s="21">
        <f t="shared" si="65"/>
        <v>1</v>
      </c>
      <c r="F398" s="667"/>
      <c r="G398" s="21">
        <f t="shared" si="66"/>
        <v>1</v>
      </c>
      <c r="H398" s="667"/>
      <c r="I398" s="21">
        <f t="shared" si="67"/>
        <v>1</v>
      </c>
      <c r="J398" s="667"/>
      <c r="K398" s="21">
        <f t="shared" si="68"/>
        <v>1</v>
      </c>
      <c r="L398" s="667"/>
      <c r="M398" s="21">
        <f t="shared" si="69"/>
        <v>1</v>
      </c>
      <c r="N398" s="667"/>
      <c r="O398" s="21">
        <f t="shared" si="70"/>
        <v>1</v>
      </c>
      <c r="P398" s="667"/>
      <c r="Q398" s="21">
        <f t="shared" si="71"/>
        <v>1</v>
      </c>
      <c r="R398" s="663">
        <f t="shared" si="72"/>
        <v>0</v>
      </c>
      <c r="S398" s="316">
        <f t="shared" si="73"/>
        <v>0</v>
      </c>
    </row>
    <row r="399" spans="1:19">
      <c r="A399" s="150"/>
      <c r="B399" s="54"/>
      <c r="C399" s="21">
        <f t="shared" si="64"/>
        <v>1</v>
      </c>
      <c r="D399" s="667"/>
      <c r="E399" s="21">
        <f t="shared" si="65"/>
        <v>1</v>
      </c>
      <c r="F399" s="667"/>
      <c r="G399" s="21">
        <f t="shared" si="66"/>
        <v>1</v>
      </c>
      <c r="H399" s="667"/>
      <c r="I399" s="21">
        <f t="shared" si="67"/>
        <v>1</v>
      </c>
      <c r="J399" s="667"/>
      <c r="K399" s="21">
        <f t="shared" si="68"/>
        <v>1</v>
      </c>
      <c r="L399" s="667"/>
      <c r="M399" s="21">
        <f t="shared" si="69"/>
        <v>1</v>
      </c>
      <c r="N399" s="667"/>
      <c r="O399" s="21">
        <f t="shared" si="70"/>
        <v>1</v>
      </c>
      <c r="P399" s="667"/>
      <c r="Q399" s="21">
        <f t="shared" si="71"/>
        <v>1</v>
      </c>
      <c r="R399" s="663">
        <f t="shared" si="72"/>
        <v>0</v>
      </c>
      <c r="S399" s="316">
        <f t="shared" si="73"/>
        <v>0</v>
      </c>
    </row>
    <row r="400" spans="1:19">
      <c r="A400" s="150"/>
      <c r="B400" s="54"/>
      <c r="C400" s="21">
        <f t="shared" si="64"/>
        <v>1</v>
      </c>
      <c r="D400" s="667"/>
      <c r="E400" s="21">
        <f t="shared" si="65"/>
        <v>1</v>
      </c>
      <c r="F400" s="667"/>
      <c r="G400" s="21">
        <f t="shared" si="66"/>
        <v>1</v>
      </c>
      <c r="H400" s="667"/>
      <c r="I400" s="21">
        <f t="shared" si="67"/>
        <v>1</v>
      </c>
      <c r="J400" s="667"/>
      <c r="K400" s="21">
        <f t="shared" si="68"/>
        <v>1</v>
      </c>
      <c r="L400" s="667"/>
      <c r="M400" s="21">
        <f t="shared" si="69"/>
        <v>1</v>
      </c>
      <c r="N400" s="667"/>
      <c r="O400" s="21">
        <f t="shared" si="70"/>
        <v>1</v>
      </c>
      <c r="P400" s="667"/>
      <c r="Q400" s="21">
        <f t="shared" si="71"/>
        <v>1</v>
      </c>
      <c r="R400" s="663">
        <f t="shared" si="72"/>
        <v>0</v>
      </c>
      <c r="S400" s="316">
        <f t="shared" si="73"/>
        <v>0</v>
      </c>
    </row>
    <row r="401" spans="1:19">
      <c r="A401" s="150"/>
      <c r="B401" s="54"/>
      <c r="C401" s="21">
        <f t="shared" si="64"/>
        <v>1</v>
      </c>
      <c r="D401" s="667"/>
      <c r="E401" s="21">
        <f t="shared" si="65"/>
        <v>1</v>
      </c>
      <c r="F401" s="667"/>
      <c r="G401" s="21">
        <f t="shared" si="66"/>
        <v>1</v>
      </c>
      <c r="H401" s="667"/>
      <c r="I401" s="21">
        <f t="shared" si="67"/>
        <v>1</v>
      </c>
      <c r="J401" s="667"/>
      <c r="K401" s="21">
        <f t="shared" si="68"/>
        <v>1</v>
      </c>
      <c r="L401" s="667"/>
      <c r="M401" s="21">
        <f t="shared" si="69"/>
        <v>1</v>
      </c>
      <c r="N401" s="667"/>
      <c r="O401" s="21">
        <f t="shared" si="70"/>
        <v>1</v>
      </c>
      <c r="P401" s="667"/>
      <c r="Q401" s="21">
        <f t="shared" si="71"/>
        <v>1</v>
      </c>
      <c r="R401" s="663">
        <f t="shared" si="72"/>
        <v>0</v>
      </c>
      <c r="S401" s="316">
        <f t="shared" si="73"/>
        <v>0</v>
      </c>
    </row>
    <row r="402" spans="1:19">
      <c r="A402" s="150"/>
      <c r="B402" s="54"/>
      <c r="C402" s="21">
        <f t="shared" si="64"/>
        <v>1</v>
      </c>
      <c r="D402" s="667"/>
      <c r="E402" s="21">
        <f t="shared" si="65"/>
        <v>1</v>
      </c>
      <c r="F402" s="667"/>
      <c r="G402" s="21">
        <f t="shared" si="66"/>
        <v>1</v>
      </c>
      <c r="H402" s="667"/>
      <c r="I402" s="21">
        <f t="shared" si="67"/>
        <v>1</v>
      </c>
      <c r="J402" s="667"/>
      <c r="K402" s="21">
        <f t="shared" si="68"/>
        <v>1</v>
      </c>
      <c r="L402" s="667"/>
      <c r="M402" s="21">
        <f t="shared" si="69"/>
        <v>1</v>
      </c>
      <c r="N402" s="667"/>
      <c r="O402" s="21">
        <f t="shared" si="70"/>
        <v>1</v>
      </c>
      <c r="P402" s="667"/>
      <c r="Q402" s="21">
        <f t="shared" si="71"/>
        <v>1</v>
      </c>
      <c r="R402" s="663">
        <f t="shared" si="72"/>
        <v>0</v>
      </c>
      <c r="S402" s="316">
        <f t="shared" si="73"/>
        <v>0</v>
      </c>
    </row>
    <row r="403" spans="1:19">
      <c r="A403" s="150"/>
      <c r="B403" s="54"/>
      <c r="C403" s="21">
        <f t="shared" si="64"/>
        <v>1</v>
      </c>
      <c r="D403" s="667"/>
      <c r="E403" s="21">
        <f t="shared" si="65"/>
        <v>1</v>
      </c>
      <c r="F403" s="667"/>
      <c r="G403" s="21">
        <f t="shared" si="66"/>
        <v>1</v>
      </c>
      <c r="H403" s="667"/>
      <c r="I403" s="21">
        <f t="shared" si="67"/>
        <v>1</v>
      </c>
      <c r="J403" s="667"/>
      <c r="K403" s="21">
        <f t="shared" si="68"/>
        <v>1</v>
      </c>
      <c r="L403" s="667"/>
      <c r="M403" s="21">
        <f t="shared" si="69"/>
        <v>1</v>
      </c>
      <c r="N403" s="667"/>
      <c r="O403" s="21">
        <f t="shared" si="70"/>
        <v>1</v>
      </c>
      <c r="P403" s="667"/>
      <c r="Q403" s="21">
        <f t="shared" si="71"/>
        <v>1</v>
      </c>
      <c r="R403" s="663">
        <f t="shared" si="72"/>
        <v>0</v>
      </c>
      <c r="S403" s="316">
        <f t="shared" si="73"/>
        <v>0</v>
      </c>
    </row>
    <row r="404" spans="1:19">
      <c r="A404" s="150"/>
      <c r="B404" s="54"/>
      <c r="C404" s="21">
        <f t="shared" si="64"/>
        <v>1</v>
      </c>
      <c r="D404" s="667"/>
      <c r="E404" s="21">
        <f t="shared" si="65"/>
        <v>1</v>
      </c>
      <c r="F404" s="667"/>
      <c r="G404" s="21">
        <f t="shared" si="66"/>
        <v>1</v>
      </c>
      <c r="H404" s="667"/>
      <c r="I404" s="21">
        <f t="shared" si="67"/>
        <v>1</v>
      </c>
      <c r="J404" s="667"/>
      <c r="K404" s="21">
        <f t="shared" si="68"/>
        <v>1</v>
      </c>
      <c r="L404" s="667"/>
      <c r="M404" s="21">
        <f t="shared" si="69"/>
        <v>1</v>
      </c>
      <c r="N404" s="667"/>
      <c r="O404" s="21">
        <f t="shared" si="70"/>
        <v>1</v>
      </c>
      <c r="P404" s="667"/>
      <c r="Q404" s="21">
        <f t="shared" si="71"/>
        <v>1</v>
      </c>
      <c r="R404" s="663">
        <f t="shared" si="72"/>
        <v>0</v>
      </c>
      <c r="S404" s="316">
        <f t="shared" si="73"/>
        <v>0</v>
      </c>
    </row>
    <row r="405" spans="1:19">
      <c r="A405" s="150"/>
      <c r="B405" s="54"/>
      <c r="C405" s="21">
        <f t="shared" si="64"/>
        <v>1</v>
      </c>
      <c r="D405" s="667"/>
      <c r="E405" s="21">
        <f t="shared" si="65"/>
        <v>1</v>
      </c>
      <c r="F405" s="667"/>
      <c r="G405" s="21">
        <f t="shared" si="66"/>
        <v>1</v>
      </c>
      <c r="H405" s="667"/>
      <c r="I405" s="21">
        <f t="shared" si="67"/>
        <v>1</v>
      </c>
      <c r="J405" s="667"/>
      <c r="K405" s="21">
        <f t="shared" si="68"/>
        <v>1</v>
      </c>
      <c r="L405" s="667"/>
      <c r="M405" s="21">
        <f t="shared" si="69"/>
        <v>1</v>
      </c>
      <c r="N405" s="667"/>
      <c r="O405" s="21">
        <f t="shared" si="70"/>
        <v>1</v>
      </c>
      <c r="P405" s="667"/>
      <c r="Q405" s="21">
        <f t="shared" si="71"/>
        <v>1</v>
      </c>
      <c r="R405" s="663">
        <f t="shared" si="72"/>
        <v>0</v>
      </c>
      <c r="S405" s="316">
        <f t="shared" si="73"/>
        <v>0</v>
      </c>
    </row>
    <row r="406" spans="1:19">
      <c r="A406" s="150"/>
      <c r="B406" s="54"/>
      <c r="C406" s="21">
        <f t="shared" si="64"/>
        <v>1</v>
      </c>
      <c r="D406" s="667"/>
      <c r="E406" s="21">
        <f t="shared" si="65"/>
        <v>1</v>
      </c>
      <c r="F406" s="667"/>
      <c r="G406" s="21">
        <f t="shared" si="66"/>
        <v>1</v>
      </c>
      <c r="H406" s="667"/>
      <c r="I406" s="21">
        <f t="shared" si="67"/>
        <v>1</v>
      </c>
      <c r="J406" s="667"/>
      <c r="K406" s="21">
        <f t="shared" si="68"/>
        <v>1</v>
      </c>
      <c r="L406" s="667"/>
      <c r="M406" s="21">
        <f t="shared" si="69"/>
        <v>1</v>
      </c>
      <c r="N406" s="667"/>
      <c r="O406" s="21">
        <f t="shared" si="70"/>
        <v>1</v>
      </c>
      <c r="P406" s="667"/>
      <c r="Q406" s="21">
        <f t="shared" si="71"/>
        <v>1</v>
      </c>
      <c r="R406" s="663">
        <f t="shared" si="72"/>
        <v>0</v>
      </c>
      <c r="S406" s="316">
        <f t="shared" si="73"/>
        <v>0</v>
      </c>
    </row>
    <row r="407" spans="1:19">
      <c r="A407" s="150"/>
      <c r="B407" s="54"/>
      <c r="C407" s="21">
        <f t="shared" si="64"/>
        <v>1</v>
      </c>
      <c r="D407" s="667"/>
      <c r="E407" s="21">
        <f t="shared" si="65"/>
        <v>1</v>
      </c>
      <c r="F407" s="667"/>
      <c r="G407" s="21">
        <f t="shared" si="66"/>
        <v>1</v>
      </c>
      <c r="H407" s="667"/>
      <c r="I407" s="21">
        <f t="shared" si="67"/>
        <v>1</v>
      </c>
      <c r="J407" s="667"/>
      <c r="K407" s="21">
        <f t="shared" si="68"/>
        <v>1</v>
      </c>
      <c r="L407" s="667"/>
      <c r="M407" s="21">
        <f t="shared" si="69"/>
        <v>1</v>
      </c>
      <c r="N407" s="667"/>
      <c r="O407" s="21">
        <f t="shared" si="70"/>
        <v>1</v>
      </c>
      <c r="P407" s="667"/>
      <c r="Q407" s="21">
        <f t="shared" si="71"/>
        <v>1</v>
      </c>
      <c r="R407" s="663">
        <f t="shared" si="72"/>
        <v>0</v>
      </c>
      <c r="S407" s="316">
        <f t="shared" si="73"/>
        <v>0</v>
      </c>
    </row>
    <row r="408" spans="1:19">
      <c r="A408" s="150"/>
      <c r="B408" s="54"/>
      <c r="C408" s="21">
        <f t="shared" si="64"/>
        <v>1</v>
      </c>
      <c r="D408" s="667"/>
      <c r="E408" s="21">
        <f t="shared" si="65"/>
        <v>1</v>
      </c>
      <c r="F408" s="667"/>
      <c r="G408" s="21">
        <f t="shared" si="66"/>
        <v>1</v>
      </c>
      <c r="H408" s="667"/>
      <c r="I408" s="21">
        <f t="shared" si="67"/>
        <v>1</v>
      </c>
      <c r="J408" s="667"/>
      <c r="K408" s="21">
        <f t="shared" si="68"/>
        <v>1</v>
      </c>
      <c r="L408" s="667"/>
      <c r="M408" s="21">
        <f t="shared" si="69"/>
        <v>1</v>
      </c>
      <c r="N408" s="667"/>
      <c r="O408" s="21">
        <f t="shared" si="70"/>
        <v>1</v>
      </c>
      <c r="P408" s="667"/>
      <c r="Q408" s="21">
        <f t="shared" si="71"/>
        <v>1</v>
      </c>
      <c r="R408" s="663">
        <f t="shared" si="72"/>
        <v>0</v>
      </c>
      <c r="S408" s="316">
        <f t="shared" si="73"/>
        <v>0</v>
      </c>
    </row>
    <row r="409" spans="1:19">
      <c r="A409" s="150"/>
      <c r="B409" s="54"/>
      <c r="C409" s="21">
        <f t="shared" si="64"/>
        <v>1</v>
      </c>
      <c r="D409" s="667"/>
      <c r="E409" s="21">
        <f t="shared" si="65"/>
        <v>1</v>
      </c>
      <c r="F409" s="667"/>
      <c r="G409" s="21">
        <f t="shared" si="66"/>
        <v>1</v>
      </c>
      <c r="H409" s="667"/>
      <c r="I409" s="21">
        <f t="shared" si="67"/>
        <v>1</v>
      </c>
      <c r="J409" s="667"/>
      <c r="K409" s="21">
        <f t="shared" si="68"/>
        <v>1</v>
      </c>
      <c r="L409" s="667"/>
      <c r="M409" s="21">
        <f t="shared" si="69"/>
        <v>1</v>
      </c>
      <c r="N409" s="667"/>
      <c r="O409" s="21">
        <f t="shared" si="70"/>
        <v>1</v>
      </c>
      <c r="P409" s="667"/>
      <c r="Q409" s="21">
        <f t="shared" si="71"/>
        <v>1</v>
      </c>
      <c r="R409" s="663">
        <f t="shared" si="72"/>
        <v>0</v>
      </c>
      <c r="S409" s="316">
        <f t="shared" si="73"/>
        <v>0</v>
      </c>
    </row>
    <row r="410" spans="1:19">
      <c r="A410" s="150"/>
      <c r="B410" s="54"/>
      <c r="C410" s="21">
        <f t="shared" ref="C410:C473" si="74">IF(B410="",1,(LOOKUP(B410,$3:$3,$4:$4)-LOOKUP($B$24,$3:$3,$4:$4)+100)/100)</f>
        <v>1</v>
      </c>
      <c r="D410" s="667"/>
      <c r="E410" s="21">
        <f t="shared" ref="E410:E473" si="75">(SUMIF($5:$5,D410,$6:$6)-SUMIF($5:$5,$D$24,$6:$6)+100)/100</f>
        <v>1</v>
      </c>
      <c r="F410" s="667"/>
      <c r="G410" s="21">
        <f t="shared" ref="G410:G473" si="76">(SUMIF($7:$7,F410,$8:$8)-SUMIF($7:$7,$F$24,$8:$8)+100)/100</f>
        <v>1</v>
      </c>
      <c r="H410" s="667"/>
      <c r="I410" s="21">
        <f t="shared" ref="I410:I473" si="77">(SUMIF($9:$9,H410,$10:$10)-SUMIF($9:$9,$H$24,$10:$10)+100)/100</f>
        <v>1</v>
      </c>
      <c r="J410" s="667"/>
      <c r="K410" s="21">
        <f t="shared" ref="K410:K473" si="78">(SUMIF($11:$11,J410,$12:$12)-SUMIF($11:$11,$J$24,$12:$12)+100)/100</f>
        <v>1</v>
      </c>
      <c r="L410" s="667"/>
      <c r="M410" s="21">
        <f t="shared" ref="M410:M473" si="79">(SUMIF($13:$13,L410,$14:$14)-SUMIF($13:$13,$L$24,$14:$14)+100)/100</f>
        <v>1</v>
      </c>
      <c r="N410" s="667"/>
      <c r="O410" s="21">
        <f t="shared" ref="O410:O473" si="80">(SUMIF($15:$15,N410,$16:$16)-SUMIF($15:$15,$N$24,$16:$16)+100)/100</f>
        <v>1</v>
      </c>
      <c r="P410" s="667"/>
      <c r="Q410" s="21">
        <f t="shared" ref="Q410:Q473" si="81">(SUMIF($17:$17,P410,$18:$18)-SUMIF($17:$17,$P$24,$18:$18)+100)/100</f>
        <v>1</v>
      </c>
      <c r="R410" s="663">
        <f t="shared" ref="R410:R473" si="82">IF(B410="",0,ROUND($R$24*C410*E410*G410*I410*K410*M410*O410*Q410,0))</f>
        <v>0</v>
      </c>
      <c r="S410" s="316">
        <f t="shared" si="73"/>
        <v>0</v>
      </c>
    </row>
    <row r="411" spans="1:19">
      <c r="A411" s="150"/>
      <c r="B411" s="54"/>
      <c r="C411" s="21">
        <f t="shared" si="74"/>
        <v>1</v>
      </c>
      <c r="D411" s="667"/>
      <c r="E411" s="21">
        <f t="shared" si="75"/>
        <v>1</v>
      </c>
      <c r="F411" s="667"/>
      <c r="G411" s="21">
        <f t="shared" si="76"/>
        <v>1</v>
      </c>
      <c r="H411" s="667"/>
      <c r="I411" s="21">
        <f t="shared" si="77"/>
        <v>1</v>
      </c>
      <c r="J411" s="667"/>
      <c r="K411" s="21">
        <f t="shared" si="78"/>
        <v>1</v>
      </c>
      <c r="L411" s="667"/>
      <c r="M411" s="21">
        <f t="shared" si="79"/>
        <v>1</v>
      </c>
      <c r="N411" s="667"/>
      <c r="O411" s="21">
        <f t="shared" si="80"/>
        <v>1</v>
      </c>
      <c r="P411" s="667"/>
      <c r="Q411" s="21">
        <f t="shared" si="81"/>
        <v>1</v>
      </c>
      <c r="R411" s="663">
        <f t="shared" si="82"/>
        <v>0</v>
      </c>
      <c r="S411" s="316">
        <f t="shared" si="73"/>
        <v>0</v>
      </c>
    </row>
    <row r="412" spans="1:19">
      <c r="A412" s="150"/>
      <c r="B412" s="54"/>
      <c r="C412" s="21">
        <f t="shared" si="74"/>
        <v>1</v>
      </c>
      <c r="D412" s="667"/>
      <c r="E412" s="21">
        <f t="shared" si="75"/>
        <v>1</v>
      </c>
      <c r="F412" s="667"/>
      <c r="G412" s="21">
        <f t="shared" si="76"/>
        <v>1</v>
      </c>
      <c r="H412" s="667"/>
      <c r="I412" s="21">
        <f t="shared" si="77"/>
        <v>1</v>
      </c>
      <c r="J412" s="667"/>
      <c r="K412" s="21">
        <f t="shared" si="78"/>
        <v>1</v>
      </c>
      <c r="L412" s="667"/>
      <c r="M412" s="21">
        <f t="shared" si="79"/>
        <v>1</v>
      </c>
      <c r="N412" s="667"/>
      <c r="O412" s="21">
        <f t="shared" si="80"/>
        <v>1</v>
      </c>
      <c r="P412" s="667"/>
      <c r="Q412" s="21">
        <f t="shared" si="81"/>
        <v>1</v>
      </c>
      <c r="R412" s="663">
        <f t="shared" si="82"/>
        <v>0</v>
      </c>
      <c r="S412" s="316">
        <f t="shared" si="73"/>
        <v>0</v>
      </c>
    </row>
    <row r="413" spans="1:19">
      <c r="A413" s="150"/>
      <c r="B413" s="54"/>
      <c r="C413" s="21">
        <f t="shared" si="74"/>
        <v>1</v>
      </c>
      <c r="D413" s="667"/>
      <c r="E413" s="21">
        <f t="shared" si="75"/>
        <v>1</v>
      </c>
      <c r="F413" s="667"/>
      <c r="G413" s="21">
        <f t="shared" si="76"/>
        <v>1</v>
      </c>
      <c r="H413" s="667"/>
      <c r="I413" s="21">
        <f t="shared" si="77"/>
        <v>1</v>
      </c>
      <c r="J413" s="667"/>
      <c r="K413" s="21">
        <f t="shared" si="78"/>
        <v>1</v>
      </c>
      <c r="L413" s="667"/>
      <c r="M413" s="21">
        <f t="shared" si="79"/>
        <v>1</v>
      </c>
      <c r="N413" s="667"/>
      <c r="O413" s="21">
        <f t="shared" si="80"/>
        <v>1</v>
      </c>
      <c r="P413" s="667"/>
      <c r="Q413" s="21">
        <f t="shared" si="81"/>
        <v>1</v>
      </c>
      <c r="R413" s="663">
        <f t="shared" si="82"/>
        <v>0</v>
      </c>
      <c r="S413" s="316">
        <f t="shared" si="73"/>
        <v>0</v>
      </c>
    </row>
    <row r="414" spans="1:19">
      <c r="A414" s="150"/>
      <c r="B414" s="54"/>
      <c r="C414" s="21">
        <f t="shared" si="74"/>
        <v>1</v>
      </c>
      <c r="D414" s="667"/>
      <c r="E414" s="21">
        <f t="shared" si="75"/>
        <v>1</v>
      </c>
      <c r="F414" s="667"/>
      <c r="G414" s="21">
        <f t="shared" si="76"/>
        <v>1</v>
      </c>
      <c r="H414" s="667"/>
      <c r="I414" s="21">
        <f t="shared" si="77"/>
        <v>1</v>
      </c>
      <c r="J414" s="667"/>
      <c r="K414" s="21">
        <f t="shared" si="78"/>
        <v>1</v>
      </c>
      <c r="L414" s="667"/>
      <c r="M414" s="21">
        <f t="shared" si="79"/>
        <v>1</v>
      </c>
      <c r="N414" s="667"/>
      <c r="O414" s="21">
        <f t="shared" si="80"/>
        <v>1</v>
      </c>
      <c r="P414" s="667"/>
      <c r="Q414" s="21">
        <f t="shared" si="81"/>
        <v>1</v>
      </c>
      <c r="R414" s="663">
        <f t="shared" si="82"/>
        <v>0</v>
      </c>
      <c r="S414" s="316">
        <f t="shared" si="73"/>
        <v>0</v>
      </c>
    </row>
    <row r="415" spans="1:19">
      <c r="A415" s="150"/>
      <c r="B415" s="54"/>
      <c r="C415" s="21">
        <f t="shared" si="74"/>
        <v>1</v>
      </c>
      <c r="D415" s="667"/>
      <c r="E415" s="21">
        <f t="shared" si="75"/>
        <v>1</v>
      </c>
      <c r="F415" s="667"/>
      <c r="G415" s="21">
        <f t="shared" si="76"/>
        <v>1</v>
      </c>
      <c r="H415" s="667"/>
      <c r="I415" s="21">
        <f t="shared" si="77"/>
        <v>1</v>
      </c>
      <c r="J415" s="667"/>
      <c r="K415" s="21">
        <f t="shared" si="78"/>
        <v>1</v>
      </c>
      <c r="L415" s="667"/>
      <c r="M415" s="21">
        <f t="shared" si="79"/>
        <v>1</v>
      </c>
      <c r="N415" s="667"/>
      <c r="O415" s="21">
        <f t="shared" si="80"/>
        <v>1</v>
      </c>
      <c r="P415" s="667"/>
      <c r="Q415" s="21">
        <f t="shared" si="81"/>
        <v>1</v>
      </c>
      <c r="R415" s="663">
        <f t="shared" si="82"/>
        <v>0</v>
      </c>
      <c r="S415" s="316">
        <f t="shared" si="73"/>
        <v>0</v>
      </c>
    </row>
    <row r="416" spans="1:19">
      <c r="A416" s="150"/>
      <c r="B416" s="54"/>
      <c r="C416" s="21">
        <f t="shared" si="74"/>
        <v>1</v>
      </c>
      <c r="D416" s="667"/>
      <c r="E416" s="21">
        <f t="shared" si="75"/>
        <v>1</v>
      </c>
      <c r="F416" s="667"/>
      <c r="G416" s="21">
        <f t="shared" si="76"/>
        <v>1</v>
      </c>
      <c r="H416" s="667"/>
      <c r="I416" s="21">
        <f t="shared" si="77"/>
        <v>1</v>
      </c>
      <c r="J416" s="667"/>
      <c r="K416" s="21">
        <f t="shared" si="78"/>
        <v>1</v>
      </c>
      <c r="L416" s="667"/>
      <c r="M416" s="21">
        <f t="shared" si="79"/>
        <v>1</v>
      </c>
      <c r="N416" s="667"/>
      <c r="O416" s="21">
        <f t="shared" si="80"/>
        <v>1</v>
      </c>
      <c r="P416" s="667"/>
      <c r="Q416" s="21">
        <f t="shared" si="81"/>
        <v>1</v>
      </c>
      <c r="R416" s="663">
        <f t="shared" si="82"/>
        <v>0</v>
      </c>
      <c r="S416" s="316">
        <f t="shared" si="73"/>
        <v>0</v>
      </c>
    </row>
    <row r="417" spans="1:19">
      <c r="A417" s="150"/>
      <c r="B417" s="54"/>
      <c r="C417" s="21">
        <f t="shared" si="74"/>
        <v>1</v>
      </c>
      <c r="D417" s="667"/>
      <c r="E417" s="21">
        <f t="shared" si="75"/>
        <v>1</v>
      </c>
      <c r="F417" s="667"/>
      <c r="G417" s="21">
        <f t="shared" si="76"/>
        <v>1</v>
      </c>
      <c r="H417" s="667"/>
      <c r="I417" s="21">
        <f t="shared" si="77"/>
        <v>1</v>
      </c>
      <c r="J417" s="667"/>
      <c r="K417" s="21">
        <f t="shared" si="78"/>
        <v>1</v>
      </c>
      <c r="L417" s="667"/>
      <c r="M417" s="21">
        <f t="shared" si="79"/>
        <v>1</v>
      </c>
      <c r="N417" s="667"/>
      <c r="O417" s="21">
        <f t="shared" si="80"/>
        <v>1</v>
      </c>
      <c r="P417" s="667"/>
      <c r="Q417" s="21">
        <f t="shared" si="81"/>
        <v>1</v>
      </c>
      <c r="R417" s="663">
        <f t="shared" si="82"/>
        <v>0</v>
      </c>
      <c r="S417" s="316">
        <f t="shared" si="73"/>
        <v>0</v>
      </c>
    </row>
    <row r="418" spans="1:19">
      <c r="A418" s="150"/>
      <c r="B418" s="54"/>
      <c r="C418" s="21">
        <f t="shared" si="74"/>
        <v>1</v>
      </c>
      <c r="D418" s="667"/>
      <c r="E418" s="21">
        <f t="shared" si="75"/>
        <v>1</v>
      </c>
      <c r="F418" s="667"/>
      <c r="G418" s="21">
        <f t="shared" si="76"/>
        <v>1</v>
      </c>
      <c r="H418" s="667"/>
      <c r="I418" s="21">
        <f t="shared" si="77"/>
        <v>1</v>
      </c>
      <c r="J418" s="667"/>
      <c r="K418" s="21">
        <f t="shared" si="78"/>
        <v>1</v>
      </c>
      <c r="L418" s="667"/>
      <c r="M418" s="21">
        <f t="shared" si="79"/>
        <v>1</v>
      </c>
      <c r="N418" s="667"/>
      <c r="O418" s="21">
        <f t="shared" si="80"/>
        <v>1</v>
      </c>
      <c r="P418" s="667"/>
      <c r="Q418" s="21">
        <f t="shared" si="81"/>
        <v>1</v>
      </c>
      <c r="R418" s="663">
        <f t="shared" si="82"/>
        <v>0</v>
      </c>
      <c r="S418" s="316">
        <f t="shared" si="73"/>
        <v>0</v>
      </c>
    </row>
    <row r="419" spans="1:19">
      <c r="A419" s="150"/>
      <c r="B419" s="54"/>
      <c r="C419" s="21">
        <f t="shared" si="74"/>
        <v>1</v>
      </c>
      <c r="D419" s="667"/>
      <c r="E419" s="21">
        <f t="shared" si="75"/>
        <v>1</v>
      </c>
      <c r="F419" s="667"/>
      <c r="G419" s="21">
        <f t="shared" si="76"/>
        <v>1</v>
      </c>
      <c r="H419" s="667"/>
      <c r="I419" s="21">
        <f t="shared" si="77"/>
        <v>1</v>
      </c>
      <c r="J419" s="667"/>
      <c r="K419" s="21">
        <f t="shared" si="78"/>
        <v>1</v>
      </c>
      <c r="L419" s="667"/>
      <c r="M419" s="21">
        <f t="shared" si="79"/>
        <v>1</v>
      </c>
      <c r="N419" s="667"/>
      <c r="O419" s="21">
        <f t="shared" si="80"/>
        <v>1</v>
      </c>
      <c r="P419" s="667"/>
      <c r="Q419" s="21">
        <f t="shared" si="81"/>
        <v>1</v>
      </c>
      <c r="R419" s="663">
        <f t="shared" si="82"/>
        <v>0</v>
      </c>
      <c r="S419" s="316">
        <f t="shared" si="73"/>
        <v>0</v>
      </c>
    </row>
    <row r="420" spans="1:19">
      <c r="A420" s="150"/>
      <c r="B420" s="54"/>
      <c r="C420" s="21">
        <f t="shared" si="74"/>
        <v>1</v>
      </c>
      <c r="D420" s="667"/>
      <c r="E420" s="21">
        <f t="shared" si="75"/>
        <v>1</v>
      </c>
      <c r="F420" s="667"/>
      <c r="G420" s="21">
        <f t="shared" si="76"/>
        <v>1</v>
      </c>
      <c r="H420" s="667"/>
      <c r="I420" s="21">
        <f t="shared" si="77"/>
        <v>1</v>
      </c>
      <c r="J420" s="667"/>
      <c r="K420" s="21">
        <f t="shared" si="78"/>
        <v>1</v>
      </c>
      <c r="L420" s="667"/>
      <c r="M420" s="21">
        <f t="shared" si="79"/>
        <v>1</v>
      </c>
      <c r="N420" s="667"/>
      <c r="O420" s="21">
        <f t="shared" si="80"/>
        <v>1</v>
      </c>
      <c r="P420" s="667"/>
      <c r="Q420" s="21">
        <f t="shared" si="81"/>
        <v>1</v>
      </c>
      <c r="R420" s="663">
        <f t="shared" si="82"/>
        <v>0</v>
      </c>
      <c r="S420" s="316">
        <f t="shared" si="73"/>
        <v>0</v>
      </c>
    </row>
    <row r="421" spans="1:19">
      <c r="A421" s="150"/>
      <c r="B421" s="54"/>
      <c r="C421" s="21">
        <f t="shared" si="74"/>
        <v>1</v>
      </c>
      <c r="D421" s="667"/>
      <c r="E421" s="21">
        <f t="shared" si="75"/>
        <v>1</v>
      </c>
      <c r="F421" s="667"/>
      <c r="G421" s="21">
        <f t="shared" si="76"/>
        <v>1</v>
      </c>
      <c r="H421" s="667"/>
      <c r="I421" s="21">
        <f t="shared" si="77"/>
        <v>1</v>
      </c>
      <c r="J421" s="667"/>
      <c r="K421" s="21">
        <f t="shared" si="78"/>
        <v>1</v>
      </c>
      <c r="L421" s="667"/>
      <c r="M421" s="21">
        <f t="shared" si="79"/>
        <v>1</v>
      </c>
      <c r="N421" s="667"/>
      <c r="O421" s="21">
        <f t="shared" si="80"/>
        <v>1</v>
      </c>
      <c r="P421" s="667"/>
      <c r="Q421" s="21">
        <f t="shared" si="81"/>
        <v>1</v>
      </c>
      <c r="R421" s="663">
        <f t="shared" si="82"/>
        <v>0</v>
      </c>
      <c r="S421" s="316">
        <f t="shared" si="73"/>
        <v>0</v>
      </c>
    </row>
    <row r="422" spans="1:19">
      <c r="A422" s="150"/>
      <c r="B422" s="54"/>
      <c r="C422" s="21">
        <f t="shared" si="74"/>
        <v>1</v>
      </c>
      <c r="D422" s="667"/>
      <c r="E422" s="21">
        <f t="shared" si="75"/>
        <v>1</v>
      </c>
      <c r="F422" s="667"/>
      <c r="G422" s="21">
        <f t="shared" si="76"/>
        <v>1</v>
      </c>
      <c r="H422" s="667"/>
      <c r="I422" s="21">
        <f t="shared" si="77"/>
        <v>1</v>
      </c>
      <c r="J422" s="667"/>
      <c r="K422" s="21">
        <f t="shared" si="78"/>
        <v>1</v>
      </c>
      <c r="L422" s="667"/>
      <c r="M422" s="21">
        <f t="shared" si="79"/>
        <v>1</v>
      </c>
      <c r="N422" s="667"/>
      <c r="O422" s="21">
        <f t="shared" si="80"/>
        <v>1</v>
      </c>
      <c r="P422" s="667"/>
      <c r="Q422" s="21">
        <f t="shared" si="81"/>
        <v>1</v>
      </c>
      <c r="R422" s="663">
        <f t="shared" si="82"/>
        <v>0</v>
      </c>
      <c r="S422" s="316">
        <f t="shared" si="73"/>
        <v>0</v>
      </c>
    </row>
    <row r="423" spans="1:19">
      <c r="A423" s="150"/>
      <c r="B423" s="54"/>
      <c r="C423" s="21">
        <f t="shared" si="74"/>
        <v>1</v>
      </c>
      <c r="D423" s="667"/>
      <c r="E423" s="21">
        <f t="shared" si="75"/>
        <v>1</v>
      </c>
      <c r="F423" s="667"/>
      <c r="G423" s="21">
        <f t="shared" si="76"/>
        <v>1</v>
      </c>
      <c r="H423" s="667"/>
      <c r="I423" s="21">
        <f t="shared" si="77"/>
        <v>1</v>
      </c>
      <c r="J423" s="667"/>
      <c r="K423" s="21">
        <f t="shared" si="78"/>
        <v>1</v>
      </c>
      <c r="L423" s="667"/>
      <c r="M423" s="21">
        <f t="shared" si="79"/>
        <v>1</v>
      </c>
      <c r="N423" s="667"/>
      <c r="O423" s="21">
        <f t="shared" si="80"/>
        <v>1</v>
      </c>
      <c r="P423" s="667"/>
      <c r="Q423" s="21">
        <f t="shared" si="81"/>
        <v>1</v>
      </c>
      <c r="R423" s="663">
        <f t="shared" si="82"/>
        <v>0</v>
      </c>
      <c r="S423" s="316">
        <f t="shared" ref="S423:S467" si="83">ROUND(R423*B423/10000,0)</f>
        <v>0</v>
      </c>
    </row>
    <row r="424" spans="1:19">
      <c r="A424" s="150"/>
      <c r="B424" s="54"/>
      <c r="C424" s="21">
        <f t="shared" si="74"/>
        <v>1</v>
      </c>
      <c r="D424" s="667"/>
      <c r="E424" s="21">
        <f t="shared" si="75"/>
        <v>1</v>
      </c>
      <c r="F424" s="667"/>
      <c r="G424" s="21">
        <f t="shared" si="76"/>
        <v>1</v>
      </c>
      <c r="H424" s="667"/>
      <c r="I424" s="21">
        <f t="shared" si="77"/>
        <v>1</v>
      </c>
      <c r="J424" s="667"/>
      <c r="K424" s="21">
        <f t="shared" si="78"/>
        <v>1</v>
      </c>
      <c r="L424" s="667"/>
      <c r="M424" s="21">
        <f t="shared" si="79"/>
        <v>1</v>
      </c>
      <c r="N424" s="667"/>
      <c r="O424" s="21">
        <f t="shared" si="80"/>
        <v>1</v>
      </c>
      <c r="P424" s="667"/>
      <c r="Q424" s="21">
        <f t="shared" si="81"/>
        <v>1</v>
      </c>
      <c r="R424" s="663">
        <f t="shared" si="82"/>
        <v>0</v>
      </c>
      <c r="S424" s="316">
        <f t="shared" si="83"/>
        <v>0</v>
      </c>
    </row>
    <row r="425" spans="1:19">
      <c r="A425" s="150"/>
      <c r="B425" s="54"/>
      <c r="C425" s="21">
        <f t="shared" si="74"/>
        <v>1</v>
      </c>
      <c r="D425" s="667"/>
      <c r="E425" s="21">
        <f t="shared" si="75"/>
        <v>1</v>
      </c>
      <c r="F425" s="667"/>
      <c r="G425" s="21">
        <f t="shared" si="76"/>
        <v>1</v>
      </c>
      <c r="H425" s="667"/>
      <c r="I425" s="21">
        <f t="shared" si="77"/>
        <v>1</v>
      </c>
      <c r="J425" s="667"/>
      <c r="K425" s="21">
        <f t="shared" si="78"/>
        <v>1</v>
      </c>
      <c r="L425" s="667"/>
      <c r="M425" s="21">
        <f t="shared" si="79"/>
        <v>1</v>
      </c>
      <c r="N425" s="667"/>
      <c r="O425" s="21">
        <f t="shared" si="80"/>
        <v>1</v>
      </c>
      <c r="P425" s="667"/>
      <c r="Q425" s="21">
        <f t="shared" si="81"/>
        <v>1</v>
      </c>
      <c r="R425" s="663">
        <f t="shared" si="82"/>
        <v>0</v>
      </c>
      <c r="S425" s="316">
        <f t="shared" si="83"/>
        <v>0</v>
      </c>
    </row>
    <row r="426" spans="1:19">
      <c r="A426" s="150"/>
      <c r="B426" s="54"/>
      <c r="C426" s="21">
        <f t="shared" si="74"/>
        <v>1</v>
      </c>
      <c r="D426" s="667"/>
      <c r="E426" s="21">
        <f t="shared" si="75"/>
        <v>1</v>
      </c>
      <c r="F426" s="667"/>
      <c r="G426" s="21">
        <f t="shared" si="76"/>
        <v>1</v>
      </c>
      <c r="H426" s="667"/>
      <c r="I426" s="21">
        <f t="shared" si="77"/>
        <v>1</v>
      </c>
      <c r="J426" s="667"/>
      <c r="K426" s="21">
        <f t="shared" si="78"/>
        <v>1</v>
      </c>
      <c r="L426" s="667"/>
      <c r="M426" s="21">
        <f t="shared" si="79"/>
        <v>1</v>
      </c>
      <c r="N426" s="667"/>
      <c r="O426" s="21">
        <f t="shared" si="80"/>
        <v>1</v>
      </c>
      <c r="P426" s="667"/>
      <c r="Q426" s="21">
        <f t="shared" si="81"/>
        <v>1</v>
      </c>
      <c r="R426" s="663">
        <f t="shared" si="82"/>
        <v>0</v>
      </c>
      <c r="S426" s="316">
        <f t="shared" si="83"/>
        <v>0</v>
      </c>
    </row>
    <row r="427" spans="1:19">
      <c r="A427" s="150"/>
      <c r="B427" s="54"/>
      <c r="C427" s="21">
        <f t="shared" si="74"/>
        <v>1</v>
      </c>
      <c r="D427" s="667"/>
      <c r="E427" s="21">
        <f t="shared" si="75"/>
        <v>1</v>
      </c>
      <c r="F427" s="667"/>
      <c r="G427" s="21">
        <f t="shared" si="76"/>
        <v>1</v>
      </c>
      <c r="H427" s="667"/>
      <c r="I427" s="21">
        <f t="shared" si="77"/>
        <v>1</v>
      </c>
      <c r="J427" s="667"/>
      <c r="K427" s="21">
        <f t="shared" si="78"/>
        <v>1</v>
      </c>
      <c r="L427" s="667"/>
      <c r="M427" s="21">
        <f t="shared" si="79"/>
        <v>1</v>
      </c>
      <c r="N427" s="667"/>
      <c r="O427" s="21">
        <f t="shared" si="80"/>
        <v>1</v>
      </c>
      <c r="P427" s="667"/>
      <c r="Q427" s="21">
        <f t="shared" si="81"/>
        <v>1</v>
      </c>
      <c r="R427" s="663">
        <f t="shared" si="82"/>
        <v>0</v>
      </c>
      <c r="S427" s="316">
        <f t="shared" si="83"/>
        <v>0</v>
      </c>
    </row>
    <row r="428" spans="1:19">
      <c r="A428" s="150"/>
      <c r="B428" s="54"/>
      <c r="C428" s="21">
        <f t="shared" si="74"/>
        <v>1</v>
      </c>
      <c r="D428" s="667"/>
      <c r="E428" s="21">
        <f t="shared" si="75"/>
        <v>1</v>
      </c>
      <c r="F428" s="667"/>
      <c r="G428" s="21">
        <f t="shared" si="76"/>
        <v>1</v>
      </c>
      <c r="H428" s="667"/>
      <c r="I428" s="21">
        <f t="shared" si="77"/>
        <v>1</v>
      </c>
      <c r="J428" s="667"/>
      <c r="K428" s="21">
        <f t="shared" si="78"/>
        <v>1</v>
      </c>
      <c r="L428" s="667"/>
      <c r="M428" s="21">
        <f t="shared" si="79"/>
        <v>1</v>
      </c>
      <c r="N428" s="667"/>
      <c r="O428" s="21">
        <f t="shared" si="80"/>
        <v>1</v>
      </c>
      <c r="P428" s="667"/>
      <c r="Q428" s="21">
        <f t="shared" si="81"/>
        <v>1</v>
      </c>
      <c r="R428" s="663">
        <f t="shared" si="82"/>
        <v>0</v>
      </c>
      <c r="S428" s="316">
        <f t="shared" si="83"/>
        <v>0</v>
      </c>
    </row>
    <row r="429" spans="1:19">
      <c r="A429" s="150"/>
      <c r="B429" s="54"/>
      <c r="C429" s="21">
        <f t="shared" si="74"/>
        <v>1</v>
      </c>
      <c r="D429" s="667"/>
      <c r="E429" s="21">
        <f t="shared" si="75"/>
        <v>1</v>
      </c>
      <c r="F429" s="667"/>
      <c r="G429" s="21">
        <f t="shared" si="76"/>
        <v>1</v>
      </c>
      <c r="H429" s="667"/>
      <c r="I429" s="21">
        <f t="shared" si="77"/>
        <v>1</v>
      </c>
      <c r="J429" s="667"/>
      <c r="K429" s="21">
        <f t="shared" si="78"/>
        <v>1</v>
      </c>
      <c r="L429" s="667"/>
      <c r="M429" s="21">
        <f t="shared" si="79"/>
        <v>1</v>
      </c>
      <c r="N429" s="667"/>
      <c r="O429" s="21">
        <f t="shared" si="80"/>
        <v>1</v>
      </c>
      <c r="P429" s="667"/>
      <c r="Q429" s="21">
        <f t="shared" si="81"/>
        <v>1</v>
      </c>
      <c r="R429" s="663">
        <f t="shared" si="82"/>
        <v>0</v>
      </c>
      <c r="S429" s="316">
        <f t="shared" si="83"/>
        <v>0</v>
      </c>
    </row>
    <row r="430" spans="1:19">
      <c r="A430" s="150"/>
      <c r="B430" s="54"/>
      <c r="C430" s="21">
        <f t="shared" si="74"/>
        <v>1</v>
      </c>
      <c r="D430" s="667"/>
      <c r="E430" s="21">
        <f t="shared" si="75"/>
        <v>1</v>
      </c>
      <c r="F430" s="667"/>
      <c r="G430" s="21">
        <f t="shared" si="76"/>
        <v>1</v>
      </c>
      <c r="H430" s="667"/>
      <c r="I430" s="21">
        <f t="shared" si="77"/>
        <v>1</v>
      </c>
      <c r="J430" s="667"/>
      <c r="K430" s="21">
        <f t="shared" si="78"/>
        <v>1</v>
      </c>
      <c r="L430" s="667"/>
      <c r="M430" s="21">
        <f t="shared" si="79"/>
        <v>1</v>
      </c>
      <c r="N430" s="667"/>
      <c r="O430" s="21">
        <f t="shared" si="80"/>
        <v>1</v>
      </c>
      <c r="P430" s="667"/>
      <c r="Q430" s="21">
        <f t="shared" si="81"/>
        <v>1</v>
      </c>
      <c r="R430" s="663">
        <f t="shared" si="82"/>
        <v>0</v>
      </c>
      <c r="S430" s="316">
        <f t="shared" si="83"/>
        <v>0</v>
      </c>
    </row>
    <row r="431" spans="1:19">
      <c r="A431" s="150"/>
      <c r="B431" s="54"/>
      <c r="C431" s="21">
        <f t="shared" si="74"/>
        <v>1</v>
      </c>
      <c r="D431" s="667"/>
      <c r="E431" s="21">
        <f t="shared" si="75"/>
        <v>1</v>
      </c>
      <c r="F431" s="667"/>
      <c r="G431" s="21">
        <f t="shared" si="76"/>
        <v>1</v>
      </c>
      <c r="H431" s="667"/>
      <c r="I431" s="21">
        <f t="shared" si="77"/>
        <v>1</v>
      </c>
      <c r="J431" s="667"/>
      <c r="K431" s="21">
        <f t="shared" si="78"/>
        <v>1</v>
      </c>
      <c r="L431" s="667"/>
      <c r="M431" s="21">
        <f t="shared" si="79"/>
        <v>1</v>
      </c>
      <c r="N431" s="667"/>
      <c r="O431" s="21">
        <f t="shared" si="80"/>
        <v>1</v>
      </c>
      <c r="P431" s="667"/>
      <c r="Q431" s="21">
        <f t="shared" si="81"/>
        <v>1</v>
      </c>
      <c r="R431" s="663">
        <f t="shared" si="82"/>
        <v>0</v>
      </c>
      <c r="S431" s="316">
        <f t="shared" si="83"/>
        <v>0</v>
      </c>
    </row>
    <row r="432" spans="1:19">
      <c r="A432" s="150"/>
      <c r="B432" s="54"/>
      <c r="C432" s="21">
        <f t="shared" si="74"/>
        <v>1</v>
      </c>
      <c r="D432" s="667"/>
      <c r="E432" s="21">
        <f t="shared" si="75"/>
        <v>1</v>
      </c>
      <c r="F432" s="667"/>
      <c r="G432" s="21">
        <f t="shared" si="76"/>
        <v>1</v>
      </c>
      <c r="H432" s="667"/>
      <c r="I432" s="21">
        <f t="shared" si="77"/>
        <v>1</v>
      </c>
      <c r="J432" s="667"/>
      <c r="K432" s="21">
        <f t="shared" si="78"/>
        <v>1</v>
      </c>
      <c r="L432" s="667"/>
      <c r="M432" s="21">
        <f t="shared" si="79"/>
        <v>1</v>
      </c>
      <c r="N432" s="667"/>
      <c r="O432" s="21">
        <f t="shared" si="80"/>
        <v>1</v>
      </c>
      <c r="P432" s="667"/>
      <c r="Q432" s="21">
        <f t="shared" si="81"/>
        <v>1</v>
      </c>
      <c r="R432" s="663">
        <f t="shared" si="82"/>
        <v>0</v>
      </c>
      <c r="S432" s="316">
        <f t="shared" si="83"/>
        <v>0</v>
      </c>
    </row>
    <row r="433" spans="1:19">
      <c r="A433" s="150"/>
      <c r="B433" s="54"/>
      <c r="C433" s="21">
        <f t="shared" si="74"/>
        <v>1</v>
      </c>
      <c r="D433" s="667"/>
      <c r="E433" s="21">
        <f t="shared" si="75"/>
        <v>1</v>
      </c>
      <c r="F433" s="667"/>
      <c r="G433" s="21">
        <f t="shared" si="76"/>
        <v>1</v>
      </c>
      <c r="H433" s="667"/>
      <c r="I433" s="21">
        <f t="shared" si="77"/>
        <v>1</v>
      </c>
      <c r="J433" s="667"/>
      <c r="K433" s="21">
        <f t="shared" si="78"/>
        <v>1</v>
      </c>
      <c r="L433" s="667"/>
      <c r="M433" s="21">
        <f t="shared" si="79"/>
        <v>1</v>
      </c>
      <c r="N433" s="667"/>
      <c r="O433" s="21">
        <f t="shared" si="80"/>
        <v>1</v>
      </c>
      <c r="P433" s="667"/>
      <c r="Q433" s="21">
        <f t="shared" si="81"/>
        <v>1</v>
      </c>
      <c r="R433" s="663">
        <f t="shared" si="82"/>
        <v>0</v>
      </c>
      <c r="S433" s="316">
        <f t="shared" si="83"/>
        <v>0</v>
      </c>
    </row>
    <row r="434" spans="1:19">
      <c r="A434" s="150"/>
      <c r="B434" s="54"/>
      <c r="C434" s="21">
        <f t="shared" si="74"/>
        <v>1</v>
      </c>
      <c r="D434" s="667"/>
      <c r="E434" s="21">
        <f t="shared" si="75"/>
        <v>1</v>
      </c>
      <c r="F434" s="667"/>
      <c r="G434" s="21">
        <f t="shared" si="76"/>
        <v>1</v>
      </c>
      <c r="H434" s="667"/>
      <c r="I434" s="21">
        <f t="shared" si="77"/>
        <v>1</v>
      </c>
      <c r="J434" s="667"/>
      <c r="K434" s="21">
        <f t="shared" si="78"/>
        <v>1</v>
      </c>
      <c r="L434" s="667"/>
      <c r="M434" s="21">
        <f t="shared" si="79"/>
        <v>1</v>
      </c>
      <c r="N434" s="667"/>
      <c r="O434" s="21">
        <f t="shared" si="80"/>
        <v>1</v>
      </c>
      <c r="P434" s="667"/>
      <c r="Q434" s="21">
        <f t="shared" si="81"/>
        <v>1</v>
      </c>
      <c r="R434" s="663">
        <f t="shared" si="82"/>
        <v>0</v>
      </c>
      <c r="S434" s="316">
        <f t="shared" si="83"/>
        <v>0</v>
      </c>
    </row>
    <row r="435" spans="1:19">
      <c r="A435" s="150"/>
      <c r="B435" s="54"/>
      <c r="C435" s="21">
        <f t="shared" si="74"/>
        <v>1</v>
      </c>
      <c r="D435" s="667"/>
      <c r="E435" s="21">
        <f t="shared" si="75"/>
        <v>1</v>
      </c>
      <c r="F435" s="667"/>
      <c r="G435" s="21">
        <f t="shared" si="76"/>
        <v>1</v>
      </c>
      <c r="H435" s="667"/>
      <c r="I435" s="21">
        <f t="shared" si="77"/>
        <v>1</v>
      </c>
      <c r="J435" s="667"/>
      <c r="K435" s="21">
        <f t="shared" si="78"/>
        <v>1</v>
      </c>
      <c r="L435" s="667"/>
      <c r="M435" s="21">
        <f t="shared" si="79"/>
        <v>1</v>
      </c>
      <c r="N435" s="667"/>
      <c r="O435" s="21">
        <f t="shared" si="80"/>
        <v>1</v>
      </c>
      <c r="P435" s="667"/>
      <c r="Q435" s="21">
        <f t="shared" si="81"/>
        <v>1</v>
      </c>
      <c r="R435" s="663">
        <f t="shared" si="82"/>
        <v>0</v>
      </c>
      <c r="S435" s="316">
        <f t="shared" si="83"/>
        <v>0</v>
      </c>
    </row>
    <row r="436" spans="1:19">
      <c r="A436" s="150"/>
      <c r="B436" s="54"/>
      <c r="C436" s="21">
        <f t="shared" si="74"/>
        <v>1</v>
      </c>
      <c r="D436" s="667"/>
      <c r="E436" s="21">
        <f t="shared" si="75"/>
        <v>1</v>
      </c>
      <c r="F436" s="667"/>
      <c r="G436" s="21">
        <f t="shared" si="76"/>
        <v>1</v>
      </c>
      <c r="H436" s="667"/>
      <c r="I436" s="21">
        <f t="shared" si="77"/>
        <v>1</v>
      </c>
      <c r="J436" s="667"/>
      <c r="K436" s="21">
        <f t="shared" si="78"/>
        <v>1</v>
      </c>
      <c r="L436" s="667"/>
      <c r="M436" s="21">
        <f t="shared" si="79"/>
        <v>1</v>
      </c>
      <c r="N436" s="667"/>
      <c r="O436" s="21">
        <f t="shared" si="80"/>
        <v>1</v>
      </c>
      <c r="P436" s="667"/>
      <c r="Q436" s="21">
        <f t="shared" si="81"/>
        <v>1</v>
      </c>
      <c r="R436" s="663">
        <f t="shared" si="82"/>
        <v>0</v>
      </c>
      <c r="S436" s="316">
        <f t="shared" si="83"/>
        <v>0</v>
      </c>
    </row>
    <row r="437" spans="1:19">
      <c r="A437" s="150"/>
      <c r="B437" s="54"/>
      <c r="C437" s="21">
        <f t="shared" si="74"/>
        <v>1</v>
      </c>
      <c r="D437" s="667"/>
      <c r="E437" s="21">
        <f t="shared" si="75"/>
        <v>1</v>
      </c>
      <c r="F437" s="667"/>
      <c r="G437" s="21">
        <f t="shared" si="76"/>
        <v>1</v>
      </c>
      <c r="H437" s="667"/>
      <c r="I437" s="21">
        <f t="shared" si="77"/>
        <v>1</v>
      </c>
      <c r="J437" s="667"/>
      <c r="K437" s="21">
        <f t="shared" si="78"/>
        <v>1</v>
      </c>
      <c r="L437" s="667"/>
      <c r="M437" s="21">
        <f t="shared" si="79"/>
        <v>1</v>
      </c>
      <c r="N437" s="667"/>
      <c r="O437" s="21">
        <f t="shared" si="80"/>
        <v>1</v>
      </c>
      <c r="P437" s="667"/>
      <c r="Q437" s="21">
        <f t="shared" si="81"/>
        <v>1</v>
      </c>
      <c r="R437" s="663">
        <f t="shared" si="82"/>
        <v>0</v>
      </c>
      <c r="S437" s="316">
        <f t="shared" si="83"/>
        <v>0</v>
      </c>
    </row>
    <row r="438" spans="1:19">
      <c r="A438" s="150"/>
      <c r="B438" s="54"/>
      <c r="C438" s="21">
        <f t="shared" si="74"/>
        <v>1</v>
      </c>
      <c r="D438" s="667"/>
      <c r="E438" s="21">
        <f t="shared" si="75"/>
        <v>1</v>
      </c>
      <c r="F438" s="667"/>
      <c r="G438" s="21">
        <f t="shared" si="76"/>
        <v>1</v>
      </c>
      <c r="H438" s="667"/>
      <c r="I438" s="21">
        <f t="shared" si="77"/>
        <v>1</v>
      </c>
      <c r="J438" s="667"/>
      <c r="K438" s="21">
        <f t="shared" si="78"/>
        <v>1</v>
      </c>
      <c r="L438" s="667"/>
      <c r="M438" s="21">
        <f t="shared" si="79"/>
        <v>1</v>
      </c>
      <c r="N438" s="667"/>
      <c r="O438" s="21">
        <f t="shared" si="80"/>
        <v>1</v>
      </c>
      <c r="P438" s="667"/>
      <c r="Q438" s="21">
        <f t="shared" si="81"/>
        <v>1</v>
      </c>
      <c r="R438" s="663">
        <f t="shared" si="82"/>
        <v>0</v>
      </c>
      <c r="S438" s="316">
        <f t="shared" si="83"/>
        <v>0</v>
      </c>
    </row>
    <row r="439" spans="1:19">
      <c r="A439" s="150"/>
      <c r="B439" s="54"/>
      <c r="C439" s="21">
        <f t="shared" si="74"/>
        <v>1</v>
      </c>
      <c r="D439" s="667"/>
      <c r="E439" s="21">
        <f t="shared" si="75"/>
        <v>1</v>
      </c>
      <c r="F439" s="667"/>
      <c r="G439" s="21">
        <f t="shared" si="76"/>
        <v>1</v>
      </c>
      <c r="H439" s="667"/>
      <c r="I439" s="21">
        <f t="shared" si="77"/>
        <v>1</v>
      </c>
      <c r="J439" s="667"/>
      <c r="K439" s="21">
        <f t="shared" si="78"/>
        <v>1</v>
      </c>
      <c r="L439" s="667"/>
      <c r="M439" s="21">
        <f t="shared" si="79"/>
        <v>1</v>
      </c>
      <c r="N439" s="667"/>
      <c r="O439" s="21">
        <f t="shared" si="80"/>
        <v>1</v>
      </c>
      <c r="P439" s="667"/>
      <c r="Q439" s="21">
        <f t="shared" si="81"/>
        <v>1</v>
      </c>
      <c r="R439" s="663">
        <f t="shared" si="82"/>
        <v>0</v>
      </c>
      <c r="S439" s="316">
        <f t="shared" si="83"/>
        <v>0</v>
      </c>
    </row>
    <row r="440" spans="1:19">
      <c r="A440" s="150"/>
      <c r="B440" s="54"/>
      <c r="C440" s="21">
        <f t="shared" si="74"/>
        <v>1</v>
      </c>
      <c r="D440" s="667"/>
      <c r="E440" s="21">
        <f t="shared" si="75"/>
        <v>1</v>
      </c>
      <c r="F440" s="667"/>
      <c r="G440" s="21">
        <f t="shared" si="76"/>
        <v>1</v>
      </c>
      <c r="H440" s="667"/>
      <c r="I440" s="21">
        <f t="shared" si="77"/>
        <v>1</v>
      </c>
      <c r="J440" s="667"/>
      <c r="K440" s="21">
        <f t="shared" si="78"/>
        <v>1</v>
      </c>
      <c r="L440" s="667"/>
      <c r="M440" s="21">
        <f t="shared" si="79"/>
        <v>1</v>
      </c>
      <c r="N440" s="667"/>
      <c r="O440" s="21">
        <f t="shared" si="80"/>
        <v>1</v>
      </c>
      <c r="P440" s="667"/>
      <c r="Q440" s="21">
        <f t="shared" si="81"/>
        <v>1</v>
      </c>
      <c r="R440" s="663">
        <f t="shared" si="82"/>
        <v>0</v>
      </c>
      <c r="S440" s="316">
        <f t="shared" si="83"/>
        <v>0</v>
      </c>
    </row>
    <row r="441" spans="1:19">
      <c r="A441" s="150"/>
      <c r="B441" s="54"/>
      <c r="C441" s="21">
        <f t="shared" si="74"/>
        <v>1</v>
      </c>
      <c r="D441" s="667"/>
      <c r="E441" s="21">
        <f t="shared" si="75"/>
        <v>1</v>
      </c>
      <c r="F441" s="667"/>
      <c r="G441" s="21">
        <f t="shared" si="76"/>
        <v>1</v>
      </c>
      <c r="H441" s="667"/>
      <c r="I441" s="21">
        <f t="shared" si="77"/>
        <v>1</v>
      </c>
      <c r="J441" s="667"/>
      <c r="K441" s="21">
        <f t="shared" si="78"/>
        <v>1</v>
      </c>
      <c r="L441" s="667"/>
      <c r="M441" s="21">
        <f t="shared" si="79"/>
        <v>1</v>
      </c>
      <c r="N441" s="667"/>
      <c r="O441" s="21">
        <f t="shared" si="80"/>
        <v>1</v>
      </c>
      <c r="P441" s="667"/>
      <c r="Q441" s="21">
        <f t="shared" si="81"/>
        <v>1</v>
      </c>
      <c r="R441" s="663">
        <f t="shared" si="82"/>
        <v>0</v>
      </c>
      <c r="S441" s="316">
        <f t="shared" si="83"/>
        <v>0</v>
      </c>
    </row>
    <row r="442" spans="1:19">
      <c r="A442" s="150"/>
      <c r="B442" s="54"/>
      <c r="C442" s="21">
        <f t="shared" si="74"/>
        <v>1</v>
      </c>
      <c r="D442" s="667"/>
      <c r="E442" s="21">
        <f t="shared" si="75"/>
        <v>1</v>
      </c>
      <c r="F442" s="667"/>
      <c r="G442" s="21">
        <f t="shared" si="76"/>
        <v>1</v>
      </c>
      <c r="H442" s="667"/>
      <c r="I442" s="21">
        <f t="shared" si="77"/>
        <v>1</v>
      </c>
      <c r="J442" s="667"/>
      <c r="K442" s="21">
        <f t="shared" si="78"/>
        <v>1</v>
      </c>
      <c r="L442" s="667"/>
      <c r="M442" s="21">
        <f t="shared" si="79"/>
        <v>1</v>
      </c>
      <c r="N442" s="667"/>
      <c r="O442" s="21">
        <f t="shared" si="80"/>
        <v>1</v>
      </c>
      <c r="P442" s="667"/>
      <c r="Q442" s="21">
        <f t="shared" si="81"/>
        <v>1</v>
      </c>
      <c r="R442" s="663">
        <f t="shared" si="82"/>
        <v>0</v>
      </c>
      <c r="S442" s="316">
        <f t="shared" si="83"/>
        <v>0</v>
      </c>
    </row>
    <row r="443" spans="1:19">
      <c r="A443" s="150"/>
      <c r="B443" s="54"/>
      <c r="C443" s="21">
        <f t="shared" si="74"/>
        <v>1</v>
      </c>
      <c r="D443" s="667"/>
      <c r="E443" s="21">
        <f t="shared" si="75"/>
        <v>1</v>
      </c>
      <c r="F443" s="667"/>
      <c r="G443" s="21">
        <f t="shared" si="76"/>
        <v>1</v>
      </c>
      <c r="H443" s="667"/>
      <c r="I443" s="21">
        <f t="shared" si="77"/>
        <v>1</v>
      </c>
      <c r="J443" s="667"/>
      <c r="K443" s="21">
        <f t="shared" si="78"/>
        <v>1</v>
      </c>
      <c r="L443" s="667"/>
      <c r="M443" s="21">
        <f t="shared" si="79"/>
        <v>1</v>
      </c>
      <c r="N443" s="667"/>
      <c r="O443" s="21">
        <f t="shared" si="80"/>
        <v>1</v>
      </c>
      <c r="P443" s="667"/>
      <c r="Q443" s="21">
        <f t="shared" si="81"/>
        <v>1</v>
      </c>
      <c r="R443" s="663">
        <f t="shared" si="82"/>
        <v>0</v>
      </c>
      <c r="S443" s="316">
        <f t="shared" si="83"/>
        <v>0</v>
      </c>
    </row>
    <row r="444" spans="1:19">
      <c r="A444" s="150"/>
      <c r="B444" s="54"/>
      <c r="C444" s="21">
        <f t="shared" si="74"/>
        <v>1</v>
      </c>
      <c r="D444" s="667"/>
      <c r="E444" s="21">
        <f t="shared" si="75"/>
        <v>1</v>
      </c>
      <c r="F444" s="667"/>
      <c r="G444" s="21">
        <f t="shared" si="76"/>
        <v>1</v>
      </c>
      <c r="H444" s="667"/>
      <c r="I444" s="21">
        <f t="shared" si="77"/>
        <v>1</v>
      </c>
      <c r="J444" s="667"/>
      <c r="K444" s="21">
        <f t="shared" si="78"/>
        <v>1</v>
      </c>
      <c r="L444" s="667"/>
      <c r="M444" s="21">
        <f t="shared" si="79"/>
        <v>1</v>
      </c>
      <c r="N444" s="667"/>
      <c r="O444" s="21">
        <f t="shared" si="80"/>
        <v>1</v>
      </c>
      <c r="P444" s="667"/>
      <c r="Q444" s="21">
        <f t="shared" si="81"/>
        <v>1</v>
      </c>
      <c r="R444" s="663">
        <f t="shared" si="82"/>
        <v>0</v>
      </c>
      <c r="S444" s="316">
        <f t="shared" si="83"/>
        <v>0</v>
      </c>
    </row>
    <row r="445" spans="1:19">
      <c r="A445" s="150"/>
      <c r="B445" s="54"/>
      <c r="C445" s="21">
        <f t="shared" si="74"/>
        <v>1</v>
      </c>
      <c r="D445" s="667"/>
      <c r="E445" s="21">
        <f t="shared" si="75"/>
        <v>1</v>
      </c>
      <c r="F445" s="667"/>
      <c r="G445" s="21">
        <f t="shared" si="76"/>
        <v>1</v>
      </c>
      <c r="H445" s="667"/>
      <c r="I445" s="21">
        <f t="shared" si="77"/>
        <v>1</v>
      </c>
      <c r="J445" s="667"/>
      <c r="K445" s="21">
        <f t="shared" si="78"/>
        <v>1</v>
      </c>
      <c r="L445" s="667"/>
      <c r="M445" s="21">
        <f t="shared" si="79"/>
        <v>1</v>
      </c>
      <c r="N445" s="667"/>
      <c r="O445" s="21">
        <f t="shared" si="80"/>
        <v>1</v>
      </c>
      <c r="P445" s="667"/>
      <c r="Q445" s="21">
        <f t="shared" si="81"/>
        <v>1</v>
      </c>
      <c r="R445" s="663">
        <f t="shared" si="82"/>
        <v>0</v>
      </c>
      <c r="S445" s="316">
        <f t="shared" si="83"/>
        <v>0</v>
      </c>
    </row>
    <row r="446" spans="1:19">
      <c r="A446" s="150"/>
      <c r="B446" s="54"/>
      <c r="C446" s="21">
        <f t="shared" si="74"/>
        <v>1</v>
      </c>
      <c r="D446" s="667"/>
      <c r="E446" s="21">
        <f t="shared" si="75"/>
        <v>1</v>
      </c>
      <c r="F446" s="667"/>
      <c r="G446" s="21">
        <f t="shared" si="76"/>
        <v>1</v>
      </c>
      <c r="H446" s="667"/>
      <c r="I446" s="21">
        <f t="shared" si="77"/>
        <v>1</v>
      </c>
      <c r="J446" s="667"/>
      <c r="K446" s="21">
        <f t="shared" si="78"/>
        <v>1</v>
      </c>
      <c r="L446" s="667"/>
      <c r="M446" s="21">
        <f t="shared" si="79"/>
        <v>1</v>
      </c>
      <c r="N446" s="667"/>
      <c r="O446" s="21">
        <f t="shared" si="80"/>
        <v>1</v>
      </c>
      <c r="P446" s="667"/>
      <c r="Q446" s="21">
        <f t="shared" si="81"/>
        <v>1</v>
      </c>
      <c r="R446" s="663">
        <f t="shared" si="82"/>
        <v>0</v>
      </c>
      <c r="S446" s="316">
        <f t="shared" si="83"/>
        <v>0</v>
      </c>
    </row>
    <row r="447" spans="1:19">
      <c r="A447" s="150"/>
      <c r="B447" s="54"/>
      <c r="C447" s="21">
        <f t="shared" si="74"/>
        <v>1</v>
      </c>
      <c r="D447" s="667"/>
      <c r="E447" s="21">
        <f t="shared" si="75"/>
        <v>1</v>
      </c>
      <c r="F447" s="667"/>
      <c r="G447" s="21">
        <f t="shared" si="76"/>
        <v>1</v>
      </c>
      <c r="H447" s="667"/>
      <c r="I447" s="21">
        <f t="shared" si="77"/>
        <v>1</v>
      </c>
      <c r="J447" s="667"/>
      <c r="K447" s="21">
        <f t="shared" si="78"/>
        <v>1</v>
      </c>
      <c r="L447" s="667"/>
      <c r="M447" s="21">
        <f t="shared" si="79"/>
        <v>1</v>
      </c>
      <c r="N447" s="667"/>
      <c r="O447" s="21">
        <f t="shared" si="80"/>
        <v>1</v>
      </c>
      <c r="P447" s="667"/>
      <c r="Q447" s="21">
        <f t="shared" si="81"/>
        <v>1</v>
      </c>
      <c r="R447" s="663">
        <f t="shared" si="82"/>
        <v>0</v>
      </c>
      <c r="S447" s="316">
        <f t="shared" si="83"/>
        <v>0</v>
      </c>
    </row>
    <row r="448" spans="1:19">
      <c r="A448" s="150"/>
      <c r="B448" s="54"/>
      <c r="C448" s="21">
        <f t="shared" si="74"/>
        <v>1</v>
      </c>
      <c r="D448" s="667"/>
      <c r="E448" s="21">
        <f t="shared" si="75"/>
        <v>1</v>
      </c>
      <c r="F448" s="667"/>
      <c r="G448" s="21">
        <f t="shared" si="76"/>
        <v>1</v>
      </c>
      <c r="H448" s="667"/>
      <c r="I448" s="21">
        <f t="shared" si="77"/>
        <v>1</v>
      </c>
      <c r="J448" s="667"/>
      <c r="K448" s="21">
        <f t="shared" si="78"/>
        <v>1</v>
      </c>
      <c r="L448" s="667"/>
      <c r="M448" s="21">
        <f t="shared" si="79"/>
        <v>1</v>
      </c>
      <c r="N448" s="667"/>
      <c r="O448" s="21">
        <f t="shared" si="80"/>
        <v>1</v>
      </c>
      <c r="P448" s="667"/>
      <c r="Q448" s="21">
        <f t="shared" si="81"/>
        <v>1</v>
      </c>
      <c r="R448" s="663">
        <f t="shared" si="82"/>
        <v>0</v>
      </c>
      <c r="S448" s="316">
        <f t="shared" si="83"/>
        <v>0</v>
      </c>
    </row>
    <row r="449" spans="1:19">
      <c r="A449" s="150"/>
      <c r="B449" s="54"/>
      <c r="C449" s="21">
        <f t="shared" si="74"/>
        <v>1</v>
      </c>
      <c r="D449" s="667"/>
      <c r="E449" s="21">
        <f t="shared" si="75"/>
        <v>1</v>
      </c>
      <c r="F449" s="667"/>
      <c r="G449" s="21">
        <f t="shared" si="76"/>
        <v>1</v>
      </c>
      <c r="H449" s="667"/>
      <c r="I449" s="21">
        <f t="shared" si="77"/>
        <v>1</v>
      </c>
      <c r="J449" s="667"/>
      <c r="K449" s="21">
        <f t="shared" si="78"/>
        <v>1</v>
      </c>
      <c r="L449" s="667"/>
      <c r="M449" s="21">
        <f t="shared" si="79"/>
        <v>1</v>
      </c>
      <c r="N449" s="667"/>
      <c r="O449" s="21">
        <f t="shared" si="80"/>
        <v>1</v>
      </c>
      <c r="P449" s="667"/>
      <c r="Q449" s="21">
        <f t="shared" si="81"/>
        <v>1</v>
      </c>
      <c r="R449" s="663">
        <f t="shared" si="82"/>
        <v>0</v>
      </c>
      <c r="S449" s="316">
        <f t="shared" si="83"/>
        <v>0</v>
      </c>
    </row>
    <row r="450" spans="1:19">
      <c r="A450" s="150"/>
      <c r="B450" s="54"/>
      <c r="C450" s="21">
        <f t="shared" si="74"/>
        <v>1</v>
      </c>
      <c r="D450" s="667"/>
      <c r="E450" s="21">
        <f t="shared" si="75"/>
        <v>1</v>
      </c>
      <c r="F450" s="667"/>
      <c r="G450" s="21">
        <f t="shared" si="76"/>
        <v>1</v>
      </c>
      <c r="H450" s="667"/>
      <c r="I450" s="21">
        <f t="shared" si="77"/>
        <v>1</v>
      </c>
      <c r="J450" s="667"/>
      <c r="K450" s="21">
        <f t="shared" si="78"/>
        <v>1</v>
      </c>
      <c r="L450" s="667"/>
      <c r="M450" s="21">
        <f t="shared" si="79"/>
        <v>1</v>
      </c>
      <c r="N450" s="667"/>
      <c r="O450" s="21">
        <f t="shared" si="80"/>
        <v>1</v>
      </c>
      <c r="P450" s="667"/>
      <c r="Q450" s="21">
        <f t="shared" si="81"/>
        <v>1</v>
      </c>
      <c r="R450" s="663">
        <f t="shared" si="82"/>
        <v>0</v>
      </c>
      <c r="S450" s="316">
        <f t="shared" si="83"/>
        <v>0</v>
      </c>
    </row>
    <row r="451" spans="1:19">
      <c r="A451" s="150"/>
      <c r="B451" s="54"/>
      <c r="C451" s="21">
        <f t="shared" si="74"/>
        <v>1</v>
      </c>
      <c r="D451" s="667"/>
      <c r="E451" s="21">
        <f t="shared" si="75"/>
        <v>1</v>
      </c>
      <c r="F451" s="667"/>
      <c r="G451" s="21">
        <f t="shared" si="76"/>
        <v>1</v>
      </c>
      <c r="H451" s="667"/>
      <c r="I451" s="21">
        <f t="shared" si="77"/>
        <v>1</v>
      </c>
      <c r="J451" s="667"/>
      <c r="K451" s="21">
        <f t="shared" si="78"/>
        <v>1</v>
      </c>
      <c r="L451" s="667"/>
      <c r="M451" s="21">
        <f t="shared" si="79"/>
        <v>1</v>
      </c>
      <c r="N451" s="667"/>
      <c r="O451" s="21">
        <f t="shared" si="80"/>
        <v>1</v>
      </c>
      <c r="P451" s="667"/>
      <c r="Q451" s="21">
        <f t="shared" si="81"/>
        <v>1</v>
      </c>
      <c r="R451" s="663">
        <f t="shared" si="82"/>
        <v>0</v>
      </c>
      <c r="S451" s="316">
        <f t="shared" si="83"/>
        <v>0</v>
      </c>
    </row>
    <row r="452" spans="1:19">
      <c r="A452" s="150"/>
      <c r="B452" s="54"/>
      <c r="C452" s="21">
        <f t="shared" si="74"/>
        <v>1</v>
      </c>
      <c r="D452" s="667"/>
      <c r="E452" s="21">
        <f t="shared" si="75"/>
        <v>1</v>
      </c>
      <c r="F452" s="667"/>
      <c r="G452" s="21">
        <f t="shared" si="76"/>
        <v>1</v>
      </c>
      <c r="H452" s="667"/>
      <c r="I452" s="21">
        <f t="shared" si="77"/>
        <v>1</v>
      </c>
      <c r="J452" s="667"/>
      <c r="K452" s="21">
        <f t="shared" si="78"/>
        <v>1</v>
      </c>
      <c r="L452" s="667"/>
      <c r="M452" s="21">
        <f t="shared" si="79"/>
        <v>1</v>
      </c>
      <c r="N452" s="667"/>
      <c r="O452" s="21">
        <f t="shared" si="80"/>
        <v>1</v>
      </c>
      <c r="P452" s="667"/>
      <c r="Q452" s="21">
        <f t="shared" si="81"/>
        <v>1</v>
      </c>
      <c r="R452" s="663">
        <f t="shared" si="82"/>
        <v>0</v>
      </c>
      <c r="S452" s="316">
        <f t="shared" si="83"/>
        <v>0</v>
      </c>
    </row>
    <row r="453" spans="1:19">
      <c r="A453" s="150"/>
      <c r="B453" s="54"/>
      <c r="C453" s="21">
        <f t="shared" si="74"/>
        <v>1</v>
      </c>
      <c r="D453" s="667"/>
      <c r="E453" s="21">
        <f t="shared" si="75"/>
        <v>1</v>
      </c>
      <c r="F453" s="667"/>
      <c r="G453" s="21">
        <f t="shared" si="76"/>
        <v>1</v>
      </c>
      <c r="H453" s="667"/>
      <c r="I453" s="21">
        <f t="shared" si="77"/>
        <v>1</v>
      </c>
      <c r="J453" s="667"/>
      <c r="K453" s="21">
        <f t="shared" si="78"/>
        <v>1</v>
      </c>
      <c r="L453" s="667"/>
      <c r="M453" s="21">
        <f t="shared" si="79"/>
        <v>1</v>
      </c>
      <c r="N453" s="667"/>
      <c r="O453" s="21">
        <f t="shared" si="80"/>
        <v>1</v>
      </c>
      <c r="P453" s="667"/>
      <c r="Q453" s="21">
        <f t="shared" si="81"/>
        <v>1</v>
      </c>
      <c r="R453" s="663">
        <f t="shared" si="82"/>
        <v>0</v>
      </c>
      <c r="S453" s="316">
        <f t="shared" si="83"/>
        <v>0</v>
      </c>
    </row>
    <row r="454" spans="1:19">
      <c r="A454" s="150"/>
      <c r="B454" s="54"/>
      <c r="C454" s="21">
        <f t="shared" si="74"/>
        <v>1</v>
      </c>
      <c r="D454" s="667"/>
      <c r="E454" s="21">
        <f t="shared" si="75"/>
        <v>1</v>
      </c>
      <c r="F454" s="667"/>
      <c r="G454" s="21">
        <f t="shared" si="76"/>
        <v>1</v>
      </c>
      <c r="H454" s="667"/>
      <c r="I454" s="21">
        <f t="shared" si="77"/>
        <v>1</v>
      </c>
      <c r="J454" s="667"/>
      <c r="K454" s="21">
        <f t="shared" si="78"/>
        <v>1</v>
      </c>
      <c r="L454" s="667"/>
      <c r="M454" s="21">
        <f t="shared" si="79"/>
        <v>1</v>
      </c>
      <c r="N454" s="667"/>
      <c r="O454" s="21">
        <f t="shared" si="80"/>
        <v>1</v>
      </c>
      <c r="P454" s="667"/>
      <c r="Q454" s="21">
        <f t="shared" si="81"/>
        <v>1</v>
      </c>
      <c r="R454" s="663">
        <f t="shared" si="82"/>
        <v>0</v>
      </c>
      <c r="S454" s="316">
        <f t="shared" si="83"/>
        <v>0</v>
      </c>
    </row>
    <row r="455" spans="1:19">
      <c r="A455" s="150"/>
      <c r="B455" s="54"/>
      <c r="C455" s="21">
        <f t="shared" si="74"/>
        <v>1</v>
      </c>
      <c r="D455" s="667"/>
      <c r="E455" s="21">
        <f t="shared" si="75"/>
        <v>1</v>
      </c>
      <c r="F455" s="667"/>
      <c r="G455" s="21">
        <f t="shared" si="76"/>
        <v>1</v>
      </c>
      <c r="H455" s="667"/>
      <c r="I455" s="21">
        <f t="shared" si="77"/>
        <v>1</v>
      </c>
      <c r="J455" s="667"/>
      <c r="K455" s="21">
        <f t="shared" si="78"/>
        <v>1</v>
      </c>
      <c r="L455" s="667"/>
      <c r="M455" s="21">
        <f t="shared" si="79"/>
        <v>1</v>
      </c>
      <c r="N455" s="667"/>
      <c r="O455" s="21">
        <f t="shared" si="80"/>
        <v>1</v>
      </c>
      <c r="P455" s="667"/>
      <c r="Q455" s="21">
        <f t="shared" si="81"/>
        <v>1</v>
      </c>
      <c r="R455" s="663">
        <f t="shared" si="82"/>
        <v>0</v>
      </c>
      <c r="S455" s="316">
        <f t="shared" si="83"/>
        <v>0</v>
      </c>
    </row>
    <row r="456" spans="1:19">
      <c r="A456" s="150"/>
      <c r="B456" s="54"/>
      <c r="C456" s="21">
        <f t="shared" si="74"/>
        <v>1</v>
      </c>
      <c r="D456" s="667"/>
      <c r="E456" s="21">
        <f t="shared" si="75"/>
        <v>1</v>
      </c>
      <c r="F456" s="667"/>
      <c r="G456" s="21">
        <f t="shared" si="76"/>
        <v>1</v>
      </c>
      <c r="H456" s="667"/>
      <c r="I456" s="21">
        <f t="shared" si="77"/>
        <v>1</v>
      </c>
      <c r="J456" s="667"/>
      <c r="K456" s="21">
        <f t="shared" si="78"/>
        <v>1</v>
      </c>
      <c r="L456" s="667"/>
      <c r="M456" s="21">
        <f t="shared" si="79"/>
        <v>1</v>
      </c>
      <c r="N456" s="667"/>
      <c r="O456" s="21">
        <f t="shared" si="80"/>
        <v>1</v>
      </c>
      <c r="P456" s="667"/>
      <c r="Q456" s="21">
        <f t="shared" si="81"/>
        <v>1</v>
      </c>
      <c r="R456" s="663">
        <f t="shared" si="82"/>
        <v>0</v>
      </c>
      <c r="S456" s="316">
        <f t="shared" si="83"/>
        <v>0</v>
      </c>
    </row>
    <row r="457" spans="1:19">
      <c r="A457" s="150"/>
      <c r="B457" s="54"/>
      <c r="C457" s="21">
        <f t="shared" si="74"/>
        <v>1</v>
      </c>
      <c r="D457" s="667"/>
      <c r="E457" s="21">
        <f t="shared" si="75"/>
        <v>1</v>
      </c>
      <c r="F457" s="667"/>
      <c r="G457" s="21">
        <f t="shared" si="76"/>
        <v>1</v>
      </c>
      <c r="H457" s="667"/>
      <c r="I457" s="21">
        <f t="shared" si="77"/>
        <v>1</v>
      </c>
      <c r="J457" s="667"/>
      <c r="K457" s="21">
        <f t="shared" si="78"/>
        <v>1</v>
      </c>
      <c r="L457" s="667"/>
      <c r="M457" s="21">
        <f t="shared" si="79"/>
        <v>1</v>
      </c>
      <c r="N457" s="667"/>
      <c r="O457" s="21">
        <f t="shared" si="80"/>
        <v>1</v>
      </c>
      <c r="P457" s="667"/>
      <c r="Q457" s="21">
        <f t="shared" si="81"/>
        <v>1</v>
      </c>
      <c r="R457" s="663">
        <f t="shared" si="82"/>
        <v>0</v>
      </c>
      <c r="S457" s="316">
        <f t="shared" si="83"/>
        <v>0</v>
      </c>
    </row>
    <row r="458" spans="1:19">
      <c r="A458" s="150"/>
      <c r="B458" s="54"/>
      <c r="C458" s="21">
        <f t="shared" si="74"/>
        <v>1</v>
      </c>
      <c r="D458" s="667"/>
      <c r="E458" s="21">
        <f t="shared" si="75"/>
        <v>1</v>
      </c>
      <c r="F458" s="667"/>
      <c r="G458" s="21">
        <f t="shared" si="76"/>
        <v>1</v>
      </c>
      <c r="H458" s="667"/>
      <c r="I458" s="21">
        <f t="shared" si="77"/>
        <v>1</v>
      </c>
      <c r="J458" s="667"/>
      <c r="K458" s="21">
        <f t="shared" si="78"/>
        <v>1</v>
      </c>
      <c r="L458" s="667"/>
      <c r="M458" s="21">
        <f t="shared" si="79"/>
        <v>1</v>
      </c>
      <c r="N458" s="667"/>
      <c r="O458" s="21">
        <f t="shared" si="80"/>
        <v>1</v>
      </c>
      <c r="P458" s="667"/>
      <c r="Q458" s="21">
        <f t="shared" si="81"/>
        <v>1</v>
      </c>
      <c r="R458" s="663">
        <f t="shared" si="82"/>
        <v>0</v>
      </c>
      <c r="S458" s="316">
        <f t="shared" si="83"/>
        <v>0</v>
      </c>
    </row>
    <row r="459" spans="1:19">
      <c r="A459" s="150"/>
      <c r="B459" s="54"/>
      <c r="C459" s="21">
        <f t="shared" si="74"/>
        <v>1</v>
      </c>
      <c r="D459" s="667"/>
      <c r="E459" s="21">
        <f t="shared" si="75"/>
        <v>1</v>
      </c>
      <c r="F459" s="667"/>
      <c r="G459" s="21">
        <f t="shared" si="76"/>
        <v>1</v>
      </c>
      <c r="H459" s="667"/>
      <c r="I459" s="21">
        <f t="shared" si="77"/>
        <v>1</v>
      </c>
      <c r="J459" s="667"/>
      <c r="K459" s="21">
        <f t="shared" si="78"/>
        <v>1</v>
      </c>
      <c r="L459" s="667"/>
      <c r="M459" s="21">
        <f t="shared" si="79"/>
        <v>1</v>
      </c>
      <c r="N459" s="667"/>
      <c r="O459" s="21">
        <f t="shared" si="80"/>
        <v>1</v>
      </c>
      <c r="P459" s="667"/>
      <c r="Q459" s="21">
        <f t="shared" si="81"/>
        <v>1</v>
      </c>
      <c r="R459" s="663">
        <f t="shared" si="82"/>
        <v>0</v>
      </c>
      <c r="S459" s="316">
        <f t="shared" si="83"/>
        <v>0</v>
      </c>
    </row>
    <row r="460" spans="1:19">
      <c r="A460" s="150"/>
      <c r="B460" s="54"/>
      <c r="C460" s="21">
        <f t="shared" si="74"/>
        <v>1</v>
      </c>
      <c r="D460" s="667"/>
      <c r="E460" s="21">
        <f t="shared" si="75"/>
        <v>1</v>
      </c>
      <c r="F460" s="667"/>
      <c r="G460" s="21">
        <f t="shared" si="76"/>
        <v>1</v>
      </c>
      <c r="H460" s="667"/>
      <c r="I460" s="21">
        <f t="shared" si="77"/>
        <v>1</v>
      </c>
      <c r="J460" s="667"/>
      <c r="K460" s="21">
        <f t="shared" si="78"/>
        <v>1</v>
      </c>
      <c r="L460" s="667"/>
      <c r="M460" s="21">
        <f t="shared" si="79"/>
        <v>1</v>
      </c>
      <c r="N460" s="667"/>
      <c r="O460" s="21">
        <f t="shared" si="80"/>
        <v>1</v>
      </c>
      <c r="P460" s="667"/>
      <c r="Q460" s="21">
        <f t="shared" si="81"/>
        <v>1</v>
      </c>
      <c r="R460" s="663">
        <f t="shared" si="82"/>
        <v>0</v>
      </c>
      <c r="S460" s="316">
        <f t="shared" si="83"/>
        <v>0</v>
      </c>
    </row>
    <row r="461" spans="1:19">
      <c r="A461" s="150"/>
      <c r="B461" s="54"/>
      <c r="C461" s="21">
        <f t="shared" si="74"/>
        <v>1</v>
      </c>
      <c r="D461" s="667"/>
      <c r="E461" s="21">
        <f t="shared" si="75"/>
        <v>1</v>
      </c>
      <c r="F461" s="667"/>
      <c r="G461" s="21">
        <f t="shared" si="76"/>
        <v>1</v>
      </c>
      <c r="H461" s="667"/>
      <c r="I461" s="21">
        <f t="shared" si="77"/>
        <v>1</v>
      </c>
      <c r="J461" s="667"/>
      <c r="K461" s="21">
        <f t="shared" si="78"/>
        <v>1</v>
      </c>
      <c r="L461" s="667"/>
      <c r="M461" s="21">
        <f t="shared" si="79"/>
        <v>1</v>
      </c>
      <c r="N461" s="667"/>
      <c r="O461" s="21">
        <f t="shared" si="80"/>
        <v>1</v>
      </c>
      <c r="P461" s="667"/>
      <c r="Q461" s="21">
        <f t="shared" si="81"/>
        <v>1</v>
      </c>
      <c r="R461" s="663">
        <f t="shared" si="82"/>
        <v>0</v>
      </c>
      <c r="S461" s="316">
        <f t="shared" si="83"/>
        <v>0</v>
      </c>
    </row>
    <row r="462" spans="1:19">
      <c r="A462" s="150"/>
      <c r="B462" s="54"/>
      <c r="C462" s="21">
        <f t="shared" si="74"/>
        <v>1</v>
      </c>
      <c r="D462" s="667"/>
      <c r="E462" s="21">
        <f t="shared" si="75"/>
        <v>1</v>
      </c>
      <c r="F462" s="667"/>
      <c r="G462" s="21">
        <f t="shared" si="76"/>
        <v>1</v>
      </c>
      <c r="H462" s="667"/>
      <c r="I462" s="21">
        <f t="shared" si="77"/>
        <v>1</v>
      </c>
      <c r="J462" s="667"/>
      <c r="K462" s="21">
        <f t="shared" si="78"/>
        <v>1</v>
      </c>
      <c r="L462" s="667"/>
      <c r="M462" s="21">
        <f t="shared" si="79"/>
        <v>1</v>
      </c>
      <c r="N462" s="667"/>
      <c r="O462" s="21">
        <f t="shared" si="80"/>
        <v>1</v>
      </c>
      <c r="P462" s="667"/>
      <c r="Q462" s="21">
        <f t="shared" si="81"/>
        <v>1</v>
      </c>
      <c r="R462" s="663">
        <f t="shared" si="82"/>
        <v>0</v>
      </c>
      <c r="S462" s="316">
        <f t="shared" si="83"/>
        <v>0</v>
      </c>
    </row>
    <row r="463" spans="1:19">
      <c r="A463" s="150"/>
      <c r="B463" s="54"/>
      <c r="C463" s="21">
        <f t="shared" si="74"/>
        <v>1</v>
      </c>
      <c r="D463" s="667"/>
      <c r="E463" s="21">
        <f t="shared" si="75"/>
        <v>1</v>
      </c>
      <c r="F463" s="667"/>
      <c r="G463" s="21">
        <f t="shared" si="76"/>
        <v>1</v>
      </c>
      <c r="H463" s="667"/>
      <c r="I463" s="21">
        <f t="shared" si="77"/>
        <v>1</v>
      </c>
      <c r="J463" s="667"/>
      <c r="K463" s="21">
        <f t="shared" si="78"/>
        <v>1</v>
      </c>
      <c r="L463" s="667"/>
      <c r="M463" s="21">
        <f t="shared" si="79"/>
        <v>1</v>
      </c>
      <c r="N463" s="667"/>
      <c r="O463" s="21">
        <f t="shared" si="80"/>
        <v>1</v>
      </c>
      <c r="P463" s="667"/>
      <c r="Q463" s="21">
        <f t="shared" si="81"/>
        <v>1</v>
      </c>
      <c r="R463" s="663">
        <f t="shared" si="82"/>
        <v>0</v>
      </c>
      <c r="S463" s="316">
        <f t="shared" si="83"/>
        <v>0</v>
      </c>
    </row>
    <row r="464" spans="1:19">
      <c r="A464" s="150"/>
      <c r="B464" s="54"/>
      <c r="C464" s="21">
        <f t="shared" si="74"/>
        <v>1</v>
      </c>
      <c r="D464" s="667"/>
      <c r="E464" s="21">
        <f t="shared" si="75"/>
        <v>1</v>
      </c>
      <c r="F464" s="667"/>
      <c r="G464" s="21">
        <f t="shared" si="76"/>
        <v>1</v>
      </c>
      <c r="H464" s="667"/>
      <c r="I464" s="21">
        <f t="shared" si="77"/>
        <v>1</v>
      </c>
      <c r="J464" s="667"/>
      <c r="K464" s="21">
        <f t="shared" si="78"/>
        <v>1</v>
      </c>
      <c r="L464" s="667"/>
      <c r="M464" s="21">
        <f t="shared" si="79"/>
        <v>1</v>
      </c>
      <c r="N464" s="667"/>
      <c r="O464" s="21">
        <f t="shared" si="80"/>
        <v>1</v>
      </c>
      <c r="P464" s="667"/>
      <c r="Q464" s="21">
        <f t="shared" si="81"/>
        <v>1</v>
      </c>
      <c r="R464" s="663">
        <f t="shared" si="82"/>
        <v>0</v>
      </c>
      <c r="S464" s="316">
        <f t="shared" si="83"/>
        <v>0</v>
      </c>
    </row>
    <row r="465" spans="1:19">
      <c r="A465" s="150"/>
      <c r="B465" s="54"/>
      <c r="C465" s="21">
        <f t="shared" si="74"/>
        <v>1</v>
      </c>
      <c r="D465" s="667"/>
      <c r="E465" s="21">
        <f t="shared" si="75"/>
        <v>1</v>
      </c>
      <c r="F465" s="667"/>
      <c r="G465" s="21">
        <f t="shared" si="76"/>
        <v>1</v>
      </c>
      <c r="H465" s="667"/>
      <c r="I465" s="21">
        <f t="shared" si="77"/>
        <v>1</v>
      </c>
      <c r="J465" s="667"/>
      <c r="K465" s="21">
        <f t="shared" si="78"/>
        <v>1</v>
      </c>
      <c r="L465" s="667"/>
      <c r="M465" s="21">
        <f t="shared" si="79"/>
        <v>1</v>
      </c>
      <c r="N465" s="667"/>
      <c r="O465" s="21">
        <f t="shared" si="80"/>
        <v>1</v>
      </c>
      <c r="P465" s="667"/>
      <c r="Q465" s="21">
        <f t="shared" si="81"/>
        <v>1</v>
      </c>
      <c r="R465" s="663">
        <f t="shared" si="82"/>
        <v>0</v>
      </c>
      <c r="S465" s="316">
        <f t="shared" si="83"/>
        <v>0</v>
      </c>
    </row>
    <row r="466" spans="1:19">
      <c r="A466" s="150"/>
      <c r="B466" s="54"/>
      <c r="C466" s="21">
        <f t="shared" si="74"/>
        <v>1</v>
      </c>
      <c r="D466" s="667"/>
      <c r="E466" s="21">
        <f t="shared" si="75"/>
        <v>1</v>
      </c>
      <c r="F466" s="667"/>
      <c r="G466" s="21">
        <f t="shared" si="76"/>
        <v>1</v>
      </c>
      <c r="H466" s="667"/>
      <c r="I466" s="21">
        <f t="shared" si="77"/>
        <v>1</v>
      </c>
      <c r="J466" s="667"/>
      <c r="K466" s="21">
        <f t="shared" si="78"/>
        <v>1</v>
      </c>
      <c r="L466" s="667"/>
      <c r="M466" s="21">
        <f t="shared" si="79"/>
        <v>1</v>
      </c>
      <c r="N466" s="667"/>
      <c r="O466" s="21">
        <f t="shared" si="80"/>
        <v>1</v>
      </c>
      <c r="P466" s="667"/>
      <c r="Q466" s="21">
        <f t="shared" si="81"/>
        <v>1</v>
      </c>
      <c r="R466" s="663">
        <f t="shared" si="82"/>
        <v>0</v>
      </c>
      <c r="S466" s="316">
        <f t="shared" si="83"/>
        <v>0</v>
      </c>
    </row>
    <row r="467" spans="1:19">
      <c r="A467" s="150"/>
      <c r="B467" s="54"/>
      <c r="C467" s="21">
        <f t="shared" si="74"/>
        <v>1</v>
      </c>
      <c r="D467" s="667"/>
      <c r="E467" s="21">
        <f t="shared" si="75"/>
        <v>1</v>
      </c>
      <c r="F467" s="667"/>
      <c r="G467" s="21">
        <f t="shared" si="76"/>
        <v>1</v>
      </c>
      <c r="H467" s="667"/>
      <c r="I467" s="21">
        <f t="shared" si="77"/>
        <v>1</v>
      </c>
      <c r="J467" s="667"/>
      <c r="K467" s="21">
        <f t="shared" si="78"/>
        <v>1</v>
      </c>
      <c r="L467" s="667"/>
      <c r="M467" s="21">
        <f t="shared" si="79"/>
        <v>1</v>
      </c>
      <c r="N467" s="667"/>
      <c r="O467" s="21">
        <f t="shared" si="80"/>
        <v>1</v>
      </c>
      <c r="P467" s="667"/>
      <c r="Q467" s="21">
        <f t="shared" si="81"/>
        <v>1</v>
      </c>
      <c r="R467" s="663">
        <f t="shared" si="82"/>
        <v>0</v>
      </c>
      <c r="S467" s="316">
        <f t="shared" si="83"/>
        <v>0</v>
      </c>
    </row>
    <row r="468" spans="1:19">
      <c r="A468" s="150"/>
      <c r="B468" s="54"/>
      <c r="C468" s="21">
        <f t="shared" si="74"/>
        <v>1</v>
      </c>
      <c r="D468" s="667"/>
      <c r="E468" s="21">
        <f t="shared" si="75"/>
        <v>1</v>
      </c>
      <c r="F468" s="667"/>
      <c r="G468" s="21">
        <f t="shared" si="76"/>
        <v>1</v>
      </c>
      <c r="H468" s="667"/>
      <c r="I468" s="21">
        <f t="shared" si="77"/>
        <v>1</v>
      </c>
      <c r="J468" s="667"/>
      <c r="K468" s="21">
        <f t="shared" si="78"/>
        <v>1</v>
      </c>
      <c r="L468" s="667"/>
      <c r="M468" s="21">
        <f t="shared" si="79"/>
        <v>1</v>
      </c>
      <c r="N468" s="667"/>
      <c r="O468" s="21">
        <f t="shared" si="80"/>
        <v>1</v>
      </c>
      <c r="P468" s="667"/>
      <c r="Q468" s="21">
        <f t="shared" si="81"/>
        <v>1</v>
      </c>
      <c r="R468" s="663">
        <f t="shared" si="82"/>
        <v>0</v>
      </c>
      <c r="S468" s="316">
        <f t="shared" ref="S468:S497" si="84">ROUND(R468*B468/10000,0)</f>
        <v>0</v>
      </c>
    </row>
    <row r="469" spans="1:19">
      <c r="A469" s="150"/>
      <c r="B469" s="54"/>
      <c r="C469" s="21">
        <f t="shared" si="74"/>
        <v>1</v>
      </c>
      <c r="D469" s="667"/>
      <c r="E469" s="21">
        <f t="shared" si="75"/>
        <v>1</v>
      </c>
      <c r="F469" s="667"/>
      <c r="G469" s="21">
        <f t="shared" si="76"/>
        <v>1</v>
      </c>
      <c r="H469" s="667"/>
      <c r="I469" s="21">
        <f t="shared" si="77"/>
        <v>1</v>
      </c>
      <c r="J469" s="667"/>
      <c r="K469" s="21">
        <f t="shared" si="78"/>
        <v>1</v>
      </c>
      <c r="L469" s="667"/>
      <c r="M469" s="21">
        <f t="shared" si="79"/>
        <v>1</v>
      </c>
      <c r="N469" s="667"/>
      <c r="O469" s="21">
        <f t="shared" si="80"/>
        <v>1</v>
      </c>
      <c r="P469" s="667"/>
      <c r="Q469" s="21">
        <f t="shared" si="81"/>
        <v>1</v>
      </c>
      <c r="R469" s="663">
        <f t="shared" si="82"/>
        <v>0</v>
      </c>
      <c r="S469" s="316">
        <f t="shared" si="84"/>
        <v>0</v>
      </c>
    </row>
    <row r="470" spans="1:19">
      <c r="A470" s="150"/>
      <c r="B470" s="54"/>
      <c r="C470" s="21">
        <f t="shared" si="74"/>
        <v>1</v>
      </c>
      <c r="D470" s="667"/>
      <c r="E470" s="21">
        <f t="shared" si="75"/>
        <v>1</v>
      </c>
      <c r="F470" s="667"/>
      <c r="G470" s="21">
        <f t="shared" si="76"/>
        <v>1</v>
      </c>
      <c r="H470" s="667"/>
      <c r="I470" s="21">
        <f t="shared" si="77"/>
        <v>1</v>
      </c>
      <c r="J470" s="667"/>
      <c r="K470" s="21">
        <f t="shared" si="78"/>
        <v>1</v>
      </c>
      <c r="L470" s="667"/>
      <c r="M470" s="21">
        <f t="shared" si="79"/>
        <v>1</v>
      </c>
      <c r="N470" s="667"/>
      <c r="O470" s="21">
        <f t="shared" si="80"/>
        <v>1</v>
      </c>
      <c r="P470" s="667"/>
      <c r="Q470" s="21">
        <f t="shared" si="81"/>
        <v>1</v>
      </c>
      <c r="R470" s="663">
        <f t="shared" si="82"/>
        <v>0</v>
      </c>
      <c r="S470" s="316">
        <f t="shared" si="84"/>
        <v>0</v>
      </c>
    </row>
    <row r="471" spans="1:19">
      <c r="A471" s="150"/>
      <c r="B471" s="54"/>
      <c r="C471" s="21">
        <f t="shared" si="74"/>
        <v>1</v>
      </c>
      <c r="D471" s="667"/>
      <c r="E471" s="21">
        <f t="shared" si="75"/>
        <v>1</v>
      </c>
      <c r="F471" s="667"/>
      <c r="G471" s="21">
        <f t="shared" si="76"/>
        <v>1</v>
      </c>
      <c r="H471" s="667"/>
      <c r="I471" s="21">
        <f t="shared" si="77"/>
        <v>1</v>
      </c>
      <c r="J471" s="667"/>
      <c r="K471" s="21">
        <f t="shared" si="78"/>
        <v>1</v>
      </c>
      <c r="L471" s="667"/>
      <c r="M471" s="21">
        <f t="shared" si="79"/>
        <v>1</v>
      </c>
      <c r="N471" s="667"/>
      <c r="O471" s="21">
        <f t="shared" si="80"/>
        <v>1</v>
      </c>
      <c r="P471" s="667"/>
      <c r="Q471" s="21">
        <f t="shared" si="81"/>
        <v>1</v>
      </c>
      <c r="R471" s="663">
        <f t="shared" si="82"/>
        <v>0</v>
      </c>
      <c r="S471" s="316">
        <f t="shared" si="84"/>
        <v>0</v>
      </c>
    </row>
    <row r="472" spans="1:19">
      <c r="A472" s="150"/>
      <c r="B472" s="54"/>
      <c r="C472" s="21">
        <f t="shared" si="74"/>
        <v>1</v>
      </c>
      <c r="D472" s="667"/>
      <c r="E472" s="21">
        <f t="shared" si="75"/>
        <v>1</v>
      </c>
      <c r="F472" s="667"/>
      <c r="G472" s="21">
        <f t="shared" si="76"/>
        <v>1</v>
      </c>
      <c r="H472" s="667"/>
      <c r="I472" s="21">
        <f t="shared" si="77"/>
        <v>1</v>
      </c>
      <c r="J472" s="667"/>
      <c r="K472" s="21">
        <f t="shared" si="78"/>
        <v>1</v>
      </c>
      <c r="L472" s="667"/>
      <c r="M472" s="21">
        <f t="shared" si="79"/>
        <v>1</v>
      </c>
      <c r="N472" s="667"/>
      <c r="O472" s="21">
        <f t="shared" si="80"/>
        <v>1</v>
      </c>
      <c r="P472" s="667"/>
      <c r="Q472" s="21">
        <f t="shared" si="81"/>
        <v>1</v>
      </c>
      <c r="R472" s="663">
        <f t="shared" si="82"/>
        <v>0</v>
      </c>
      <c r="S472" s="316">
        <f t="shared" si="84"/>
        <v>0</v>
      </c>
    </row>
    <row r="473" spans="1:19">
      <c r="A473" s="150"/>
      <c r="B473" s="54"/>
      <c r="C473" s="21">
        <f t="shared" si="74"/>
        <v>1</v>
      </c>
      <c r="D473" s="667"/>
      <c r="E473" s="21">
        <f t="shared" si="75"/>
        <v>1</v>
      </c>
      <c r="F473" s="667"/>
      <c r="G473" s="21">
        <f t="shared" si="76"/>
        <v>1</v>
      </c>
      <c r="H473" s="667"/>
      <c r="I473" s="21">
        <f t="shared" si="77"/>
        <v>1</v>
      </c>
      <c r="J473" s="667"/>
      <c r="K473" s="21">
        <f t="shared" si="78"/>
        <v>1</v>
      </c>
      <c r="L473" s="667"/>
      <c r="M473" s="21">
        <f t="shared" si="79"/>
        <v>1</v>
      </c>
      <c r="N473" s="667"/>
      <c r="O473" s="21">
        <f t="shared" si="80"/>
        <v>1</v>
      </c>
      <c r="P473" s="667"/>
      <c r="Q473" s="21">
        <f t="shared" si="81"/>
        <v>1</v>
      </c>
      <c r="R473" s="663">
        <f t="shared" si="82"/>
        <v>0</v>
      </c>
      <c r="S473" s="316">
        <f t="shared" si="84"/>
        <v>0</v>
      </c>
    </row>
    <row r="474" spans="1:19">
      <c r="A474" s="150"/>
      <c r="B474" s="54"/>
      <c r="C474" s="21">
        <f t="shared" ref="C474:C524" si="85">IF(B474="",1,(LOOKUP(B474,$3:$3,$4:$4)-LOOKUP($B$24,$3:$3,$4:$4)+100)/100)</f>
        <v>1</v>
      </c>
      <c r="D474" s="667"/>
      <c r="E474" s="21">
        <f t="shared" ref="E474:E524" si="86">(SUMIF($5:$5,D474,$6:$6)-SUMIF($5:$5,$D$24,$6:$6)+100)/100</f>
        <v>1</v>
      </c>
      <c r="F474" s="667"/>
      <c r="G474" s="21">
        <f t="shared" ref="G474:G524" si="87">(SUMIF($7:$7,F474,$8:$8)-SUMIF($7:$7,$F$24,$8:$8)+100)/100</f>
        <v>1</v>
      </c>
      <c r="H474" s="667"/>
      <c r="I474" s="21">
        <f t="shared" ref="I474:I524" si="88">(SUMIF($9:$9,H474,$10:$10)-SUMIF($9:$9,$H$24,$10:$10)+100)/100</f>
        <v>1</v>
      </c>
      <c r="J474" s="667"/>
      <c r="K474" s="21">
        <f t="shared" ref="K474:K524" si="89">(SUMIF($11:$11,J474,$12:$12)-SUMIF($11:$11,$J$24,$12:$12)+100)/100</f>
        <v>1</v>
      </c>
      <c r="L474" s="667"/>
      <c r="M474" s="21">
        <f t="shared" ref="M474:M524" si="90">(SUMIF($13:$13,L474,$14:$14)-SUMIF($13:$13,$L$24,$14:$14)+100)/100</f>
        <v>1</v>
      </c>
      <c r="N474" s="667"/>
      <c r="O474" s="21">
        <f t="shared" ref="O474:O524" si="91">(SUMIF($15:$15,N474,$16:$16)-SUMIF($15:$15,$N$24,$16:$16)+100)/100</f>
        <v>1</v>
      </c>
      <c r="P474" s="667"/>
      <c r="Q474" s="21">
        <f t="shared" ref="Q474:Q524" si="92">(SUMIF($17:$17,P474,$18:$18)-SUMIF($17:$17,$P$24,$18:$18)+100)/100</f>
        <v>1</v>
      </c>
      <c r="R474" s="663">
        <f t="shared" ref="R474:R524" si="93">IF(B474="",0,ROUND($R$24*C474*E474*G474*I474*K474*M474*O474*Q474,0))</f>
        <v>0</v>
      </c>
      <c r="S474" s="316">
        <f t="shared" si="84"/>
        <v>0</v>
      </c>
    </row>
    <row r="475" spans="1:19">
      <c r="A475" s="150"/>
      <c r="B475" s="54"/>
      <c r="C475" s="21">
        <f t="shared" si="85"/>
        <v>1</v>
      </c>
      <c r="D475" s="667"/>
      <c r="E475" s="21">
        <f t="shared" si="86"/>
        <v>1</v>
      </c>
      <c r="F475" s="667"/>
      <c r="G475" s="21">
        <f t="shared" si="87"/>
        <v>1</v>
      </c>
      <c r="H475" s="667"/>
      <c r="I475" s="21">
        <f t="shared" si="88"/>
        <v>1</v>
      </c>
      <c r="J475" s="667"/>
      <c r="K475" s="21">
        <f t="shared" si="89"/>
        <v>1</v>
      </c>
      <c r="L475" s="667"/>
      <c r="M475" s="21">
        <f t="shared" si="90"/>
        <v>1</v>
      </c>
      <c r="N475" s="667"/>
      <c r="O475" s="21">
        <f t="shared" si="91"/>
        <v>1</v>
      </c>
      <c r="P475" s="667"/>
      <c r="Q475" s="21">
        <f t="shared" si="92"/>
        <v>1</v>
      </c>
      <c r="R475" s="663">
        <f t="shared" si="93"/>
        <v>0</v>
      </c>
      <c r="S475" s="316">
        <f t="shared" si="84"/>
        <v>0</v>
      </c>
    </row>
    <row r="476" spans="1:19">
      <c r="A476" s="150"/>
      <c r="B476" s="54"/>
      <c r="C476" s="21">
        <f t="shared" si="85"/>
        <v>1</v>
      </c>
      <c r="D476" s="667"/>
      <c r="E476" s="21">
        <f t="shared" si="86"/>
        <v>1</v>
      </c>
      <c r="F476" s="667"/>
      <c r="G476" s="21">
        <f t="shared" si="87"/>
        <v>1</v>
      </c>
      <c r="H476" s="667"/>
      <c r="I476" s="21">
        <f t="shared" si="88"/>
        <v>1</v>
      </c>
      <c r="J476" s="667"/>
      <c r="K476" s="21">
        <f t="shared" si="89"/>
        <v>1</v>
      </c>
      <c r="L476" s="667"/>
      <c r="M476" s="21">
        <f t="shared" si="90"/>
        <v>1</v>
      </c>
      <c r="N476" s="667"/>
      <c r="O476" s="21">
        <f t="shared" si="91"/>
        <v>1</v>
      </c>
      <c r="P476" s="667"/>
      <c r="Q476" s="21">
        <f t="shared" si="92"/>
        <v>1</v>
      </c>
      <c r="R476" s="663">
        <f t="shared" si="93"/>
        <v>0</v>
      </c>
      <c r="S476" s="316">
        <f t="shared" si="84"/>
        <v>0</v>
      </c>
    </row>
    <row r="477" spans="1:19">
      <c r="A477" s="150"/>
      <c r="B477" s="54"/>
      <c r="C477" s="21">
        <f t="shared" si="85"/>
        <v>1</v>
      </c>
      <c r="D477" s="667"/>
      <c r="E477" s="21">
        <f t="shared" si="86"/>
        <v>1</v>
      </c>
      <c r="F477" s="667"/>
      <c r="G477" s="21">
        <f t="shared" si="87"/>
        <v>1</v>
      </c>
      <c r="H477" s="667"/>
      <c r="I477" s="21">
        <f t="shared" si="88"/>
        <v>1</v>
      </c>
      <c r="J477" s="667"/>
      <c r="K477" s="21">
        <f t="shared" si="89"/>
        <v>1</v>
      </c>
      <c r="L477" s="667"/>
      <c r="M477" s="21">
        <f t="shared" si="90"/>
        <v>1</v>
      </c>
      <c r="N477" s="667"/>
      <c r="O477" s="21">
        <f t="shared" si="91"/>
        <v>1</v>
      </c>
      <c r="P477" s="667"/>
      <c r="Q477" s="21">
        <f t="shared" si="92"/>
        <v>1</v>
      </c>
      <c r="R477" s="663">
        <f t="shared" si="93"/>
        <v>0</v>
      </c>
      <c r="S477" s="316">
        <f t="shared" si="84"/>
        <v>0</v>
      </c>
    </row>
    <row r="478" spans="1:19">
      <c r="A478" s="150"/>
      <c r="B478" s="54"/>
      <c r="C478" s="21">
        <f t="shared" si="85"/>
        <v>1</v>
      </c>
      <c r="D478" s="667"/>
      <c r="E478" s="21">
        <f t="shared" si="86"/>
        <v>1</v>
      </c>
      <c r="F478" s="667"/>
      <c r="G478" s="21">
        <f t="shared" si="87"/>
        <v>1</v>
      </c>
      <c r="H478" s="667"/>
      <c r="I478" s="21">
        <f t="shared" si="88"/>
        <v>1</v>
      </c>
      <c r="J478" s="667"/>
      <c r="K478" s="21">
        <f t="shared" si="89"/>
        <v>1</v>
      </c>
      <c r="L478" s="667"/>
      <c r="M478" s="21">
        <f t="shared" si="90"/>
        <v>1</v>
      </c>
      <c r="N478" s="667"/>
      <c r="O478" s="21">
        <f t="shared" si="91"/>
        <v>1</v>
      </c>
      <c r="P478" s="667"/>
      <c r="Q478" s="21">
        <f t="shared" si="92"/>
        <v>1</v>
      </c>
      <c r="R478" s="663">
        <f t="shared" si="93"/>
        <v>0</v>
      </c>
      <c r="S478" s="316">
        <f t="shared" si="84"/>
        <v>0</v>
      </c>
    </row>
    <row r="479" spans="1:19">
      <c r="A479" s="150"/>
      <c r="B479" s="54"/>
      <c r="C479" s="21">
        <f t="shared" si="85"/>
        <v>1</v>
      </c>
      <c r="D479" s="667"/>
      <c r="E479" s="21">
        <f t="shared" si="86"/>
        <v>1</v>
      </c>
      <c r="F479" s="667"/>
      <c r="G479" s="21">
        <f t="shared" si="87"/>
        <v>1</v>
      </c>
      <c r="H479" s="667"/>
      <c r="I479" s="21">
        <f t="shared" si="88"/>
        <v>1</v>
      </c>
      <c r="J479" s="667"/>
      <c r="K479" s="21">
        <f t="shared" si="89"/>
        <v>1</v>
      </c>
      <c r="L479" s="667"/>
      <c r="M479" s="21">
        <f t="shared" si="90"/>
        <v>1</v>
      </c>
      <c r="N479" s="667"/>
      <c r="O479" s="21">
        <f t="shared" si="91"/>
        <v>1</v>
      </c>
      <c r="P479" s="667"/>
      <c r="Q479" s="21">
        <f t="shared" si="92"/>
        <v>1</v>
      </c>
      <c r="R479" s="663">
        <f t="shared" si="93"/>
        <v>0</v>
      </c>
      <c r="S479" s="316">
        <f t="shared" si="84"/>
        <v>0</v>
      </c>
    </row>
    <row r="480" spans="1:19">
      <c r="A480" s="150"/>
      <c r="B480" s="54"/>
      <c r="C480" s="21">
        <f t="shared" si="85"/>
        <v>1</v>
      </c>
      <c r="D480" s="667"/>
      <c r="E480" s="21">
        <f t="shared" si="86"/>
        <v>1</v>
      </c>
      <c r="F480" s="667"/>
      <c r="G480" s="21">
        <f t="shared" si="87"/>
        <v>1</v>
      </c>
      <c r="H480" s="667"/>
      <c r="I480" s="21">
        <f t="shared" si="88"/>
        <v>1</v>
      </c>
      <c r="J480" s="667"/>
      <c r="K480" s="21">
        <f t="shared" si="89"/>
        <v>1</v>
      </c>
      <c r="L480" s="667"/>
      <c r="M480" s="21">
        <f t="shared" si="90"/>
        <v>1</v>
      </c>
      <c r="N480" s="667"/>
      <c r="O480" s="21">
        <f t="shared" si="91"/>
        <v>1</v>
      </c>
      <c r="P480" s="667"/>
      <c r="Q480" s="21">
        <f t="shared" si="92"/>
        <v>1</v>
      </c>
      <c r="R480" s="663">
        <f t="shared" si="93"/>
        <v>0</v>
      </c>
      <c r="S480" s="316">
        <f t="shared" si="84"/>
        <v>0</v>
      </c>
    </row>
    <row r="481" spans="1:19">
      <c r="A481" s="150"/>
      <c r="B481" s="54"/>
      <c r="C481" s="21">
        <f t="shared" si="85"/>
        <v>1</v>
      </c>
      <c r="D481" s="667"/>
      <c r="E481" s="21">
        <f t="shared" si="86"/>
        <v>1</v>
      </c>
      <c r="F481" s="667"/>
      <c r="G481" s="21">
        <f t="shared" si="87"/>
        <v>1</v>
      </c>
      <c r="H481" s="667"/>
      <c r="I481" s="21">
        <f t="shared" si="88"/>
        <v>1</v>
      </c>
      <c r="J481" s="667"/>
      <c r="K481" s="21">
        <f t="shared" si="89"/>
        <v>1</v>
      </c>
      <c r="L481" s="667"/>
      <c r="M481" s="21">
        <f t="shared" si="90"/>
        <v>1</v>
      </c>
      <c r="N481" s="667"/>
      <c r="O481" s="21">
        <f t="shared" si="91"/>
        <v>1</v>
      </c>
      <c r="P481" s="667"/>
      <c r="Q481" s="21">
        <f t="shared" si="92"/>
        <v>1</v>
      </c>
      <c r="R481" s="663">
        <f t="shared" si="93"/>
        <v>0</v>
      </c>
      <c r="S481" s="316">
        <f t="shared" si="84"/>
        <v>0</v>
      </c>
    </row>
    <row r="482" spans="1:19">
      <c r="A482" s="150"/>
      <c r="B482" s="54"/>
      <c r="C482" s="21">
        <f t="shared" si="85"/>
        <v>1</v>
      </c>
      <c r="D482" s="667"/>
      <c r="E482" s="21">
        <f t="shared" si="86"/>
        <v>1</v>
      </c>
      <c r="F482" s="667"/>
      <c r="G482" s="21">
        <f t="shared" si="87"/>
        <v>1</v>
      </c>
      <c r="H482" s="667"/>
      <c r="I482" s="21">
        <f t="shared" si="88"/>
        <v>1</v>
      </c>
      <c r="J482" s="667"/>
      <c r="K482" s="21">
        <f t="shared" si="89"/>
        <v>1</v>
      </c>
      <c r="L482" s="667"/>
      <c r="M482" s="21">
        <f t="shared" si="90"/>
        <v>1</v>
      </c>
      <c r="N482" s="667"/>
      <c r="O482" s="21">
        <f t="shared" si="91"/>
        <v>1</v>
      </c>
      <c r="P482" s="667"/>
      <c r="Q482" s="21">
        <f t="shared" si="92"/>
        <v>1</v>
      </c>
      <c r="R482" s="663">
        <f t="shared" si="93"/>
        <v>0</v>
      </c>
      <c r="S482" s="316">
        <f t="shared" si="84"/>
        <v>0</v>
      </c>
    </row>
    <row r="483" spans="1:19">
      <c r="A483" s="150"/>
      <c r="B483" s="54"/>
      <c r="C483" s="21">
        <f t="shared" si="85"/>
        <v>1</v>
      </c>
      <c r="D483" s="667"/>
      <c r="E483" s="21">
        <f t="shared" si="86"/>
        <v>1</v>
      </c>
      <c r="F483" s="667"/>
      <c r="G483" s="21">
        <f t="shared" si="87"/>
        <v>1</v>
      </c>
      <c r="H483" s="667"/>
      <c r="I483" s="21">
        <f t="shared" si="88"/>
        <v>1</v>
      </c>
      <c r="J483" s="667"/>
      <c r="K483" s="21">
        <f t="shared" si="89"/>
        <v>1</v>
      </c>
      <c r="L483" s="667"/>
      <c r="M483" s="21">
        <f t="shared" si="90"/>
        <v>1</v>
      </c>
      <c r="N483" s="667"/>
      <c r="O483" s="21">
        <f t="shared" si="91"/>
        <v>1</v>
      </c>
      <c r="P483" s="667"/>
      <c r="Q483" s="21">
        <f t="shared" si="92"/>
        <v>1</v>
      </c>
      <c r="R483" s="663">
        <f t="shared" si="93"/>
        <v>0</v>
      </c>
      <c r="S483" s="316">
        <f t="shared" si="84"/>
        <v>0</v>
      </c>
    </row>
    <row r="484" spans="1:19">
      <c r="A484" s="150"/>
      <c r="B484" s="54"/>
      <c r="C484" s="21">
        <f t="shared" si="85"/>
        <v>1</v>
      </c>
      <c r="D484" s="667"/>
      <c r="E484" s="21">
        <f t="shared" si="86"/>
        <v>1</v>
      </c>
      <c r="F484" s="667"/>
      <c r="G484" s="21">
        <f t="shared" si="87"/>
        <v>1</v>
      </c>
      <c r="H484" s="667"/>
      <c r="I484" s="21">
        <f t="shared" si="88"/>
        <v>1</v>
      </c>
      <c r="J484" s="667"/>
      <c r="K484" s="21">
        <f t="shared" si="89"/>
        <v>1</v>
      </c>
      <c r="L484" s="667"/>
      <c r="M484" s="21">
        <f t="shared" si="90"/>
        <v>1</v>
      </c>
      <c r="N484" s="667"/>
      <c r="O484" s="21">
        <f t="shared" si="91"/>
        <v>1</v>
      </c>
      <c r="P484" s="667"/>
      <c r="Q484" s="21">
        <f t="shared" si="92"/>
        <v>1</v>
      </c>
      <c r="R484" s="663">
        <f t="shared" si="93"/>
        <v>0</v>
      </c>
      <c r="S484" s="316">
        <f t="shared" si="84"/>
        <v>0</v>
      </c>
    </row>
    <row r="485" spans="1:19">
      <c r="A485" s="150"/>
      <c r="B485" s="54"/>
      <c r="C485" s="21">
        <f t="shared" si="85"/>
        <v>1</v>
      </c>
      <c r="D485" s="667"/>
      <c r="E485" s="21">
        <f t="shared" si="86"/>
        <v>1</v>
      </c>
      <c r="F485" s="667"/>
      <c r="G485" s="21">
        <f t="shared" si="87"/>
        <v>1</v>
      </c>
      <c r="H485" s="667"/>
      <c r="I485" s="21">
        <f t="shared" si="88"/>
        <v>1</v>
      </c>
      <c r="J485" s="667"/>
      <c r="K485" s="21">
        <f t="shared" si="89"/>
        <v>1</v>
      </c>
      <c r="L485" s="667"/>
      <c r="M485" s="21">
        <f t="shared" si="90"/>
        <v>1</v>
      </c>
      <c r="N485" s="667"/>
      <c r="O485" s="21">
        <f t="shared" si="91"/>
        <v>1</v>
      </c>
      <c r="P485" s="667"/>
      <c r="Q485" s="21">
        <f t="shared" si="92"/>
        <v>1</v>
      </c>
      <c r="R485" s="663">
        <f t="shared" si="93"/>
        <v>0</v>
      </c>
      <c r="S485" s="316">
        <f t="shared" si="84"/>
        <v>0</v>
      </c>
    </row>
    <row r="486" spans="1:19">
      <c r="A486" s="150"/>
      <c r="B486" s="54"/>
      <c r="C486" s="21">
        <f t="shared" si="85"/>
        <v>1</v>
      </c>
      <c r="D486" s="667"/>
      <c r="E486" s="21">
        <f t="shared" si="86"/>
        <v>1</v>
      </c>
      <c r="F486" s="667"/>
      <c r="G486" s="21">
        <f t="shared" si="87"/>
        <v>1</v>
      </c>
      <c r="H486" s="667"/>
      <c r="I486" s="21">
        <f t="shared" si="88"/>
        <v>1</v>
      </c>
      <c r="J486" s="667"/>
      <c r="K486" s="21">
        <f t="shared" si="89"/>
        <v>1</v>
      </c>
      <c r="L486" s="667"/>
      <c r="M486" s="21">
        <f t="shared" si="90"/>
        <v>1</v>
      </c>
      <c r="N486" s="667"/>
      <c r="O486" s="21">
        <f t="shared" si="91"/>
        <v>1</v>
      </c>
      <c r="P486" s="667"/>
      <c r="Q486" s="21">
        <f t="shared" si="92"/>
        <v>1</v>
      </c>
      <c r="R486" s="663">
        <f t="shared" si="93"/>
        <v>0</v>
      </c>
      <c r="S486" s="316">
        <f t="shared" si="84"/>
        <v>0</v>
      </c>
    </row>
    <row r="487" spans="1:19">
      <c r="A487" s="150"/>
      <c r="B487" s="54"/>
      <c r="C487" s="21">
        <f t="shared" si="85"/>
        <v>1</v>
      </c>
      <c r="D487" s="667"/>
      <c r="E487" s="21">
        <f t="shared" si="86"/>
        <v>1</v>
      </c>
      <c r="F487" s="667"/>
      <c r="G487" s="21">
        <f t="shared" si="87"/>
        <v>1</v>
      </c>
      <c r="H487" s="667"/>
      <c r="I487" s="21">
        <f t="shared" si="88"/>
        <v>1</v>
      </c>
      <c r="J487" s="667"/>
      <c r="K487" s="21">
        <f t="shared" si="89"/>
        <v>1</v>
      </c>
      <c r="L487" s="667"/>
      <c r="M487" s="21">
        <f t="shared" si="90"/>
        <v>1</v>
      </c>
      <c r="N487" s="667"/>
      <c r="O487" s="21">
        <f t="shared" si="91"/>
        <v>1</v>
      </c>
      <c r="P487" s="667"/>
      <c r="Q487" s="21">
        <f t="shared" si="92"/>
        <v>1</v>
      </c>
      <c r="R487" s="663">
        <f t="shared" si="93"/>
        <v>0</v>
      </c>
      <c r="S487" s="316">
        <f t="shared" si="84"/>
        <v>0</v>
      </c>
    </row>
    <row r="488" spans="1:19">
      <c r="A488" s="150"/>
      <c r="B488" s="54"/>
      <c r="C488" s="21">
        <f t="shared" si="85"/>
        <v>1</v>
      </c>
      <c r="D488" s="667"/>
      <c r="E488" s="21">
        <f t="shared" si="86"/>
        <v>1</v>
      </c>
      <c r="F488" s="667"/>
      <c r="G488" s="21">
        <f t="shared" si="87"/>
        <v>1</v>
      </c>
      <c r="H488" s="667"/>
      <c r="I488" s="21">
        <f t="shared" si="88"/>
        <v>1</v>
      </c>
      <c r="J488" s="667"/>
      <c r="K488" s="21">
        <f t="shared" si="89"/>
        <v>1</v>
      </c>
      <c r="L488" s="667"/>
      <c r="M488" s="21">
        <f t="shared" si="90"/>
        <v>1</v>
      </c>
      <c r="N488" s="667"/>
      <c r="O488" s="21">
        <f t="shared" si="91"/>
        <v>1</v>
      </c>
      <c r="P488" s="667"/>
      <c r="Q488" s="21">
        <f t="shared" si="92"/>
        <v>1</v>
      </c>
      <c r="R488" s="663">
        <f t="shared" si="93"/>
        <v>0</v>
      </c>
      <c r="S488" s="316">
        <f t="shared" si="84"/>
        <v>0</v>
      </c>
    </row>
    <row r="489" spans="1:19">
      <c r="A489" s="150"/>
      <c r="B489" s="54"/>
      <c r="C489" s="21">
        <f t="shared" si="85"/>
        <v>1</v>
      </c>
      <c r="D489" s="667"/>
      <c r="E489" s="21">
        <f t="shared" si="86"/>
        <v>1</v>
      </c>
      <c r="F489" s="667"/>
      <c r="G489" s="21">
        <f t="shared" si="87"/>
        <v>1</v>
      </c>
      <c r="H489" s="667"/>
      <c r="I489" s="21">
        <f t="shared" si="88"/>
        <v>1</v>
      </c>
      <c r="J489" s="667"/>
      <c r="K489" s="21">
        <f t="shared" si="89"/>
        <v>1</v>
      </c>
      <c r="L489" s="667"/>
      <c r="M489" s="21">
        <f t="shared" si="90"/>
        <v>1</v>
      </c>
      <c r="N489" s="667"/>
      <c r="O489" s="21">
        <f t="shared" si="91"/>
        <v>1</v>
      </c>
      <c r="P489" s="667"/>
      <c r="Q489" s="21">
        <f t="shared" si="92"/>
        <v>1</v>
      </c>
      <c r="R489" s="663">
        <f t="shared" si="93"/>
        <v>0</v>
      </c>
      <c r="S489" s="316">
        <f t="shared" si="84"/>
        <v>0</v>
      </c>
    </row>
    <row r="490" spans="1:19">
      <c r="A490" s="150"/>
      <c r="B490" s="54"/>
      <c r="C490" s="21">
        <f t="shared" si="85"/>
        <v>1</v>
      </c>
      <c r="D490" s="667"/>
      <c r="E490" s="21">
        <f t="shared" si="86"/>
        <v>1</v>
      </c>
      <c r="F490" s="667"/>
      <c r="G490" s="21">
        <f t="shared" si="87"/>
        <v>1</v>
      </c>
      <c r="H490" s="667"/>
      <c r="I490" s="21">
        <f t="shared" si="88"/>
        <v>1</v>
      </c>
      <c r="J490" s="667"/>
      <c r="K490" s="21">
        <f t="shared" si="89"/>
        <v>1</v>
      </c>
      <c r="L490" s="667"/>
      <c r="M490" s="21">
        <f t="shared" si="90"/>
        <v>1</v>
      </c>
      <c r="N490" s="667"/>
      <c r="O490" s="21">
        <f t="shared" si="91"/>
        <v>1</v>
      </c>
      <c r="P490" s="667"/>
      <c r="Q490" s="21">
        <f t="shared" si="92"/>
        <v>1</v>
      </c>
      <c r="R490" s="663">
        <f t="shared" si="93"/>
        <v>0</v>
      </c>
      <c r="S490" s="316">
        <f t="shared" si="84"/>
        <v>0</v>
      </c>
    </row>
    <row r="491" spans="1:19">
      <c r="A491" s="150"/>
      <c r="B491" s="54"/>
      <c r="C491" s="21">
        <f t="shared" si="85"/>
        <v>1</v>
      </c>
      <c r="D491" s="667"/>
      <c r="E491" s="21">
        <f t="shared" si="86"/>
        <v>1</v>
      </c>
      <c r="F491" s="667"/>
      <c r="G491" s="21">
        <f t="shared" si="87"/>
        <v>1</v>
      </c>
      <c r="H491" s="667"/>
      <c r="I491" s="21">
        <f t="shared" si="88"/>
        <v>1</v>
      </c>
      <c r="J491" s="667"/>
      <c r="K491" s="21">
        <f t="shared" si="89"/>
        <v>1</v>
      </c>
      <c r="L491" s="667"/>
      <c r="M491" s="21">
        <f t="shared" si="90"/>
        <v>1</v>
      </c>
      <c r="N491" s="667"/>
      <c r="O491" s="21">
        <f t="shared" si="91"/>
        <v>1</v>
      </c>
      <c r="P491" s="667"/>
      <c r="Q491" s="21">
        <f t="shared" si="92"/>
        <v>1</v>
      </c>
      <c r="R491" s="663">
        <f t="shared" si="93"/>
        <v>0</v>
      </c>
      <c r="S491" s="316">
        <f t="shared" si="84"/>
        <v>0</v>
      </c>
    </row>
    <row r="492" spans="1:19">
      <c r="A492" s="150"/>
      <c r="B492" s="54"/>
      <c r="C492" s="21">
        <f t="shared" si="85"/>
        <v>1</v>
      </c>
      <c r="D492" s="667"/>
      <c r="E492" s="21">
        <f t="shared" si="86"/>
        <v>1</v>
      </c>
      <c r="F492" s="667"/>
      <c r="G492" s="21">
        <f t="shared" si="87"/>
        <v>1</v>
      </c>
      <c r="H492" s="667"/>
      <c r="I492" s="21">
        <f t="shared" si="88"/>
        <v>1</v>
      </c>
      <c r="J492" s="667"/>
      <c r="K492" s="21">
        <f t="shared" si="89"/>
        <v>1</v>
      </c>
      <c r="L492" s="667"/>
      <c r="M492" s="21">
        <f t="shared" si="90"/>
        <v>1</v>
      </c>
      <c r="N492" s="667"/>
      <c r="O492" s="21">
        <f t="shared" si="91"/>
        <v>1</v>
      </c>
      <c r="P492" s="667"/>
      <c r="Q492" s="21">
        <f t="shared" si="92"/>
        <v>1</v>
      </c>
      <c r="R492" s="663">
        <f t="shared" si="93"/>
        <v>0</v>
      </c>
      <c r="S492" s="316">
        <f t="shared" si="84"/>
        <v>0</v>
      </c>
    </row>
    <row r="493" spans="1:19">
      <c r="A493" s="150"/>
      <c r="B493" s="54"/>
      <c r="C493" s="21">
        <f t="shared" si="85"/>
        <v>1</v>
      </c>
      <c r="D493" s="667"/>
      <c r="E493" s="21">
        <f t="shared" si="86"/>
        <v>1</v>
      </c>
      <c r="F493" s="667"/>
      <c r="G493" s="21">
        <f t="shared" si="87"/>
        <v>1</v>
      </c>
      <c r="H493" s="667"/>
      <c r="I493" s="21">
        <f t="shared" si="88"/>
        <v>1</v>
      </c>
      <c r="J493" s="667"/>
      <c r="K493" s="21">
        <f t="shared" si="89"/>
        <v>1</v>
      </c>
      <c r="L493" s="667"/>
      <c r="M493" s="21">
        <f t="shared" si="90"/>
        <v>1</v>
      </c>
      <c r="N493" s="667"/>
      <c r="O493" s="21">
        <f t="shared" si="91"/>
        <v>1</v>
      </c>
      <c r="P493" s="667"/>
      <c r="Q493" s="21">
        <f t="shared" si="92"/>
        <v>1</v>
      </c>
      <c r="R493" s="663">
        <f t="shared" si="93"/>
        <v>0</v>
      </c>
      <c r="S493" s="316">
        <f t="shared" si="84"/>
        <v>0</v>
      </c>
    </row>
    <row r="494" spans="1:19">
      <c r="A494" s="150"/>
      <c r="B494" s="54"/>
      <c r="C494" s="21">
        <f t="shared" si="85"/>
        <v>1</v>
      </c>
      <c r="D494" s="667"/>
      <c r="E494" s="21">
        <f t="shared" si="86"/>
        <v>1</v>
      </c>
      <c r="F494" s="667"/>
      <c r="G494" s="21">
        <f t="shared" si="87"/>
        <v>1</v>
      </c>
      <c r="H494" s="667"/>
      <c r="I494" s="21">
        <f t="shared" si="88"/>
        <v>1</v>
      </c>
      <c r="J494" s="667"/>
      <c r="K494" s="21">
        <f t="shared" si="89"/>
        <v>1</v>
      </c>
      <c r="L494" s="667"/>
      <c r="M494" s="21">
        <f t="shared" si="90"/>
        <v>1</v>
      </c>
      <c r="N494" s="667"/>
      <c r="O494" s="21">
        <f t="shared" si="91"/>
        <v>1</v>
      </c>
      <c r="P494" s="667"/>
      <c r="Q494" s="21">
        <f t="shared" si="92"/>
        <v>1</v>
      </c>
      <c r="R494" s="663">
        <f t="shared" si="93"/>
        <v>0</v>
      </c>
      <c r="S494" s="316">
        <f t="shared" si="84"/>
        <v>0</v>
      </c>
    </row>
    <row r="495" spans="1:19">
      <c r="A495" s="150"/>
      <c r="B495" s="54"/>
      <c r="C495" s="21">
        <f t="shared" si="85"/>
        <v>1</v>
      </c>
      <c r="D495" s="667"/>
      <c r="E495" s="21">
        <f t="shared" si="86"/>
        <v>1</v>
      </c>
      <c r="F495" s="667"/>
      <c r="G495" s="21">
        <f t="shared" si="87"/>
        <v>1</v>
      </c>
      <c r="H495" s="667"/>
      <c r="I495" s="21">
        <f t="shared" si="88"/>
        <v>1</v>
      </c>
      <c r="J495" s="667"/>
      <c r="K495" s="21">
        <f t="shared" si="89"/>
        <v>1</v>
      </c>
      <c r="L495" s="667"/>
      <c r="M495" s="21">
        <f t="shared" si="90"/>
        <v>1</v>
      </c>
      <c r="N495" s="667"/>
      <c r="O495" s="21">
        <f t="shared" si="91"/>
        <v>1</v>
      </c>
      <c r="P495" s="667"/>
      <c r="Q495" s="21">
        <f t="shared" si="92"/>
        <v>1</v>
      </c>
      <c r="R495" s="663">
        <f t="shared" si="93"/>
        <v>0</v>
      </c>
      <c r="S495" s="316">
        <f t="shared" si="84"/>
        <v>0</v>
      </c>
    </row>
    <row r="496" spans="1:19">
      <c r="A496" s="150"/>
      <c r="B496" s="54"/>
      <c r="C496" s="21">
        <f t="shared" si="85"/>
        <v>1</v>
      </c>
      <c r="D496" s="667"/>
      <c r="E496" s="21">
        <f t="shared" si="86"/>
        <v>1</v>
      </c>
      <c r="F496" s="667"/>
      <c r="G496" s="21">
        <f t="shared" si="87"/>
        <v>1</v>
      </c>
      <c r="H496" s="667"/>
      <c r="I496" s="21">
        <f t="shared" si="88"/>
        <v>1</v>
      </c>
      <c r="J496" s="667"/>
      <c r="K496" s="21">
        <f t="shared" si="89"/>
        <v>1</v>
      </c>
      <c r="L496" s="667"/>
      <c r="M496" s="21">
        <f t="shared" si="90"/>
        <v>1</v>
      </c>
      <c r="N496" s="667"/>
      <c r="O496" s="21">
        <f t="shared" si="91"/>
        <v>1</v>
      </c>
      <c r="P496" s="667"/>
      <c r="Q496" s="21">
        <f t="shared" si="92"/>
        <v>1</v>
      </c>
      <c r="R496" s="663">
        <f t="shared" si="93"/>
        <v>0</v>
      </c>
      <c r="S496" s="316">
        <f t="shared" si="84"/>
        <v>0</v>
      </c>
    </row>
    <row r="497" spans="1:19">
      <c r="A497" s="150"/>
      <c r="B497" s="54"/>
      <c r="C497" s="21">
        <f t="shared" si="85"/>
        <v>1</v>
      </c>
      <c r="D497" s="667"/>
      <c r="E497" s="21">
        <f t="shared" si="86"/>
        <v>1</v>
      </c>
      <c r="F497" s="667"/>
      <c r="G497" s="21">
        <f t="shared" si="87"/>
        <v>1</v>
      </c>
      <c r="H497" s="667"/>
      <c r="I497" s="21">
        <f t="shared" si="88"/>
        <v>1</v>
      </c>
      <c r="J497" s="667"/>
      <c r="K497" s="21">
        <f t="shared" si="89"/>
        <v>1</v>
      </c>
      <c r="L497" s="667"/>
      <c r="M497" s="21">
        <f t="shared" si="90"/>
        <v>1</v>
      </c>
      <c r="N497" s="667"/>
      <c r="O497" s="21">
        <f t="shared" si="91"/>
        <v>1</v>
      </c>
      <c r="P497" s="667"/>
      <c r="Q497" s="21">
        <f t="shared" si="92"/>
        <v>1</v>
      </c>
      <c r="R497" s="663">
        <f t="shared" si="93"/>
        <v>0</v>
      </c>
      <c r="S497" s="316">
        <f t="shared" si="84"/>
        <v>0</v>
      </c>
    </row>
    <row r="498" spans="1:19">
      <c r="A498" s="150"/>
      <c r="B498" s="54"/>
      <c r="C498" s="21">
        <f t="shared" si="85"/>
        <v>1</v>
      </c>
      <c r="D498" s="667"/>
      <c r="E498" s="21">
        <f t="shared" si="86"/>
        <v>1</v>
      </c>
      <c r="F498" s="667"/>
      <c r="G498" s="21">
        <f t="shared" si="87"/>
        <v>1</v>
      </c>
      <c r="H498" s="667"/>
      <c r="I498" s="21">
        <f t="shared" si="88"/>
        <v>1</v>
      </c>
      <c r="J498" s="667"/>
      <c r="K498" s="21">
        <f t="shared" si="89"/>
        <v>1</v>
      </c>
      <c r="L498" s="667"/>
      <c r="M498" s="21">
        <f t="shared" si="90"/>
        <v>1</v>
      </c>
      <c r="N498" s="667"/>
      <c r="O498" s="21">
        <f t="shared" si="91"/>
        <v>1</v>
      </c>
      <c r="P498" s="667"/>
      <c r="Q498" s="21">
        <f t="shared" si="92"/>
        <v>1</v>
      </c>
      <c r="R498" s="663">
        <f t="shared" si="93"/>
        <v>0</v>
      </c>
      <c r="S498" s="316">
        <f t="shared" ref="S498:S524" si="94">ROUND(R498*B498/10000,0)</f>
        <v>0</v>
      </c>
    </row>
    <row r="499" spans="1:19">
      <c r="A499" s="150"/>
      <c r="B499" s="54"/>
      <c r="C499" s="21">
        <f t="shared" si="85"/>
        <v>1</v>
      </c>
      <c r="D499" s="667"/>
      <c r="E499" s="21">
        <f t="shared" si="86"/>
        <v>1</v>
      </c>
      <c r="F499" s="667"/>
      <c r="G499" s="21">
        <f t="shared" si="87"/>
        <v>1</v>
      </c>
      <c r="H499" s="667"/>
      <c r="I499" s="21">
        <f t="shared" si="88"/>
        <v>1</v>
      </c>
      <c r="J499" s="667"/>
      <c r="K499" s="21">
        <f t="shared" si="89"/>
        <v>1</v>
      </c>
      <c r="L499" s="667"/>
      <c r="M499" s="21">
        <f t="shared" si="90"/>
        <v>1</v>
      </c>
      <c r="N499" s="667"/>
      <c r="O499" s="21">
        <f t="shared" si="91"/>
        <v>1</v>
      </c>
      <c r="P499" s="667"/>
      <c r="Q499" s="21">
        <f t="shared" si="92"/>
        <v>1</v>
      </c>
      <c r="R499" s="663">
        <f t="shared" si="93"/>
        <v>0</v>
      </c>
      <c r="S499" s="316">
        <f t="shared" si="94"/>
        <v>0</v>
      </c>
    </row>
    <row r="500" spans="1:19">
      <c r="A500" s="150"/>
      <c r="B500" s="54"/>
      <c r="C500" s="21">
        <f t="shared" si="85"/>
        <v>1</v>
      </c>
      <c r="D500" s="667"/>
      <c r="E500" s="21">
        <f t="shared" si="86"/>
        <v>1</v>
      </c>
      <c r="F500" s="667"/>
      <c r="G500" s="21">
        <f t="shared" si="87"/>
        <v>1</v>
      </c>
      <c r="H500" s="667"/>
      <c r="I500" s="21">
        <f t="shared" si="88"/>
        <v>1</v>
      </c>
      <c r="J500" s="667"/>
      <c r="K500" s="21">
        <f t="shared" si="89"/>
        <v>1</v>
      </c>
      <c r="L500" s="667"/>
      <c r="M500" s="21">
        <f t="shared" si="90"/>
        <v>1</v>
      </c>
      <c r="N500" s="667"/>
      <c r="O500" s="21">
        <f t="shared" si="91"/>
        <v>1</v>
      </c>
      <c r="P500" s="667"/>
      <c r="Q500" s="21">
        <f t="shared" si="92"/>
        <v>1</v>
      </c>
      <c r="R500" s="663">
        <f t="shared" si="93"/>
        <v>0</v>
      </c>
      <c r="S500" s="316">
        <f t="shared" si="94"/>
        <v>0</v>
      </c>
    </row>
    <row r="501" spans="1:19">
      <c r="A501" s="150"/>
      <c r="B501" s="54"/>
      <c r="C501" s="21">
        <f t="shared" si="85"/>
        <v>1</v>
      </c>
      <c r="D501" s="667"/>
      <c r="E501" s="21">
        <f t="shared" si="86"/>
        <v>1</v>
      </c>
      <c r="F501" s="667"/>
      <c r="G501" s="21">
        <f t="shared" si="87"/>
        <v>1</v>
      </c>
      <c r="H501" s="667"/>
      <c r="I501" s="21">
        <f t="shared" si="88"/>
        <v>1</v>
      </c>
      <c r="J501" s="667"/>
      <c r="K501" s="21">
        <f t="shared" si="89"/>
        <v>1</v>
      </c>
      <c r="L501" s="667"/>
      <c r="M501" s="21">
        <f t="shared" si="90"/>
        <v>1</v>
      </c>
      <c r="N501" s="667"/>
      <c r="O501" s="21">
        <f t="shared" si="91"/>
        <v>1</v>
      </c>
      <c r="P501" s="667"/>
      <c r="Q501" s="21">
        <f t="shared" si="92"/>
        <v>1</v>
      </c>
      <c r="R501" s="663">
        <f t="shared" si="93"/>
        <v>0</v>
      </c>
      <c r="S501" s="316">
        <f t="shared" si="94"/>
        <v>0</v>
      </c>
    </row>
    <row r="502" spans="1:19">
      <c r="A502" s="150"/>
      <c r="B502" s="54"/>
      <c r="C502" s="21">
        <f t="shared" si="85"/>
        <v>1</v>
      </c>
      <c r="D502" s="667"/>
      <c r="E502" s="21">
        <f t="shared" si="86"/>
        <v>1</v>
      </c>
      <c r="F502" s="667"/>
      <c r="G502" s="21">
        <f t="shared" si="87"/>
        <v>1</v>
      </c>
      <c r="H502" s="667"/>
      <c r="I502" s="21">
        <f t="shared" si="88"/>
        <v>1</v>
      </c>
      <c r="J502" s="667"/>
      <c r="K502" s="21">
        <f t="shared" si="89"/>
        <v>1</v>
      </c>
      <c r="L502" s="667"/>
      <c r="M502" s="21">
        <f t="shared" si="90"/>
        <v>1</v>
      </c>
      <c r="N502" s="667"/>
      <c r="O502" s="21">
        <f t="shared" si="91"/>
        <v>1</v>
      </c>
      <c r="P502" s="667"/>
      <c r="Q502" s="21">
        <f t="shared" si="92"/>
        <v>1</v>
      </c>
      <c r="R502" s="663">
        <f t="shared" si="93"/>
        <v>0</v>
      </c>
      <c r="S502" s="316">
        <f t="shared" si="94"/>
        <v>0</v>
      </c>
    </row>
    <row r="503" spans="1:19">
      <c r="A503" s="150"/>
      <c r="B503" s="54"/>
      <c r="C503" s="21">
        <f t="shared" si="85"/>
        <v>1</v>
      </c>
      <c r="D503" s="667"/>
      <c r="E503" s="21">
        <f t="shared" si="86"/>
        <v>1</v>
      </c>
      <c r="F503" s="667"/>
      <c r="G503" s="21">
        <f t="shared" si="87"/>
        <v>1</v>
      </c>
      <c r="H503" s="667"/>
      <c r="I503" s="21">
        <f t="shared" si="88"/>
        <v>1</v>
      </c>
      <c r="J503" s="667"/>
      <c r="K503" s="21">
        <f t="shared" si="89"/>
        <v>1</v>
      </c>
      <c r="L503" s="667"/>
      <c r="M503" s="21">
        <f t="shared" si="90"/>
        <v>1</v>
      </c>
      <c r="N503" s="667"/>
      <c r="O503" s="21">
        <f t="shared" si="91"/>
        <v>1</v>
      </c>
      <c r="P503" s="667"/>
      <c r="Q503" s="21">
        <f t="shared" si="92"/>
        <v>1</v>
      </c>
      <c r="R503" s="663">
        <f t="shared" si="93"/>
        <v>0</v>
      </c>
      <c r="S503" s="316">
        <f t="shared" si="94"/>
        <v>0</v>
      </c>
    </row>
    <row r="504" spans="1:19">
      <c r="A504" s="150"/>
      <c r="B504" s="54"/>
      <c r="C504" s="21">
        <f t="shared" si="85"/>
        <v>1</v>
      </c>
      <c r="D504" s="667"/>
      <c r="E504" s="21">
        <f t="shared" si="86"/>
        <v>1</v>
      </c>
      <c r="F504" s="667"/>
      <c r="G504" s="21">
        <f t="shared" si="87"/>
        <v>1</v>
      </c>
      <c r="H504" s="667"/>
      <c r="I504" s="21">
        <f t="shared" si="88"/>
        <v>1</v>
      </c>
      <c r="J504" s="667"/>
      <c r="K504" s="21">
        <f t="shared" si="89"/>
        <v>1</v>
      </c>
      <c r="L504" s="667"/>
      <c r="M504" s="21">
        <f t="shared" si="90"/>
        <v>1</v>
      </c>
      <c r="N504" s="667"/>
      <c r="O504" s="21">
        <f t="shared" si="91"/>
        <v>1</v>
      </c>
      <c r="P504" s="667"/>
      <c r="Q504" s="21">
        <f t="shared" si="92"/>
        <v>1</v>
      </c>
      <c r="R504" s="663">
        <f t="shared" si="93"/>
        <v>0</v>
      </c>
      <c r="S504" s="316">
        <f t="shared" si="94"/>
        <v>0</v>
      </c>
    </row>
    <row r="505" spans="1:19">
      <c r="A505" s="150"/>
      <c r="B505" s="54"/>
      <c r="C505" s="21">
        <f t="shared" si="85"/>
        <v>1</v>
      </c>
      <c r="D505" s="667"/>
      <c r="E505" s="21">
        <f t="shared" si="86"/>
        <v>1</v>
      </c>
      <c r="F505" s="667"/>
      <c r="G505" s="21">
        <f t="shared" si="87"/>
        <v>1</v>
      </c>
      <c r="H505" s="667"/>
      <c r="I505" s="21">
        <f t="shared" si="88"/>
        <v>1</v>
      </c>
      <c r="J505" s="667"/>
      <c r="K505" s="21">
        <f t="shared" si="89"/>
        <v>1</v>
      </c>
      <c r="L505" s="667"/>
      <c r="M505" s="21">
        <f t="shared" si="90"/>
        <v>1</v>
      </c>
      <c r="N505" s="667"/>
      <c r="O505" s="21">
        <f t="shared" si="91"/>
        <v>1</v>
      </c>
      <c r="P505" s="667"/>
      <c r="Q505" s="21">
        <f t="shared" si="92"/>
        <v>1</v>
      </c>
      <c r="R505" s="663">
        <f t="shared" si="93"/>
        <v>0</v>
      </c>
      <c r="S505" s="316">
        <f t="shared" si="94"/>
        <v>0</v>
      </c>
    </row>
    <row r="506" spans="1:19">
      <c r="A506" s="150"/>
      <c r="B506" s="54"/>
      <c r="C506" s="21">
        <f t="shared" si="85"/>
        <v>1</v>
      </c>
      <c r="D506" s="667"/>
      <c r="E506" s="21">
        <f t="shared" si="86"/>
        <v>1</v>
      </c>
      <c r="F506" s="667"/>
      <c r="G506" s="21">
        <f t="shared" si="87"/>
        <v>1</v>
      </c>
      <c r="H506" s="667"/>
      <c r="I506" s="21">
        <f t="shared" si="88"/>
        <v>1</v>
      </c>
      <c r="J506" s="667"/>
      <c r="K506" s="21">
        <f t="shared" si="89"/>
        <v>1</v>
      </c>
      <c r="L506" s="667"/>
      <c r="M506" s="21">
        <f t="shared" si="90"/>
        <v>1</v>
      </c>
      <c r="N506" s="667"/>
      <c r="O506" s="21">
        <f t="shared" si="91"/>
        <v>1</v>
      </c>
      <c r="P506" s="667"/>
      <c r="Q506" s="21">
        <f t="shared" si="92"/>
        <v>1</v>
      </c>
      <c r="R506" s="663">
        <f t="shared" si="93"/>
        <v>0</v>
      </c>
      <c r="S506" s="316">
        <f t="shared" si="94"/>
        <v>0</v>
      </c>
    </row>
    <row r="507" spans="1:19">
      <c r="A507" s="150"/>
      <c r="B507" s="54"/>
      <c r="C507" s="21">
        <f t="shared" si="85"/>
        <v>1</v>
      </c>
      <c r="D507" s="667"/>
      <c r="E507" s="21">
        <f t="shared" si="86"/>
        <v>1</v>
      </c>
      <c r="F507" s="667"/>
      <c r="G507" s="21">
        <f t="shared" si="87"/>
        <v>1</v>
      </c>
      <c r="H507" s="667"/>
      <c r="I507" s="21">
        <f t="shared" si="88"/>
        <v>1</v>
      </c>
      <c r="J507" s="667"/>
      <c r="K507" s="21">
        <f t="shared" si="89"/>
        <v>1</v>
      </c>
      <c r="L507" s="667"/>
      <c r="M507" s="21">
        <f t="shared" si="90"/>
        <v>1</v>
      </c>
      <c r="N507" s="667"/>
      <c r="O507" s="21">
        <f t="shared" si="91"/>
        <v>1</v>
      </c>
      <c r="P507" s="667"/>
      <c r="Q507" s="21">
        <f t="shared" si="92"/>
        <v>1</v>
      </c>
      <c r="R507" s="663">
        <f t="shared" si="93"/>
        <v>0</v>
      </c>
      <c r="S507" s="316">
        <f t="shared" si="94"/>
        <v>0</v>
      </c>
    </row>
    <row r="508" spans="1:19">
      <c r="A508" s="150"/>
      <c r="B508" s="54"/>
      <c r="C508" s="21">
        <f t="shared" si="85"/>
        <v>1</v>
      </c>
      <c r="D508" s="667"/>
      <c r="E508" s="21">
        <f t="shared" si="86"/>
        <v>1</v>
      </c>
      <c r="F508" s="667"/>
      <c r="G508" s="21">
        <f t="shared" si="87"/>
        <v>1</v>
      </c>
      <c r="H508" s="667"/>
      <c r="I508" s="21">
        <f t="shared" si="88"/>
        <v>1</v>
      </c>
      <c r="J508" s="667"/>
      <c r="K508" s="21">
        <f t="shared" si="89"/>
        <v>1</v>
      </c>
      <c r="L508" s="667"/>
      <c r="M508" s="21">
        <f t="shared" si="90"/>
        <v>1</v>
      </c>
      <c r="N508" s="667"/>
      <c r="O508" s="21">
        <f t="shared" si="91"/>
        <v>1</v>
      </c>
      <c r="P508" s="667"/>
      <c r="Q508" s="21">
        <f t="shared" si="92"/>
        <v>1</v>
      </c>
      <c r="R508" s="663">
        <f t="shared" si="93"/>
        <v>0</v>
      </c>
      <c r="S508" s="316">
        <f t="shared" si="94"/>
        <v>0</v>
      </c>
    </row>
    <row r="509" spans="1:19">
      <c r="A509" s="150"/>
      <c r="B509" s="54"/>
      <c r="C509" s="21">
        <f t="shared" si="85"/>
        <v>1</v>
      </c>
      <c r="D509" s="667"/>
      <c r="E509" s="21">
        <f t="shared" si="86"/>
        <v>1</v>
      </c>
      <c r="F509" s="667"/>
      <c r="G509" s="21">
        <f t="shared" si="87"/>
        <v>1</v>
      </c>
      <c r="H509" s="667"/>
      <c r="I509" s="21">
        <f t="shared" si="88"/>
        <v>1</v>
      </c>
      <c r="J509" s="667"/>
      <c r="K509" s="21">
        <f t="shared" si="89"/>
        <v>1</v>
      </c>
      <c r="L509" s="667"/>
      <c r="M509" s="21">
        <f t="shared" si="90"/>
        <v>1</v>
      </c>
      <c r="N509" s="667"/>
      <c r="O509" s="21">
        <f t="shared" si="91"/>
        <v>1</v>
      </c>
      <c r="P509" s="667"/>
      <c r="Q509" s="21">
        <f t="shared" si="92"/>
        <v>1</v>
      </c>
      <c r="R509" s="663">
        <f t="shared" si="93"/>
        <v>0</v>
      </c>
      <c r="S509" s="316">
        <f t="shared" si="94"/>
        <v>0</v>
      </c>
    </row>
    <row r="510" spans="1:19">
      <c r="A510" s="150"/>
      <c r="B510" s="54"/>
      <c r="C510" s="21">
        <f t="shared" si="85"/>
        <v>1</v>
      </c>
      <c r="D510" s="667"/>
      <c r="E510" s="21">
        <f t="shared" si="86"/>
        <v>1</v>
      </c>
      <c r="F510" s="667"/>
      <c r="G510" s="21">
        <f t="shared" si="87"/>
        <v>1</v>
      </c>
      <c r="H510" s="667"/>
      <c r="I510" s="21">
        <f t="shared" si="88"/>
        <v>1</v>
      </c>
      <c r="J510" s="667"/>
      <c r="K510" s="21">
        <f t="shared" si="89"/>
        <v>1</v>
      </c>
      <c r="L510" s="667"/>
      <c r="M510" s="21">
        <f t="shared" si="90"/>
        <v>1</v>
      </c>
      <c r="N510" s="667"/>
      <c r="O510" s="21">
        <f t="shared" si="91"/>
        <v>1</v>
      </c>
      <c r="P510" s="667"/>
      <c r="Q510" s="21">
        <f t="shared" si="92"/>
        <v>1</v>
      </c>
      <c r="R510" s="663">
        <f t="shared" si="93"/>
        <v>0</v>
      </c>
      <c r="S510" s="316">
        <f t="shared" si="94"/>
        <v>0</v>
      </c>
    </row>
    <row r="511" spans="1:19">
      <c r="A511" s="150"/>
      <c r="B511" s="54"/>
      <c r="C511" s="21">
        <f t="shared" si="85"/>
        <v>1</v>
      </c>
      <c r="D511" s="667"/>
      <c r="E511" s="21">
        <f t="shared" si="86"/>
        <v>1</v>
      </c>
      <c r="F511" s="667"/>
      <c r="G511" s="21">
        <f t="shared" si="87"/>
        <v>1</v>
      </c>
      <c r="H511" s="667"/>
      <c r="I511" s="21">
        <f t="shared" si="88"/>
        <v>1</v>
      </c>
      <c r="J511" s="667"/>
      <c r="K511" s="21">
        <f t="shared" si="89"/>
        <v>1</v>
      </c>
      <c r="L511" s="667"/>
      <c r="M511" s="21">
        <f t="shared" si="90"/>
        <v>1</v>
      </c>
      <c r="N511" s="667"/>
      <c r="O511" s="21">
        <f t="shared" si="91"/>
        <v>1</v>
      </c>
      <c r="P511" s="667"/>
      <c r="Q511" s="21">
        <f t="shared" si="92"/>
        <v>1</v>
      </c>
      <c r="R511" s="663">
        <f t="shared" si="93"/>
        <v>0</v>
      </c>
      <c r="S511" s="316">
        <f t="shared" si="94"/>
        <v>0</v>
      </c>
    </row>
    <row r="512" spans="1:19">
      <c r="A512" s="150"/>
      <c r="B512" s="54"/>
      <c r="C512" s="21">
        <f t="shared" si="85"/>
        <v>1</v>
      </c>
      <c r="D512" s="667"/>
      <c r="E512" s="21">
        <f t="shared" si="86"/>
        <v>1</v>
      </c>
      <c r="F512" s="667"/>
      <c r="G512" s="21">
        <f t="shared" si="87"/>
        <v>1</v>
      </c>
      <c r="H512" s="667"/>
      <c r="I512" s="21">
        <f t="shared" si="88"/>
        <v>1</v>
      </c>
      <c r="J512" s="667"/>
      <c r="K512" s="21">
        <f t="shared" si="89"/>
        <v>1</v>
      </c>
      <c r="L512" s="667"/>
      <c r="M512" s="21">
        <f t="shared" si="90"/>
        <v>1</v>
      </c>
      <c r="N512" s="667"/>
      <c r="O512" s="21">
        <f t="shared" si="91"/>
        <v>1</v>
      </c>
      <c r="P512" s="667"/>
      <c r="Q512" s="21">
        <f t="shared" si="92"/>
        <v>1</v>
      </c>
      <c r="R512" s="663">
        <f t="shared" si="93"/>
        <v>0</v>
      </c>
      <c r="S512" s="316">
        <f t="shared" si="94"/>
        <v>0</v>
      </c>
    </row>
    <row r="513" spans="1:19">
      <c r="A513" s="150"/>
      <c r="B513" s="54"/>
      <c r="C513" s="21">
        <f t="shared" si="85"/>
        <v>1</v>
      </c>
      <c r="D513" s="667"/>
      <c r="E513" s="21">
        <f t="shared" si="86"/>
        <v>1</v>
      </c>
      <c r="F513" s="667"/>
      <c r="G513" s="21">
        <f t="shared" si="87"/>
        <v>1</v>
      </c>
      <c r="H513" s="667"/>
      <c r="I513" s="21">
        <f t="shared" si="88"/>
        <v>1</v>
      </c>
      <c r="J513" s="667"/>
      <c r="K513" s="21">
        <f t="shared" si="89"/>
        <v>1</v>
      </c>
      <c r="L513" s="667"/>
      <c r="M513" s="21">
        <f t="shared" si="90"/>
        <v>1</v>
      </c>
      <c r="N513" s="667"/>
      <c r="O513" s="21">
        <f t="shared" si="91"/>
        <v>1</v>
      </c>
      <c r="P513" s="667"/>
      <c r="Q513" s="21">
        <f t="shared" si="92"/>
        <v>1</v>
      </c>
      <c r="R513" s="663">
        <f t="shared" si="93"/>
        <v>0</v>
      </c>
      <c r="S513" s="316">
        <f t="shared" si="94"/>
        <v>0</v>
      </c>
    </row>
    <row r="514" spans="1:19">
      <c r="A514" s="150"/>
      <c r="B514" s="54"/>
      <c r="C514" s="21">
        <f t="shared" si="85"/>
        <v>1</v>
      </c>
      <c r="D514" s="667"/>
      <c r="E514" s="21">
        <f t="shared" si="86"/>
        <v>1</v>
      </c>
      <c r="F514" s="667"/>
      <c r="G514" s="21">
        <f t="shared" si="87"/>
        <v>1</v>
      </c>
      <c r="H514" s="667"/>
      <c r="I514" s="21">
        <f t="shared" si="88"/>
        <v>1</v>
      </c>
      <c r="J514" s="667"/>
      <c r="K514" s="21">
        <f t="shared" si="89"/>
        <v>1</v>
      </c>
      <c r="L514" s="667"/>
      <c r="M514" s="21">
        <f t="shared" si="90"/>
        <v>1</v>
      </c>
      <c r="N514" s="667"/>
      <c r="O514" s="21">
        <f t="shared" si="91"/>
        <v>1</v>
      </c>
      <c r="P514" s="667"/>
      <c r="Q514" s="21">
        <f t="shared" si="92"/>
        <v>1</v>
      </c>
      <c r="R514" s="663">
        <f t="shared" si="93"/>
        <v>0</v>
      </c>
      <c r="S514" s="316">
        <f t="shared" si="94"/>
        <v>0</v>
      </c>
    </row>
    <row r="515" spans="1:19">
      <c r="A515" s="150"/>
      <c r="B515" s="54"/>
      <c r="C515" s="21">
        <f t="shared" si="85"/>
        <v>1</v>
      </c>
      <c r="D515" s="667"/>
      <c r="E515" s="21">
        <f t="shared" si="86"/>
        <v>1</v>
      </c>
      <c r="F515" s="667"/>
      <c r="G515" s="21">
        <f t="shared" si="87"/>
        <v>1</v>
      </c>
      <c r="H515" s="667"/>
      <c r="I515" s="21">
        <f t="shared" si="88"/>
        <v>1</v>
      </c>
      <c r="J515" s="667"/>
      <c r="K515" s="21">
        <f t="shared" si="89"/>
        <v>1</v>
      </c>
      <c r="L515" s="667"/>
      <c r="M515" s="21">
        <f t="shared" si="90"/>
        <v>1</v>
      </c>
      <c r="N515" s="667"/>
      <c r="O515" s="21">
        <f t="shared" si="91"/>
        <v>1</v>
      </c>
      <c r="P515" s="667"/>
      <c r="Q515" s="21">
        <f t="shared" si="92"/>
        <v>1</v>
      </c>
      <c r="R515" s="663">
        <f t="shared" si="93"/>
        <v>0</v>
      </c>
      <c r="S515" s="316">
        <f t="shared" si="94"/>
        <v>0</v>
      </c>
    </row>
    <row r="516" spans="1:19">
      <c r="A516" s="150"/>
      <c r="B516" s="54"/>
      <c r="C516" s="21">
        <f t="shared" si="85"/>
        <v>1</v>
      </c>
      <c r="D516" s="667"/>
      <c r="E516" s="21">
        <f t="shared" si="86"/>
        <v>1</v>
      </c>
      <c r="F516" s="667"/>
      <c r="G516" s="21">
        <f t="shared" si="87"/>
        <v>1</v>
      </c>
      <c r="H516" s="667"/>
      <c r="I516" s="21">
        <f t="shared" si="88"/>
        <v>1</v>
      </c>
      <c r="J516" s="667"/>
      <c r="K516" s="21">
        <f t="shared" si="89"/>
        <v>1</v>
      </c>
      <c r="L516" s="667"/>
      <c r="M516" s="21">
        <f t="shared" si="90"/>
        <v>1</v>
      </c>
      <c r="N516" s="667"/>
      <c r="O516" s="21">
        <f t="shared" si="91"/>
        <v>1</v>
      </c>
      <c r="P516" s="667"/>
      <c r="Q516" s="21">
        <f t="shared" si="92"/>
        <v>1</v>
      </c>
      <c r="R516" s="663">
        <f t="shared" si="93"/>
        <v>0</v>
      </c>
      <c r="S516" s="316">
        <f t="shared" si="94"/>
        <v>0</v>
      </c>
    </row>
    <row r="517" spans="1:19">
      <c r="A517" s="150"/>
      <c r="B517" s="54"/>
      <c r="C517" s="21">
        <f t="shared" si="85"/>
        <v>1</v>
      </c>
      <c r="D517" s="667"/>
      <c r="E517" s="21">
        <f t="shared" si="86"/>
        <v>1</v>
      </c>
      <c r="F517" s="667"/>
      <c r="G517" s="21">
        <f t="shared" si="87"/>
        <v>1</v>
      </c>
      <c r="H517" s="667"/>
      <c r="I517" s="21">
        <f t="shared" si="88"/>
        <v>1</v>
      </c>
      <c r="J517" s="667"/>
      <c r="K517" s="21">
        <f t="shared" si="89"/>
        <v>1</v>
      </c>
      <c r="L517" s="667"/>
      <c r="M517" s="21">
        <f t="shared" si="90"/>
        <v>1</v>
      </c>
      <c r="N517" s="667"/>
      <c r="O517" s="21">
        <f t="shared" si="91"/>
        <v>1</v>
      </c>
      <c r="P517" s="667"/>
      <c r="Q517" s="21">
        <f t="shared" si="92"/>
        <v>1</v>
      </c>
      <c r="R517" s="663">
        <f t="shared" si="93"/>
        <v>0</v>
      </c>
      <c r="S517" s="316">
        <f t="shared" si="94"/>
        <v>0</v>
      </c>
    </row>
    <row r="518" spans="1:19">
      <c r="A518" s="150"/>
      <c r="B518" s="54"/>
      <c r="C518" s="21">
        <f t="shared" si="85"/>
        <v>1</v>
      </c>
      <c r="D518" s="667"/>
      <c r="E518" s="21">
        <f t="shared" si="86"/>
        <v>1</v>
      </c>
      <c r="F518" s="667"/>
      <c r="G518" s="21">
        <f t="shared" si="87"/>
        <v>1</v>
      </c>
      <c r="H518" s="667"/>
      <c r="I518" s="21">
        <f t="shared" si="88"/>
        <v>1</v>
      </c>
      <c r="J518" s="667"/>
      <c r="K518" s="21">
        <f t="shared" si="89"/>
        <v>1</v>
      </c>
      <c r="L518" s="667"/>
      <c r="M518" s="21">
        <f t="shared" si="90"/>
        <v>1</v>
      </c>
      <c r="N518" s="667"/>
      <c r="O518" s="21">
        <f t="shared" si="91"/>
        <v>1</v>
      </c>
      <c r="P518" s="667"/>
      <c r="Q518" s="21">
        <f t="shared" si="92"/>
        <v>1</v>
      </c>
      <c r="R518" s="663">
        <f t="shared" si="93"/>
        <v>0</v>
      </c>
      <c r="S518" s="316">
        <f t="shared" si="94"/>
        <v>0</v>
      </c>
    </row>
    <row r="519" spans="1:19">
      <c r="A519" s="150"/>
      <c r="B519" s="54"/>
      <c r="C519" s="21">
        <f t="shared" si="85"/>
        <v>1</v>
      </c>
      <c r="D519" s="667"/>
      <c r="E519" s="21">
        <f t="shared" si="86"/>
        <v>1</v>
      </c>
      <c r="F519" s="667"/>
      <c r="G519" s="21">
        <f t="shared" si="87"/>
        <v>1</v>
      </c>
      <c r="H519" s="667"/>
      <c r="I519" s="21">
        <f t="shared" si="88"/>
        <v>1</v>
      </c>
      <c r="J519" s="667"/>
      <c r="K519" s="21">
        <f t="shared" si="89"/>
        <v>1</v>
      </c>
      <c r="L519" s="667"/>
      <c r="M519" s="21">
        <f t="shared" si="90"/>
        <v>1</v>
      </c>
      <c r="N519" s="667"/>
      <c r="O519" s="21">
        <f t="shared" si="91"/>
        <v>1</v>
      </c>
      <c r="P519" s="667"/>
      <c r="Q519" s="21">
        <f t="shared" si="92"/>
        <v>1</v>
      </c>
      <c r="R519" s="663">
        <f t="shared" si="93"/>
        <v>0</v>
      </c>
      <c r="S519" s="316">
        <f t="shared" si="94"/>
        <v>0</v>
      </c>
    </row>
    <row r="520" spans="1:19">
      <c r="A520" s="150"/>
      <c r="B520" s="54"/>
      <c r="C520" s="21">
        <f t="shared" si="85"/>
        <v>1</v>
      </c>
      <c r="D520" s="667"/>
      <c r="E520" s="21">
        <f t="shared" si="86"/>
        <v>1</v>
      </c>
      <c r="F520" s="667"/>
      <c r="G520" s="21">
        <f t="shared" si="87"/>
        <v>1</v>
      </c>
      <c r="H520" s="667"/>
      <c r="I520" s="21">
        <f t="shared" si="88"/>
        <v>1</v>
      </c>
      <c r="J520" s="667"/>
      <c r="K520" s="21">
        <f t="shared" si="89"/>
        <v>1</v>
      </c>
      <c r="L520" s="667"/>
      <c r="M520" s="21">
        <f t="shared" si="90"/>
        <v>1</v>
      </c>
      <c r="N520" s="667"/>
      <c r="O520" s="21">
        <f t="shared" si="91"/>
        <v>1</v>
      </c>
      <c r="P520" s="667"/>
      <c r="Q520" s="21">
        <f t="shared" si="92"/>
        <v>1</v>
      </c>
      <c r="R520" s="663">
        <f t="shared" si="93"/>
        <v>0</v>
      </c>
      <c r="S520" s="316">
        <f t="shared" si="94"/>
        <v>0</v>
      </c>
    </row>
    <row r="521" spans="1:19">
      <c r="A521" s="150"/>
      <c r="B521" s="54"/>
      <c r="C521" s="21">
        <f t="shared" si="85"/>
        <v>1</v>
      </c>
      <c r="D521" s="667"/>
      <c r="E521" s="21">
        <f t="shared" si="86"/>
        <v>1</v>
      </c>
      <c r="F521" s="667"/>
      <c r="G521" s="21">
        <f t="shared" si="87"/>
        <v>1</v>
      </c>
      <c r="H521" s="667"/>
      <c r="I521" s="21">
        <f t="shared" si="88"/>
        <v>1</v>
      </c>
      <c r="J521" s="667"/>
      <c r="K521" s="21">
        <f t="shared" si="89"/>
        <v>1</v>
      </c>
      <c r="L521" s="667"/>
      <c r="M521" s="21">
        <f t="shared" si="90"/>
        <v>1</v>
      </c>
      <c r="N521" s="667"/>
      <c r="O521" s="21">
        <f t="shared" si="91"/>
        <v>1</v>
      </c>
      <c r="P521" s="667"/>
      <c r="Q521" s="21">
        <f t="shared" si="92"/>
        <v>1</v>
      </c>
      <c r="R521" s="663">
        <f t="shared" si="93"/>
        <v>0</v>
      </c>
      <c r="S521" s="316">
        <f t="shared" si="94"/>
        <v>0</v>
      </c>
    </row>
    <row r="522" spans="1:19">
      <c r="A522" s="150"/>
      <c r="B522" s="54"/>
      <c r="C522" s="21">
        <f t="shared" si="85"/>
        <v>1</v>
      </c>
      <c r="D522" s="667"/>
      <c r="E522" s="21">
        <f t="shared" si="86"/>
        <v>1</v>
      </c>
      <c r="F522" s="667"/>
      <c r="G522" s="21">
        <f t="shared" si="87"/>
        <v>1</v>
      </c>
      <c r="H522" s="667"/>
      <c r="I522" s="21">
        <f t="shared" si="88"/>
        <v>1</v>
      </c>
      <c r="J522" s="667"/>
      <c r="K522" s="21">
        <f t="shared" si="89"/>
        <v>1</v>
      </c>
      <c r="L522" s="667"/>
      <c r="M522" s="21">
        <f t="shared" si="90"/>
        <v>1</v>
      </c>
      <c r="N522" s="667"/>
      <c r="O522" s="21">
        <f t="shared" si="91"/>
        <v>1</v>
      </c>
      <c r="P522" s="667"/>
      <c r="Q522" s="21">
        <f t="shared" si="92"/>
        <v>1</v>
      </c>
      <c r="R522" s="663">
        <f t="shared" si="93"/>
        <v>0</v>
      </c>
      <c r="S522" s="316">
        <f t="shared" si="94"/>
        <v>0</v>
      </c>
    </row>
    <row r="523" spans="1:19">
      <c r="A523" s="150"/>
      <c r="B523" s="54"/>
      <c r="C523" s="21">
        <f t="shared" si="85"/>
        <v>1</v>
      </c>
      <c r="D523" s="667"/>
      <c r="E523" s="21">
        <f t="shared" si="86"/>
        <v>1</v>
      </c>
      <c r="F523" s="667"/>
      <c r="G523" s="21">
        <f t="shared" si="87"/>
        <v>1</v>
      </c>
      <c r="H523" s="667"/>
      <c r="I523" s="21">
        <f t="shared" si="88"/>
        <v>1</v>
      </c>
      <c r="J523" s="667"/>
      <c r="K523" s="21">
        <f t="shared" si="89"/>
        <v>1</v>
      </c>
      <c r="L523" s="667"/>
      <c r="M523" s="21">
        <f t="shared" si="90"/>
        <v>1</v>
      </c>
      <c r="N523" s="667"/>
      <c r="O523" s="21">
        <f t="shared" si="91"/>
        <v>1</v>
      </c>
      <c r="P523" s="667"/>
      <c r="Q523" s="21">
        <f t="shared" si="92"/>
        <v>1</v>
      </c>
      <c r="R523" s="663">
        <f t="shared" si="93"/>
        <v>0</v>
      </c>
      <c r="S523" s="316">
        <f t="shared" si="94"/>
        <v>0</v>
      </c>
    </row>
    <row r="524" spans="1:19">
      <c r="A524" s="150"/>
      <c r="B524" s="54"/>
      <c r="C524" s="21">
        <f t="shared" si="85"/>
        <v>1</v>
      </c>
      <c r="D524" s="667"/>
      <c r="E524" s="21">
        <f t="shared" si="86"/>
        <v>1</v>
      </c>
      <c r="F524" s="667"/>
      <c r="G524" s="21">
        <f t="shared" si="87"/>
        <v>1</v>
      </c>
      <c r="H524" s="667"/>
      <c r="I524" s="21">
        <f t="shared" si="88"/>
        <v>1</v>
      </c>
      <c r="J524" s="667"/>
      <c r="K524" s="21">
        <f t="shared" si="89"/>
        <v>1</v>
      </c>
      <c r="L524" s="667"/>
      <c r="M524" s="21">
        <f t="shared" si="90"/>
        <v>1</v>
      </c>
      <c r="N524" s="667"/>
      <c r="O524" s="21">
        <f t="shared" si="91"/>
        <v>1</v>
      </c>
      <c r="P524" s="667"/>
      <c r="Q524" s="21">
        <f t="shared" si="92"/>
        <v>1</v>
      </c>
      <c r="R524" s="663">
        <f t="shared" si="93"/>
        <v>0</v>
      </c>
      <c r="S524" s="316">
        <f t="shared" si="94"/>
        <v>0</v>
      </c>
    </row>
  </sheetData>
  <sheetProtection password="CEE9" sheet="1" objects="1" scenarios="1" formatCells="0" formatColumns="0" formatRows="0"/>
  <mergeCells count="2">
    <mergeCell ref="C22:Q22"/>
    <mergeCell ref="C1:S1"/>
  </mergeCells>
  <phoneticPr fontId="24" type="noConversion"/>
  <conditionalFormatting sqref="C24:C524 E24:E524 G24:G524 I24:I524 K24:K524 M24:M524 O24:O524 Q24:Q524">
    <cfRule type="cellIs" dxfId="5" priority="1" operator="notEqual">
      <formula>1</formula>
    </cfRule>
  </conditionalFormatting>
  <dataValidations count="9">
    <dataValidation type="list" allowBlank="1" showInputMessage="1" showErrorMessage="1" sqref="D24:D524">
      <formula1>一修多修正项2</formula1>
    </dataValidation>
    <dataValidation type="list" allowBlank="1" showInputMessage="1" showErrorMessage="1" sqref="F24:F524">
      <formula1>一修多修正项3</formula1>
    </dataValidation>
    <dataValidation type="list" allowBlank="1" showInputMessage="1" showErrorMessage="1" sqref="H24:H524">
      <formula1>一修多修正项4</formula1>
    </dataValidation>
    <dataValidation type="list" allowBlank="1" showInputMessage="1" showErrorMessage="1" sqref="J24:J524">
      <formula1>一修多修正项5</formula1>
    </dataValidation>
    <dataValidation type="list" allowBlank="1" showInputMessage="1" showErrorMessage="1" sqref="L24:L524">
      <formula1>一修多修正项6</formula1>
    </dataValidation>
    <dataValidation type="list" allowBlank="1" showInputMessage="1" showErrorMessage="1" sqref="N24:N524">
      <formula1>一修多修正项7</formula1>
    </dataValidation>
    <dataValidation type="list" allowBlank="1" showInputMessage="1" showErrorMessage="1" sqref="P24:P524">
      <formula1>一修多修正项8</formula1>
    </dataValidation>
    <dataValidation type="list" allowBlank="1" showInputMessage="1" showErrorMessage="1" sqref="D20">
      <formula1>"需扣减承租人权益,——"</formula1>
    </dataValidation>
    <dataValidation type="list" allowBlank="1" showInputMessage="1" showErrorMessage="1" sqref="H20">
      <formula1>估价方法</formula1>
    </dataValidation>
  </dataValidations>
  <pageMargins left="0.7" right="0.7" top="0.75" bottom="0.75" header="0.3" footer="0.3"/>
  <legacyDrawing r:id="rId1"/>
</worksheet>
</file>

<file path=xl/worksheets/sheet3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tabColor rgb="FF92D050"/>
  </sheetPr>
  <dimension ref="A1:P21"/>
  <sheetViews>
    <sheetView view="pageBreakPreview" zoomScaleNormal="100" zoomScaleSheetLayoutView="100" workbookViewId="0">
      <selection activeCell="H3" sqref="H3"/>
    </sheetView>
  </sheetViews>
  <sheetFormatPr defaultColWidth="9" defaultRowHeight="14.25"/>
  <cols>
    <col min="1" max="1" width="23.375" style="1476" customWidth="1"/>
    <col min="2" max="2" width="12.5" style="1476" customWidth="1"/>
    <col min="3" max="3" width="12.125" style="1476" customWidth="1"/>
    <col min="4" max="4" width="14.125" style="1476" customWidth="1"/>
    <col min="5" max="5" width="12.5" style="1476" customWidth="1"/>
    <col min="6" max="16384" width="9" style="1476"/>
  </cols>
  <sheetData>
    <row r="1" spans="1:16" ht="21">
      <c r="A1" s="1866" t="s">
        <v>2062</v>
      </c>
      <c r="B1" s="2146"/>
      <c r="C1" s="2146"/>
      <c r="D1" s="2146"/>
      <c r="E1" s="2146"/>
      <c r="F1" s="2767"/>
      <c r="G1" s="2767"/>
      <c r="H1" s="2767"/>
      <c r="I1" s="2767"/>
      <c r="J1" s="2767"/>
      <c r="K1" s="2767"/>
      <c r="L1" s="2767"/>
      <c r="M1" s="2767"/>
      <c r="N1" s="2767"/>
      <c r="O1" s="2767"/>
      <c r="P1" s="2767"/>
    </row>
    <row r="2" spans="1:16" ht="15.75">
      <c r="A2" s="2144" t="s">
        <v>2054</v>
      </c>
      <c r="B2" s="2576">
        <f ca="1">SUMIF(B6:B13,"&lt;&gt;#ref!",B6:B13)</f>
        <v>2143</v>
      </c>
      <c r="C2" s="2144" t="s">
        <v>2055</v>
      </c>
      <c r="D2" s="2144" t="s">
        <v>2056</v>
      </c>
      <c r="E2" s="2586">
        <f ca="1">SUMIF(E6:E13,"&lt;&gt;#ref!",E6:E13)</f>
        <v>17559.11</v>
      </c>
      <c r="F2" s="2767"/>
      <c r="G2" s="2767"/>
      <c r="H2" s="2767"/>
      <c r="I2" s="2767"/>
      <c r="J2" s="2767"/>
      <c r="K2" s="2767"/>
      <c r="L2" s="2767"/>
      <c r="M2" s="2767"/>
      <c r="N2" s="2767"/>
      <c r="O2" s="2767"/>
      <c r="P2" s="2767"/>
    </row>
    <row r="3" spans="1:16" ht="15.75">
      <c r="A3" s="2144" t="s">
        <v>2057</v>
      </c>
      <c r="B3" s="2576">
        <f ca="1">ROUND(B2*10000/E2,0)</f>
        <v>1220</v>
      </c>
      <c r="C3" s="2144" t="s">
        <v>2063</v>
      </c>
      <c r="D3" s="2767"/>
      <c r="E3" s="2767"/>
      <c r="F3" s="2767"/>
      <c r="G3" s="2767"/>
      <c r="H3" s="2767"/>
      <c r="I3" s="2767"/>
      <c r="J3" s="2767"/>
      <c r="K3" s="2767"/>
      <c r="L3" s="2767"/>
      <c r="M3" s="2767"/>
      <c r="N3" s="2767"/>
      <c r="O3" s="2767"/>
      <c r="P3" s="2767"/>
    </row>
    <row r="4" spans="1:16" ht="15.75">
      <c r="A4" s="2768"/>
      <c r="B4" s="2767"/>
      <c r="C4" s="2767"/>
      <c r="D4" s="2767"/>
      <c r="E4" s="2767"/>
      <c r="F4" s="2767"/>
      <c r="G4" s="2767"/>
      <c r="H4" s="2767"/>
      <c r="I4" s="2767"/>
      <c r="J4" s="2767"/>
      <c r="K4" s="2767"/>
      <c r="L4" s="2767"/>
      <c r="M4" s="2767"/>
      <c r="N4" s="2767"/>
      <c r="O4" s="2767"/>
      <c r="P4" s="2767"/>
    </row>
    <row r="5" spans="1:16" ht="28.5">
      <c r="A5" s="2582" t="s">
        <v>2058</v>
      </c>
      <c r="B5" s="2584" t="s">
        <v>2059</v>
      </c>
      <c r="C5" s="2145"/>
      <c r="D5" s="2767"/>
      <c r="E5" s="2585" t="s">
        <v>2060</v>
      </c>
      <c r="F5" s="2767"/>
      <c r="G5" s="2767"/>
      <c r="H5" s="2767"/>
      <c r="I5" s="2767"/>
      <c r="J5" s="2767"/>
      <c r="K5" s="2767"/>
      <c r="L5" s="2767"/>
      <c r="M5" s="2767"/>
      <c r="N5" s="2767"/>
      <c r="O5" s="2767"/>
      <c r="P5" s="2767"/>
    </row>
    <row r="6" spans="1:16" ht="15.75">
      <c r="A6" s="2583" t="s">
        <v>2061</v>
      </c>
      <c r="B6" s="2576">
        <f ca="1">SUMIF(INDIRECT("'"&amp;A6&amp;"'"&amp;"!A:A"),"总价",INDIRECT("'"&amp;A6&amp;"'"&amp;"!B:B"))</f>
        <v>2143</v>
      </c>
      <c r="C6" s="2144" t="s">
        <v>2055</v>
      </c>
      <c r="D6" s="2767"/>
      <c r="E6" s="2586">
        <f ca="1">SUMIF(INDIRECT("'"&amp;A6&amp;"'"&amp;"!C:C"),"建筑面积",INDIRECT("'"&amp;A6&amp;"'"&amp;"!D:D"))</f>
        <v>17559.11</v>
      </c>
      <c r="F6" s="2767"/>
      <c r="G6" s="2767"/>
      <c r="H6" s="2767"/>
      <c r="I6" s="2767"/>
      <c r="J6" s="2767"/>
      <c r="K6" s="2767"/>
      <c r="L6" s="2767"/>
      <c r="M6" s="2767"/>
      <c r="N6" s="2767"/>
      <c r="O6" s="2767"/>
      <c r="P6" s="2767"/>
    </row>
    <row r="7" spans="1:16" ht="15.75">
      <c r="A7" s="2583"/>
      <c r="B7" s="2576" t="e">
        <f ca="1">SUMIF(INDIRECT("'"&amp;A7&amp;"'"&amp;"!A:A"),"总价",INDIRECT("'"&amp;A7&amp;"'"&amp;"!B:B"))</f>
        <v>#REF!</v>
      </c>
      <c r="C7" s="2144" t="s">
        <v>2055</v>
      </c>
      <c r="D7" s="2767"/>
      <c r="E7" s="2586" t="e">
        <f t="shared" ref="E7:E13" ca="1" si="0">SUMIF(INDIRECT("'"&amp;A7&amp;"'"&amp;"!C:C"),"建筑面积",INDIRECT("'"&amp;A7&amp;"'"&amp;"!D:D"))</f>
        <v>#REF!</v>
      </c>
      <c r="F7" s="2767"/>
      <c r="G7" s="2767"/>
      <c r="H7" s="2767"/>
      <c r="I7" s="2767"/>
      <c r="J7" s="2767"/>
      <c r="K7" s="2767"/>
      <c r="L7" s="2767"/>
      <c r="M7" s="2767"/>
      <c r="N7" s="2767"/>
      <c r="O7" s="2767"/>
      <c r="P7" s="2767"/>
    </row>
    <row r="8" spans="1:16" ht="15.75">
      <c r="A8" s="2583"/>
      <c r="B8" s="2576" t="e">
        <f t="shared" ref="B8:B13" ca="1" si="1">SUMIF(INDIRECT("'"&amp;A8&amp;"'"&amp;"!A:A"),"总价",INDIRECT("'"&amp;A8&amp;"'"&amp;"!B:B"))</f>
        <v>#REF!</v>
      </c>
      <c r="C8" s="2144" t="s">
        <v>2055</v>
      </c>
      <c r="D8" s="2767"/>
      <c r="E8" s="2586" t="e">
        <f t="shared" ca="1" si="0"/>
        <v>#REF!</v>
      </c>
      <c r="F8" s="2767"/>
      <c r="G8" s="2767"/>
      <c r="H8" s="2767"/>
      <c r="I8" s="2767"/>
      <c r="J8" s="2767"/>
      <c r="K8" s="2767"/>
      <c r="L8" s="2767"/>
      <c r="M8" s="2767"/>
      <c r="N8" s="2767"/>
      <c r="O8" s="2767"/>
      <c r="P8" s="2767"/>
    </row>
    <row r="9" spans="1:16" ht="15.75">
      <c r="A9" s="2583"/>
      <c r="B9" s="2576" t="e">
        <f t="shared" ca="1" si="1"/>
        <v>#REF!</v>
      </c>
      <c r="C9" s="2144" t="s">
        <v>2055</v>
      </c>
      <c r="D9" s="2767"/>
      <c r="E9" s="2586" t="e">
        <f t="shared" ca="1" si="0"/>
        <v>#REF!</v>
      </c>
      <c r="F9" s="2767"/>
      <c r="G9" s="2767"/>
      <c r="H9" s="2767"/>
      <c r="I9" s="2767"/>
      <c r="J9" s="2767"/>
      <c r="K9" s="2767"/>
      <c r="L9" s="2767"/>
      <c r="M9" s="2767"/>
      <c r="N9" s="2767"/>
      <c r="O9" s="2767"/>
      <c r="P9" s="2767"/>
    </row>
    <row r="10" spans="1:16" ht="15.75">
      <c r="A10" s="2583"/>
      <c r="B10" s="2576" t="e">
        <f t="shared" ca="1" si="1"/>
        <v>#REF!</v>
      </c>
      <c r="C10" s="2144" t="s">
        <v>2055</v>
      </c>
      <c r="D10" s="2767"/>
      <c r="E10" s="2586" t="e">
        <f t="shared" ca="1" si="0"/>
        <v>#REF!</v>
      </c>
      <c r="F10" s="2767"/>
      <c r="G10" s="2767"/>
      <c r="H10" s="2767"/>
      <c r="I10" s="2767"/>
      <c r="J10" s="2767"/>
      <c r="K10" s="2767"/>
      <c r="L10" s="2767"/>
      <c r="M10" s="2767"/>
      <c r="N10" s="2767"/>
      <c r="O10" s="2767"/>
      <c r="P10" s="2767"/>
    </row>
    <row r="11" spans="1:16" ht="15.75">
      <c r="A11" s="2583"/>
      <c r="B11" s="2576" t="e">
        <f t="shared" ca="1" si="1"/>
        <v>#REF!</v>
      </c>
      <c r="C11" s="2144" t="s">
        <v>2055</v>
      </c>
      <c r="D11" s="2767"/>
      <c r="E11" s="2586" t="e">
        <f t="shared" ca="1" si="0"/>
        <v>#REF!</v>
      </c>
      <c r="F11" s="2767"/>
      <c r="G11" s="2767"/>
      <c r="H11" s="2767"/>
      <c r="I11" s="2767"/>
      <c r="J11" s="2767"/>
      <c r="K11" s="2767"/>
      <c r="L11" s="2767"/>
      <c r="M11" s="2767"/>
      <c r="N11" s="2767"/>
      <c r="O11" s="2767"/>
      <c r="P11" s="2767"/>
    </row>
    <row r="12" spans="1:16" ht="15.75">
      <c r="A12" s="2583"/>
      <c r="B12" s="2576" t="e">
        <f t="shared" ca="1" si="1"/>
        <v>#REF!</v>
      </c>
      <c r="C12" s="2144" t="s">
        <v>2055</v>
      </c>
      <c r="D12" s="2767"/>
      <c r="E12" s="2586" t="e">
        <f t="shared" ca="1" si="0"/>
        <v>#REF!</v>
      </c>
      <c r="F12" s="2767"/>
      <c r="G12" s="2767"/>
      <c r="H12" s="2767"/>
      <c r="I12" s="2767"/>
      <c r="J12" s="2767"/>
      <c r="K12" s="2767"/>
      <c r="L12" s="2767"/>
      <c r="M12" s="2767"/>
      <c r="N12" s="2767"/>
      <c r="O12" s="2767"/>
      <c r="P12" s="2767"/>
    </row>
    <row r="13" spans="1:16" ht="15.75">
      <c r="A13" s="2583"/>
      <c r="B13" s="2576" t="e">
        <f t="shared" ca="1" si="1"/>
        <v>#REF!</v>
      </c>
      <c r="C13" s="2144" t="s">
        <v>2055</v>
      </c>
      <c r="D13" s="2767"/>
      <c r="E13" s="2586" t="e">
        <f t="shared" ca="1" si="0"/>
        <v>#REF!</v>
      </c>
      <c r="F13" s="2767"/>
      <c r="G13" s="2767"/>
      <c r="H13" s="2767"/>
      <c r="I13" s="2767"/>
      <c r="J13" s="2767"/>
      <c r="K13" s="2767"/>
      <c r="L13" s="2767"/>
      <c r="M13" s="2767"/>
      <c r="N13" s="2767"/>
      <c r="O13" s="2767"/>
      <c r="P13" s="2767"/>
    </row>
    <row r="14" spans="1:16">
      <c r="A14" s="2767"/>
      <c r="B14" s="2767"/>
      <c r="C14" s="2767"/>
      <c r="D14" s="2767"/>
      <c r="E14" s="2767"/>
      <c r="F14" s="2767"/>
      <c r="G14" s="2767"/>
      <c r="H14" s="2767"/>
      <c r="I14" s="2767"/>
      <c r="J14" s="2767"/>
      <c r="K14" s="2767"/>
      <c r="L14" s="2767"/>
      <c r="M14" s="2767"/>
      <c r="N14" s="2767"/>
      <c r="O14" s="2767"/>
      <c r="P14" s="2767"/>
    </row>
    <row r="15" spans="1:16">
      <c r="A15" s="2767"/>
      <c r="B15" s="2767"/>
      <c r="C15" s="2767"/>
      <c r="D15" s="2767"/>
      <c r="E15" s="2767"/>
      <c r="F15" s="2767"/>
      <c r="G15" s="2767"/>
      <c r="H15" s="2767"/>
      <c r="I15" s="2767"/>
      <c r="J15" s="2767"/>
      <c r="K15" s="2767"/>
      <c r="L15" s="2767"/>
      <c r="M15" s="2767"/>
      <c r="N15" s="2767"/>
      <c r="O15" s="2767"/>
      <c r="P15" s="2767"/>
    </row>
    <row r="16" spans="1:16">
      <c r="A16" s="2767"/>
      <c r="B16" s="2767"/>
      <c r="C16" s="2767"/>
      <c r="D16" s="2767"/>
      <c r="E16" s="2767"/>
      <c r="F16" s="2767"/>
      <c r="G16" s="2767"/>
      <c r="H16" s="2767"/>
      <c r="I16" s="2767"/>
      <c r="J16" s="2767"/>
      <c r="K16" s="2767"/>
      <c r="L16" s="2767"/>
      <c r="M16" s="2767"/>
      <c r="N16" s="2767"/>
      <c r="O16" s="2767"/>
      <c r="P16" s="2767"/>
    </row>
    <row r="17" spans="1:16">
      <c r="A17" s="2767"/>
      <c r="B17" s="2767"/>
      <c r="C17" s="2767"/>
      <c r="D17" s="2767"/>
      <c r="E17" s="2767"/>
      <c r="F17" s="2767"/>
      <c r="G17" s="2767"/>
      <c r="H17" s="2767"/>
      <c r="I17" s="2767"/>
      <c r="J17" s="2767"/>
      <c r="K17" s="2767"/>
      <c r="L17" s="2767"/>
      <c r="M17" s="2767"/>
      <c r="N17" s="2767"/>
      <c r="O17" s="2767"/>
      <c r="P17" s="2767"/>
    </row>
    <row r="18" spans="1:16">
      <c r="A18" s="2767"/>
      <c r="B18" s="2767"/>
      <c r="C18" s="2767"/>
      <c r="D18" s="2767"/>
      <c r="E18" s="2767"/>
      <c r="F18" s="2767"/>
      <c r="G18" s="2767"/>
      <c r="H18" s="2767"/>
      <c r="I18" s="2767"/>
      <c r="J18" s="2767"/>
      <c r="K18" s="2767"/>
      <c r="L18" s="2767"/>
      <c r="M18" s="2767"/>
      <c r="N18" s="2767"/>
      <c r="O18" s="2767"/>
      <c r="P18" s="2767"/>
    </row>
    <row r="19" spans="1:16">
      <c r="A19" s="2767"/>
      <c r="B19" s="2767"/>
      <c r="C19" s="2767"/>
      <c r="D19" s="2767"/>
      <c r="E19" s="2767"/>
      <c r="F19" s="2767"/>
      <c r="G19" s="2767"/>
      <c r="H19" s="2767"/>
      <c r="I19" s="2767"/>
      <c r="J19" s="2767"/>
      <c r="K19" s="2767"/>
      <c r="L19" s="2767"/>
      <c r="M19" s="2767"/>
      <c r="N19" s="2767"/>
      <c r="O19" s="2767"/>
      <c r="P19" s="2767"/>
    </row>
    <row r="20" spans="1:16">
      <c r="A20" s="2767"/>
      <c r="B20" s="2767"/>
      <c r="C20" s="2767"/>
      <c r="D20" s="2767"/>
      <c r="E20" s="2767"/>
      <c r="F20" s="2767"/>
      <c r="G20" s="2767"/>
      <c r="H20" s="2767"/>
      <c r="I20" s="2767"/>
      <c r="J20" s="2767"/>
      <c r="K20" s="2767"/>
      <c r="L20" s="2767"/>
      <c r="M20" s="2767"/>
      <c r="N20" s="2767"/>
      <c r="O20" s="2767"/>
      <c r="P20" s="2767"/>
    </row>
    <row r="21" spans="1:16">
      <c r="A21" s="2767"/>
      <c r="B21" s="2767"/>
      <c r="C21" s="2767"/>
      <c r="D21" s="2767"/>
      <c r="E21" s="2767"/>
      <c r="F21" s="2767"/>
      <c r="G21" s="2767"/>
      <c r="H21" s="2767"/>
      <c r="I21" s="2767"/>
      <c r="J21" s="2767"/>
      <c r="K21" s="2767"/>
      <c r="L21" s="2767"/>
      <c r="M21" s="2767"/>
      <c r="N21" s="2767"/>
      <c r="O21" s="2767"/>
      <c r="P21" s="2767"/>
    </row>
  </sheetData>
  <sheetProtection password="CEE9" sheet="1" objects="1" scenarios="1" formatCells="0" formatColumns="0" formatRows="0"/>
  <phoneticPr fontId="133" type="noConversion"/>
  <dataValidations count="1">
    <dataValidation type="list" allowBlank="1" showInputMessage="1" showErrorMessage="1" sqref="A6:A13">
      <formula1>估价方法</formula1>
    </dataValidation>
  </dataValidations>
  <pageMargins left="0.7" right="0.7" top="0.75" bottom="0.75" header="0.3" footer="0.3"/>
  <pageSetup paperSize="9" orientation="portrait" r:id="rId1"/>
</worksheet>
</file>

<file path=xl/worksheets/sheet3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mc:Ignorable="x14ac">
  <sheetPr codeName="Sheet7">
    <tabColor rgb="FFFFC000"/>
  </sheetPr>
  <dimension ref="A1:AK83"/>
  <sheetViews>
    <sheetView view="pageBreakPreview" topLeftCell="A16" zoomScale="90" zoomScaleNormal="70" zoomScaleSheetLayoutView="90" workbookViewId="0">
      <selection activeCell="C43" sqref="C43"/>
    </sheetView>
  </sheetViews>
  <sheetFormatPr defaultColWidth="9" defaultRowHeight="12.75"/>
  <cols>
    <col min="1" max="1" width="9" style="258" customWidth="1"/>
    <col min="2" max="2" width="20.625" style="655" customWidth="1"/>
    <col min="3" max="3" width="11.875" style="655" customWidth="1"/>
    <col min="4" max="4" width="40.5" style="258" customWidth="1"/>
    <col min="5" max="5" width="15.75" style="258" customWidth="1"/>
    <col min="6" max="6" width="10.625" style="258" customWidth="1"/>
    <col min="7" max="7" width="4.875" style="258" customWidth="1"/>
    <col min="8" max="8" width="8.5" style="258" customWidth="1"/>
    <col min="9" max="9" width="21.25" style="258" customWidth="1"/>
    <col min="10" max="10" width="12.25" style="258" customWidth="1"/>
    <col min="11" max="11" width="45.125" style="1467" customWidth="1"/>
    <col min="12" max="12" width="16.375" style="258" customWidth="1"/>
    <col min="13" max="13" width="13" style="258" customWidth="1"/>
    <col min="14" max="14" width="13.75" style="1383" customWidth="1"/>
    <col min="15" max="15" width="5.125" style="1383" customWidth="1"/>
    <col min="16" max="16" width="25.75" style="1383" customWidth="1"/>
    <col min="17" max="17" width="13.75" style="1383" customWidth="1"/>
    <col min="18" max="18" width="20.5" style="1383" customWidth="1"/>
    <col min="19" max="19" width="13.25" style="1383" customWidth="1"/>
    <col min="20" max="37" width="9" style="1383"/>
    <col min="38" max="16384" width="9" style="258"/>
  </cols>
  <sheetData>
    <row r="1" spans="1:37" s="293" customFormat="1" ht="21">
      <c r="A1" s="1374" t="s">
        <v>877</v>
      </c>
      <c r="B1" s="713"/>
      <c r="C1" s="1378" t="s">
        <v>3429</v>
      </c>
      <c r="D1" s="1361" t="s">
        <v>43</v>
      </c>
      <c r="E1" s="1362" t="s">
        <v>678</v>
      </c>
      <c r="F1" s="1062">
        <f ca="1">J53</f>
        <v>28.5</v>
      </c>
      <c r="G1" s="1377">
        <f>MATCH(C1,'数据-取费表'!A6:A16,0)+5</f>
        <v>6</v>
      </c>
      <c r="H1" s="2666"/>
      <c r="I1" s="2667"/>
      <c r="J1" s="2667"/>
      <c r="K1" s="2668"/>
      <c r="L1" s="2667"/>
      <c r="M1" s="2667"/>
      <c r="N1" s="724"/>
      <c r="O1" s="724"/>
      <c r="P1" s="724"/>
      <c r="Q1" s="724"/>
      <c r="R1" s="724"/>
      <c r="S1" s="724"/>
      <c r="T1" s="724"/>
      <c r="U1" s="724"/>
      <c r="V1" s="724"/>
      <c r="W1" s="724"/>
      <c r="X1" s="724"/>
      <c r="Y1" s="724"/>
      <c r="Z1" s="724"/>
      <c r="AA1" s="724"/>
      <c r="AB1" s="724"/>
      <c r="AC1" s="724"/>
      <c r="AD1" s="724"/>
      <c r="AE1" s="724"/>
      <c r="AF1" s="724"/>
      <c r="AG1" s="724"/>
      <c r="AH1" s="724"/>
      <c r="AI1" s="724"/>
      <c r="AJ1" s="724"/>
      <c r="AK1" s="724"/>
    </row>
    <row r="2" spans="1:37" ht="18" customHeight="1">
      <c r="A2" s="1384" t="s">
        <v>804</v>
      </c>
      <c r="B2" s="1385">
        <f ca="1">C40+J29+L46</f>
        <v>19725</v>
      </c>
      <c r="C2" s="1386" t="s">
        <v>805</v>
      </c>
      <c r="D2" s="1386"/>
      <c r="E2" s="1387"/>
      <c r="F2" s="1388"/>
      <c r="G2" s="2680"/>
      <c r="H2" s="2669"/>
      <c r="I2" s="2669"/>
      <c r="J2" s="2669"/>
      <c r="K2" s="2670"/>
      <c r="L2" s="2669"/>
      <c r="M2" s="2669"/>
    </row>
    <row r="3" spans="1:37" ht="18" customHeight="1" thickBot="1">
      <c r="A3" s="1389" t="s">
        <v>806</v>
      </c>
      <c r="B3" s="1390">
        <f ca="1">IF(ISERROR(B2*10000/F43),0,ROUND(B2*10000/F43,0))</f>
        <v>11233</v>
      </c>
      <c r="C3" s="1386" t="s">
        <v>807</v>
      </c>
      <c r="D3" s="1386"/>
      <c r="E3" s="1387"/>
      <c r="F3" s="1388"/>
      <c r="G3" s="2680"/>
      <c r="H3" s="683" t="s">
        <v>876</v>
      </c>
      <c r="I3" s="1381"/>
      <c r="J3" s="1381"/>
      <c r="K3" s="1382"/>
      <c r="L3" s="1381"/>
      <c r="M3" s="1381"/>
    </row>
    <row r="4" spans="1:37" ht="18" customHeight="1">
      <c r="A4" s="295" t="s">
        <v>687</v>
      </c>
      <c r="B4" s="296" t="s">
        <v>688</v>
      </c>
      <c r="C4" s="296" t="s">
        <v>689</v>
      </c>
      <c r="D4" s="296" t="s">
        <v>690</v>
      </c>
      <c r="E4" s="297" t="s">
        <v>691</v>
      </c>
      <c r="F4" s="298"/>
      <c r="G4" s="1383"/>
      <c r="H4" s="295" t="s">
        <v>687</v>
      </c>
      <c r="I4" s="296" t="s">
        <v>688</v>
      </c>
      <c r="J4" s="296" t="s">
        <v>689</v>
      </c>
      <c r="K4" s="296" t="s">
        <v>690</v>
      </c>
      <c r="L4" s="297" t="s">
        <v>691</v>
      </c>
      <c r="M4" s="298"/>
    </row>
    <row r="5" spans="1:37" ht="18" customHeight="1">
      <c r="A5" s="299">
        <v>1</v>
      </c>
      <c r="B5" s="300" t="s">
        <v>692</v>
      </c>
      <c r="C5" s="1070">
        <f ca="1">C6+C10+C12</f>
        <v>1331</v>
      </c>
      <c r="D5" s="1363" t="s">
        <v>693</v>
      </c>
      <c r="E5" s="1071"/>
      <c r="F5" s="1072"/>
      <c r="G5" s="1383"/>
      <c r="H5" s="299">
        <v>1</v>
      </c>
      <c r="I5" s="300" t="s">
        <v>692</v>
      </c>
      <c r="J5" s="1070">
        <f ca="1">J6+J10+J12</f>
        <v>0</v>
      </c>
      <c r="K5" s="1363" t="s">
        <v>693</v>
      </c>
      <c r="L5" s="1071"/>
      <c r="M5" s="1072"/>
    </row>
    <row r="6" spans="1:37" ht="18" customHeight="1">
      <c r="A6" s="1069" t="s">
        <v>398</v>
      </c>
      <c r="B6" s="3677" t="s">
        <v>694</v>
      </c>
      <c r="C6" s="1074">
        <f ca="1">ROUND(F6*F8*F7*(1-F9)/10000,0)</f>
        <v>1329</v>
      </c>
      <c r="D6" s="155" t="s">
        <v>2090</v>
      </c>
      <c r="E6" s="302" t="s">
        <v>696</v>
      </c>
      <c r="F6" s="303">
        <f ca="1">INDIRECT("'数据-取费表'!u"&amp;$G$1)</f>
        <v>3.5</v>
      </c>
      <c r="G6" s="1383"/>
      <c r="H6" s="1069" t="s">
        <v>398</v>
      </c>
      <c r="I6" s="3677" t="s">
        <v>694</v>
      </c>
      <c r="J6" s="301">
        <f ca="1">ROUND(M6*M8*M7*(1-M9)/10000,0)</f>
        <v>0</v>
      </c>
      <c r="K6" s="155" t="s">
        <v>2089</v>
      </c>
      <c r="L6" s="302" t="s">
        <v>696</v>
      </c>
      <c r="M6" s="303">
        <f ca="1">INDIRECT("'数据-取费表'!z"&amp;$G$1)</f>
        <v>0</v>
      </c>
    </row>
    <row r="7" spans="1:37" ht="18" customHeight="1">
      <c r="A7" s="1073"/>
      <c r="B7" s="3678"/>
      <c r="C7" s="1075"/>
      <c r="D7" s="307"/>
      <c r="E7" s="1076" t="s">
        <v>697</v>
      </c>
      <c r="F7" s="303">
        <f ca="1">IF(INDIRECT("'数据-取费表'!ah"&amp;$G$1)="",INDIRECT("'数据-取费表'!k"&amp;$G$1),INDIRECT("'数据-取费表'!ah"&amp;$G$1))</f>
        <v>12238.148999999999</v>
      </c>
      <c r="G7" s="1383"/>
      <c r="H7" s="304"/>
      <c r="I7" s="3678"/>
      <c r="J7" s="306"/>
      <c r="K7" s="307"/>
      <c r="L7" s="302" t="s">
        <v>697</v>
      </c>
      <c r="M7" s="303">
        <f ca="1">F7</f>
        <v>12238.148999999999</v>
      </c>
    </row>
    <row r="8" spans="1:37" ht="18" customHeight="1">
      <c r="A8" s="304"/>
      <c r="B8" s="3678"/>
      <c r="C8" s="306"/>
      <c r="D8" s="307"/>
      <c r="E8" s="302" t="s">
        <v>698</v>
      </c>
      <c r="F8" s="303">
        <f ca="1">INDIRECT("'数据-取费表'!ai"&amp;$G$1)</f>
        <v>365</v>
      </c>
      <c r="G8" s="1383"/>
      <c r="H8" s="304"/>
      <c r="I8" s="3678"/>
      <c r="J8" s="306"/>
      <c r="K8" s="307"/>
      <c r="L8" s="302" t="s">
        <v>698</v>
      </c>
      <c r="M8" s="303">
        <f ca="1">INDIRECT("'数据-取费表'!ai"&amp;$G$1)</f>
        <v>365</v>
      </c>
    </row>
    <row r="9" spans="1:37" ht="18" customHeight="1">
      <c r="A9" s="304"/>
      <c r="B9" s="3679"/>
      <c r="C9" s="306"/>
      <c r="D9" s="307"/>
      <c r="E9" s="302" t="s">
        <v>699</v>
      </c>
      <c r="F9" s="312">
        <f ca="1">INDIRECT("'数据-取费表'!w"&amp;$G$1)</f>
        <v>0.15</v>
      </c>
      <c r="G9" s="1383"/>
      <c r="H9" s="304"/>
      <c r="I9" s="3679"/>
      <c r="J9" s="306"/>
      <c r="K9" s="307"/>
      <c r="L9" s="313" t="s">
        <v>699</v>
      </c>
      <c r="M9" s="314">
        <f ca="1">INDIRECT("'数据-取费表'!ab"&amp;$G$1)</f>
        <v>0</v>
      </c>
    </row>
    <row r="10" spans="1:37" ht="18" customHeight="1">
      <c r="A10" s="1069" t="s">
        <v>402</v>
      </c>
      <c r="B10" s="1364" t="s">
        <v>700</v>
      </c>
      <c r="C10" s="316">
        <f ca="1">ROUND(IF(F10="押一",C6/12*F11,IF(F10="押二",C6/12*2*F11,IF(F10="押三",C6/12*3*F11,C11*F11))),0)</f>
        <v>2</v>
      </c>
      <c r="D10" s="1365" t="s">
        <v>2098</v>
      </c>
      <c r="E10" s="313" t="s">
        <v>701</v>
      </c>
      <c r="F10" s="1116" t="s">
        <v>3624</v>
      </c>
      <c r="G10" s="1383"/>
      <c r="H10" s="1069" t="s">
        <v>402</v>
      </c>
      <c r="I10" s="1364" t="s">
        <v>700</v>
      </c>
      <c r="J10" s="301">
        <f ca="1">ROUND(IF(M10="押一",J6/12*M11,IF(M10="押二",J6/12*2*M11,IF(M10="押三",J6/12*3*M11,J11*M11))),0)</f>
        <v>0</v>
      </c>
      <c r="K10" s="1365" t="s">
        <v>2097</v>
      </c>
      <c r="L10" s="313" t="s">
        <v>701</v>
      </c>
      <c r="M10" s="1116"/>
    </row>
    <row r="11" spans="1:37" ht="18" customHeight="1">
      <c r="A11" s="308"/>
      <c r="B11" s="1366" t="s">
        <v>679</v>
      </c>
      <c r="C11" s="959"/>
      <c r="D11" s="1367"/>
      <c r="E11" s="313" t="s">
        <v>702</v>
      </c>
      <c r="F11" s="314">
        <f ca="1">'数据-取费表'!B39</f>
        <v>1.4999999999999999E-2</v>
      </c>
      <c r="G11" s="1383"/>
      <c r="H11" s="1077"/>
      <c r="I11" s="1366" t="s">
        <v>679</v>
      </c>
      <c r="J11" s="959"/>
      <c r="K11" s="684"/>
      <c r="L11" s="313" t="s">
        <v>702</v>
      </c>
      <c r="M11" s="862">
        <f ca="1">'数据-取费表'!B39</f>
        <v>1.4999999999999999E-2</v>
      </c>
    </row>
    <row r="12" spans="1:37" ht="18" customHeight="1" thickBot="1">
      <c r="A12" s="1083" t="s">
        <v>437</v>
      </c>
      <c r="B12" s="1368" t="s">
        <v>703</v>
      </c>
      <c r="C12" s="1084"/>
      <c r="D12" s="1085"/>
      <c r="E12" s="1090"/>
      <c r="F12" s="1086"/>
      <c r="G12" s="1383"/>
      <c r="H12" s="1083" t="s">
        <v>437</v>
      </c>
      <c r="I12" s="1368" t="s">
        <v>703</v>
      </c>
      <c r="J12" s="1084"/>
      <c r="K12" s="1098"/>
      <c r="L12" s="1090"/>
      <c r="M12" s="1099"/>
    </row>
    <row r="13" spans="1:37" ht="18" customHeight="1" thickTop="1">
      <c r="A13" s="1079">
        <v>2</v>
      </c>
      <c r="B13" s="1080" t="s">
        <v>704</v>
      </c>
      <c r="C13" s="310">
        <f ca="1">ROUND(C29*F13,0)</f>
        <v>13281</v>
      </c>
      <c r="D13" s="1081" t="s">
        <v>705</v>
      </c>
      <c r="E13" s="1081" t="s">
        <v>706</v>
      </c>
      <c r="F13" s="1082">
        <f ca="1">INDIRECT("'数据-取费表'!y"&amp;$G$1)</f>
        <v>0.87</v>
      </c>
      <c r="G13" s="1383"/>
      <c r="H13" s="1079">
        <v>2</v>
      </c>
      <c r="I13" s="1080" t="s">
        <v>704</v>
      </c>
      <c r="J13" s="1068">
        <f ca="1">ROUND(J14*J15,0)</f>
        <v>0</v>
      </c>
      <c r="K13" s="1087" t="s">
        <v>705</v>
      </c>
      <c r="L13" s="1391"/>
      <c r="M13" s="1392"/>
    </row>
    <row r="14" spans="1:37" ht="18" customHeight="1">
      <c r="A14" s="982" t="s">
        <v>397</v>
      </c>
      <c r="B14" s="302" t="s">
        <v>707</v>
      </c>
      <c r="C14" s="318">
        <f ca="1">INDIRECT("'数据-取费表'!m"&amp;$G$1)+INDIRECT("'数据-取费表'!t"&amp;$G$1)</f>
        <v>10535</v>
      </c>
      <c r="D14" s="1344" t="s">
        <v>708</v>
      </c>
      <c r="E14" s="1341"/>
      <c r="F14" s="319"/>
      <c r="G14" s="1383"/>
      <c r="H14" s="982" t="s">
        <v>398</v>
      </c>
      <c r="I14" s="302" t="s">
        <v>709</v>
      </c>
      <c r="J14" s="21">
        <f ca="1">C29</f>
        <v>15266</v>
      </c>
      <c r="K14" s="12"/>
      <c r="L14" s="807"/>
      <c r="M14" s="808"/>
    </row>
    <row r="15" spans="1:37" s="1396" customFormat="1" ht="18" customHeight="1" thickBot="1">
      <c r="A15" s="982" t="s">
        <v>399</v>
      </c>
      <c r="B15" s="302" t="s">
        <v>710</v>
      </c>
      <c r="C15" s="21">
        <f ca="1">ROUND(C14*F15,0)</f>
        <v>316</v>
      </c>
      <c r="D15" s="320" t="s">
        <v>711</v>
      </c>
      <c r="E15" s="320" t="s">
        <v>712</v>
      </c>
      <c r="F15" s="321">
        <f>'数据-取费表'!B33</f>
        <v>0.03</v>
      </c>
      <c r="G15" s="1395"/>
      <c r="H15" s="1089" t="s">
        <v>402</v>
      </c>
      <c r="I15" s="1090" t="s">
        <v>706</v>
      </c>
      <c r="J15" s="1099">
        <f ca="1">INDIRECT("'数据-取费表'!ad"&amp;$G$1)</f>
        <v>0</v>
      </c>
      <c r="K15" s="1100"/>
      <c r="L15" s="1393"/>
      <c r="M15" s="1394"/>
      <c r="N15" s="1395"/>
      <c r="O15" s="1395"/>
      <c r="P15" s="1395"/>
      <c r="Q15" s="1395"/>
      <c r="R15" s="1395"/>
      <c r="S15" s="1395"/>
      <c r="T15" s="1395"/>
      <c r="U15" s="1395"/>
      <c r="V15" s="1395"/>
      <c r="W15" s="1395"/>
      <c r="X15" s="1395"/>
      <c r="Y15" s="1395"/>
      <c r="Z15" s="1395"/>
      <c r="AA15" s="1395"/>
      <c r="AB15" s="1395"/>
      <c r="AC15" s="1395"/>
      <c r="AD15" s="1395"/>
      <c r="AE15" s="1395"/>
      <c r="AF15" s="1395"/>
      <c r="AG15" s="1395"/>
      <c r="AH15" s="1395"/>
      <c r="AI15" s="1395"/>
      <c r="AJ15" s="1395"/>
      <c r="AK15" s="1395"/>
    </row>
    <row r="16" spans="1:37" ht="18" customHeight="1" thickTop="1">
      <c r="A16" s="982" t="s">
        <v>680</v>
      </c>
      <c r="B16" s="302" t="s">
        <v>713</v>
      </c>
      <c r="C16" s="21">
        <f ca="1">ROUND(INDIRECT("'数据-取费表'!m"&amp;$G$1)*F16,0)</f>
        <v>0</v>
      </c>
      <c r="D16" s="302" t="s">
        <v>711</v>
      </c>
      <c r="E16" s="302" t="s">
        <v>712</v>
      </c>
      <c r="F16" s="322">
        <f ca="1">IF(INDIRECT("'数据-取费表'!c"&amp;$G$1)="住宅",'数据-取费表'!B34,0)</f>
        <v>0</v>
      </c>
      <c r="G16" s="1383"/>
      <c r="H16" s="1079" t="s">
        <v>393</v>
      </c>
      <c r="I16" s="1080" t="s">
        <v>714</v>
      </c>
      <c r="J16" s="310">
        <f ca="1">ROUND(J17+J22+J23+J24,0)</f>
        <v>79</v>
      </c>
      <c r="K16" s="1087" t="s">
        <v>715</v>
      </c>
      <c r="L16" s="1088"/>
      <c r="M16" s="1072"/>
    </row>
    <row r="17" spans="1:37" s="1396" customFormat="1" ht="18" customHeight="1">
      <c r="A17" s="982" t="s">
        <v>681</v>
      </c>
      <c r="B17" s="302" t="s">
        <v>716</v>
      </c>
      <c r="C17" s="21">
        <f ca="1">ROUND(F17*(F43+INDIRECT("'数据-取费表'!S"&amp;$G$1))/10000,0)</f>
        <v>351</v>
      </c>
      <c r="D17" s="302" t="s">
        <v>717</v>
      </c>
      <c r="E17" s="302" t="s">
        <v>718</v>
      </c>
      <c r="F17" s="23">
        <f>'数据-取费表'!B35</f>
        <v>200</v>
      </c>
      <c r="G17" s="1395"/>
      <c r="H17" s="982" t="s">
        <v>398</v>
      </c>
      <c r="I17" s="302" t="s">
        <v>719</v>
      </c>
      <c r="J17" s="2315">
        <f ca="1">ROUND(IF(AND(项目基本情况!B11="自然人",项目基本情况!B10="北京市"),J6*M17/(1+'数据-取费表'!C42),J18+J19+J20),2)</f>
        <v>2.35</v>
      </c>
      <c r="K17" s="1344" t="s">
        <v>720</v>
      </c>
      <c r="L17" s="1343" t="s">
        <v>721</v>
      </c>
      <c r="M17" s="2314" t="str">
        <f>IF(项目基本情况!B11="企业","",IF('数据-取费表'!B10="住宅",IF(M6*M7*M8/12/(1+'数据-取费表'!F30)&gt;100000,4%,2.5%),IF(M6*M7*M8/12/(1+'数据-取费表'!F30)&gt;100000,12%,7%)))</f>
        <v/>
      </c>
      <c r="N17" s="1395"/>
      <c r="O17" s="1395"/>
      <c r="P17" s="1395"/>
      <c r="Q17" s="1395"/>
      <c r="R17" s="1395"/>
      <c r="S17" s="1395"/>
      <c r="T17" s="1395"/>
      <c r="U17" s="1395"/>
      <c r="V17" s="1395"/>
      <c r="W17" s="1395"/>
      <c r="X17" s="1395"/>
      <c r="Y17" s="1395"/>
      <c r="Z17" s="1395"/>
      <c r="AA17" s="1395"/>
      <c r="AB17" s="1395"/>
      <c r="AC17" s="1395"/>
      <c r="AD17" s="1395"/>
      <c r="AE17" s="1395"/>
      <c r="AF17" s="1395"/>
      <c r="AG17" s="1395"/>
      <c r="AH17" s="1395"/>
      <c r="AI17" s="1395"/>
      <c r="AJ17" s="1395"/>
      <c r="AK17" s="1395"/>
    </row>
    <row r="18" spans="1:37" s="1396" customFormat="1" ht="18" customHeight="1">
      <c r="A18" s="982" t="s">
        <v>682</v>
      </c>
      <c r="B18" s="302" t="s">
        <v>722</v>
      </c>
      <c r="C18" s="21">
        <f ca="1">ROUND(C14*F18,0)</f>
        <v>211</v>
      </c>
      <c r="D18" s="302" t="s">
        <v>711</v>
      </c>
      <c r="E18" s="302" t="s">
        <v>712</v>
      </c>
      <c r="F18" s="322">
        <f>'数据-取费表'!B36</f>
        <v>0.02</v>
      </c>
      <c r="G18" s="1395"/>
      <c r="H18" s="982" t="s">
        <v>397</v>
      </c>
      <c r="I18" s="302" t="s">
        <v>723</v>
      </c>
      <c r="J18" s="21">
        <f ca="1">ROUND(J6*M18/(1+'数据-取费表'!C42),2)</f>
        <v>0</v>
      </c>
      <c r="K18" s="1343" t="s">
        <v>724</v>
      </c>
      <c r="L18" s="302" t="s">
        <v>712</v>
      </c>
      <c r="M18" s="322">
        <f>'数据-取费表'!B41</f>
        <v>5.5000000000000007E-2</v>
      </c>
      <c r="N18" s="1395"/>
      <c r="O18" s="1395"/>
      <c r="P18" s="1395"/>
      <c r="Q18" s="1395"/>
      <c r="R18" s="1395"/>
      <c r="S18" s="1395"/>
      <c r="T18" s="1395"/>
      <c r="U18" s="1395"/>
      <c r="V18" s="1395"/>
      <c r="W18" s="1395"/>
      <c r="X18" s="1395"/>
      <c r="Y18" s="1395"/>
      <c r="Z18" s="1395"/>
      <c r="AA18" s="1395"/>
      <c r="AB18" s="1395"/>
      <c r="AC18" s="1395"/>
      <c r="AD18" s="1395"/>
      <c r="AE18" s="1395"/>
      <c r="AF18" s="1395"/>
      <c r="AG18" s="1395"/>
      <c r="AH18" s="1395"/>
      <c r="AI18" s="1395"/>
      <c r="AJ18" s="1395"/>
      <c r="AK18" s="1395"/>
    </row>
    <row r="19" spans="1:37" ht="18" customHeight="1">
      <c r="A19" s="982" t="s">
        <v>398</v>
      </c>
      <c r="B19" s="302" t="s">
        <v>725</v>
      </c>
      <c r="C19" s="21">
        <f ca="1">SUM(C14:C18)</f>
        <v>11413</v>
      </c>
      <c r="D19" s="131" t="s">
        <v>726</v>
      </c>
      <c r="E19" s="1359"/>
      <c r="F19" s="23"/>
      <c r="G19" s="1383"/>
      <c r="H19" s="982" t="s">
        <v>399</v>
      </c>
      <c r="I19" s="302" t="s">
        <v>727</v>
      </c>
      <c r="J19" s="21">
        <f ca="1">IF(K19="按租金收入计税",ROUND(J6*M19/(1+'数据-取费表'!C42),2),ROUND(C29*M19*0.7,2))</f>
        <v>0</v>
      </c>
      <c r="K19" s="1369" t="s">
        <v>3311</v>
      </c>
      <c r="L19" s="302" t="s">
        <v>712</v>
      </c>
      <c r="M19" s="322">
        <f>IF(K19="按租金收入计税",'数据-取费表'!B51,'数据-取费表'!B50)</f>
        <v>0.12</v>
      </c>
    </row>
    <row r="20" spans="1:37" s="1396" customFormat="1" ht="18" customHeight="1">
      <c r="A20" s="982" t="s">
        <v>402</v>
      </c>
      <c r="B20" s="302" t="s">
        <v>728</v>
      </c>
      <c r="C20" s="21">
        <f ca="1">ROUND(C19*F20,0)</f>
        <v>342</v>
      </c>
      <c r="D20" s="323" t="s">
        <v>729</v>
      </c>
      <c r="E20" s="302" t="s">
        <v>712</v>
      </c>
      <c r="F20" s="322">
        <f>'数据-取费表'!B37</f>
        <v>0.03</v>
      </c>
      <c r="G20" s="1395"/>
      <c r="H20" s="982" t="s">
        <v>680</v>
      </c>
      <c r="I20" s="155" t="s">
        <v>730</v>
      </c>
      <c r="J20" s="22">
        <f ca="1">ROUND(M20*M21/10000,2)</f>
        <v>2.35</v>
      </c>
      <c r="K20" s="324" t="s">
        <v>731</v>
      </c>
      <c r="L20" s="302" t="s">
        <v>732</v>
      </c>
      <c r="M20" s="325">
        <f>'数据-取费表'!B52</f>
        <v>1.5</v>
      </c>
      <c r="N20" s="1395"/>
      <c r="O20" s="1395"/>
      <c r="P20" s="1395"/>
      <c r="Q20" s="1395"/>
      <c r="R20" s="1395"/>
      <c r="S20" s="1395"/>
      <c r="T20" s="1395"/>
      <c r="U20" s="1395"/>
      <c r="V20" s="1395"/>
      <c r="W20" s="1395"/>
      <c r="X20" s="1395"/>
      <c r="Y20" s="1395"/>
      <c r="Z20" s="1395"/>
      <c r="AA20" s="1395"/>
      <c r="AB20" s="1395"/>
      <c r="AC20" s="1395"/>
      <c r="AD20" s="1395"/>
      <c r="AE20" s="1395"/>
      <c r="AF20" s="1395"/>
      <c r="AG20" s="1395"/>
      <c r="AH20" s="1395"/>
      <c r="AI20" s="1395"/>
      <c r="AJ20" s="1395"/>
      <c r="AK20" s="1395"/>
    </row>
    <row r="21" spans="1:37" s="1396" customFormat="1" ht="18" customHeight="1">
      <c r="A21" s="982" t="s">
        <v>437</v>
      </c>
      <c r="B21" s="302" t="s">
        <v>733</v>
      </c>
      <c r="C21" s="21" t="s">
        <v>15</v>
      </c>
      <c r="D21" s="323" t="s">
        <v>734</v>
      </c>
      <c r="E21" s="302" t="s">
        <v>735</v>
      </c>
      <c r="F21" s="322">
        <f>'数据-取费表'!B38</f>
        <v>0.03</v>
      </c>
      <c r="G21" s="1395"/>
      <c r="H21" s="326"/>
      <c r="I21" s="311"/>
      <c r="J21" s="26"/>
      <c r="K21" s="327"/>
      <c r="L21" s="302" t="s">
        <v>736</v>
      </c>
      <c r="M21" s="303">
        <f ca="1">INDIRECT("'数据-取费表'!r"&amp;$G$1)</f>
        <v>15637.42</v>
      </c>
      <c r="N21" s="1395"/>
      <c r="O21" s="1395"/>
      <c r="P21" s="1395"/>
      <c r="Q21" s="1395"/>
      <c r="R21" s="1395"/>
      <c r="S21" s="1395"/>
      <c r="T21" s="1395"/>
      <c r="U21" s="1395"/>
      <c r="V21" s="1395"/>
      <c r="W21" s="1395"/>
      <c r="X21" s="1395"/>
      <c r="Y21" s="1395"/>
      <c r="Z21" s="1395"/>
      <c r="AA21" s="1395"/>
      <c r="AB21" s="1395"/>
      <c r="AC21" s="1395"/>
      <c r="AD21" s="1395"/>
      <c r="AE21" s="1395"/>
      <c r="AF21" s="1395"/>
      <c r="AG21" s="1395"/>
      <c r="AH21" s="1395"/>
      <c r="AI21" s="1395"/>
      <c r="AJ21" s="1395"/>
      <c r="AK21" s="1395"/>
    </row>
    <row r="22" spans="1:37" ht="18" customHeight="1">
      <c r="A22" s="982" t="s">
        <v>683</v>
      </c>
      <c r="B22" s="302" t="s">
        <v>737</v>
      </c>
      <c r="C22" s="21"/>
      <c r="D22" s="131" t="str">
        <f>IF(F23&lt;=1,"单利计息。","复利计息。")&amp;"建造成本、管理费用、销售费用产生的利息。"</f>
        <v>复利计息。建造成本、管理费用、销售费用产生的利息。</v>
      </c>
      <c r="E22" s="1359"/>
      <c r="F22" s="23"/>
      <c r="G22" s="1383"/>
      <c r="H22" s="982" t="s">
        <v>402</v>
      </c>
      <c r="I22" s="302" t="s">
        <v>738</v>
      </c>
      <c r="J22" s="21">
        <f ca="1">ROUND(J14*M22,2)</f>
        <v>76.33</v>
      </c>
      <c r="K22" s="1343" t="s">
        <v>739</v>
      </c>
      <c r="L22" s="302" t="s">
        <v>712</v>
      </c>
      <c r="M22" s="328">
        <f ca="1">INDIRECT("'数据-取费表'!Ak"&amp;$G$1)</f>
        <v>5.0000000000000001E-3</v>
      </c>
    </row>
    <row r="23" spans="1:37" s="1396" customFormat="1" ht="18" customHeight="1">
      <c r="A23" s="982" t="s">
        <v>397</v>
      </c>
      <c r="B23" s="302" t="s">
        <v>740</v>
      </c>
      <c r="C23" s="21">
        <f ca="1">IF('数据-取费表'!B22&lt;=1,ROUND(C19*F24*F23/2,0)+ROUND(C20*F24*F23/2,0),ROUND(C19*(POWER((1+F24),F23/2)-1),0)+ROUND(C20*(POWER((1+F24),F23/2)-1),0))</f>
        <v>406</v>
      </c>
      <c r="D23" s="329" t="str">
        <f>IF(F23&lt;=1,"(建造成本+管理费用)×利率×(建设周期÷2)","(建造成本+管理费用)×((1+利率)^(建设周期÷2)-1)")</f>
        <v>(建造成本+管理费用)×((1+利率)^(建设周期÷2)-1)</v>
      </c>
      <c r="E23" s="302" t="s">
        <v>741</v>
      </c>
      <c r="F23" s="325">
        <f>'数据-取费表'!B20</f>
        <v>2</v>
      </c>
      <c r="G23" s="1395"/>
      <c r="H23" s="982" t="s">
        <v>437</v>
      </c>
      <c r="I23" s="302" t="s">
        <v>742</v>
      </c>
      <c r="J23" s="21">
        <f ca="1">ROUND(J13*M23,2)</f>
        <v>0</v>
      </c>
      <c r="K23" s="1343" t="s">
        <v>743</v>
      </c>
      <c r="L23" s="302" t="s">
        <v>744</v>
      </c>
      <c r="M23" s="330">
        <f ca="1">INDIRECT("'数据-取费表'!Al"&amp;$G$1)</f>
        <v>1E-3</v>
      </c>
      <c r="N23" s="1395"/>
      <c r="O23" s="1395"/>
      <c r="P23" s="1395"/>
      <c r="Q23" s="1395"/>
      <c r="R23" s="1395"/>
      <c r="S23" s="1395"/>
      <c r="T23" s="1395"/>
      <c r="U23" s="1395"/>
      <c r="V23" s="1395"/>
      <c r="W23" s="1395"/>
      <c r="X23" s="1395"/>
      <c r="Y23" s="1395"/>
      <c r="Z23" s="1395"/>
      <c r="AA23" s="1395"/>
      <c r="AB23" s="1395"/>
      <c r="AC23" s="1395"/>
      <c r="AD23" s="1395"/>
      <c r="AE23" s="1395"/>
      <c r="AF23" s="1395"/>
      <c r="AG23" s="1395"/>
      <c r="AH23" s="1395"/>
      <c r="AI23" s="1395"/>
      <c r="AJ23" s="1395"/>
      <c r="AK23" s="1395"/>
    </row>
    <row r="24" spans="1:37" s="1396" customFormat="1" ht="18" customHeight="1" thickBot="1">
      <c r="A24" s="982" t="s">
        <v>745</v>
      </c>
      <c r="B24" s="302" t="s">
        <v>746</v>
      </c>
      <c r="C24" s="21">
        <f ca="1">ROUND(IF('数据-取费表'!B22&lt;=1,F21*F24*F23/2,F21*(POWER((1+F24),F23/2)-1)),4)</f>
        <v>1E-3</v>
      </c>
      <c r="D24" s="329" t="str">
        <f>IF(F23&lt;=1,"销售费用×利率×(建设周期÷2)","销售费用×((1+利率)^(建设周期÷2)-1)")</f>
        <v>销售费用×((1+利率)^(建设周期÷2)-1)</v>
      </c>
      <c r="E24" s="302" t="s">
        <v>747</v>
      </c>
      <c r="F24" s="331">
        <f ca="1">'数据-取费表'!B40</f>
        <v>3.4500000000000003E-2</v>
      </c>
      <c r="G24" s="1395"/>
      <c r="H24" s="1089" t="s">
        <v>684</v>
      </c>
      <c r="I24" s="1090" t="s">
        <v>728</v>
      </c>
      <c r="J24" s="1091">
        <f ca="1">ROUND(J5*M24,2)</f>
        <v>0</v>
      </c>
      <c r="K24" s="1092" t="s">
        <v>748</v>
      </c>
      <c r="L24" s="1090" t="s">
        <v>744</v>
      </c>
      <c r="M24" s="1086">
        <f ca="1">INDIRECT("'数据-取费表'!Am"&amp;$G$1)</f>
        <v>5.0000000000000001E-3</v>
      </c>
      <c r="N24" s="1395"/>
      <c r="O24" s="1395"/>
      <c r="P24" s="1395"/>
      <c r="Q24" s="1395"/>
      <c r="R24" s="1395"/>
      <c r="S24" s="1395"/>
      <c r="T24" s="1395"/>
      <c r="U24" s="1395"/>
      <c r="V24" s="1395"/>
      <c r="W24" s="1395"/>
      <c r="X24" s="1395"/>
      <c r="Y24" s="1395"/>
      <c r="Z24" s="1395"/>
      <c r="AA24" s="1395"/>
      <c r="AB24" s="1395"/>
      <c r="AC24" s="1395"/>
      <c r="AD24" s="1395"/>
      <c r="AE24" s="1395"/>
      <c r="AF24" s="1395"/>
      <c r="AG24" s="1395"/>
      <c r="AH24" s="1395"/>
      <c r="AI24" s="1395"/>
      <c r="AJ24" s="1395"/>
      <c r="AK24" s="1395"/>
    </row>
    <row r="25" spans="1:37" ht="24" customHeight="1" thickTop="1">
      <c r="A25" s="982" t="s">
        <v>749</v>
      </c>
      <c r="B25" s="302" t="s">
        <v>750</v>
      </c>
      <c r="C25" s="21"/>
      <c r="D25" s="131" t="s">
        <v>751</v>
      </c>
      <c r="E25" s="1359"/>
      <c r="F25" s="23"/>
      <c r="G25" s="1383"/>
      <c r="H25" s="1079" t="s">
        <v>394</v>
      </c>
      <c r="I25" s="1094" t="s">
        <v>752</v>
      </c>
      <c r="J25" s="310">
        <f ca="1">J5-J16</f>
        <v>-79</v>
      </c>
      <c r="K25" s="1095" t="s">
        <v>753</v>
      </c>
      <c r="L25" s="1096"/>
      <c r="M25" s="1097"/>
    </row>
    <row r="26" spans="1:37">
      <c r="A26" s="982" t="s">
        <v>397</v>
      </c>
      <c r="B26" s="302" t="s">
        <v>754</v>
      </c>
      <c r="C26" s="21">
        <f ca="1">ROUND((C19+C20)*F26,0)</f>
        <v>1763</v>
      </c>
      <c r="D26" s="323" t="s">
        <v>755</v>
      </c>
      <c r="E26" s="313" t="s">
        <v>756</v>
      </c>
      <c r="F26" s="312">
        <f ca="1">INDIRECT("'数据-取费表'!q"&amp;$G$1)</f>
        <v>0.15</v>
      </c>
      <c r="G26" s="1383"/>
      <c r="H26" s="299" t="s">
        <v>395</v>
      </c>
      <c r="I26" s="300" t="s">
        <v>757</v>
      </c>
      <c r="J26" s="301">
        <f ca="1">IF(J5&lt;&gt;0,ROUND(J25*(1-((1+M28)/(1+M26))^M27)/(M26-M28),0),0)</f>
        <v>0</v>
      </c>
      <c r="K26" s="324" t="s">
        <v>758</v>
      </c>
      <c r="L26" s="302" t="s">
        <v>759</v>
      </c>
      <c r="M26" s="312">
        <f ca="1">INDIRECT("'数据-取费表'!I"&amp;$G$1)</f>
        <v>0.05</v>
      </c>
    </row>
    <row r="27" spans="1:37" ht="18" customHeight="1">
      <c r="A27" s="982" t="s">
        <v>399</v>
      </c>
      <c r="B27" s="302" t="s">
        <v>760</v>
      </c>
      <c r="C27" s="21">
        <f ca="1">ROUND(F21*F26,4)</f>
        <v>4.4999999999999997E-3</v>
      </c>
      <c r="D27" s="323" t="s">
        <v>761</v>
      </c>
      <c r="E27" s="320"/>
      <c r="F27" s="321"/>
      <c r="G27" s="1383"/>
      <c r="H27" s="304"/>
      <c r="I27" s="305"/>
      <c r="J27" s="306"/>
      <c r="K27" s="332" t="s">
        <v>762</v>
      </c>
      <c r="L27" s="302" t="s">
        <v>763</v>
      </c>
      <c r="M27" s="333">
        <f ca="1">INDIRECT("'数据-取费表'!ag"&amp;$G$1)</f>
        <v>0</v>
      </c>
    </row>
    <row r="28" spans="1:37" s="1396" customFormat="1" ht="18" customHeight="1">
      <c r="A28" s="982" t="s">
        <v>400</v>
      </c>
      <c r="B28" s="302" t="s">
        <v>764</v>
      </c>
      <c r="C28" s="21">
        <f>ROUND(F28/(1+'数据-取费表'!C42),4)</f>
        <v>5.2400000000000002E-2</v>
      </c>
      <c r="D28" s="323" t="s">
        <v>765</v>
      </c>
      <c r="E28" s="302" t="s">
        <v>712</v>
      </c>
      <c r="F28" s="322">
        <f>'数据-取费表'!B41</f>
        <v>5.5000000000000007E-2</v>
      </c>
      <c r="G28" s="1395"/>
      <c r="H28" s="308"/>
      <c r="I28" s="309"/>
      <c r="J28" s="310"/>
      <c r="K28" s="327"/>
      <c r="L28" s="302" t="s">
        <v>766</v>
      </c>
      <c r="M28" s="312">
        <f ca="1">INDIRECT("'数据-取费表'!aa"&amp;$G$1)</f>
        <v>0</v>
      </c>
      <c r="N28" s="1395"/>
      <c r="O28" s="1395"/>
      <c r="P28" s="1395"/>
      <c r="Q28" s="1395"/>
      <c r="R28" s="1395"/>
      <c r="S28" s="1395"/>
      <c r="T28" s="1395"/>
      <c r="U28" s="1395"/>
      <c r="V28" s="1395"/>
      <c r="W28" s="1395"/>
      <c r="X28" s="1395"/>
      <c r="Y28" s="1395"/>
      <c r="Z28" s="1395"/>
      <c r="AA28" s="1395"/>
      <c r="AB28" s="1395"/>
      <c r="AC28" s="1395"/>
      <c r="AD28" s="1395"/>
      <c r="AE28" s="1395"/>
      <c r="AF28" s="1395"/>
      <c r="AG28" s="1395"/>
      <c r="AH28" s="1395"/>
      <c r="AI28" s="1395"/>
      <c r="AJ28" s="1395"/>
      <c r="AK28" s="1395"/>
    </row>
    <row r="29" spans="1:37" s="1396" customFormat="1" ht="18" customHeight="1" thickBot="1">
      <c r="A29" s="1089" t="s">
        <v>401</v>
      </c>
      <c r="B29" s="1090" t="s">
        <v>767</v>
      </c>
      <c r="C29" s="1091">
        <f ca="1">ROUND((C19+C20+C23+C26)/(1-F21-C24-C27-C28),0)</f>
        <v>15266</v>
      </c>
      <c r="D29" s="1092"/>
      <c r="E29" s="1090"/>
      <c r="F29" s="1093"/>
      <c r="G29" s="1395"/>
      <c r="H29" s="334" t="s">
        <v>396</v>
      </c>
      <c r="I29" s="335" t="s">
        <v>768</v>
      </c>
      <c r="J29" s="336">
        <f ca="1">ROUND(J26/(1+F40)^F41,0)</f>
        <v>0</v>
      </c>
      <c r="K29" s="337" t="s">
        <v>769</v>
      </c>
      <c r="L29" s="338"/>
      <c r="M29" s="339">
        <f ca="1">INDIRECT("'数据-取费表'!k"&amp;$G$1)</f>
        <v>17559.11</v>
      </c>
      <c r="N29" s="1395"/>
      <c r="O29" s="1395"/>
      <c r="P29" s="1395"/>
      <c r="Q29" s="1395"/>
      <c r="R29" s="1395"/>
      <c r="S29" s="1395"/>
      <c r="T29" s="1395"/>
      <c r="U29" s="1395"/>
      <c r="V29" s="1395"/>
      <c r="W29" s="1395"/>
      <c r="X29" s="1395"/>
      <c r="Y29" s="1395"/>
      <c r="Z29" s="1395"/>
      <c r="AA29" s="1395"/>
      <c r="AB29" s="1395"/>
      <c r="AC29" s="1395"/>
      <c r="AD29" s="1395"/>
      <c r="AE29" s="1395"/>
      <c r="AF29" s="1395"/>
      <c r="AG29" s="1395"/>
      <c r="AH29" s="1395"/>
      <c r="AI29" s="1395"/>
      <c r="AJ29" s="1395"/>
      <c r="AK29" s="1395"/>
    </row>
    <row r="30" spans="1:37" ht="18" customHeight="1" thickTop="1">
      <c r="A30" s="1079" t="s">
        <v>393</v>
      </c>
      <c r="B30" s="1080" t="s">
        <v>714</v>
      </c>
      <c r="C30" s="310">
        <f ca="1">ROUND(C31+C36+C37+C38,0)</f>
        <v>320</v>
      </c>
      <c r="D30" s="1087" t="s">
        <v>715</v>
      </c>
      <c r="E30" s="1088"/>
      <c r="F30" s="1072"/>
      <c r="G30" s="1383"/>
      <c r="H30" s="2671"/>
      <c r="I30" s="1397"/>
      <c r="J30" s="1398"/>
      <c r="K30" s="2468"/>
      <c r="L30" s="2672"/>
      <c r="M30" s="2673"/>
    </row>
    <row r="31" spans="1:37" ht="18" customHeight="1">
      <c r="A31" s="982" t="s">
        <v>398</v>
      </c>
      <c r="B31" s="302" t="s">
        <v>719</v>
      </c>
      <c r="C31" s="2315">
        <f ca="1">ROUND(IF(AND(项目基本情况!B11="自然人",项目基本情况!B10="北京市"),C6*F31/(1+'数据-取费表'!C42),C32+C33+C34),2)</f>
        <v>223.85</v>
      </c>
      <c r="D31" s="1344" t="s">
        <v>720</v>
      </c>
      <c r="E31" s="1343" t="s">
        <v>770</v>
      </c>
      <c r="F31" s="2314" t="str">
        <f>IF(项目基本情况!B11="企业","——",IF(M47="住宅",IF(F6*F7*F8/12/(1+'数据-取费表'!F30)&gt;100000,4%,2.5%),IF(F6*F7*F8/12/(1+'数据-取费表'!F30)&gt;100000,12%,7%)))</f>
        <v>——</v>
      </c>
      <c r="G31" s="1383"/>
      <c r="H31" s="2782" t="s">
        <v>2282</v>
      </c>
      <c r="I31" s="1397"/>
      <c r="J31" s="1398"/>
      <c r="K31" s="2468"/>
      <c r="L31" s="2672"/>
      <c r="M31" s="2673"/>
    </row>
    <row r="32" spans="1:37" ht="18" customHeight="1">
      <c r="A32" s="982" t="s">
        <v>397</v>
      </c>
      <c r="B32" s="302" t="s">
        <v>723</v>
      </c>
      <c r="C32" s="21">
        <f ca="1">IF(项目基本情况!B11="自然人","——",ROUND(C6*F32/(1+'数据-取费表'!C42),2))</f>
        <v>69.61</v>
      </c>
      <c r="D32" s="1343" t="s">
        <v>724</v>
      </c>
      <c r="E32" s="302" t="s">
        <v>712</v>
      </c>
      <c r="F32" s="331">
        <f>'数据-取费表'!B41</f>
        <v>5.5000000000000007E-2</v>
      </c>
      <c r="G32" s="1383"/>
      <c r="H32" s="2671"/>
      <c r="I32" s="1397"/>
      <c r="J32" s="1398"/>
      <c r="K32" s="2468"/>
      <c r="L32" s="2672"/>
      <c r="M32" s="2673"/>
    </row>
    <row r="33" spans="1:18" ht="18" customHeight="1">
      <c r="A33" s="982" t="s">
        <v>399</v>
      </c>
      <c r="B33" s="302" t="s">
        <v>727</v>
      </c>
      <c r="C33" s="21">
        <f ca="1">IF(项目基本情况!B11="自然人","——",IF(D33="按租金收入计税",ROUND(C6*F33/(1+'数据-取费表'!C42),2),IF(D33="按房产原值计税",ROUND(C29*F33*0.7,2),INDIRECT("'数据-取费表'!Aj"&amp;$G$1))))</f>
        <v>151.88999999999999</v>
      </c>
      <c r="D33" s="1369" t="s">
        <v>3311</v>
      </c>
      <c r="E33" s="302" t="s">
        <v>712</v>
      </c>
      <c r="F33" s="322">
        <f>IF(D33="按票据","——",IF(D33="按租金收入计税",'数据-取费表'!B51,'数据-取费表'!B50))</f>
        <v>0.12</v>
      </c>
      <c r="G33" s="1383"/>
      <c r="H33" s="2674"/>
      <c r="I33" s="1397"/>
      <c r="J33" s="1398"/>
      <c r="K33" s="2675"/>
      <c r="L33" s="2674"/>
      <c r="M33" s="2674"/>
    </row>
    <row r="34" spans="1:18" ht="18" customHeight="1">
      <c r="A34" s="1069" t="s">
        <v>680</v>
      </c>
      <c r="B34" s="155" t="s">
        <v>730</v>
      </c>
      <c r="C34" s="22">
        <f ca="1">IF(项目基本情况!B11="自然人","——",ROUND(F34*F35/10000,2))</f>
        <v>2.35</v>
      </c>
      <c r="D34" s="324" t="s">
        <v>731</v>
      </c>
      <c r="E34" s="302" t="s">
        <v>732</v>
      </c>
      <c r="F34" s="325">
        <f>'数据-取费表'!B52</f>
        <v>1.5</v>
      </c>
      <c r="G34" s="1383"/>
      <c r="H34" s="2671"/>
      <c r="I34" s="1397"/>
      <c r="J34" s="1398"/>
      <c r="K34" s="2676"/>
      <c r="L34" s="2677"/>
      <c r="M34" s="2677"/>
    </row>
    <row r="35" spans="1:18" ht="18" customHeight="1">
      <c r="A35" s="1103"/>
      <c r="B35" s="1101"/>
      <c r="C35" s="26"/>
      <c r="D35" s="327"/>
      <c r="E35" s="302" t="s">
        <v>736</v>
      </c>
      <c r="F35" s="303">
        <f ca="1">INDIRECT("'数据-取费表'!r"&amp;$G$1)</f>
        <v>15637.42</v>
      </c>
      <c r="G35" s="1383"/>
      <c r="H35" s="2671"/>
      <c r="I35" s="1397"/>
      <c r="J35" s="1398"/>
      <c r="K35" s="2675"/>
      <c r="L35" s="2674"/>
      <c r="M35" s="2674"/>
    </row>
    <row r="36" spans="1:18" ht="18" customHeight="1">
      <c r="A36" s="1102" t="s">
        <v>402</v>
      </c>
      <c r="B36" s="302" t="s">
        <v>738</v>
      </c>
      <c r="C36" s="21">
        <f ca="1">ROUND(C29*F36,2)</f>
        <v>76.33</v>
      </c>
      <c r="D36" s="1343" t="s">
        <v>771</v>
      </c>
      <c r="E36" s="302" t="s">
        <v>712</v>
      </c>
      <c r="F36" s="328">
        <f ca="1">INDIRECT("'数据-取费表'!Ak"&amp;$G$1)</f>
        <v>5.0000000000000001E-3</v>
      </c>
      <c r="G36" s="1383"/>
      <c r="H36" s="2674"/>
      <c r="I36" s="1397"/>
      <c r="J36" s="1398"/>
      <c r="K36" s="2518"/>
      <c r="L36" s="2674"/>
      <c r="M36" s="2674"/>
    </row>
    <row r="37" spans="1:18" ht="18" customHeight="1">
      <c r="A37" s="982" t="s">
        <v>437</v>
      </c>
      <c r="B37" s="302" t="s">
        <v>742</v>
      </c>
      <c r="C37" s="21">
        <f ca="1">ROUND(C13*F37,2)</f>
        <v>13.28</v>
      </c>
      <c r="D37" s="1343" t="s">
        <v>743</v>
      </c>
      <c r="E37" s="302" t="s">
        <v>744</v>
      </c>
      <c r="F37" s="330">
        <f ca="1">INDIRECT("'数据-取费表'!Al"&amp;$G$1)</f>
        <v>1E-3</v>
      </c>
      <c r="G37" s="1383"/>
      <c r="H37" s="2674"/>
      <c r="I37" s="1397"/>
      <c r="J37" s="1398"/>
      <c r="K37" s="2518"/>
      <c r="L37" s="2674"/>
      <c r="M37" s="2674"/>
    </row>
    <row r="38" spans="1:18" ht="18" customHeight="1" thickBot="1">
      <c r="A38" s="1089" t="s">
        <v>684</v>
      </c>
      <c r="B38" s="1090" t="s">
        <v>728</v>
      </c>
      <c r="C38" s="1091">
        <f ca="1">ROUND(C5*F38,2)</f>
        <v>6.66</v>
      </c>
      <c r="D38" s="1092" t="s">
        <v>748</v>
      </c>
      <c r="E38" s="1090" t="s">
        <v>744</v>
      </c>
      <c r="F38" s="1086">
        <f ca="1">INDIRECT("'数据-取费表'!Am"&amp;$G$1)</f>
        <v>5.0000000000000001E-3</v>
      </c>
      <c r="G38" s="1383"/>
      <c r="H38" s="2674"/>
      <c r="I38" s="1397"/>
      <c r="J38" s="1398"/>
      <c r="K38" s="2678"/>
      <c r="L38" s="2674"/>
      <c r="M38" s="2674"/>
    </row>
    <row r="39" spans="1:18" ht="24.6" customHeight="1" thickTop="1">
      <c r="A39" s="1079" t="s">
        <v>394</v>
      </c>
      <c r="B39" s="1094" t="s">
        <v>772</v>
      </c>
      <c r="C39" s="310">
        <f ca="1">C5-C30</f>
        <v>1011</v>
      </c>
      <c r="D39" s="1095" t="s">
        <v>773</v>
      </c>
      <c r="E39" s="1096"/>
      <c r="F39" s="1097"/>
      <c r="G39" s="1383"/>
      <c r="H39" s="2674">
        <f ca="1">C39/C5</f>
        <v>0.75957926371149509</v>
      </c>
      <c r="I39" s="1397"/>
      <c r="J39" s="1398"/>
      <c r="K39" s="2678"/>
      <c r="L39" s="2674"/>
      <c r="M39" s="2674"/>
    </row>
    <row r="40" spans="1:18" ht="18" customHeight="1">
      <c r="A40" s="299" t="s">
        <v>395</v>
      </c>
      <c r="B40" s="300" t="s">
        <v>774</v>
      </c>
      <c r="C40" s="301">
        <f ca="1">ROUND(C39*(1-((1+F42)/(1+F40))^F41)/(F40-F42),0)</f>
        <v>18948</v>
      </c>
      <c r="D40" s="324" t="s">
        <v>758</v>
      </c>
      <c r="E40" s="302" t="s">
        <v>759</v>
      </c>
      <c r="F40" s="312">
        <f ca="1">INDIRECT("'数据-取费表'!I"&amp;$G$1)</f>
        <v>0.05</v>
      </c>
      <c r="G40" s="1383"/>
      <c r="H40" s="1460"/>
      <c r="I40" s="1397"/>
      <c r="J40" s="1398"/>
      <c r="K40" s="2678"/>
      <c r="L40" s="1460"/>
      <c r="M40" s="1460"/>
    </row>
    <row r="41" spans="1:18" ht="18" customHeight="1">
      <c r="A41" s="304"/>
      <c r="B41" s="305"/>
      <c r="C41" s="306"/>
      <c r="D41" s="332" t="s">
        <v>775</v>
      </c>
      <c r="E41" s="302" t="s">
        <v>763</v>
      </c>
      <c r="F41" s="333">
        <f ca="1">IF(INDIRECT("'数据-取费表'!af"&amp;$G$1)=0,INDIRECT("'数据-取费表'!ae"&amp;$G$1),INDIRECT("'数据-取费表'!af"&amp;$G$1))</f>
        <v>28.5</v>
      </c>
      <c r="G41" s="1383"/>
      <c r="H41" s="1190"/>
      <c r="I41" s="1397"/>
      <c r="J41" s="1398"/>
      <c r="K41" s="2518"/>
      <c r="L41" s="1190"/>
      <c r="M41" s="1190"/>
    </row>
    <row r="42" spans="1:18" ht="18" customHeight="1">
      <c r="A42" s="308"/>
      <c r="B42" s="309"/>
      <c r="C42" s="310"/>
      <c r="D42" s="327"/>
      <c r="E42" s="302" t="s">
        <v>766</v>
      </c>
      <c r="F42" s="312">
        <f ca="1">INDIRECT("'数据-取费表'!v"&amp;$G$1)</f>
        <v>0.02</v>
      </c>
      <c r="G42" s="1383"/>
      <c r="H42" s="1190"/>
      <c r="I42" s="1397"/>
      <c r="J42" s="1398"/>
      <c r="K42" s="2518"/>
      <c r="L42" s="1190"/>
      <c r="M42" s="1190"/>
    </row>
    <row r="43" spans="1:18" ht="18" customHeight="1" thickBot="1">
      <c r="A43" s="334" t="s">
        <v>396</v>
      </c>
      <c r="B43" s="335" t="s">
        <v>776</v>
      </c>
      <c r="C43" s="336">
        <f ca="1">ROUND(C40*10000/F43,0)</f>
        <v>10791</v>
      </c>
      <c r="D43" s="337" t="s">
        <v>777</v>
      </c>
      <c r="E43" s="338" t="s">
        <v>778</v>
      </c>
      <c r="F43" s="339">
        <f ca="1">INDIRECT("'数据-取费表'!k"&amp;$G$1)</f>
        <v>17559.11</v>
      </c>
      <c r="G43" s="1383"/>
      <c r="H43" s="1190"/>
      <c r="I43" s="1190"/>
      <c r="J43" s="1190"/>
      <c r="K43" s="2518"/>
      <c r="L43" s="1190"/>
      <c r="M43" s="1190"/>
    </row>
    <row r="44" spans="1:18" s="1383" customFormat="1" ht="18" customHeight="1">
      <c r="A44" s="1399"/>
      <c r="B44" s="1399"/>
      <c r="C44" s="1400"/>
      <c r="D44" s="1399"/>
      <c r="E44" s="1399"/>
      <c r="F44" s="1399"/>
      <c r="K44" s="1401"/>
    </row>
    <row r="45" spans="1:18" s="1383" customFormat="1" ht="18" customHeight="1" thickBot="1">
      <c r="A45" s="1399"/>
      <c r="B45" s="1399"/>
      <c r="C45" s="1400"/>
      <c r="D45" s="1399"/>
      <c r="E45" s="1399"/>
      <c r="F45" s="1399"/>
      <c r="J45" s="726"/>
      <c r="O45" s="2679" t="s">
        <v>808</v>
      </c>
      <c r="P45" s="1460"/>
      <c r="Q45" s="1460"/>
      <c r="R45" s="1460"/>
    </row>
    <row r="46" spans="1:18" s="1383" customFormat="1" ht="13.5" thickBot="1">
      <c r="A46" s="1403" t="s">
        <v>809</v>
      </c>
      <c r="C46" s="1404">
        <f ca="1">C68-C40</f>
        <v>-20330</v>
      </c>
      <c r="D46" s="1405" t="str">
        <f>C2</f>
        <v>万元</v>
      </c>
      <c r="E46" s="1399"/>
      <c r="F46" s="1399"/>
      <c r="I46" s="1406" t="s">
        <v>810</v>
      </c>
      <c r="J46" s="1407"/>
      <c r="K46" s="1408"/>
      <c r="L46" s="1409">
        <f ca="1">IF(M47="住宅",0,IF(L48&gt;J51,L60,J60))</f>
        <v>777</v>
      </c>
      <c r="O46" s="1410" t="s">
        <v>811</v>
      </c>
      <c r="P46" s="1411" t="s">
        <v>812</v>
      </c>
      <c r="Q46" s="1412" t="s">
        <v>813</v>
      </c>
      <c r="R46" s="1412" t="s">
        <v>814</v>
      </c>
    </row>
    <row r="47" spans="1:18" s="1383" customFormat="1" ht="13.5" thickBot="1">
      <c r="A47" s="946" t="s">
        <v>687</v>
      </c>
      <c r="B47" s="978" t="s">
        <v>688</v>
      </c>
      <c r="C47" s="1117" t="s">
        <v>689</v>
      </c>
      <c r="D47" s="978" t="s">
        <v>690</v>
      </c>
      <c r="E47" s="1058" t="s">
        <v>691</v>
      </c>
      <c r="F47" s="1059"/>
      <c r="G47" s="722"/>
      <c r="I47" s="1413" t="s">
        <v>815</v>
      </c>
      <c r="J47" s="1414" t="s">
        <v>3625</v>
      </c>
      <c r="K47" s="1415" t="s">
        <v>816</v>
      </c>
      <c r="L47" s="1416">
        <f ca="1">INDIRECT("'数据-取费表'!d"&amp;$G$1)</f>
        <v>50</v>
      </c>
      <c r="M47" s="1379" t="str">
        <f>IF(ISNUMBER(FIND("住宅",C1)),"住宅","非住宅")</f>
        <v>非住宅</v>
      </c>
      <c r="O47" s="1417" t="s">
        <v>403</v>
      </c>
      <c r="P47" s="1418" t="s">
        <v>817</v>
      </c>
      <c r="Q47" s="1419">
        <f ca="1">C40+J29</f>
        <v>18948</v>
      </c>
      <c r="R47" s="1419" t="s">
        <v>818</v>
      </c>
    </row>
    <row r="48" spans="1:18" s="1383" customFormat="1" ht="28.5" thickBot="1">
      <c r="A48" s="1110" t="s">
        <v>438</v>
      </c>
      <c r="B48" s="300" t="s">
        <v>692</v>
      </c>
      <c r="C48" s="1358">
        <f ca="1">C49+C53+C55</f>
        <v>0</v>
      </c>
      <c r="D48" s="1112"/>
      <c r="E48" s="1113"/>
      <c r="F48" s="962"/>
      <c r="G48" s="722"/>
      <c r="H48" s="723"/>
      <c r="I48" s="1420" t="s">
        <v>819</v>
      </c>
      <c r="J48" s="1421" t="s">
        <v>3626</v>
      </c>
      <c r="K48" s="1422" t="s">
        <v>820</v>
      </c>
      <c r="L48" s="1423">
        <f ca="1">INDIRECT("'数据-取费表'!f"&amp;$G$1)</f>
        <v>28.5</v>
      </c>
      <c r="O48" s="1417" t="s">
        <v>404</v>
      </c>
      <c r="P48" s="1418" t="s">
        <v>821</v>
      </c>
      <c r="Q48" s="1419">
        <f ca="1">J60</f>
        <v>777</v>
      </c>
      <c r="R48" s="1419" t="s">
        <v>822</v>
      </c>
    </row>
    <row r="49" spans="1:18" s="1383" customFormat="1" ht="13.5" thickBot="1">
      <c r="A49" s="975" t="s">
        <v>439</v>
      </c>
      <c r="B49" s="1370" t="s">
        <v>779</v>
      </c>
      <c r="C49" s="1114">
        <f ca="1">ROUND(F49*F51*F50*(1-F52)/10000,0)</f>
        <v>0</v>
      </c>
      <c r="D49" s="1055" t="s">
        <v>2091</v>
      </c>
      <c r="E49" s="1371" t="s">
        <v>780</v>
      </c>
      <c r="F49" s="1060"/>
      <c r="G49" s="1424"/>
      <c r="H49" s="723"/>
      <c r="I49" s="1420" t="s">
        <v>823</v>
      </c>
      <c r="J49" s="1425">
        <f>'数据-取费表'!N17</f>
        <v>2014</v>
      </c>
      <c r="K49" s="1422" t="s">
        <v>824</v>
      </c>
      <c r="L49" s="1426"/>
      <c r="O49" s="1427" t="s">
        <v>405</v>
      </c>
      <c r="P49" s="1418" t="s">
        <v>825</v>
      </c>
      <c r="Q49" s="1419">
        <f ca="1">C29</f>
        <v>15266</v>
      </c>
      <c r="R49" s="1419" t="s">
        <v>818</v>
      </c>
    </row>
    <row r="50" spans="1:18" s="1383" customFormat="1" ht="13.5" thickBot="1">
      <c r="A50" s="976"/>
      <c r="B50" s="979"/>
      <c r="C50" s="1118"/>
      <c r="D50" s="953"/>
      <c r="E50" s="1056" t="s">
        <v>697</v>
      </c>
      <c r="F50" s="1057">
        <f ca="1">F7</f>
        <v>12238.148999999999</v>
      </c>
      <c r="H50" s="723"/>
      <c r="I50" s="1420" t="s">
        <v>826</v>
      </c>
      <c r="J50" s="1428">
        <f>SUMPRODUCT((I63:I65=J47)*(J62:L62=J48)*(J63:L65))</f>
        <v>60</v>
      </c>
      <c r="K50" s="1422" t="s">
        <v>827</v>
      </c>
      <c r="L50" s="1426"/>
      <c r="M50" s="1429"/>
      <c r="O50" s="1427" t="s">
        <v>406</v>
      </c>
      <c r="P50" s="1418" t="s">
        <v>828</v>
      </c>
      <c r="Q50" s="1430">
        <f ca="1">J58</f>
        <v>0.4</v>
      </c>
      <c r="R50" s="1419"/>
    </row>
    <row r="51" spans="1:18" s="1383" customFormat="1" ht="13.5" thickBot="1">
      <c r="A51" s="977"/>
      <c r="B51" s="979"/>
      <c r="C51" s="980"/>
      <c r="D51" s="953"/>
      <c r="E51" s="981" t="s">
        <v>698</v>
      </c>
      <c r="F51" s="303">
        <f ca="1">F8</f>
        <v>365</v>
      </c>
      <c r="I51" s="1431" t="s">
        <v>829</v>
      </c>
      <c r="J51" s="1432">
        <f>IF(J49="",J50,J49+J50-YEAR('数据-取费表'!B2))</f>
        <v>50</v>
      </c>
      <c r="K51" s="1433" t="s">
        <v>830</v>
      </c>
      <c r="L51" s="1434">
        <f ca="1">ROUND(-PV(INDIRECT("'数据-取费表'!h"&amp;$G$1),J51,(C39-C13*C76),0),0)</f>
        <v>1607</v>
      </c>
      <c r="M51" s="1435"/>
      <c r="O51" s="1427" t="s">
        <v>407</v>
      </c>
      <c r="P51" s="1418" t="s">
        <v>831</v>
      </c>
      <c r="Q51" s="1430">
        <f>J52</f>
        <v>7.5000000000000011E-2</v>
      </c>
      <c r="R51" s="1419"/>
    </row>
    <row r="52" spans="1:18" s="1383" customFormat="1" ht="13.5" thickBot="1">
      <c r="A52" s="977"/>
      <c r="B52" s="979"/>
      <c r="C52" s="980"/>
      <c r="D52" s="953"/>
      <c r="E52" s="981" t="s">
        <v>699</v>
      </c>
      <c r="F52" s="1054"/>
      <c r="I52" s="1436" t="s">
        <v>832</v>
      </c>
      <c r="J52" s="1437">
        <f>'数据-取费表'!J6+0.005</f>
        <v>7.5000000000000011E-2</v>
      </c>
      <c r="K52" s="1436" t="s">
        <v>833</v>
      </c>
      <c r="L52" s="1437"/>
      <c r="O52" s="1427" t="s">
        <v>408</v>
      </c>
      <c r="P52" s="1418" t="s">
        <v>834</v>
      </c>
      <c r="Q52" s="1419">
        <f ca="1">J53</f>
        <v>28.5</v>
      </c>
      <c r="R52" s="1419" t="s">
        <v>835</v>
      </c>
    </row>
    <row r="53" spans="1:18" s="1383" customFormat="1" ht="24.75" thickBot="1">
      <c r="A53" s="1152" t="s">
        <v>440</v>
      </c>
      <c r="B53" s="1372" t="s">
        <v>700</v>
      </c>
      <c r="C53" s="316">
        <f ca="1">ROUND(IF(F53="押一",C49/12*F11,IF(F53="押二",C49/12*2*F11,IF(F53="押三",C49/12*3*F11,C54*F11))),0)</f>
        <v>0</v>
      </c>
      <c r="D53" s="1365" t="s">
        <v>2097</v>
      </c>
      <c r="E53" s="313" t="s">
        <v>701</v>
      </c>
      <c r="F53" s="1116"/>
      <c r="I53" s="1438" t="s">
        <v>836</v>
      </c>
      <c r="J53" s="2167">
        <f ca="1">IF(M47="住宅",IF(D1="——",MAX(J51,L48),MAX(J51,L48-'数据-取费表'!B24)),IF(D1="——",MIN(J51,L48),MIN(J51,L48-'数据-取费表'!B24)))</f>
        <v>28.5</v>
      </c>
      <c r="K53" s="3680" t="s">
        <v>837</v>
      </c>
      <c r="L53" s="3681"/>
      <c r="O53" s="1417" t="s">
        <v>409</v>
      </c>
      <c r="P53" s="1418" t="s">
        <v>838</v>
      </c>
      <c r="Q53" s="1419">
        <f ca="1">Q47+Q48</f>
        <v>19725</v>
      </c>
      <c r="R53" s="1419" t="s">
        <v>410</v>
      </c>
    </row>
    <row r="54" spans="1:18" s="1383" customFormat="1" ht="13.5" thickBot="1">
      <c r="A54" s="1153"/>
      <c r="B54" s="1366" t="s">
        <v>679</v>
      </c>
      <c r="C54" s="959"/>
      <c r="D54" s="1365"/>
      <c r="E54" s="1373"/>
      <c r="F54" s="1439"/>
      <c r="I54" s="1440" t="str">
        <f ca="1">IF(M47="住宅","估价对象为住宅，收益年期仅考虑建筑物耐用年限",IF(J51&gt;L48,"建筑物剩余经济寿命超过剩余土地使用期限，需查看出让合同对于是否无偿收回的约定","剩余土地使用期限超过建筑物剩余经济寿命，需计算收益期外土地使用权价值"))</f>
        <v>建筑物剩余经济寿命超过剩余土地使用期限，需查看出让合同对于是否无偿收回的约定</v>
      </c>
      <c r="J54" s="1441"/>
      <c r="K54" s="1441"/>
      <c r="L54" s="1441"/>
      <c r="M54" s="1424"/>
      <c r="O54" s="1402" t="s">
        <v>839</v>
      </c>
      <c r="P54" s="1380"/>
      <c r="Q54" s="1380"/>
      <c r="R54" s="1380"/>
    </row>
    <row r="55" spans="1:18" s="1383" customFormat="1" ht="13.5" thickBot="1">
      <c r="A55" s="1083" t="s">
        <v>437</v>
      </c>
      <c r="B55" s="1368" t="s">
        <v>703</v>
      </c>
      <c r="C55" s="1084"/>
      <c r="D55" s="1365"/>
      <c r="E55" s="1373"/>
      <c r="F55" s="1439"/>
      <c r="I55" s="1442" t="s">
        <v>840</v>
      </c>
      <c r="J55" s="1443">
        <f ca="1">ROUND(IF(J47="钢混",J57/J50,1-(1-2%)*(J50-J57)/J50),3)</f>
        <v>0.35799999999999998</v>
      </c>
      <c r="K55" s="1444" t="s">
        <v>841</v>
      </c>
      <c r="L55" s="1445"/>
      <c r="O55" s="1410" t="s">
        <v>811</v>
      </c>
      <c r="P55" s="1411" t="s">
        <v>812</v>
      </c>
      <c r="Q55" s="1412" t="s">
        <v>813</v>
      </c>
      <c r="R55" s="1412" t="s">
        <v>814</v>
      </c>
    </row>
    <row r="56" spans="1:18" s="1383" customFormat="1" ht="25.5" thickTop="1" thickBot="1">
      <c r="A56" s="957">
        <v>2</v>
      </c>
      <c r="B56" s="958" t="s">
        <v>704</v>
      </c>
      <c r="C56" s="232">
        <f ca="1">C13</f>
        <v>13281</v>
      </c>
      <c r="D56" s="1446"/>
      <c r="E56" s="1447"/>
      <c r="F56" s="1439"/>
      <c r="I56" s="1448" t="s">
        <v>842</v>
      </c>
      <c r="J56" s="1449" t="s">
        <v>3369</v>
      </c>
      <c r="K56" s="1420" t="s">
        <v>843</v>
      </c>
      <c r="L56" s="1423" t="str">
        <f ca="1">IF(L48&lt;J51,"——",L48-J53)</f>
        <v>——</v>
      </c>
      <c r="O56" s="1417" t="s">
        <v>403</v>
      </c>
      <c r="P56" s="1418" t="s">
        <v>817</v>
      </c>
      <c r="Q56" s="1419">
        <f ca="1">C40+J29</f>
        <v>18948</v>
      </c>
      <c r="R56" s="1419" t="s">
        <v>818</v>
      </c>
    </row>
    <row r="57" spans="1:18" s="1383" customFormat="1" ht="24.75" thickBot="1">
      <c r="A57" s="1450"/>
      <c r="B57" s="950" t="s">
        <v>767</v>
      </c>
      <c r="C57" s="238">
        <f ca="1">C29</f>
        <v>15266</v>
      </c>
      <c r="D57" s="1451"/>
      <c r="E57" s="1452"/>
      <c r="F57" s="1453"/>
      <c r="I57" s="1454" t="s">
        <v>844</v>
      </c>
      <c r="J57" s="1455">
        <f ca="1">IF(OR(M47="住宅",J51&lt;L48,J56="是"),"——",J51-L48)</f>
        <v>21.5</v>
      </c>
      <c r="K57" s="1420" t="s">
        <v>845</v>
      </c>
      <c r="L57" s="1423" t="str">
        <f ca="1">IF(L48&lt;J51,"——",IF(L55="比较法",L49,IF(L55="基准地价",L50,L51)))</f>
        <v>——</v>
      </c>
      <c r="O57" s="1417" t="s">
        <v>404</v>
      </c>
      <c r="P57" s="1418" t="s">
        <v>846</v>
      </c>
      <c r="Q57" s="1419">
        <f ca="1">L60</f>
        <v>0</v>
      </c>
      <c r="R57" s="1419" t="s">
        <v>847</v>
      </c>
    </row>
    <row r="58" spans="1:18" s="1383" customFormat="1" ht="24.75" thickBot="1">
      <c r="A58" s="315" t="s">
        <v>393</v>
      </c>
      <c r="B58" s="958" t="s">
        <v>714</v>
      </c>
      <c r="C58" s="316">
        <f ca="1">ROUND(C59+C64+C65+C66,0)</f>
        <v>92</v>
      </c>
      <c r="D58" s="960" t="s">
        <v>715</v>
      </c>
      <c r="E58" s="961"/>
      <c r="F58" s="962"/>
      <c r="I58" s="1454" t="s">
        <v>848</v>
      </c>
      <c r="J58" s="1456">
        <f ca="1">IF(J55&lt;0.4,0.4,J55)</f>
        <v>0.4</v>
      </c>
      <c r="K58" s="1433" t="s">
        <v>849</v>
      </c>
      <c r="L58" s="1423" t="e">
        <f ca="1">ROUND(POWER(1+L52,L47-L48)*(POWER(1+L52,L48)-1)/(POWER(1+L52,L47)-1),4)</f>
        <v>#DIV/0!</v>
      </c>
      <c r="O58" s="1427" t="s">
        <v>405</v>
      </c>
      <c r="P58" s="1418" t="s">
        <v>850</v>
      </c>
      <c r="Q58" s="1419">
        <f>IF(L55="比较法",L49,IF(L55="基准地价",L50,0))</f>
        <v>0</v>
      </c>
      <c r="R58" s="1419" t="s">
        <v>818</v>
      </c>
    </row>
    <row r="59" spans="1:18" s="1383" customFormat="1" ht="24.75" thickBot="1">
      <c r="A59" s="982" t="s">
        <v>398</v>
      </c>
      <c r="B59" s="950" t="s">
        <v>719</v>
      </c>
      <c r="C59" s="2315">
        <f ca="1">ROUND(IF(AND(项目基本情况!B11="自然人",项目基本情况!B10="北京市"),C49*F59/(1+'数据-取费表'!C42),C60+C61+C62),0)</f>
        <v>2</v>
      </c>
      <c r="D59" s="963" t="s">
        <v>720</v>
      </c>
      <c r="E59" s="964" t="s">
        <v>721</v>
      </c>
      <c r="F59" s="2314" t="str">
        <f>IF(项目基本情况!B11="企业","——",IF('数据-取费表'!B10="住宅",IF(F49*F50*F51/12/(1+'数据-取费表'!F30)&gt;100000,4%,2.5%),IF(F49*F50*F51/12/(1+'数据-取费表'!F30)&gt;100000,12%,7%)))</f>
        <v>——</v>
      </c>
      <c r="I59" s="1454" t="s">
        <v>851</v>
      </c>
      <c r="J59" s="1455">
        <f ca="1">IF(OR(M47="住宅",J51&lt;L48,J56="是"),"——",ROUND(C29*J58,0))</f>
        <v>6106</v>
      </c>
      <c r="K59" s="1420" t="str">
        <f>IF(D1="——","建筑物剩余耐用年限下的土地年期修正系数Kn",IF(D1="在建（套用方法）","续建工期及建筑物耐用年限下的土地年期修正系数Kn","建设期及建筑物耐用年限下的土地年期修正系数Kn"))</f>
        <v>建筑物剩余耐用年限下的土地年期修正系数Kn</v>
      </c>
      <c r="L59" s="1423" t="e">
        <f ca="1">ROUND(IF(D1="在建（套用方法）",M59,IF(D1="土地（套用方法）",N59,POWER(1+L52,L47-J51)*(POWER(1+L52,J51)-1)/(POWER(1+L52,L47)-1))),4)</f>
        <v>#DIV/0!</v>
      </c>
      <c r="M59" s="1379" t="e">
        <f ca="1">ROUND(POWER(1+L52,L47-(J51+'数据-取费表'!B24))*(POWER(1+L52,(J51+'数据-取费表'!B24))-1)/(POWER(1+L52,L47)-1),4)</f>
        <v>#DIV/0!</v>
      </c>
      <c r="N59" s="1379" t="e">
        <f ca="1">ROUND(POWER(1+L52,L47-(J51+'数据-取费表'!B20))*(POWER(1+L52,(J51+'数据-取费表'!B20))-1)/(POWER(1+L52,L47)-1),4)</f>
        <v>#DIV/0!</v>
      </c>
      <c r="O59" s="1427" t="s">
        <v>406</v>
      </c>
      <c r="P59" s="1418" t="s">
        <v>852</v>
      </c>
      <c r="Q59" s="1430">
        <f>L52</f>
        <v>0</v>
      </c>
      <c r="R59" s="1419"/>
    </row>
    <row r="60" spans="1:18" s="1383" customFormat="1" ht="16.5" thickBot="1">
      <c r="A60" s="982" t="s">
        <v>397</v>
      </c>
      <c r="B60" s="950" t="s">
        <v>723</v>
      </c>
      <c r="C60" s="21">
        <f ca="1">IF(项目基本情况!B11="自然人","——",ROUND(C48*F60/(1+'数据-取费表'!C42),2))</f>
        <v>0</v>
      </c>
      <c r="D60" s="964" t="s">
        <v>724</v>
      </c>
      <c r="E60" s="950" t="s">
        <v>712</v>
      </c>
      <c r="F60" s="331">
        <f t="shared" ref="F60:F66" si="0">F32</f>
        <v>5.5000000000000007E-2</v>
      </c>
      <c r="I60" s="1457" t="s">
        <v>853</v>
      </c>
      <c r="J60" s="1458">
        <f ca="1">IF(OR(M47="住宅",J51&lt;L48,J56="是"),"0",ROUND(J59/(1+J52)^J53,0))</f>
        <v>777</v>
      </c>
      <c r="K60" s="1459" t="s">
        <v>854</v>
      </c>
      <c r="L60" s="1458">
        <f ca="1">IF(OR(M47="住宅",L48&lt;J51),0,ROUND(L57*(L58/L59-1),0))</f>
        <v>0</v>
      </c>
      <c r="O60" s="1427" t="s">
        <v>407</v>
      </c>
      <c r="P60" s="1418" t="s">
        <v>855</v>
      </c>
      <c r="Q60" s="1419" t="e">
        <f ca="1">L58</f>
        <v>#DIV/0!</v>
      </c>
      <c r="R60" s="1419" t="s">
        <v>856</v>
      </c>
    </row>
    <row r="61" spans="1:18" s="1383" customFormat="1" ht="13.5" thickBot="1">
      <c r="A61" s="982" t="s">
        <v>781</v>
      </c>
      <c r="B61" s="950" t="s">
        <v>782</v>
      </c>
      <c r="C61" s="21">
        <f ca="1">IF(项目基本情况!B11="自然人","——",IF(D61="按租金收入计税",ROUND(C49*F61/(1+'数据-取费表'!C42),2),IF(D61="按房产原值计税",ROUND(C57*F61*0.7,2),INDIRECT("'数据-取费表'!Aj"&amp;$G$1))))</f>
        <v>0</v>
      </c>
      <c r="D61" s="1369" t="s">
        <v>3311</v>
      </c>
      <c r="E61" s="950" t="s">
        <v>783</v>
      </c>
      <c r="F61" s="322">
        <f t="shared" si="0"/>
        <v>0.12</v>
      </c>
      <c r="I61" s="1460"/>
      <c r="J61" s="1460"/>
      <c r="K61" s="1460"/>
      <c r="L61" s="1460"/>
      <c r="O61" s="1427" t="s">
        <v>408</v>
      </c>
      <c r="P61" s="1418" t="str">
        <f>K59</f>
        <v>建筑物剩余耐用年限下的土地年期修正系数Kn</v>
      </c>
      <c r="Q61" s="1419" t="e">
        <f ca="1">L59</f>
        <v>#DIV/0!</v>
      </c>
      <c r="R61" s="1419" t="s">
        <v>857</v>
      </c>
    </row>
    <row r="62" spans="1:18" s="1383" customFormat="1" ht="13.5" thickBot="1">
      <c r="A62" s="982" t="s">
        <v>784</v>
      </c>
      <c r="B62" s="949" t="s">
        <v>785</v>
      </c>
      <c r="C62" s="22">
        <f ca="1">IF(项目基本情况!B11="自然人","——",ROUND(F62*F63/10000,2))</f>
        <v>2.35</v>
      </c>
      <c r="D62" s="965" t="s">
        <v>786</v>
      </c>
      <c r="E62" s="950" t="s">
        <v>787</v>
      </c>
      <c r="F62" s="325">
        <f t="shared" si="0"/>
        <v>1.5</v>
      </c>
      <c r="I62" s="1461" t="s">
        <v>858</v>
      </c>
      <c r="J62" s="1462" t="s">
        <v>859</v>
      </c>
      <c r="K62" s="1462" t="s">
        <v>860</v>
      </c>
      <c r="L62" s="1462" t="s">
        <v>861</v>
      </c>
      <c r="M62" s="1463" t="s">
        <v>862</v>
      </c>
      <c r="O62" s="1417" t="s">
        <v>409</v>
      </c>
      <c r="P62" s="1418" t="s">
        <v>863</v>
      </c>
      <c r="Q62" s="1419">
        <f ca="1">Q56+Q57</f>
        <v>18948</v>
      </c>
      <c r="R62" s="1419" t="s">
        <v>410</v>
      </c>
    </row>
    <row r="63" spans="1:18" s="1383" customFormat="1" ht="13.5" thickBot="1">
      <c r="A63" s="326"/>
      <c r="B63" s="956"/>
      <c r="C63" s="26"/>
      <c r="D63" s="966"/>
      <c r="E63" s="950" t="s">
        <v>788</v>
      </c>
      <c r="F63" s="303">
        <f t="shared" ca="1" si="0"/>
        <v>15637.42</v>
      </c>
      <c r="I63" s="1461" t="s">
        <v>864</v>
      </c>
      <c r="J63" s="1462">
        <v>70</v>
      </c>
      <c r="K63" s="1462">
        <v>50</v>
      </c>
      <c r="L63" s="1462">
        <v>80</v>
      </c>
      <c r="M63" s="1464">
        <v>0.02</v>
      </c>
      <c r="O63" s="1402" t="s">
        <v>865</v>
      </c>
      <c r="P63" s="1380"/>
      <c r="Q63" s="1380"/>
      <c r="R63" s="1380"/>
    </row>
    <row r="64" spans="1:18" s="1383" customFormat="1" ht="13.5" thickBot="1">
      <c r="A64" s="982" t="s">
        <v>789</v>
      </c>
      <c r="B64" s="950" t="s">
        <v>790</v>
      </c>
      <c r="C64" s="21">
        <f ca="1">ROUND(C57*F64,2)</f>
        <v>76.33</v>
      </c>
      <c r="D64" s="964" t="s">
        <v>791</v>
      </c>
      <c r="E64" s="950" t="s">
        <v>783</v>
      </c>
      <c r="F64" s="328">
        <f t="shared" ca="1" si="0"/>
        <v>5.0000000000000001E-3</v>
      </c>
      <c r="I64" s="1461" t="s">
        <v>866</v>
      </c>
      <c r="J64" s="1462">
        <v>50</v>
      </c>
      <c r="K64" s="1462">
        <v>35</v>
      </c>
      <c r="L64" s="1462">
        <v>60</v>
      </c>
      <c r="M64" s="1463">
        <v>0</v>
      </c>
      <c r="O64" s="1410" t="s">
        <v>811</v>
      </c>
      <c r="P64" s="1411" t="s">
        <v>812</v>
      </c>
      <c r="Q64" s="1412" t="s">
        <v>813</v>
      </c>
      <c r="R64" s="1412" t="s">
        <v>814</v>
      </c>
    </row>
    <row r="65" spans="1:18" s="1383" customFormat="1" ht="13.5" thickBot="1">
      <c r="A65" s="982" t="s">
        <v>792</v>
      </c>
      <c r="B65" s="950" t="s">
        <v>742</v>
      </c>
      <c r="C65" s="21">
        <f ca="1">ROUND(C56*F65,2)</f>
        <v>13.28</v>
      </c>
      <c r="D65" s="964" t="s">
        <v>743</v>
      </c>
      <c r="E65" s="950" t="s">
        <v>744</v>
      </c>
      <c r="F65" s="330">
        <f t="shared" ca="1" si="0"/>
        <v>1E-3</v>
      </c>
      <c r="I65" s="1461" t="s">
        <v>867</v>
      </c>
      <c r="J65" s="1462">
        <v>40</v>
      </c>
      <c r="K65" s="1462">
        <v>30</v>
      </c>
      <c r="L65" s="1462">
        <v>50</v>
      </c>
      <c r="M65" s="1464">
        <v>0.02</v>
      </c>
      <c r="O65" s="1417" t="s">
        <v>403</v>
      </c>
      <c r="P65" s="1418" t="s">
        <v>868</v>
      </c>
      <c r="Q65" s="1419">
        <f ca="1">C40+J29</f>
        <v>18948</v>
      </c>
      <c r="R65" s="1419" t="s">
        <v>818</v>
      </c>
    </row>
    <row r="66" spans="1:18" s="1383" customFormat="1" ht="16.5" thickBot="1">
      <c r="A66" s="982" t="s">
        <v>793</v>
      </c>
      <c r="B66" s="950" t="s">
        <v>728</v>
      </c>
      <c r="C66" s="21">
        <f ca="1">ROUND(C48*F66,2)</f>
        <v>0</v>
      </c>
      <c r="D66" s="964" t="s">
        <v>794</v>
      </c>
      <c r="E66" s="950" t="s">
        <v>712</v>
      </c>
      <c r="F66" s="312">
        <f t="shared" ca="1" si="0"/>
        <v>5.0000000000000001E-3</v>
      </c>
      <c r="O66" s="1417" t="s">
        <v>404</v>
      </c>
      <c r="P66" s="1418" t="s">
        <v>846</v>
      </c>
      <c r="Q66" s="1419">
        <f ca="1">L60</f>
        <v>0</v>
      </c>
      <c r="R66" s="1419" t="s">
        <v>869</v>
      </c>
    </row>
    <row r="67" spans="1:18" s="1383" customFormat="1" ht="16.5" thickBot="1">
      <c r="A67" s="957" t="s">
        <v>394</v>
      </c>
      <c r="B67" s="967" t="s">
        <v>752</v>
      </c>
      <c r="C67" s="316">
        <f ca="1">C48-C58</f>
        <v>-92</v>
      </c>
      <c r="D67" s="963" t="s">
        <v>753</v>
      </c>
      <c r="E67" s="968"/>
      <c r="F67" s="969"/>
      <c r="O67" s="1427" t="s">
        <v>405</v>
      </c>
      <c r="P67" s="1418" t="s">
        <v>850</v>
      </c>
      <c r="Q67" s="1465">
        <f ca="1">L51</f>
        <v>1607</v>
      </c>
      <c r="R67" s="1419" t="s">
        <v>870</v>
      </c>
    </row>
    <row r="68" spans="1:18" s="1383" customFormat="1" ht="16.5" thickBot="1">
      <c r="A68" s="947" t="s">
        <v>395</v>
      </c>
      <c r="B68" s="948" t="s">
        <v>774</v>
      </c>
      <c r="C68" s="301">
        <f ca="1">ROUND(C67*(1-((1+F70)/(1+F68))^F69)/(F68-F70),0)</f>
        <v>-1382</v>
      </c>
      <c r="D68" s="965" t="s">
        <v>758</v>
      </c>
      <c r="E68" s="950" t="s">
        <v>759</v>
      </c>
      <c r="F68" s="312">
        <f ca="1">F40</f>
        <v>0.05</v>
      </c>
      <c r="O68" s="1427" t="s">
        <v>406</v>
      </c>
      <c r="P68" s="1466" t="s">
        <v>871</v>
      </c>
      <c r="Q68" s="1419">
        <f ca="1">ROUND(Q69-Q70*Q71,0)</f>
        <v>81</v>
      </c>
      <c r="R68" s="1419" t="s">
        <v>414</v>
      </c>
    </row>
    <row r="69" spans="1:18" s="1383" customFormat="1" ht="13.5" thickBot="1">
      <c r="A69" s="951"/>
      <c r="B69" s="952"/>
      <c r="C69" s="306"/>
      <c r="D69" s="970" t="s">
        <v>762</v>
      </c>
      <c r="E69" s="950" t="s">
        <v>763</v>
      </c>
      <c r="F69" s="333">
        <f ca="1">F41</f>
        <v>28.5</v>
      </c>
      <c r="O69" s="1427" t="s">
        <v>411</v>
      </c>
      <c r="P69" s="1466" t="s">
        <v>872</v>
      </c>
      <c r="Q69" s="1419">
        <f ca="1">C39</f>
        <v>1011</v>
      </c>
      <c r="R69" s="1419" t="s">
        <v>818</v>
      </c>
    </row>
    <row r="70" spans="1:18" s="1383" customFormat="1" ht="13.5" thickBot="1">
      <c r="A70" s="954"/>
      <c r="B70" s="955"/>
      <c r="C70" s="310"/>
      <c r="D70" s="966"/>
      <c r="E70" s="950" t="s">
        <v>766</v>
      </c>
      <c r="F70" s="1054"/>
      <c r="O70" s="1427" t="s">
        <v>412</v>
      </c>
      <c r="P70" s="1466" t="s">
        <v>873</v>
      </c>
      <c r="Q70" s="1419">
        <f ca="1">C13</f>
        <v>13281</v>
      </c>
      <c r="R70" s="1419" t="s">
        <v>818</v>
      </c>
    </row>
    <row r="71" spans="1:18" s="1383" customFormat="1" ht="13.5" thickBot="1">
      <c r="A71" s="971" t="s">
        <v>396</v>
      </c>
      <c r="B71" s="972" t="s">
        <v>776</v>
      </c>
      <c r="C71" s="336">
        <f ca="1">ROUND(C68*10000/F71,0)</f>
        <v>-787</v>
      </c>
      <c r="D71" s="973" t="s">
        <v>777</v>
      </c>
      <c r="E71" s="974" t="s">
        <v>778</v>
      </c>
      <c r="F71" s="339">
        <f ca="1">F43</f>
        <v>17559.11</v>
      </c>
      <c r="O71" s="1427" t="s">
        <v>413</v>
      </c>
      <c r="P71" s="1466" t="s">
        <v>874</v>
      </c>
      <c r="Q71" s="1430">
        <f ca="1">C76</f>
        <v>7.0000000000000007E-2</v>
      </c>
      <c r="R71" s="1419"/>
    </row>
    <row r="72" spans="1:18" s="1383" customFormat="1" ht="13.5" thickBot="1">
      <c r="B72" s="726"/>
      <c r="C72" s="726"/>
      <c r="O72" s="1427" t="s">
        <v>407</v>
      </c>
      <c r="P72" s="1418" t="s">
        <v>852</v>
      </c>
      <c r="Q72" s="1430">
        <f>L52</f>
        <v>0</v>
      </c>
      <c r="R72" s="1419"/>
    </row>
    <row r="73" spans="1:18" ht="16.5" thickBot="1">
      <c r="A73" s="1383"/>
      <c r="B73" s="726"/>
      <c r="C73" s="726"/>
      <c r="D73" s="1383"/>
      <c r="E73" s="1383"/>
      <c r="F73" s="1383"/>
      <c r="O73" s="1427" t="s">
        <v>408</v>
      </c>
      <c r="P73" s="1418" t="s">
        <v>855</v>
      </c>
      <c r="Q73" s="1419" t="e">
        <f ca="1">L58</f>
        <v>#DIV/0!</v>
      </c>
      <c r="R73" s="1419" t="s">
        <v>856</v>
      </c>
    </row>
    <row r="74" spans="1:18" ht="13.5" thickBot="1">
      <c r="A74" s="1383"/>
      <c r="B74" s="273" t="s">
        <v>875</v>
      </c>
      <c r="C74" s="1468"/>
      <c r="D74" s="1383"/>
      <c r="E74" s="1383"/>
      <c r="F74" s="1383"/>
      <c r="O74" s="1427" t="s">
        <v>415</v>
      </c>
      <c r="P74" s="1418" t="str">
        <f>K59</f>
        <v>建筑物剩余耐用年限下的土地年期修正系数Kn</v>
      </c>
      <c r="Q74" s="1419" t="e">
        <f ca="1">L59</f>
        <v>#DIV/0!</v>
      </c>
      <c r="R74" s="1419" t="s">
        <v>857</v>
      </c>
    </row>
    <row r="75" spans="1:18" ht="13.5" thickBot="1">
      <c r="A75" s="1383"/>
      <c r="B75" s="340" t="s">
        <v>795</v>
      </c>
      <c r="C75" s="341">
        <f ca="1">ROUND(C13*C76,0)</f>
        <v>930</v>
      </c>
      <c r="D75" s="1383"/>
      <c r="E75" s="1383"/>
      <c r="F75" s="1383"/>
      <c r="K75" s="1401"/>
      <c r="L75" s="1383"/>
      <c r="O75" s="1417" t="s">
        <v>409</v>
      </c>
      <c r="P75" s="1418" t="s">
        <v>838</v>
      </c>
      <c r="Q75" s="1419">
        <f ca="1">Q65+Q66</f>
        <v>18948</v>
      </c>
      <c r="R75" s="1419" t="s">
        <v>410</v>
      </c>
    </row>
    <row r="76" spans="1:18">
      <c r="B76" s="342" t="s">
        <v>796</v>
      </c>
      <c r="C76" s="343">
        <f ca="1">INDIRECT("'数据-取费表'!j"&amp;$G$1)</f>
        <v>7.0000000000000007E-2</v>
      </c>
      <c r="I76" s="1383"/>
      <c r="J76" s="1383"/>
      <c r="K76" s="1401"/>
      <c r="L76" s="1383"/>
    </row>
    <row r="77" spans="1:18">
      <c r="B77" s="344" t="s">
        <v>797</v>
      </c>
      <c r="C77" s="345"/>
      <c r="I77" s="1383"/>
      <c r="J77" s="1383"/>
      <c r="K77" s="1401"/>
      <c r="L77" s="1383"/>
    </row>
    <row r="78" spans="1:18">
      <c r="B78" s="270" t="s">
        <v>798</v>
      </c>
      <c r="C78" s="346"/>
    </row>
    <row r="79" spans="1:18">
      <c r="B79" s="340" t="s">
        <v>799</v>
      </c>
      <c r="C79" s="274">
        <f ca="1">1-C80</f>
        <v>7.999999999999996E-2</v>
      </c>
    </row>
    <row r="80" spans="1:18">
      <c r="B80" s="340" t="s">
        <v>800</v>
      </c>
      <c r="C80" s="274">
        <f ca="1">ROUND(C75/C39,3)</f>
        <v>0.92</v>
      </c>
    </row>
    <row r="81" spans="2:3">
      <c r="B81" s="270" t="s">
        <v>801</v>
      </c>
      <c r="C81" s="238"/>
    </row>
    <row r="82" spans="2:3">
      <c r="B82" s="273" t="s">
        <v>802</v>
      </c>
      <c r="C82" s="275">
        <f ca="1">1-C83</f>
        <v>0.29900000000000004</v>
      </c>
    </row>
    <row r="83" spans="2:3">
      <c r="B83" s="273" t="s">
        <v>803</v>
      </c>
      <c r="C83" s="274">
        <f ca="1">ROUND(C13/C40,3)</f>
        <v>0.70099999999999996</v>
      </c>
    </row>
  </sheetData>
  <sheetProtection password="CEE9" sheet="1" objects="1" scenarios="1" formatCells="0" formatColumns="0" formatRows="0"/>
  <mergeCells count="3">
    <mergeCell ref="K53:L53"/>
    <mergeCell ref="B6:B9"/>
    <mergeCell ref="I6:I9"/>
  </mergeCells>
  <phoneticPr fontId="3" type="noConversion"/>
  <conditionalFormatting sqref="K55 K60">
    <cfRule type="expression" dxfId="4" priority="56">
      <formula>$L$48&gt;$J$51</formula>
    </cfRule>
  </conditionalFormatting>
  <conditionalFormatting sqref="I55 I60">
    <cfRule type="expression" dxfId="3" priority="57">
      <formula>$J$51&gt;$L$48</formula>
    </cfRule>
  </conditionalFormatting>
  <conditionalFormatting sqref="C11">
    <cfRule type="expression" dxfId="2" priority="3">
      <formula>$F$10="自定义"</formula>
    </cfRule>
  </conditionalFormatting>
  <conditionalFormatting sqref="J11">
    <cfRule type="expression" dxfId="1" priority="2">
      <formula>$M$10="自定义"</formula>
    </cfRule>
  </conditionalFormatting>
  <conditionalFormatting sqref="C54">
    <cfRule type="expression" dxfId="0" priority="1">
      <formula>$F$53="自定义"</formula>
    </cfRule>
  </conditionalFormatting>
  <dataValidations count="9">
    <dataValidation type="list" allowBlank="1" showInputMessage="1" showErrorMessage="1" sqref="K19">
      <formula1>"按租金收入计税,按房产原值计税"</formula1>
    </dataValidation>
    <dataValidation type="list" allowBlank="1" showInputMessage="1" showErrorMessage="1" sqref="D33 D61">
      <formula1>"按租金收入计税,按房产原值计税,按票据"</formula1>
    </dataValidation>
    <dataValidation type="list" allowBlank="1" showInputMessage="1" showErrorMessage="1" sqref="C1">
      <formula1>项目类型</formula1>
    </dataValidation>
    <dataValidation type="list" allowBlank="1" showInputMessage="1" showErrorMessage="1" sqref="J47">
      <formula1>"钢,钢混,砖混"</formula1>
    </dataValidation>
    <dataValidation type="list" allowBlank="1" showInputMessage="1" showErrorMessage="1" sqref="J48">
      <formula1>"非生产用房,生产用房,受腐蚀的生产用房"</formula1>
    </dataValidation>
    <dataValidation type="list" allowBlank="1" showInputMessage="1" showErrorMessage="1" sqref="J56">
      <formula1>估价范围判定</formula1>
    </dataValidation>
    <dataValidation type="list" allowBlank="1" showInputMessage="1" showErrorMessage="1" sqref="L55">
      <formula1>"比较法,基准地价,收益还原"</formula1>
    </dataValidation>
    <dataValidation type="list" allowBlank="1" showInputMessage="1" showErrorMessage="1" sqref="M10 F10 F53">
      <formula1>"押一,押二,押三,自定义"</formula1>
    </dataValidation>
    <dataValidation type="list" allowBlank="1" showInputMessage="1" showErrorMessage="1" sqref="D1">
      <formula1>"在建（套用方法）,土地（套用方法）,——"</formula1>
    </dataValidation>
  </dataValidations>
  <pageMargins left="0.7" right="0.7" top="0.75" bottom="0.75" header="0.3" footer="0.3"/>
  <pageSetup paperSize="9" scale="75" orientation="portrait" r:id="rId1"/>
  <rowBreaks count="1" manualBreakCount="1">
    <brk id="44" max="36" man="1"/>
  </rowBreaks>
  <colBreaks count="2" manualBreakCount="2">
    <brk id="6" max="1048575" man="1"/>
    <brk id="13" max="1048575" man="1"/>
  </colBreaks>
  <legacyDrawing r:id="rId2"/>
</worksheet>
</file>

<file path=xl/worksheets/sheet3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M138"/>
  <sheetViews>
    <sheetView zoomScale="70" zoomScaleNormal="70" workbookViewId="0">
      <selection sqref="A1:XFD1048576"/>
    </sheetView>
  </sheetViews>
  <sheetFormatPr defaultColWidth="8.25" defaultRowHeight="19.5" customHeight="1"/>
  <cols>
    <col min="1" max="13" width="15.25" style="3048" customWidth="1"/>
    <col min="14" max="14" width="10" style="3048" customWidth="1"/>
    <col min="15" max="16" width="8.25" style="3048"/>
    <col min="17" max="17" width="34.125" style="3048" customWidth="1"/>
    <col min="18" max="18" width="8.25" style="3048" customWidth="1"/>
    <col min="19" max="19" width="8.25" style="3048"/>
    <col min="20" max="20" width="11.625" style="3048" customWidth="1"/>
    <col min="21" max="16384" width="8.25" style="3048"/>
  </cols>
  <sheetData>
    <row r="1" spans="1:13" ht="19.5" customHeight="1" thickBot="1">
      <c r="A1" s="3045" t="s">
        <v>2570</v>
      </c>
      <c r="B1" s="3046" t="s">
        <v>2571</v>
      </c>
      <c r="C1" s="3046" t="s">
        <v>2572</v>
      </c>
      <c r="D1" s="3046" t="s">
        <v>2573</v>
      </c>
      <c r="E1" s="3046" t="s">
        <v>2574</v>
      </c>
      <c r="F1" s="3046" t="s">
        <v>2575</v>
      </c>
      <c r="G1" s="3046" t="s">
        <v>2576</v>
      </c>
      <c r="H1" s="3046" t="s">
        <v>2577</v>
      </c>
      <c r="I1" s="3046" t="s">
        <v>2578</v>
      </c>
      <c r="J1" s="3046" t="s">
        <v>2579</v>
      </c>
      <c r="K1" s="3046" t="s">
        <v>2580</v>
      </c>
      <c r="L1" s="3046" t="s">
        <v>2581</v>
      </c>
      <c r="M1" s="3047" t="s">
        <v>2582</v>
      </c>
    </row>
    <row r="2" spans="1:13" ht="19.5" customHeight="1">
      <c r="A2" s="3049" t="s">
        <v>2583</v>
      </c>
      <c r="B2" s="3050">
        <v>3.5</v>
      </c>
      <c r="C2" s="3050">
        <v>3.5</v>
      </c>
      <c r="D2" s="3051">
        <v>2.5</v>
      </c>
      <c r="E2" s="3051">
        <v>2.5</v>
      </c>
      <c r="F2" s="3051">
        <v>2.5</v>
      </c>
      <c r="G2" s="3051">
        <v>2.5</v>
      </c>
      <c r="H2" s="3051">
        <v>2.5</v>
      </c>
      <c r="I2" s="3050">
        <v>2</v>
      </c>
      <c r="J2" s="3050">
        <v>2</v>
      </c>
      <c r="K2" s="3050">
        <v>2</v>
      </c>
      <c r="L2" s="3050">
        <v>2</v>
      </c>
      <c r="M2" s="3052">
        <v>2</v>
      </c>
    </row>
    <row r="3" spans="1:13" ht="19.5" customHeight="1">
      <c r="A3" s="2994" t="s">
        <v>2584</v>
      </c>
      <c r="B3" s="2997">
        <v>3.5</v>
      </c>
      <c r="C3" s="2997">
        <v>3.5</v>
      </c>
      <c r="D3" s="3053">
        <v>2.5</v>
      </c>
      <c r="E3" s="3053">
        <v>2.5</v>
      </c>
      <c r="F3" s="3053">
        <v>2.5</v>
      </c>
      <c r="G3" s="3053">
        <v>2.5</v>
      </c>
      <c r="H3" s="3053">
        <v>2.5</v>
      </c>
      <c r="I3" s="2997">
        <v>2</v>
      </c>
      <c r="J3" s="2997">
        <v>2</v>
      </c>
      <c r="K3" s="2997">
        <v>2</v>
      </c>
      <c r="L3" s="2997">
        <v>2</v>
      </c>
      <c r="M3" s="3001">
        <v>2</v>
      </c>
    </row>
    <row r="4" spans="1:13" ht="19.5" customHeight="1">
      <c r="A4" s="2994" t="s">
        <v>2585</v>
      </c>
      <c r="B4" s="3053">
        <v>2.5</v>
      </c>
      <c r="C4" s="3053">
        <v>2.5</v>
      </c>
      <c r="D4" s="3053">
        <v>2.5</v>
      </c>
      <c r="E4" s="3053">
        <v>2.5</v>
      </c>
      <c r="F4" s="3053">
        <v>2.5</v>
      </c>
      <c r="G4" s="3053">
        <v>2.5</v>
      </c>
      <c r="H4" s="3053">
        <v>2.5</v>
      </c>
      <c r="I4" s="2997">
        <v>1.5</v>
      </c>
      <c r="J4" s="2997">
        <v>1.5</v>
      </c>
      <c r="K4" s="2997">
        <v>1.5</v>
      </c>
      <c r="L4" s="2997">
        <v>1.5</v>
      </c>
      <c r="M4" s="3001">
        <v>1.5</v>
      </c>
    </row>
    <row r="5" spans="1:13" ht="19.5" customHeight="1">
      <c r="A5" s="3054" t="s">
        <v>2586</v>
      </c>
      <c r="B5" s="2997">
        <v>1.5</v>
      </c>
      <c r="C5" s="2997">
        <v>1.5</v>
      </c>
      <c r="D5" s="2997">
        <v>1.5</v>
      </c>
      <c r="E5" s="2997">
        <v>1.5</v>
      </c>
      <c r="F5" s="2997">
        <v>1.5</v>
      </c>
      <c r="G5" s="2997">
        <v>1.2</v>
      </c>
      <c r="H5" s="2997">
        <v>1.2</v>
      </c>
      <c r="I5" s="2997">
        <v>1</v>
      </c>
      <c r="J5" s="2997">
        <v>1</v>
      </c>
      <c r="K5" s="2997">
        <v>1</v>
      </c>
      <c r="L5" s="2997">
        <v>1</v>
      </c>
      <c r="M5" s="3001">
        <v>1</v>
      </c>
    </row>
    <row r="6" spans="1:13" ht="19.5" customHeight="1">
      <c r="A6" s="3055" t="s">
        <v>2587</v>
      </c>
      <c r="B6" s="3056">
        <v>2.5</v>
      </c>
      <c r="C6" s="3056">
        <v>2.5</v>
      </c>
      <c r="D6" s="3056">
        <v>2</v>
      </c>
      <c r="E6" s="3056">
        <v>2</v>
      </c>
      <c r="F6" s="3056">
        <v>2</v>
      </c>
      <c r="G6" s="3056">
        <v>2</v>
      </c>
      <c r="H6" s="3056">
        <v>2</v>
      </c>
      <c r="I6" s="3057">
        <v>1.5</v>
      </c>
      <c r="J6" s="3057">
        <v>1.5</v>
      </c>
      <c r="K6" s="3057">
        <v>1.5</v>
      </c>
      <c r="L6" s="3057">
        <v>1.5</v>
      </c>
      <c r="M6" s="3058">
        <v>1.5</v>
      </c>
    </row>
    <row r="7" spans="1:13" ht="19.5" customHeight="1" thickBot="1">
      <c r="A7" s="3059" t="s">
        <v>2588</v>
      </c>
      <c r="B7" s="3060">
        <v>2.5</v>
      </c>
      <c r="C7" s="3060">
        <v>2.5</v>
      </c>
      <c r="D7" s="3060">
        <v>2</v>
      </c>
      <c r="E7" s="3060">
        <v>2</v>
      </c>
      <c r="F7" s="3060">
        <v>2</v>
      </c>
      <c r="G7" s="3060">
        <v>2</v>
      </c>
      <c r="H7" s="3060">
        <v>2</v>
      </c>
      <c r="I7" s="3006">
        <v>1.5</v>
      </c>
      <c r="J7" s="3006">
        <v>1.5</v>
      </c>
      <c r="K7" s="3006">
        <v>1.5</v>
      </c>
      <c r="L7" s="3006">
        <v>1.5</v>
      </c>
      <c r="M7" s="3061">
        <v>1.5</v>
      </c>
    </row>
    <row r="8" spans="1:13" ht="19.5" customHeight="1">
      <c r="A8" s="3062" t="s">
        <v>2589</v>
      </c>
      <c r="B8" s="3063">
        <v>80</v>
      </c>
      <c r="C8" s="3063">
        <v>80</v>
      </c>
      <c r="D8" s="3063">
        <v>70</v>
      </c>
      <c r="E8" s="3063">
        <v>70</v>
      </c>
      <c r="F8" s="3063">
        <v>70</v>
      </c>
      <c r="G8" s="3063">
        <v>70</v>
      </c>
      <c r="H8" s="3063">
        <v>70</v>
      </c>
      <c r="I8" s="3063">
        <v>60</v>
      </c>
      <c r="J8" s="3063">
        <v>60</v>
      </c>
      <c r="K8" s="3063">
        <v>60</v>
      </c>
      <c r="L8" s="3063">
        <v>60</v>
      </c>
      <c r="M8" s="3064">
        <v>60</v>
      </c>
    </row>
    <row r="9" spans="1:13" ht="19.5" customHeight="1">
      <c r="A9" s="3065" t="s">
        <v>2590</v>
      </c>
      <c r="B9" s="3066">
        <v>70</v>
      </c>
      <c r="C9" s="3066">
        <v>70</v>
      </c>
      <c r="D9" s="3066">
        <v>60</v>
      </c>
      <c r="E9" s="3066">
        <v>60</v>
      </c>
      <c r="F9" s="3066">
        <v>60</v>
      </c>
      <c r="G9" s="3066">
        <v>60</v>
      </c>
      <c r="H9" s="3066">
        <v>60</v>
      </c>
      <c r="I9" s="3066">
        <v>50</v>
      </c>
      <c r="J9" s="3066">
        <v>50</v>
      </c>
      <c r="K9" s="3066">
        <v>50</v>
      </c>
      <c r="L9" s="3066">
        <v>50</v>
      </c>
      <c r="M9" s="3067">
        <v>50</v>
      </c>
    </row>
    <row r="10" spans="1:13" ht="19.5" customHeight="1">
      <c r="A10" s="3065" t="s">
        <v>2591</v>
      </c>
      <c r="B10" s="3066">
        <v>20</v>
      </c>
      <c r="C10" s="3066">
        <v>20</v>
      </c>
      <c r="D10" s="3066">
        <v>15</v>
      </c>
      <c r="E10" s="3066">
        <v>15</v>
      </c>
      <c r="F10" s="3066">
        <v>15</v>
      </c>
      <c r="G10" s="3066">
        <v>15</v>
      </c>
      <c r="H10" s="3066">
        <v>15</v>
      </c>
      <c r="I10" s="3066">
        <v>10</v>
      </c>
      <c r="J10" s="3066">
        <v>10</v>
      </c>
      <c r="K10" s="3066">
        <v>10</v>
      </c>
      <c r="L10" s="3066">
        <v>10</v>
      </c>
      <c r="M10" s="3067">
        <v>10</v>
      </c>
    </row>
    <row r="11" spans="1:13" ht="19.5" customHeight="1">
      <c r="A11" s="3065" t="s">
        <v>2592</v>
      </c>
      <c r="B11" s="3066">
        <v>30</v>
      </c>
      <c r="C11" s="3066">
        <v>30</v>
      </c>
      <c r="D11" s="3066">
        <v>25</v>
      </c>
      <c r="E11" s="3066">
        <v>25</v>
      </c>
      <c r="F11" s="3066">
        <v>25</v>
      </c>
      <c r="G11" s="3066">
        <v>25</v>
      </c>
      <c r="H11" s="3066">
        <v>25</v>
      </c>
      <c r="I11" s="3066">
        <v>20</v>
      </c>
      <c r="J11" s="3066">
        <v>20</v>
      </c>
      <c r="K11" s="3066">
        <v>20</v>
      </c>
      <c r="L11" s="3066">
        <v>20</v>
      </c>
      <c r="M11" s="3067">
        <v>20</v>
      </c>
    </row>
    <row r="12" spans="1:13" ht="19.5" customHeight="1">
      <c r="A12" s="3065" t="s">
        <v>2593</v>
      </c>
      <c r="B12" s="3066">
        <v>45</v>
      </c>
      <c r="C12" s="3066">
        <v>45</v>
      </c>
      <c r="D12" s="3066">
        <v>40</v>
      </c>
      <c r="E12" s="3066">
        <v>40</v>
      </c>
      <c r="F12" s="3066">
        <v>40</v>
      </c>
      <c r="G12" s="3066">
        <v>40</v>
      </c>
      <c r="H12" s="3066">
        <v>40</v>
      </c>
      <c r="I12" s="3066">
        <v>35</v>
      </c>
      <c r="J12" s="3066">
        <v>35</v>
      </c>
      <c r="K12" s="3066">
        <v>35</v>
      </c>
      <c r="L12" s="3066">
        <v>35</v>
      </c>
      <c r="M12" s="3067">
        <v>35</v>
      </c>
    </row>
    <row r="13" spans="1:13" ht="19.5" customHeight="1">
      <c r="A13" s="3065" t="s">
        <v>2594</v>
      </c>
      <c r="B13" s="3066">
        <v>60</v>
      </c>
      <c r="C13" s="3066">
        <v>60</v>
      </c>
      <c r="D13" s="3066">
        <v>50</v>
      </c>
      <c r="E13" s="3066">
        <v>50</v>
      </c>
      <c r="F13" s="3066">
        <v>50</v>
      </c>
      <c r="G13" s="3066">
        <v>50</v>
      </c>
      <c r="H13" s="3066">
        <v>50</v>
      </c>
      <c r="I13" s="3066">
        <v>40</v>
      </c>
      <c r="J13" s="3066">
        <v>40</v>
      </c>
      <c r="K13" s="3066">
        <v>40</v>
      </c>
      <c r="L13" s="3066">
        <v>40</v>
      </c>
      <c r="M13" s="3067">
        <v>40</v>
      </c>
    </row>
    <row r="14" spans="1:13" ht="19.5" customHeight="1">
      <c r="A14" s="3065" t="s">
        <v>2595</v>
      </c>
      <c r="B14" s="3066">
        <v>50</v>
      </c>
      <c r="C14" s="3066">
        <v>50</v>
      </c>
      <c r="D14" s="3066">
        <v>40</v>
      </c>
      <c r="E14" s="3066">
        <v>40</v>
      </c>
      <c r="F14" s="3066">
        <v>40</v>
      </c>
      <c r="G14" s="3066">
        <v>40</v>
      </c>
      <c r="H14" s="3066">
        <v>40</v>
      </c>
      <c r="I14" s="3066">
        <v>30</v>
      </c>
      <c r="J14" s="3066">
        <v>30</v>
      </c>
      <c r="K14" s="3066">
        <v>30</v>
      </c>
      <c r="L14" s="3066">
        <v>30</v>
      </c>
      <c r="M14" s="3067">
        <v>30</v>
      </c>
    </row>
    <row r="15" spans="1:13" ht="19.5" customHeight="1">
      <c r="A15" s="3068" t="s">
        <v>2596</v>
      </c>
      <c r="B15" s="3069">
        <v>20</v>
      </c>
      <c r="C15" s="3069">
        <v>20</v>
      </c>
      <c r="D15" s="3069">
        <v>15</v>
      </c>
      <c r="E15" s="3069">
        <v>15</v>
      </c>
      <c r="F15" s="3069">
        <v>15</v>
      </c>
      <c r="G15" s="3069">
        <v>15</v>
      </c>
      <c r="H15" s="3069">
        <v>15</v>
      </c>
      <c r="I15" s="3069">
        <v>10</v>
      </c>
      <c r="J15" s="3069">
        <v>10</v>
      </c>
      <c r="K15" s="3069">
        <v>10</v>
      </c>
      <c r="L15" s="3069">
        <v>10</v>
      </c>
      <c r="M15" s="3070">
        <v>10</v>
      </c>
    </row>
    <row r="16" spans="1:13" ht="19.5" customHeight="1">
      <c r="A16" s="3066" t="s">
        <v>2597</v>
      </c>
      <c r="B16" s="2997">
        <v>0</v>
      </c>
      <c r="C16" s="2997">
        <v>0</v>
      </c>
      <c r="D16" s="2997">
        <v>0</v>
      </c>
      <c r="E16" s="2997">
        <v>0</v>
      </c>
      <c r="F16" s="2997">
        <v>0</v>
      </c>
      <c r="G16" s="2997">
        <v>0</v>
      </c>
      <c r="H16" s="2997">
        <v>0</v>
      </c>
      <c r="I16" s="2997">
        <v>0</v>
      </c>
      <c r="J16" s="2997">
        <v>0</v>
      </c>
      <c r="K16" s="2997">
        <v>0</v>
      </c>
      <c r="L16" s="2997">
        <v>0</v>
      </c>
      <c r="M16" s="2997">
        <v>0</v>
      </c>
    </row>
    <row r="17" spans="1:13" ht="19.5" customHeight="1">
      <c r="A17" s="3066" t="s">
        <v>2598</v>
      </c>
      <c r="B17" s="2997">
        <f>SUM(B8:B15)</f>
        <v>375</v>
      </c>
      <c r="C17" s="2997">
        <f t="shared" ref="C17:H17" si="0">SUM(C8:C15)</f>
        <v>375</v>
      </c>
      <c r="D17" s="2997">
        <f t="shared" si="0"/>
        <v>315</v>
      </c>
      <c r="E17" s="2997">
        <f t="shared" si="0"/>
        <v>315</v>
      </c>
      <c r="F17" s="2997">
        <f t="shared" si="0"/>
        <v>315</v>
      </c>
      <c r="G17" s="2997">
        <f t="shared" si="0"/>
        <v>315</v>
      </c>
      <c r="H17" s="2997">
        <f t="shared" si="0"/>
        <v>315</v>
      </c>
      <c r="I17" s="2997">
        <f>SUM(I8:I15)-I13-I14</f>
        <v>185</v>
      </c>
      <c r="J17" s="2997">
        <f t="shared" ref="J17:M17" si="1">SUM(J8:J15)-J13-J14</f>
        <v>185</v>
      </c>
      <c r="K17" s="2997">
        <f t="shared" si="1"/>
        <v>185</v>
      </c>
      <c r="L17" s="2997">
        <f t="shared" si="1"/>
        <v>185</v>
      </c>
      <c r="M17" s="2997">
        <f t="shared" si="1"/>
        <v>185</v>
      </c>
    </row>
    <row r="18" spans="1:13" s="3073" customFormat="1" ht="19.5" customHeight="1">
      <c r="A18" s="3071" t="s">
        <v>2599</v>
      </c>
      <c r="B18" s="3071"/>
      <c r="C18" s="3072"/>
      <c r="D18" s="3072"/>
      <c r="E18" s="3071"/>
      <c r="F18" s="3072"/>
      <c r="G18" s="3072"/>
    </row>
    <row r="19" spans="1:13" ht="19.5" customHeight="1" thickBot="1">
      <c r="A19" s="3069" t="s">
        <v>2600</v>
      </c>
      <c r="B19" s="3074" t="s">
        <v>2601</v>
      </c>
      <c r="C19" s="3074" t="s">
        <v>2602</v>
      </c>
      <c r="D19" s="3075"/>
      <c r="E19" s="3069" t="s">
        <v>2603</v>
      </c>
      <c r="F19" s="3076"/>
      <c r="G19" s="3076"/>
    </row>
    <row r="20" spans="1:13" ht="19.5" customHeight="1">
      <c r="A20" s="3808" t="s">
        <v>2583</v>
      </c>
      <c r="B20" s="3803" t="s">
        <v>2604</v>
      </c>
      <c r="C20" s="3077" t="s">
        <v>2415</v>
      </c>
      <c r="D20" s="3078"/>
      <c r="E20" s="3079">
        <v>1</v>
      </c>
      <c r="F20" s="3080" t="s">
        <v>2416</v>
      </c>
      <c r="G20" s="3080"/>
    </row>
    <row r="21" spans="1:13" ht="19.5" customHeight="1">
      <c r="A21" s="3809"/>
      <c r="B21" s="3802"/>
      <c r="C21" s="3081" t="s">
        <v>2417</v>
      </c>
      <c r="D21" s="3082"/>
      <c r="E21" s="3083">
        <v>1</v>
      </c>
      <c r="F21" s="3080" t="s">
        <v>2418</v>
      </c>
      <c r="G21" s="3080"/>
    </row>
    <row r="22" spans="1:13" ht="19.5" customHeight="1">
      <c r="A22" s="3809"/>
      <c r="B22" s="3802"/>
      <c r="C22" s="3081" t="s">
        <v>2419</v>
      </c>
      <c r="D22" s="3082"/>
      <c r="E22" s="3083">
        <v>0.9</v>
      </c>
      <c r="F22" s="3080" t="s">
        <v>2420</v>
      </c>
      <c r="G22" s="3080"/>
    </row>
    <row r="23" spans="1:13" ht="19.5" customHeight="1">
      <c r="A23" s="3809"/>
      <c r="B23" s="3802"/>
      <c r="C23" s="3081" t="s">
        <v>2421</v>
      </c>
      <c r="D23" s="3082"/>
      <c r="E23" s="3083">
        <v>0.9</v>
      </c>
      <c r="F23" s="3080" t="s">
        <v>2422</v>
      </c>
      <c r="G23" s="3080"/>
    </row>
    <row r="24" spans="1:13" ht="19.5" customHeight="1">
      <c r="A24" s="3809"/>
      <c r="B24" s="3802"/>
      <c r="C24" s="3081" t="s">
        <v>2423</v>
      </c>
      <c r="D24" s="3082"/>
      <c r="E24" s="3083">
        <v>0.8</v>
      </c>
      <c r="F24" s="3080" t="s">
        <v>2424</v>
      </c>
      <c r="G24" s="3080"/>
    </row>
    <row r="25" spans="1:13" ht="19.5" customHeight="1" thickBot="1">
      <c r="A25" s="3810"/>
      <c r="B25" s="3804"/>
      <c r="C25" s="3084" t="s">
        <v>2425</v>
      </c>
      <c r="D25" s="3085"/>
      <c r="E25" s="3086">
        <v>0.8</v>
      </c>
      <c r="F25" s="3080" t="s">
        <v>2426</v>
      </c>
      <c r="G25" s="3080"/>
    </row>
    <row r="26" spans="1:13" ht="19.5" customHeight="1" thickBot="1">
      <c r="A26" s="3087" t="s">
        <v>2605</v>
      </c>
      <c r="B26" s="3088" t="s">
        <v>2604</v>
      </c>
      <c r="C26" s="3089" t="s">
        <v>2606</v>
      </c>
      <c r="D26" s="3090"/>
      <c r="E26" s="3091">
        <v>1</v>
      </c>
      <c r="F26" s="3080" t="s">
        <v>2427</v>
      </c>
      <c r="G26" s="3080"/>
    </row>
    <row r="27" spans="1:13" ht="19.5" customHeight="1">
      <c r="A27" s="3805" t="s">
        <v>2607</v>
      </c>
      <c r="B27" s="3803" t="s">
        <v>2588</v>
      </c>
      <c r="C27" s="3077" t="s">
        <v>2428</v>
      </c>
      <c r="D27" s="3078"/>
      <c r="E27" s="3079">
        <v>1</v>
      </c>
      <c r="F27" s="3080" t="s">
        <v>2429</v>
      </c>
      <c r="G27" s="3080"/>
    </row>
    <row r="28" spans="1:13" ht="19.5" customHeight="1">
      <c r="A28" s="3806"/>
      <c r="B28" s="3802"/>
      <c r="C28" s="3081" t="s">
        <v>2430</v>
      </c>
      <c r="D28" s="3082"/>
      <c r="E28" s="3083">
        <v>1</v>
      </c>
      <c r="F28" s="3080" t="s">
        <v>2431</v>
      </c>
      <c r="G28" s="3080"/>
    </row>
    <row r="29" spans="1:13" ht="19.5" customHeight="1">
      <c r="A29" s="3806"/>
      <c r="B29" s="3802"/>
      <c r="C29" s="3081" t="s">
        <v>2432</v>
      </c>
      <c r="D29" s="3082"/>
      <c r="E29" s="3083">
        <v>0.8</v>
      </c>
      <c r="F29" s="3080" t="s">
        <v>2433</v>
      </c>
      <c r="G29" s="3080"/>
    </row>
    <row r="30" spans="1:13" ht="19.5" customHeight="1">
      <c r="A30" s="3806"/>
      <c r="B30" s="3802"/>
      <c r="C30" s="3081" t="s">
        <v>2434</v>
      </c>
      <c r="D30" s="3082"/>
      <c r="E30" s="3083">
        <v>0.8</v>
      </c>
      <c r="F30" s="3080" t="s">
        <v>2435</v>
      </c>
      <c r="G30" s="3080"/>
    </row>
    <row r="31" spans="1:13" ht="19.5" customHeight="1">
      <c r="A31" s="3806"/>
      <c r="B31" s="3802"/>
      <c r="C31" s="3081" t="s">
        <v>2436</v>
      </c>
      <c r="D31" s="3082"/>
      <c r="E31" s="3083">
        <v>0.8</v>
      </c>
      <c r="F31" s="3080" t="s">
        <v>2437</v>
      </c>
      <c r="G31" s="3080"/>
    </row>
    <row r="32" spans="1:13" ht="19.5" customHeight="1">
      <c r="A32" s="3806"/>
      <c r="B32" s="3802"/>
      <c r="C32" s="3081" t="s">
        <v>2438</v>
      </c>
      <c r="D32" s="3082"/>
      <c r="E32" s="3083">
        <v>0.7</v>
      </c>
      <c r="F32" s="3080" t="s">
        <v>2439</v>
      </c>
      <c r="G32" s="3080"/>
    </row>
    <row r="33" spans="1:7" ht="19.5" customHeight="1">
      <c r="A33" s="3806"/>
      <c r="B33" s="3802"/>
      <c r="C33" s="3081" t="s">
        <v>2440</v>
      </c>
      <c r="D33" s="3082"/>
      <c r="E33" s="3083">
        <v>0.8</v>
      </c>
      <c r="F33" s="3080" t="s">
        <v>2441</v>
      </c>
      <c r="G33" s="3080"/>
    </row>
    <row r="34" spans="1:7" ht="19.5" customHeight="1">
      <c r="A34" s="3806"/>
      <c r="B34" s="3802"/>
      <c r="C34" s="3081" t="s">
        <v>2442</v>
      </c>
      <c r="D34" s="3082"/>
      <c r="E34" s="3083">
        <v>0.6</v>
      </c>
      <c r="F34" s="3080" t="s">
        <v>2443</v>
      </c>
      <c r="G34" s="3080"/>
    </row>
    <row r="35" spans="1:7" ht="19.5" customHeight="1">
      <c r="A35" s="3806"/>
      <c r="B35" s="3802"/>
      <c r="C35" s="3081" t="s">
        <v>2444</v>
      </c>
      <c r="D35" s="3082"/>
      <c r="E35" s="3083">
        <v>0.2</v>
      </c>
      <c r="F35" s="3080" t="s">
        <v>2445</v>
      </c>
      <c r="G35" s="3080"/>
    </row>
    <row r="36" spans="1:7" ht="19.5" customHeight="1">
      <c r="A36" s="3806"/>
      <c r="B36" s="3802"/>
      <c r="C36" s="3081" t="s">
        <v>2446</v>
      </c>
      <c r="D36" s="3082"/>
      <c r="E36" s="3083">
        <v>0.2</v>
      </c>
      <c r="F36" s="3080" t="s">
        <v>2447</v>
      </c>
      <c r="G36" s="3080"/>
    </row>
    <row r="37" spans="1:7" ht="19.5" customHeight="1">
      <c r="A37" s="3806"/>
      <c r="B37" s="3800" t="s">
        <v>2608</v>
      </c>
      <c r="C37" s="3081" t="s">
        <v>2448</v>
      </c>
      <c r="D37" s="3082"/>
      <c r="E37" s="3083">
        <v>0.6</v>
      </c>
      <c r="F37" s="3080" t="s">
        <v>2449</v>
      </c>
      <c r="G37" s="3080"/>
    </row>
    <row r="38" spans="1:7" ht="19.5" customHeight="1">
      <c r="A38" s="3806"/>
      <c r="B38" s="3802"/>
      <c r="C38" s="3081" t="s">
        <v>2450</v>
      </c>
      <c r="D38" s="3082"/>
      <c r="E38" s="3083">
        <v>0.6</v>
      </c>
      <c r="F38" s="3080" t="s">
        <v>2451</v>
      </c>
      <c r="G38" s="3080"/>
    </row>
    <row r="39" spans="1:7" ht="19.5" customHeight="1" thickBot="1">
      <c r="A39" s="3807"/>
      <c r="B39" s="3804"/>
      <c r="C39" s="3084" t="s">
        <v>2452</v>
      </c>
      <c r="D39" s="3085"/>
      <c r="E39" s="3086">
        <v>0.6</v>
      </c>
      <c r="F39" s="3080" t="s">
        <v>2453</v>
      </c>
      <c r="G39" s="3080"/>
    </row>
    <row r="40" spans="1:7" ht="19.5" customHeight="1" thickBot="1">
      <c r="A40" s="3087" t="s">
        <v>2585</v>
      </c>
      <c r="B40" s="3088" t="s">
        <v>2585</v>
      </c>
      <c r="C40" s="3089" t="s">
        <v>2609</v>
      </c>
      <c r="D40" s="3090"/>
      <c r="E40" s="3091">
        <v>1</v>
      </c>
      <c r="F40" s="3080" t="s">
        <v>2454</v>
      </c>
      <c r="G40" s="3080"/>
    </row>
    <row r="41" spans="1:7" ht="19.5" customHeight="1">
      <c r="A41" s="3808" t="s">
        <v>2586</v>
      </c>
      <c r="B41" s="3803" t="s">
        <v>2610</v>
      </c>
      <c r="C41" s="3077" t="s">
        <v>2455</v>
      </c>
      <c r="D41" s="3078"/>
      <c r="E41" s="3079">
        <v>1</v>
      </c>
      <c r="F41" s="3080" t="s">
        <v>2456</v>
      </c>
      <c r="G41" s="3080"/>
    </row>
    <row r="42" spans="1:7" ht="19.5" customHeight="1">
      <c r="A42" s="3809"/>
      <c r="B42" s="3802"/>
      <c r="C42" s="3081" t="s">
        <v>2457</v>
      </c>
      <c r="D42" s="3082"/>
      <c r="E42" s="3083">
        <v>1</v>
      </c>
      <c r="F42" s="3080" t="s">
        <v>2458</v>
      </c>
      <c r="G42" s="3080"/>
    </row>
    <row r="43" spans="1:7" ht="19.5" customHeight="1">
      <c r="A43" s="3809"/>
      <c r="B43" s="3801"/>
      <c r="C43" s="3081" t="s">
        <v>2459</v>
      </c>
      <c r="D43" s="3082"/>
      <c r="E43" s="3083">
        <v>1.5</v>
      </c>
      <c r="F43" s="3080" t="s">
        <v>2460</v>
      </c>
      <c r="G43" s="3080"/>
    </row>
    <row r="44" spans="1:7" ht="19.5" customHeight="1">
      <c r="A44" s="3809"/>
      <c r="B44" s="3092" t="s">
        <v>2611</v>
      </c>
      <c r="C44" s="3081" t="s">
        <v>2612</v>
      </c>
      <c r="D44" s="3082"/>
      <c r="E44" s="3083">
        <v>2</v>
      </c>
      <c r="F44" s="3080" t="s">
        <v>2461</v>
      </c>
      <c r="G44" s="3080"/>
    </row>
    <row r="45" spans="1:7" ht="19.5" customHeight="1">
      <c r="A45" s="3809"/>
      <c r="B45" s="3800" t="s">
        <v>2613</v>
      </c>
      <c r="C45" s="3081" t="s">
        <v>2462</v>
      </c>
      <c r="D45" s="3082"/>
      <c r="E45" s="3083">
        <v>1</v>
      </c>
      <c r="F45" s="3080" t="s">
        <v>2463</v>
      </c>
      <c r="G45" s="3080"/>
    </row>
    <row r="46" spans="1:7" ht="19.5" customHeight="1">
      <c r="A46" s="3809"/>
      <c r="B46" s="3802"/>
      <c r="C46" s="3081" t="s">
        <v>2464</v>
      </c>
      <c r="D46" s="3082"/>
      <c r="E46" s="3083">
        <v>1</v>
      </c>
      <c r="F46" s="3080" t="s">
        <v>2465</v>
      </c>
      <c r="G46" s="3080"/>
    </row>
    <row r="47" spans="1:7" ht="19.5" customHeight="1">
      <c r="A47" s="3809"/>
      <c r="B47" s="3802"/>
      <c r="C47" s="3081" t="s">
        <v>2466</v>
      </c>
      <c r="D47" s="3082"/>
      <c r="E47" s="3083">
        <v>1</v>
      </c>
      <c r="F47" s="3080" t="s">
        <v>2467</v>
      </c>
      <c r="G47" s="3080"/>
    </row>
    <row r="48" spans="1:7" ht="19.5" customHeight="1">
      <c r="A48" s="3809"/>
      <c r="B48" s="3802"/>
      <c r="C48" s="3081" t="s">
        <v>2468</v>
      </c>
      <c r="D48" s="3082"/>
      <c r="E48" s="3083">
        <v>1</v>
      </c>
      <c r="F48" s="3080" t="s">
        <v>2469</v>
      </c>
      <c r="G48" s="3080"/>
    </row>
    <row r="49" spans="1:7" ht="19.5" customHeight="1">
      <c r="A49" s="3809"/>
      <c r="B49" s="3802"/>
      <c r="C49" s="3081" t="s">
        <v>2470</v>
      </c>
      <c r="D49" s="3082"/>
      <c r="E49" s="3083">
        <v>1</v>
      </c>
      <c r="F49" s="3080" t="s">
        <v>2471</v>
      </c>
      <c r="G49" s="3080"/>
    </row>
    <row r="50" spans="1:7" ht="19.5" customHeight="1">
      <c r="A50" s="3809"/>
      <c r="B50" s="3802"/>
      <c r="C50" s="3081" t="s">
        <v>2472</v>
      </c>
      <c r="D50" s="3082"/>
      <c r="E50" s="3083">
        <v>1</v>
      </c>
      <c r="F50" s="3080" t="s">
        <v>2473</v>
      </c>
      <c r="G50" s="3080"/>
    </row>
    <row r="51" spans="1:7" ht="19.5" customHeight="1" thickBot="1">
      <c r="A51" s="3810"/>
      <c r="B51" s="3804"/>
      <c r="C51" s="3084" t="s">
        <v>2474</v>
      </c>
      <c r="D51" s="3085"/>
      <c r="E51" s="3086">
        <v>1</v>
      </c>
      <c r="F51" s="3080" t="s">
        <v>2475</v>
      </c>
      <c r="G51" s="3080"/>
    </row>
    <row r="52" spans="1:7" ht="19.5" customHeight="1">
      <c r="A52" s="3093"/>
      <c r="B52" s="3093"/>
      <c r="C52" s="3093"/>
      <c r="D52" s="3093"/>
      <c r="E52" s="3093"/>
      <c r="F52" s="3093"/>
      <c r="G52" s="3093"/>
    </row>
    <row r="54" spans="1:7" ht="19.5" customHeight="1">
      <c r="A54" s="3094"/>
      <c r="B54" s="3066" t="s">
        <v>2614</v>
      </c>
      <c r="C54" s="3066" t="s">
        <v>2614</v>
      </c>
      <c r="D54" s="3066" t="s">
        <v>2614</v>
      </c>
      <c r="E54" s="3069" t="s">
        <v>2614</v>
      </c>
      <c r="F54" s="3069" t="s">
        <v>2615</v>
      </c>
      <c r="G54" s="3069" t="s">
        <v>2616</v>
      </c>
    </row>
    <row r="55" spans="1:7" ht="19.5" customHeight="1">
      <c r="A55" s="3095"/>
      <c r="B55" s="3069" t="s">
        <v>2583</v>
      </c>
      <c r="C55" s="3069" t="s">
        <v>2583</v>
      </c>
      <c r="D55" s="3069" t="s">
        <v>2583</v>
      </c>
      <c r="E55" s="3066" t="s">
        <v>2584</v>
      </c>
      <c r="F55" s="3066" t="s">
        <v>2586</v>
      </c>
      <c r="G55" s="3066" t="s">
        <v>2617</v>
      </c>
    </row>
    <row r="56" spans="1:7" ht="19.5" customHeight="1">
      <c r="A56" s="3096"/>
      <c r="B56" s="3066">
        <v>1</v>
      </c>
      <c r="C56" s="3066">
        <v>2</v>
      </c>
      <c r="D56" s="3066">
        <v>3</v>
      </c>
      <c r="E56" s="3097" t="s">
        <v>2618</v>
      </c>
      <c r="F56" s="3097" t="s">
        <v>2618</v>
      </c>
      <c r="G56" s="3097" t="s">
        <v>2618</v>
      </c>
    </row>
    <row r="57" spans="1:7" ht="19.5" customHeight="1">
      <c r="A57" s="3098" t="s">
        <v>2571</v>
      </c>
      <c r="B57" s="3066">
        <v>0.7</v>
      </c>
      <c r="C57" s="3066">
        <v>0.4</v>
      </c>
      <c r="D57" s="3066">
        <v>0.3</v>
      </c>
      <c r="E57" s="3097">
        <v>0.3</v>
      </c>
      <c r="F57" s="3066">
        <v>0.3</v>
      </c>
      <c r="G57" s="3066">
        <v>0.2</v>
      </c>
    </row>
    <row r="58" spans="1:7" ht="19.5" customHeight="1">
      <c r="A58" s="3098" t="s">
        <v>2572</v>
      </c>
      <c r="B58" s="3066">
        <v>0.7</v>
      </c>
      <c r="C58" s="3066">
        <v>0.4</v>
      </c>
      <c r="D58" s="3066">
        <v>0.3</v>
      </c>
      <c r="E58" s="3066">
        <v>0.3</v>
      </c>
      <c r="F58" s="3066">
        <v>0.3</v>
      </c>
      <c r="G58" s="3066">
        <v>0.2</v>
      </c>
    </row>
    <row r="59" spans="1:7" ht="19.5" customHeight="1">
      <c r="A59" s="3098" t="s">
        <v>2573</v>
      </c>
      <c r="B59" s="3066">
        <v>0.6</v>
      </c>
      <c r="C59" s="3066">
        <v>0.3</v>
      </c>
      <c r="D59" s="3066">
        <v>0.25</v>
      </c>
      <c r="E59" s="3066">
        <v>0.25</v>
      </c>
      <c r="F59" s="3066">
        <v>0.25</v>
      </c>
      <c r="G59" s="3066">
        <v>0.15</v>
      </c>
    </row>
    <row r="60" spans="1:7" ht="19.5" customHeight="1">
      <c r="A60" s="3098" t="s">
        <v>2574</v>
      </c>
      <c r="B60" s="3066">
        <v>0.6</v>
      </c>
      <c r="C60" s="3066">
        <v>0.3</v>
      </c>
      <c r="D60" s="3066">
        <v>0.25</v>
      </c>
      <c r="E60" s="3066">
        <v>0.25</v>
      </c>
      <c r="F60" s="3066">
        <v>0.25</v>
      </c>
      <c r="G60" s="3066">
        <v>0.15</v>
      </c>
    </row>
    <row r="61" spans="1:7" ht="19.5" customHeight="1">
      <c r="A61" s="3098" t="s">
        <v>2575</v>
      </c>
      <c r="B61" s="3066">
        <v>0.6</v>
      </c>
      <c r="C61" s="3066">
        <v>0.3</v>
      </c>
      <c r="D61" s="3066">
        <v>0.25</v>
      </c>
      <c r="E61" s="3066">
        <v>0.25</v>
      </c>
      <c r="F61" s="3066">
        <v>0.25</v>
      </c>
      <c r="G61" s="3066">
        <v>0.15</v>
      </c>
    </row>
    <row r="62" spans="1:7" ht="19.5" customHeight="1">
      <c r="A62" s="3098" t="s">
        <v>2576</v>
      </c>
      <c r="B62" s="3066">
        <v>0.6</v>
      </c>
      <c r="C62" s="3066">
        <v>0.3</v>
      </c>
      <c r="D62" s="3066">
        <v>0.25</v>
      </c>
      <c r="E62" s="3066">
        <v>0.25</v>
      </c>
      <c r="F62" s="3066">
        <v>0.25</v>
      </c>
      <c r="G62" s="3066">
        <v>0.15</v>
      </c>
    </row>
    <row r="63" spans="1:7" ht="19.5" customHeight="1">
      <c r="A63" s="3098" t="s">
        <v>2577</v>
      </c>
      <c r="B63" s="3066">
        <v>0.6</v>
      </c>
      <c r="C63" s="3066">
        <v>0.3</v>
      </c>
      <c r="D63" s="3066">
        <v>0.25</v>
      </c>
      <c r="E63" s="3066">
        <v>0.25</v>
      </c>
      <c r="F63" s="3066">
        <v>0.25</v>
      </c>
      <c r="G63" s="3066">
        <v>0.15</v>
      </c>
    </row>
    <row r="64" spans="1:7" ht="19.5" customHeight="1">
      <c r="A64" s="3098" t="s">
        <v>2578</v>
      </c>
      <c r="B64" s="3066">
        <v>0.5</v>
      </c>
      <c r="C64" s="3066">
        <v>0.2</v>
      </c>
      <c r="D64" s="3066">
        <v>0.2</v>
      </c>
      <c r="E64" s="3066">
        <v>0.2</v>
      </c>
      <c r="F64" s="3066">
        <v>0.2</v>
      </c>
      <c r="G64" s="3066">
        <v>0.1</v>
      </c>
    </row>
    <row r="65" spans="1:7" ht="19.5" customHeight="1">
      <c r="A65" s="3098" t="s">
        <v>2579</v>
      </c>
      <c r="B65" s="3066">
        <v>0.5</v>
      </c>
      <c r="C65" s="3066">
        <v>0.2</v>
      </c>
      <c r="D65" s="3066">
        <v>0.2</v>
      </c>
      <c r="E65" s="3066">
        <v>0.2</v>
      </c>
      <c r="F65" s="3066">
        <v>0.2</v>
      </c>
      <c r="G65" s="3066">
        <v>0.1</v>
      </c>
    </row>
    <row r="66" spans="1:7" ht="19.5" customHeight="1">
      <c r="A66" s="3098" t="s">
        <v>2580</v>
      </c>
      <c r="B66" s="3066">
        <v>0.5</v>
      </c>
      <c r="C66" s="3066">
        <v>0.2</v>
      </c>
      <c r="D66" s="3066">
        <v>0.2</v>
      </c>
      <c r="E66" s="3066">
        <v>0.2</v>
      </c>
      <c r="F66" s="3066">
        <v>0.2</v>
      </c>
      <c r="G66" s="3066">
        <v>0.1</v>
      </c>
    </row>
    <row r="67" spans="1:7" ht="19.5" customHeight="1">
      <c r="A67" s="3098" t="s">
        <v>2581</v>
      </c>
      <c r="B67" s="3066">
        <v>0.5</v>
      </c>
      <c r="C67" s="3066">
        <v>0.2</v>
      </c>
      <c r="D67" s="3066">
        <v>0.2</v>
      </c>
      <c r="E67" s="3066">
        <v>0.2</v>
      </c>
      <c r="F67" s="3066">
        <v>0.2</v>
      </c>
      <c r="G67" s="3066">
        <v>0.1</v>
      </c>
    </row>
    <row r="68" spans="1:7" ht="19.5" customHeight="1">
      <c r="A68" s="3098" t="s">
        <v>2582</v>
      </c>
      <c r="B68" s="3066">
        <v>0.5</v>
      </c>
      <c r="C68" s="3066">
        <v>0.2</v>
      </c>
      <c r="D68" s="3066">
        <v>0.2</v>
      </c>
      <c r="E68" s="3066">
        <v>0.2</v>
      </c>
      <c r="F68" s="3066">
        <v>0.2</v>
      </c>
      <c r="G68" s="3066">
        <v>0.1</v>
      </c>
    </row>
    <row r="70" spans="1:7" ht="19.5" customHeight="1">
      <c r="A70" s="3099"/>
      <c r="B70" s="3100"/>
      <c r="C70" s="3100"/>
      <c r="D70" s="3100" t="s">
        <v>2619</v>
      </c>
      <c r="E70" s="3100"/>
      <c r="F70" s="3100"/>
    </row>
    <row r="71" spans="1:7" ht="19.5" customHeight="1">
      <c r="A71" s="3092" t="s">
        <v>2620</v>
      </c>
      <c r="B71" s="3092" t="s">
        <v>2621</v>
      </c>
      <c r="C71" s="3092" t="s">
        <v>2622</v>
      </c>
      <c r="D71" s="3092" t="s">
        <v>2623</v>
      </c>
      <c r="E71" s="3092" t="s">
        <v>2624</v>
      </c>
      <c r="F71" s="3092" t="s">
        <v>2625</v>
      </c>
    </row>
    <row r="72" spans="1:7" ht="13.5">
      <c r="A72" s="3092"/>
      <c r="B72" s="3092"/>
      <c r="C72" s="3092" t="s">
        <v>2626</v>
      </c>
      <c r="D72" s="3092"/>
      <c r="E72" s="3092" t="s">
        <v>2597</v>
      </c>
      <c r="F72" s="3092" t="s">
        <v>2597</v>
      </c>
    </row>
    <row r="73" spans="1:7" ht="13.5">
      <c r="A73" s="3092">
        <v>1</v>
      </c>
      <c r="B73" s="3800" t="s">
        <v>2627</v>
      </c>
      <c r="C73" s="3066" t="s">
        <v>2628</v>
      </c>
      <c r="D73" s="3066" t="s">
        <v>2629</v>
      </c>
      <c r="E73" s="3092">
        <v>0.2</v>
      </c>
      <c r="F73" s="3092">
        <v>25</v>
      </c>
    </row>
    <row r="74" spans="1:7" ht="24">
      <c r="A74" s="3092">
        <v>2</v>
      </c>
      <c r="B74" s="3802"/>
      <c r="C74" s="3066" t="s">
        <v>2630</v>
      </c>
      <c r="D74" s="3066" t="s">
        <v>2631</v>
      </c>
      <c r="E74" s="3092">
        <v>0.2</v>
      </c>
      <c r="F74" s="3092">
        <v>25</v>
      </c>
    </row>
    <row r="75" spans="1:7" ht="24">
      <c r="A75" s="3092">
        <v>3</v>
      </c>
      <c r="B75" s="3802"/>
      <c r="C75" s="3066" t="s">
        <v>2632</v>
      </c>
      <c r="D75" s="3066" t="s">
        <v>2633</v>
      </c>
      <c r="E75" s="3092">
        <v>0.2</v>
      </c>
      <c r="F75" s="3092">
        <v>25</v>
      </c>
    </row>
    <row r="76" spans="1:7" ht="13.5">
      <c r="A76" s="3092">
        <v>4</v>
      </c>
      <c r="B76" s="3802"/>
      <c r="C76" s="3066" t="s">
        <v>2634</v>
      </c>
      <c r="D76" s="3066" t="s">
        <v>2635</v>
      </c>
      <c r="E76" s="3092">
        <v>0.15</v>
      </c>
      <c r="F76" s="3092">
        <v>20</v>
      </c>
    </row>
    <row r="77" spans="1:7" ht="24">
      <c r="A77" s="3092">
        <v>5</v>
      </c>
      <c r="B77" s="3802"/>
      <c r="C77" s="3066" t="s">
        <v>2636</v>
      </c>
      <c r="D77" s="3066" t="s">
        <v>2637</v>
      </c>
      <c r="E77" s="3092">
        <v>0.15</v>
      </c>
      <c r="F77" s="3092">
        <v>20</v>
      </c>
    </row>
    <row r="78" spans="1:7" ht="24">
      <c r="A78" s="3092">
        <v>6</v>
      </c>
      <c r="B78" s="3802"/>
      <c r="C78" s="3066" t="s">
        <v>2638</v>
      </c>
      <c r="D78" s="3066" t="s">
        <v>2639</v>
      </c>
      <c r="E78" s="3092">
        <v>0.15</v>
      </c>
      <c r="F78" s="3092">
        <v>20</v>
      </c>
    </row>
    <row r="79" spans="1:7" ht="24">
      <c r="A79" s="3092">
        <v>7</v>
      </c>
      <c r="B79" s="3802"/>
      <c r="C79" s="3066" t="s">
        <v>2640</v>
      </c>
      <c r="D79" s="3066" t="s">
        <v>2641</v>
      </c>
      <c r="E79" s="3092">
        <v>0.15</v>
      </c>
      <c r="F79" s="3092">
        <v>20</v>
      </c>
    </row>
    <row r="80" spans="1:7" ht="24">
      <c r="A80" s="3092">
        <v>8</v>
      </c>
      <c r="B80" s="3802"/>
      <c r="C80" s="3066" t="s">
        <v>2642</v>
      </c>
      <c r="D80" s="3066" t="s">
        <v>2643</v>
      </c>
      <c r="E80" s="3092">
        <v>0.1</v>
      </c>
      <c r="F80" s="3092">
        <v>15</v>
      </c>
    </row>
    <row r="81" spans="1:6" ht="24">
      <c r="A81" s="3092">
        <v>9</v>
      </c>
      <c r="B81" s="3802"/>
      <c r="C81" s="3066" t="s">
        <v>2644</v>
      </c>
      <c r="D81" s="3066" t="s">
        <v>2645</v>
      </c>
      <c r="E81" s="3092">
        <v>0.1</v>
      </c>
      <c r="F81" s="3092">
        <v>15</v>
      </c>
    </row>
    <row r="82" spans="1:6" ht="24">
      <c r="A82" s="3092">
        <v>10</v>
      </c>
      <c r="B82" s="3802"/>
      <c r="C82" s="3066" t="s">
        <v>2646</v>
      </c>
      <c r="D82" s="3066" t="s">
        <v>2647</v>
      </c>
      <c r="E82" s="3092">
        <v>0.1</v>
      </c>
      <c r="F82" s="3092">
        <v>15</v>
      </c>
    </row>
    <row r="83" spans="1:6" ht="24">
      <c r="A83" s="3092">
        <v>11</v>
      </c>
      <c r="B83" s="3802"/>
      <c r="C83" s="3066" t="s">
        <v>2648</v>
      </c>
      <c r="D83" s="3066" t="s">
        <v>2649</v>
      </c>
      <c r="E83" s="3092">
        <v>0.1</v>
      </c>
      <c r="F83" s="3092">
        <v>15</v>
      </c>
    </row>
    <row r="84" spans="1:6" ht="24">
      <c r="A84" s="3092">
        <v>12</v>
      </c>
      <c r="B84" s="3802"/>
      <c r="C84" s="3066" t="s">
        <v>2650</v>
      </c>
      <c r="D84" s="3066" t="s">
        <v>2651</v>
      </c>
      <c r="E84" s="3092">
        <v>0.1</v>
      </c>
      <c r="F84" s="3092">
        <v>15</v>
      </c>
    </row>
    <row r="85" spans="1:6" ht="13.5">
      <c r="A85" s="3092">
        <v>13</v>
      </c>
      <c r="B85" s="3802"/>
      <c r="C85" s="3066" t="s">
        <v>2652</v>
      </c>
      <c r="D85" s="3066" t="s">
        <v>2653</v>
      </c>
      <c r="E85" s="3092">
        <v>0.1</v>
      </c>
      <c r="F85" s="3092">
        <v>15</v>
      </c>
    </row>
    <row r="86" spans="1:6" ht="13.5">
      <c r="A86" s="3092">
        <v>14</v>
      </c>
      <c r="B86" s="3802"/>
      <c r="C86" s="3066" t="s">
        <v>2654</v>
      </c>
      <c r="D86" s="3066" t="s">
        <v>2655</v>
      </c>
      <c r="E86" s="3092">
        <v>0.1</v>
      </c>
      <c r="F86" s="3092">
        <v>15</v>
      </c>
    </row>
    <row r="87" spans="1:6" ht="13.5">
      <c r="A87" s="3092">
        <v>15</v>
      </c>
      <c r="B87" s="3802"/>
      <c r="C87" s="3066" t="s">
        <v>2656</v>
      </c>
      <c r="D87" s="3066" t="s">
        <v>2657</v>
      </c>
      <c r="E87" s="3092">
        <v>0.1</v>
      </c>
      <c r="F87" s="3092">
        <v>15</v>
      </c>
    </row>
    <row r="88" spans="1:6" ht="24">
      <c r="A88" s="3092">
        <v>16</v>
      </c>
      <c r="B88" s="3802"/>
      <c r="C88" s="3066" t="s">
        <v>2658</v>
      </c>
      <c r="D88" s="3066" t="s">
        <v>2659</v>
      </c>
      <c r="E88" s="3092">
        <v>0.1</v>
      </c>
      <c r="F88" s="3092">
        <v>15</v>
      </c>
    </row>
    <row r="89" spans="1:6" ht="24">
      <c r="A89" s="3092">
        <v>17</v>
      </c>
      <c r="B89" s="3801"/>
      <c r="C89" s="3066" t="s">
        <v>2660</v>
      </c>
      <c r="D89" s="3066" t="s">
        <v>2661</v>
      </c>
      <c r="E89" s="3092">
        <v>0.1</v>
      </c>
      <c r="F89" s="3092">
        <v>15</v>
      </c>
    </row>
    <row r="90" spans="1:6" ht="13.5">
      <c r="A90" s="3092">
        <v>18</v>
      </c>
      <c r="B90" s="3800" t="s">
        <v>2662</v>
      </c>
      <c r="C90" s="3066" t="s">
        <v>2663</v>
      </c>
      <c r="D90" s="3066" t="s">
        <v>2664</v>
      </c>
      <c r="E90" s="3092">
        <v>0.2</v>
      </c>
      <c r="F90" s="3092">
        <v>25</v>
      </c>
    </row>
    <row r="91" spans="1:6" ht="24">
      <c r="A91" s="3092">
        <v>19</v>
      </c>
      <c r="B91" s="3802"/>
      <c r="C91" s="3066" t="s">
        <v>2665</v>
      </c>
      <c r="D91" s="3066" t="s">
        <v>2666</v>
      </c>
      <c r="E91" s="3092">
        <v>0.2</v>
      </c>
      <c r="F91" s="3092">
        <v>25</v>
      </c>
    </row>
    <row r="92" spans="1:6" ht="13.5">
      <c r="A92" s="3092">
        <v>20</v>
      </c>
      <c r="B92" s="3802"/>
      <c r="C92" s="3066" t="s">
        <v>2667</v>
      </c>
      <c r="D92" s="3066" t="s">
        <v>2668</v>
      </c>
      <c r="E92" s="3092">
        <v>0.15</v>
      </c>
      <c r="F92" s="3092">
        <v>20</v>
      </c>
    </row>
    <row r="93" spans="1:6" ht="13.5">
      <c r="A93" s="3092">
        <v>21</v>
      </c>
      <c r="B93" s="3802"/>
      <c r="C93" s="3066" t="s">
        <v>2669</v>
      </c>
      <c r="D93" s="3066" t="s">
        <v>2670</v>
      </c>
      <c r="E93" s="3092">
        <v>0.15</v>
      </c>
      <c r="F93" s="3092">
        <v>20</v>
      </c>
    </row>
    <row r="94" spans="1:6" ht="13.5">
      <c r="A94" s="3092">
        <v>22</v>
      </c>
      <c r="B94" s="3802"/>
      <c r="C94" s="3066" t="s">
        <v>2671</v>
      </c>
      <c r="D94" s="3066" t="s">
        <v>2672</v>
      </c>
      <c r="E94" s="3092">
        <v>0.15</v>
      </c>
      <c r="F94" s="3092">
        <v>20</v>
      </c>
    </row>
    <row r="95" spans="1:6" ht="36">
      <c r="A95" s="3092">
        <v>23</v>
      </c>
      <c r="B95" s="3802"/>
      <c r="C95" s="3066" t="s">
        <v>2673</v>
      </c>
      <c r="D95" s="3066" t="s">
        <v>2674</v>
      </c>
      <c r="E95" s="3092">
        <v>0.15</v>
      </c>
      <c r="F95" s="3092">
        <v>20</v>
      </c>
    </row>
    <row r="96" spans="1:6" ht="13.5">
      <c r="A96" s="3092">
        <v>24</v>
      </c>
      <c r="B96" s="3802"/>
      <c r="C96" s="3066" t="s">
        <v>2675</v>
      </c>
      <c r="D96" s="3066" t="s">
        <v>2676</v>
      </c>
      <c r="E96" s="3092">
        <v>0.1</v>
      </c>
      <c r="F96" s="3092">
        <v>15</v>
      </c>
    </row>
    <row r="97" spans="1:6" ht="13.5">
      <c r="A97" s="3092">
        <v>25</v>
      </c>
      <c r="B97" s="3802"/>
      <c r="C97" s="3066" t="s">
        <v>2677</v>
      </c>
      <c r="D97" s="3066" t="s">
        <v>2678</v>
      </c>
      <c r="E97" s="3092">
        <v>0.1</v>
      </c>
      <c r="F97" s="3092">
        <v>15</v>
      </c>
    </row>
    <row r="98" spans="1:6" ht="24">
      <c r="A98" s="3092">
        <v>26</v>
      </c>
      <c r="B98" s="3802"/>
      <c r="C98" s="3066" t="s">
        <v>2679</v>
      </c>
      <c r="D98" s="3066" t="s">
        <v>2680</v>
      </c>
      <c r="E98" s="3092">
        <v>0.1</v>
      </c>
      <c r="F98" s="3092">
        <v>15</v>
      </c>
    </row>
    <row r="99" spans="1:6" ht="24">
      <c r="A99" s="3092">
        <v>27</v>
      </c>
      <c r="B99" s="3802"/>
      <c r="C99" s="3066" t="s">
        <v>2681</v>
      </c>
      <c r="D99" s="3066" t="s">
        <v>2682</v>
      </c>
      <c r="E99" s="3092">
        <v>0.1</v>
      </c>
      <c r="F99" s="3092">
        <v>15</v>
      </c>
    </row>
    <row r="100" spans="1:6" ht="13.5">
      <c r="A100" s="3092">
        <v>28</v>
      </c>
      <c r="B100" s="3802"/>
      <c r="C100" s="3066" t="s">
        <v>2683</v>
      </c>
      <c r="D100" s="3066" t="s">
        <v>2684</v>
      </c>
      <c r="E100" s="3092">
        <v>0.1</v>
      </c>
      <c r="F100" s="3092">
        <v>15</v>
      </c>
    </row>
    <row r="101" spans="1:6" ht="13.5">
      <c r="A101" s="3092">
        <v>29</v>
      </c>
      <c r="B101" s="3802"/>
      <c r="C101" s="3066" t="s">
        <v>2685</v>
      </c>
      <c r="D101" s="3066" t="s">
        <v>2686</v>
      </c>
      <c r="E101" s="3092">
        <v>0.1</v>
      </c>
      <c r="F101" s="3092">
        <v>15</v>
      </c>
    </row>
    <row r="102" spans="1:6" ht="13.5">
      <c r="A102" s="3092">
        <v>30</v>
      </c>
      <c r="B102" s="3802"/>
      <c r="C102" s="3066" t="s">
        <v>2687</v>
      </c>
      <c r="D102" s="3066" t="s">
        <v>2688</v>
      </c>
      <c r="E102" s="3092">
        <v>0.1</v>
      </c>
      <c r="F102" s="3092">
        <v>15</v>
      </c>
    </row>
    <row r="103" spans="1:6" ht="24">
      <c r="A103" s="3092">
        <v>31</v>
      </c>
      <c r="B103" s="3802"/>
      <c r="C103" s="3066" t="s">
        <v>2689</v>
      </c>
      <c r="D103" s="3066" t="s">
        <v>2690</v>
      </c>
      <c r="E103" s="3092">
        <v>0.1</v>
      </c>
      <c r="F103" s="3092">
        <v>15</v>
      </c>
    </row>
    <row r="104" spans="1:6" ht="24">
      <c r="A104" s="3092">
        <v>32</v>
      </c>
      <c r="B104" s="3802"/>
      <c r="C104" s="3066" t="s">
        <v>2691</v>
      </c>
      <c r="D104" s="3066" t="s">
        <v>2692</v>
      </c>
      <c r="E104" s="3092">
        <v>0.1</v>
      </c>
      <c r="F104" s="3092">
        <v>15</v>
      </c>
    </row>
    <row r="105" spans="1:6" ht="24">
      <c r="A105" s="3092">
        <v>33</v>
      </c>
      <c r="B105" s="3802"/>
      <c r="C105" s="3066" t="s">
        <v>2693</v>
      </c>
      <c r="D105" s="3066" t="s">
        <v>2694</v>
      </c>
      <c r="E105" s="3092">
        <v>0.1</v>
      </c>
      <c r="F105" s="3092">
        <v>15</v>
      </c>
    </row>
    <row r="106" spans="1:6" ht="24">
      <c r="A106" s="3092">
        <v>34</v>
      </c>
      <c r="B106" s="3801"/>
      <c r="C106" s="3066" t="s">
        <v>2695</v>
      </c>
      <c r="D106" s="3066" t="s">
        <v>2696</v>
      </c>
      <c r="E106" s="3092">
        <v>0.1</v>
      </c>
      <c r="F106" s="3092">
        <v>15</v>
      </c>
    </row>
    <row r="107" spans="1:6" ht="24">
      <c r="A107" s="3092">
        <v>35</v>
      </c>
      <c r="B107" s="3800" t="s">
        <v>2697</v>
      </c>
      <c r="C107" s="3092" t="s">
        <v>2698</v>
      </c>
      <c r="D107" s="3066" t="s">
        <v>2699</v>
      </c>
      <c r="E107" s="3092">
        <v>0.15</v>
      </c>
      <c r="F107" s="3092">
        <v>20</v>
      </c>
    </row>
    <row r="108" spans="1:6" ht="13.5">
      <c r="A108" s="3092">
        <v>36</v>
      </c>
      <c r="B108" s="3802"/>
      <c r="C108" s="3092" t="s">
        <v>2700</v>
      </c>
      <c r="D108" s="3066" t="s">
        <v>2701</v>
      </c>
      <c r="E108" s="3092">
        <v>0.15</v>
      </c>
      <c r="F108" s="3092">
        <v>20</v>
      </c>
    </row>
    <row r="109" spans="1:6" ht="13.5">
      <c r="A109" s="3092">
        <v>37</v>
      </c>
      <c r="B109" s="3802"/>
      <c r="C109" s="3092" t="s">
        <v>2702</v>
      </c>
      <c r="D109" s="3066" t="s">
        <v>2703</v>
      </c>
      <c r="E109" s="3092">
        <v>0.15</v>
      </c>
      <c r="F109" s="3092">
        <v>20</v>
      </c>
    </row>
    <row r="110" spans="1:6" ht="13.5">
      <c r="A110" s="3092">
        <v>38</v>
      </c>
      <c r="B110" s="3802"/>
      <c r="C110" s="3092" t="s">
        <v>2704</v>
      </c>
      <c r="D110" s="3066" t="s">
        <v>2705</v>
      </c>
      <c r="E110" s="3092">
        <v>0.1</v>
      </c>
      <c r="F110" s="3092">
        <v>15</v>
      </c>
    </row>
    <row r="111" spans="1:6" ht="24">
      <c r="A111" s="3092">
        <v>39</v>
      </c>
      <c r="B111" s="3802"/>
      <c r="C111" s="3092" t="s">
        <v>2706</v>
      </c>
      <c r="D111" s="3066" t="s">
        <v>2707</v>
      </c>
      <c r="E111" s="3092">
        <v>0.1</v>
      </c>
      <c r="F111" s="3092">
        <v>15</v>
      </c>
    </row>
    <row r="112" spans="1:6" ht="24">
      <c r="A112" s="3092">
        <v>40</v>
      </c>
      <c r="B112" s="3801"/>
      <c r="C112" s="3092" t="s">
        <v>2708</v>
      </c>
      <c r="D112" s="3066" t="s">
        <v>2709</v>
      </c>
      <c r="E112" s="3092">
        <v>0.1</v>
      </c>
      <c r="F112" s="3092">
        <v>15</v>
      </c>
    </row>
    <row r="113" spans="1:6" ht="13.5">
      <c r="A113" s="3092">
        <v>41</v>
      </c>
      <c r="B113" s="3799" t="s">
        <v>2710</v>
      </c>
      <c r="C113" s="3092" t="s">
        <v>2711</v>
      </c>
      <c r="D113" s="3066" t="s">
        <v>2712</v>
      </c>
      <c r="E113" s="3092">
        <v>0.1</v>
      </c>
      <c r="F113" s="3092">
        <v>15</v>
      </c>
    </row>
    <row r="114" spans="1:6" ht="13.5">
      <c r="A114" s="3092">
        <v>42</v>
      </c>
      <c r="B114" s="3799"/>
      <c r="C114" s="3092" t="s">
        <v>2713</v>
      </c>
      <c r="D114" s="3066" t="s">
        <v>2714</v>
      </c>
      <c r="E114" s="3092">
        <v>0.1</v>
      </c>
      <c r="F114" s="3092">
        <v>15</v>
      </c>
    </row>
    <row r="115" spans="1:6" ht="24">
      <c r="A115" s="3092">
        <v>43</v>
      </c>
      <c r="B115" s="3799"/>
      <c r="C115" s="3092" t="s">
        <v>2715</v>
      </c>
      <c r="D115" s="3066" t="s">
        <v>2716</v>
      </c>
      <c r="E115" s="3092">
        <v>0.1</v>
      </c>
      <c r="F115" s="3092">
        <v>15</v>
      </c>
    </row>
    <row r="116" spans="1:6" ht="13.5">
      <c r="A116" s="3092">
        <v>44</v>
      </c>
      <c r="B116" s="3800" t="s">
        <v>2717</v>
      </c>
      <c r="C116" s="3092" t="s">
        <v>2718</v>
      </c>
      <c r="D116" s="3066" t="s">
        <v>2719</v>
      </c>
      <c r="E116" s="3092">
        <v>0.1</v>
      </c>
      <c r="F116" s="3092">
        <v>15</v>
      </c>
    </row>
    <row r="117" spans="1:6" ht="24">
      <c r="A117" s="3092">
        <v>45</v>
      </c>
      <c r="B117" s="3801"/>
      <c r="C117" s="3066" t="s">
        <v>2720</v>
      </c>
      <c r="D117" s="3066" t="s">
        <v>2721</v>
      </c>
      <c r="E117" s="3092">
        <v>0.1</v>
      </c>
      <c r="F117" s="3092">
        <v>15</v>
      </c>
    </row>
    <row r="118" spans="1:6" ht="24">
      <c r="A118" s="3092">
        <v>46</v>
      </c>
      <c r="B118" s="3800" t="s">
        <v>2722</v>
      </c>
      <c r="C118" s="3092" t="s">
        <v>2723</v>
      </c>
      <c r="D118" s="3066" t="s">
        <v>2724</v>
      </c>
      <c r="E118" s="3092">
        <v>0.1</v>
      </c>
      <c r="F118" s="3092">
        <v>15</v>
      </c>
    </row>
    <row r="119" spans="1:6" ht="24">
      <c r="A119" s="3092">
        <v>47</v>
      </c>
      <c r="B119" s="3801"/>
      <c r="C119" s="3092" t="s">
        <v>2725</v>
      </c>
      <c r="D119" s="3066" t="s">
        <v>2726</v>
      </c>
      <c r="E119" s="3092">
        <v>0.1</v>
      </c>
      <c r="F119" s="3092">
        <v>15</v>
      </c>
    </row>
    <row r="120" spans="1:6" ht="13.5">
      <c r="A120" s="3092">
        <v>48</v>
      </c>
      <c r="B120" s="3800" t="s">
        <v>2727</v>
      </c>
      <c r="C120" s="3092" t="s">
        <v>2728</v>
      </c>
      <c r="D120" s="3066" t="s">
        <v>2729</v>
      </c>
      <c r="E120" s="3092">
        <v>0.1</v>
      </c>
      <c r="F120" s="3092">
        <v>15</v>
      </c>
    </row>
    <row r="121" spans="1:6" ht="13.5">
      <c r="A121" s="3092">
        <v>49</v>
      </c>
      <c r="B121" s="3801"/>
      <c r="C121" s="3092" t="s">
        <v>2730</v>
      </c>
      <c r="D121" s="3066" t="s">
        <v>2731</v>
      </c>
      <c r="E121" s="3092">
        <v>0.1</v>
      </c>
      <c r="F121" s="3092">
        <v>15</v>
      </c>
    </row>
    <row r="122" spans="1:6" ht="24">
      <c r="A122" s="3092">
        <v>50</v>
      </c>
      <c r="B122" s="3799" t="s">
        <v>2732</v>
      </c>
      <c r="C122" s="3092" t="s">
        <v>2733</v>
      </c>
      <c r="D122" s="3066" t="s">
        <v>2734</v>
      </c>
      <c r="E122" s="3092">
        <v>0.1</v>
      </c>
      <c r="F122" s="3092">
        <v>15</v>
      </c>
    </row>
    <row r="123" spans="1:6" ht="24">
      <c r="A123" s="3092">
        <v>51</v>
      </c>
      <c r="B123" s="3799"/>
      <c r="C123" s="3092" t="s">
        <v>2735</v>
      </c>
      <c r="D123" s="3066" t="s">
        <v>2736</v>
      </c>
      <c r="E123" s="3092">
        <v>0.1</v>
      </c>
      <c r="F123" s="3092">
        <v>15</v>
      </c>
    </row>
    <row r="124" spans="1:6" ht="24">
      <c r="A124" s="3092">
        <v>52</v>
      </c>
      <c r="B124" s="3799" t="s">
        <v>2737</v>
      </c>
      <c r="C124" s="3092" t="s">
        <v>2738</v>
      </c>
      <c r="D124" s="3066" t="s">
        <v>2739</v>
      </c>
      <c r="E124" s="3092">
        <v>0.1</v>
      </c>
      <c r="F124" s="3092">
        <v>15</v>
      </c>
    </row>
    <row r="125" spans="1:6" ht="24">
      <c r="A125" s="3092">
        <v>53</v>
      </c>
      <c r="B125" s="3799"/>
      <c r="C125" s="3092" t="s">
        <v>2740</v>
      </c>
      <c r="D125" s="3066" t="s">
        <v>2741</v>
      </c>
      <c r="E125" s="3092">
        <v>0.1</v>
      </c>
      <c r="F125" s="3092">
        <v>15</v>
      </c>
    </row>
    <row r="126" spans="1:6" ht="13.5">
      <c r="A126" s="3092">
        <v>54</v>
      </c>
      <c r="B126" s="3092" t="s">
        <v>2742</v>
      </c>
      <c r="C126" s="3092" t="s">
        <v>2743</v>
      </c>
      <c r="D126" s="3066" t="s">
        <v>2744</v>
      </c>
      <c r="E126" s="3092">
        <v>0.1</v>
      </c>
      <c r="F126" s="3092">
        <v>15</v>
      </c>
    </row>
    <row r="127" spans="1:6" ht="13.5">
      <c r="A127" s="3092">
        <v>55</v>
      </c>
      <c r="B127" s="3799" t="s">
        <v>2745</v>
      </c>
      <c r="C127" s="3092" t="s">
        <v>2746</v>
      </c>
      <c r="D127" s="3066" t="s">
        <v>2747</v>
      </c>
      <c r="E127" s="3092">
        <v>0.1</v>
      </c>
      <c r="F127" s="3092">
        <v>15</v>
      </c>
    </row>
    <row r="128" spans="1:6" ht="13.5">
      <c r="A128" s="3092">
        <v>56</v>
      </c>
      <c r="B128" s="3799"/>
      <c r="C128" s="3092" t="s">
        <v>2748</v>
      </c>
      <c r="D128" s="3066" t="s">
        <v>2749</v>
      </c>
      <c r="E128" s="3092">
        <v>0.1</v>
      </c>
      <c r="F128" s="3092">
        <v>15</v>
      </c>
    </row>
    <row r="129" spans="1:6" ht="24">
      <c r="A129" s="3092">
        <v>57</v>
      </c>
      <c r="B129" s="3799"/>
      <c r="C129" s="3092" t="s">
        <v>2750</v>
      </c>
      <c r="D129" s="3066" t="s">
        <v>2751</v>
      </c>
      <c r="E129" s="3092">
        <v>0.1</v>
      </c>
      <c r="F129" s="3092">
        <v>15</v>
      </c>
    </row>
    <row r="130" spans="1:6" ht="24">
      <c r="A130" s="3092">
        <v>58</v>
      </c>
      <c r="B130" s="3799" t="s">
        <v>2752</v>
      </c>
      <c r="C130" s="3092" t="s">
        <v>2753</v>
      </c>
      <c r="D130" s="3066" t="s">
        <v>2754</v>
      </c>
      <c r="E130" s="3092">
        <v>0.1</v>
      </c>
      <c r="F130" s="3092">
        <v>15</v>
      </c>
    </row>
    <row r="131" spans="1:6" ht="13.5">
      <c r="A131" s="3092">
        <v>59</v>
      </c>
      <c r="B131" s="3799"/>
      <c r="C131" s="3092" t="s">
        <v>2755</v>
      </c>
      <c r="D131" s="3066" t="s">
        <v>2756</v>
      </c>
      <c r="E131" s="3092">
        <v>0.1</v>
      </c>
      <c r="F131" s="3092">
        <v>15</v>
      </c>
    </row>
    <row r="132" spans="1:6" ht="13.5">
      <c r="A132" s="3092">
        <v>60</v>
      </c>
      <c r="B132" s="3800" t="s">
        <v>2757</v>
      </c>
      <c r="C132" s="3092" t="s">
        <v>2758</v>
      </c>
      <c r="D132" s="3066" t="s">
        <v>2759</v>
      </c>
      <c r="E132" s="3092">
        <v>0.1</v>
      </c>
      <c r="F132" s="3092">
        <v>15</v>
      </c>
    </row>
    <row r="133" spans="1:6" ht="13.5">
      <c r="A133" s="3092">
        <v>61</v>
      </c>
      <c r="B133" s="3801"/>
      <c r="C133" s="3092" t="s">
        <v>2760</v>
      </c>
      <c r="D133" s="3066" t="s">
        <v>2761</v>
      </c>
      <c r="E133" s="3092">
        <v>0.1</v>
      </c>
      <c r="F133" s="3092">
        <v>15</v>
      </c>
    </row>
    <row r="134" spans="1:6" ht="24">
      <c r="A134" s="3092">
        <v>62</v>
      </c>
      <c r="B134" s="3092" t="s">
        <v>2762</v>
      </c>
      <c r="C134" s="3092" t="s">
        <v>2763</v>
      </c>
      <c r="D134" s="3066" t="s">
        <v>2764</v>
      </c>
      <c r="E134" s="3092">
        <v>0.1</v>
      </c>
      <c r="F134" s="3092">
        <v>15</v>
      </c>
    </row>
    <row r="135" spans="1:6" ht="13.5">
      <c r="A135" s="3092">
        <v>63</v>
      </c>
      <c r="B135" s="3799" t="s">
        <v>2765</v>
      </c>
      <c r="C135" s="3092" t="s">
        <v>2766</v>
      </c>
      <c r="D135" s="3066" t="s">
        <v>2767</v>
      </c>
      <c r="E135" s="3092">
        <v>0.1</v>
      </c>
      <c r="F135" s="3092">
        <v>15</v>
      </c>
    </row>
    <row r="136" spans="1:6" ht="13.5">
      <c r="A136" s="3092">
        <v>64</v>
      </c>
      <c r="B136" s="3799"/>
      <c r="C136" s="3092" t="s">
        <v>2768</v>
      </c>
      <c r="D136" s="3066" t="s">
        <v>2769</v>
      </c>
      <c r="E136" s="3092">
        <v>0.1</v>
      </c>
      <c r="F136" s="3092">
        <v>15</v>
      </c>
    </row>
    <row r="137" spans="1:6" ht="13.5">
      <c r="A137" s="3092">
        <v>65</v>
      </c>
      <c r="B137" s="3092" t="s">
        <v>2770</v>
      </c>
      <c r="C137" s="3092" t="s">
        <v>2771</v>
      </c>
      <c r="D137" s="3066" t="s">
        <v>2772</v>
      </c>
      <c r="E137" s="3092">
        <v>0.1</v>
      </c>
      <c r="F137" s="3092">
        <v>15</v>
      </c>
    </row>
    <row r="138" spans="1:6" ht="13.5">
      <c r="A138" s="3092"/>
      <c r="B138" s="3092"/>
      <c r="C138" s="3092"/>
      <c r="D138" s="3092"/>
      <c r="E138" s="3092" t="s">
        <v>2773</v>
      </c>
      <c r="F138" s="3092" t="s">
        <v>2773</v>
      </c>
    </row>
  </sheetData>
  <sheetProtection password="CEE9" sheet="1" objects="1" scenarios="1" formatCells="0" formatColumns="0" formatRows="0"/>
  <mergeCells count="21">
    <mergeCell ref="B20:B25"/>
    <mergeCell ref="A27:A39"/>
    <mergeCell ref="B27:B36"/>
    <mergeCell ref="B37:B39"/>
    <mergeCell ref="A41:A51"/>
    <mergeCell ref="B41:B43"/>
    <mergeCell ref="B45:B51"/>
    <mergeCell ref="A20:A25"/>
    <mergeCell ref="B73:B89"/>
    <mergeCell ref="B90:B106"/>
    <mergeCell ref="B107:B112"/>
    <mergeCell ref="B113:B115"/>
    <mergeCell ref="B116:B117"/>
    <mergeCell ref="B130:B131"/>
    <mergeCell ref="B132:B133"/>
    <mergeCell ref="B135:B136"/>
    <mergeCell ref="B118:B119"/>
    <mergeCell ref="B120:B121"/>
    <mergeCell ref="B122:B123"/>
    <mergeCell ref="B124:B125"/>
    <mergeCell ref="B127:B129"/>
  </mergeCells>
  <phoneticPr fontId="76" type="noConversion"/>
  <pageMargins left="0.7" right="0.7" top="0.75" bottom="0.75" header="0.3" footer="0.3"/>
  <pageSetup paperSize="9" orientation="portrait" r:id="rId1"/>
</worksheet>
</file>

<file path=xl/worksheets/sheet4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U460"/>
  <sheetViews>
    <sheetView zoomScale="70" zoomScaleNormal="70" workbookViewId="0">
      <selection sqref="A1:XFD1048576"/>
    </sheetView>
  </sheetViews>
  <sheetFormatPr defaultColWidth="9" defaultRowHeight="13.5"/>
  <cols>
    <col min="1" max="13" width="9" style="3115"/>
    <col min="14" max="16384" width="9" style="750"/>
  </cols>
  <sheetData>
    <row r="1" spans="1:20" ht="15" thickBot="1">
      <c r="A1" s="3101" t="s">
        <v>2774</v>
      </c>
      <c r="B1" s="3101"/>
      <c r="C1" s="3101"/>
      <c r="D1" s="3101"/>
      <c r="E1" s="3101"/>
      <c r="F1" s="3101"/>
      <c r="G1" s="3101"/>
      <c r="H1" s="3101"/>
      <c r="I1" s="3101"/>
      <c r="J1" s="3101"/>
      <c r="K1" s="3101"/>
      <c r="L1" s="3101"/>
      <c r="M1" s="3101"/>
      <c r="N1" s="749"/>
    </row>
    <row r="2" spans="1:20">
      <c r="A2" s="3102" t="s">
        <v>2775</v>
      </c>
      <c r="B2" s="3103" t="s">
        <v>2571</v>
      </c>
      <c r="C2" s="3103" t="s">
        <v>2572</v>
      </c>
      <c r="D2" s="3103" t="s">
        <v>2573</v>
      </c>
      <c r="E2" s="3103" t="s">
        <v>2574</v>
      </c>
      <c r="F2" s="3103" t="s">
        <v>2575</v>
      </c>
      <c r="G2" s="3103" t="s">
        <v>2576</v>
      </c>
      <c r="H2" s="3104" t="s">
        <v>2577</v>
      </c>
      <c r="I2" s="3104" t="s">
        <v>2578</v>
      </c>
      <c r="J2" s="3105" t="s">
        <v>2579</v>
      </c>
      <c r="K2" s="3105" t="s">
        <v>2580</v>
      </c>
      <c r="L2" s="3105" t="s">
        <v>2581</v>
      </c>
      <c r="M2" s="3106" t="s">
        <v>2582</v>
      </c>
      <c r="Q2" s="3116" t="s">
        <v>2780</v>
      </c>
      <c r="R2" s="3116" t="s">
        <v>2781</v>
      </c>
      <c r="S2" s="3116" t="s">
        <v>2782</v>
      </c>
      <c r="T2" s="3116" t="s">
        <v>2783</v>
      </c>
    </row>
    <row r="3" spans="1:20">
      <c r="A3" s="3107">
        <v>1</v>
      </c>
      <c r="B3" s="3108">
        <v>1.2574000000000001</v>
      </c>
      <c r="C3" s="3108">
        <v>1.2574000000000001</v>
      </c>
      <c r="D3" s="3108">
        <v>1.2299</v>
      </c>
      <c r="E3" s="3108">
        <v>1.2299</v>
      </c>
      <c r="F3" s="3108">
        <v>1.2299</v>
      </c>
      <c r="G3" s="3108">
        <v>1.2299</v>
      </c>
      <c r="H3" s="3108">
        <v>1.2299</v>
      </c>
      <c r="I3" s="3108">
        <v>1.2333000000000001</v>
      </c>
      <c r="J3" s="3108">
        <v>1.2333000000000001</v>
      </c>
      <c r="K3" s="3108">
        <v>1.2333000000000001</v>
      </c>
      <c r="L3" s="3108">
        <v>1.2333000000000001</v>
      </c>
      <c r="M3" s="3109">
        <v>1.2333000000000001</v>
      </c>
      <c r="N3" s="751"/>
      <c r="Q3" s="3116">
        <v>10</v>
      </c>
      <c r="R3" s="3116">
        <f>ROUND(0.9968-0.011*Q3,4)</f>
        <v>0.88680000000000003</v>
      </c>
      <c r="S3" s="3116">
        <f>ROUND(0.949-0.014*Q3,4)</f>
        <v>0.80900000000000005</v>
      </c>
      <c r="T3" s="3116">
        <f>ROUND(0.8486-0.018*Q3,4)</f>
        <v>0.66859999999999997</v>
      </c>
    </row>
    <row r="4" spans="1:20">
      <c r="A4" s="3107">
        <v>1.1000000000000001</v>
      </c>
      <c r="B4" s="3108">
        <v>1.2283999999999999</v>
      </c>
      <c r="C4" s="3108">
        <v>1.2283999999999999</v>
      </c>
      <c r="D4" s="3108">
        <v>1.1984999999999999</v>
      </c>
      <c r="E4" s="3108">
        <v>1.1984999999999999</v>
      </c>
      <c r="F4" s="3108">
        <v>1.1984999999999999</v>
      </c>
      <c r="G4" s="3108">
        <v>1.1984999999999999</v>
      </c>
      <c r="H4" s="3108">
        <v>1.1984999999999999</v>
      </c>
      <c r="I4" s="3108">
        <v>1.1899</v>
      </c>
      <c r="J4" s="3108">
        <v>1.1899</v>
      </c>
      <c r="K4" s="3108">
        <v>1.1899</v>
      </c>
      <c r="L4" s="3108">
        <v>1.1899</v>
      </c>
      <c r="M4" s="3109">
        <v>1.1899</v>
      </c>
    </row>
    <row r="5" spans="1:20">
      <c r="A5" s="3107">
        <v>1.2</v>
      </c>
      <c r="B5" s="3108">
        <v>1.2031000000000001</v>
      </c>
      <c r="C5" s="3108">
        <v>1.2031000000000001</v>
      </c>
      <c r="D5" s="3108">
        <v>1.1711</v>
      </c>
      <c r="E5" s="3108">
        <v>1.1711</v>
      </c>
      <c r="F5" s="3108">
        <v>1.1711</v>
      </c>
      <c r="G5" s="3108">
        <v>1.1711</v>
      </c>
      <c r="H5" s="3108">
        <v>1.1711</v>
      </c>
      <c r="I5" s="3108">
        <v>1.1528</v>
      </c>
      <c r="J5" s="3108">
        <v>1.1528</v>
      </c>
      <c r="K5" s="3108">
        <v>1.1528</v>
      </c>
      <c r="L5" s="3108">
        <v>1.1528</v>
      </c>
      <c r="M5" s="3109">
        <v>1.1528</v>
      </c>
    </row>
    <row r="6" spans="1:20">
      <c r="A6" s="3107">
        <v>1.3</v>
      </c>
      <c r="B6" s="3108">
        <v>1.1811</v>
      </c>
      <c r="C6" s="3108">
        <v>1.1811</v>
      </c>
      <c r="D6" s="3108">
        <v>1.1472</v>
      </c>
      <c r="E6" s="3108">
        <v>1.1472</v>
      </c>
      <c r="F6" s="3108">
        <v>1.1472</v>
      </c>
      <c r="G6" s="3108">
        <v>1.1472</v>
      </c>
      <c r="H6" s="3108">
        <v>1.1472</v>
      </c>
      <c r="I6" s="3108">
        <v>1.1214</v>
      </c>
      <c r="J6" s="3108">
        <v>1.1214</v>
      </c>
      <c r="K6" s="3108">
        <v>1.1214</v>
      </c>
      <c r="L6" s="3108">
        <v>1.1214</v>
      </c>
      <c r="M6" s="3109">
        <v>1.1214</v>
      </c>
    </row>
    <row r="7" spans="1:20">
      <c r="A7" s="3107">
        <v>1.4</v>
      </c>
      <c r="B7" s="3108">
        <v>1.1619999999999999</v>
      </c>
      <c r="C7" s="3108">
        <v>1.1619999999999999</v>
      </c>
      <c r="D7" s="3108">
        <v>1.1265000000000001</v>
      </c>
      <c r="E7" s="3108">
        <v>1.1265000000000001</v>
      </c>
      <c r="F7" s="3108">
        <v>1.1265000000000001</v>
      </c>
      <c r="G7" s="3108">
        <v>1.1265000000000001</v>
      </c>
      <c r="H7" s="3108">
        <v>1.1265000000000001</v>
      </c>
      <c r="I7" s="3108">
        <v>1.0948</v>
      </c>
      <c r="J7" s="3108">
        <v>1.0948</v>
      </c>
      <c r="K7" s="3108">
        <v>1.0948</v>
      </c>
      <c r="L7" s="3108">
        <v>1.0948</v>
      </c>
      <c r="M7" s="3109">
        <v>1.0948</v>
      </c>
    </row>
    <row r="8" spans="1:20">
      <c r="A8" s="3107">
        <v>1.5</v>
      </c>
      <c r="B8" s="3108">
        <v>1.1453</v>
      </c>
      <c r="C8" s="3108">
        <v>1.1453</v>
      </c>
      <c r="D8" s="3108">
        <v>1.1084000000000001</v>
      </c>
      <c r="E8" s="3108">
        <v>1.1084000000000001</v>
      </c>
      <c r="F8" s="3108">
        <v>1.1084000000000001</v>
      </c>
      <c r="G8" s="3108">
        <v>1.1084000000000001</v>
      </c>
      <c r="H8" s="3108">
        <v>1.1084000000000001</v>
      </c>
      <c r="I8" s="3108">
        <v>1.0725</v>
      </c>
      <c r="J8" s="3108">
        <v>1.0725</v>
      </c>
      <c r="K8" s="3108">
        <v>1.0725</v>
      </c>
      <c r="L8" s="3108">
        <v>1.0725</v>
      </c>
      <c r="M8" s="3109">
        <v>1.0725</v>
      </c>
    </row>
    <row r="9" spans="1:20">
      <c r="A9" s="3107">
        <v>1.6</v>
      </c>
      <c r="B9" s="3108">
        <v>1.1306</v>
      </c>
      <c r="C9" s="3108">
        <v>1.1306</v>
      </c>
      <c r="D9" s="3108">
        <v>1.0924</v>
      </c>
      <c r="E9" s="3108">
        <v>1.0924</v>
      </c>
      <c r="F9" s="3108">
        <v>1.0924</v>
      </c>
      <c r="G9" s="3108">
        <v>1.0924</v>
      </c>
      <c r="H9" s="3108">
        <v>1.0924</v>
      </c>
      <c r="I9" s="3108">
        <v>1.0538000000000001</v>
      </c>
      <c r="J9" s="3108">
        <v>1.0538000000000001</v>
      </c>
      <c r="K9" s="3108">
        <v>1.0538000000000001</v>
      </c>
      <c r="L9" s="3108">
        <v>1.0538000000000001</v>
      </c>
      <c r="M9" s="3109">
        <v>1.0538000000000001</v>
      </c>
    </row>
    <row r="10" spans="1:20">
      <c r="A10" s="3107">
        <v>1.7</v>
      </c>
      <c r="B10" s="3108">
        <v>1.1175999999999999</v>
      </c>
      <c r="C10" s="3108">
        <v>1.1175999999999999</v>
      </c>
      <c r="D10" s="3108">
        <v>1.0783</v>
      </c>
      <c r="E10" s="3108">
        <v>1.0783</v>
      </c>
      <c r="F10" s="3108">
        <v>1.0783</v>
      </c>
      <c r="G10" s="3108">
        <v>1.0783</v>
      </c>
      <c r="H10" s="3108">
        <v>1.0783</v>
      </c>
      <c r="I10" s="3108">
        <v>1.0379</v>
      </c>
      <c r="J10" s="3108">
        <v>1.0379</v>
      </c>
      <c r="K10" s="3108">
        <v>1.0379</v>
      </c>
      <c r="L10" s="3108">
        <v>1.0379</v>
      </c>
      <c r="M10" s="3109">
        <v>1.0379</v>
      </c>
    </row>
    <row r="11" spans="1:20">
      <c r="A11" s="3107">
        <v>1.8</v>
      </c>
      <c r="B11" s="3108">
        <v>1.1057999999999999</v>
      </c>
      <c r="C11" s="3108">
        <v>1.1057999999999999</v>
      </c>
      <c r="D11" s="3108">
        <v>1.0653999999999999</v>
      </c>
      <c r="E11" s="3108">
        <v>1.0653999999999999</v>
      </c>
      <c r="F11" s="3108">
        <v>1.0653999999999999</v>
      </c>
      <c r="G11" s="3108">
        <v>1.0653999999999999</v>
      </c>
      <c r="H11" s="3108">
        <v>1.0653999999999999</v>
      </c>
      <c r="I11" s="3108">
        <v>1.0241</v>
      </c>
      <c r="J11" s="3108">
        <v>1.0241</v>
      </c>
      <c r="K11" s="3108">
        <v>1.0241</v>
      </c>
      <c r="L11" s="3108">
        <v>1.0241</v>
      </c>
      <c r="M11" s="3109">
        <v>1.0241</v>
      </c>
    </row>
    <row r="12" spans="1:20">
      <c r="A12" s="3107">
        <v>1.9</v>
      </c>
      <c r="B12" s="3108">
        <v>1.0949</v>
      </c>
      <c r="C12" s="3108">
        <v>1.0949</v>
      </c>
      <c r="D12" s="3108">
        <v>1.0537000000000001</v>
      </c>
      <c r="E12" s="3108">
        <v>1.0537000000000001</v>
      </c>
      <c r="F12" s="3108">
        <v>1.0537000000000001</v>
      </c>
      <c r="G12" s="3108">
        <v>1.0537000000000001</v>
      </c>
      <c r="H12" s="3108">
        <v>1.0537000000000001</v>
      </c>
      <c r="I12" s="3108">
        <v>1.0117</v>
      </c>
      <c r="J12" s="3108">
        <v>1.0117</v>
      </c>
      <c r="K12" s="3108">
        <v>1.0117</v>
      </c>
      <c r="L12" s="3108">
        <v>1.0117</v>
      </c>
      <c r="M12" s="3109">
        <v>1.0117</v>
      </c>
    </row>
    <row r="13" spans="1:20">
      <c r="A13" s="3107">
        <v>2</v>
      </c>
      <c r="B13" s="3108">
        <v>1.0847</v>
      </c>
      <c r="C13" s="3108">
        <v>1.0847</v>
      </c>
      <c r="D13" s="3108">
        <v>1.0427</v>
      </c>
      <c r="E13" s="3108">
        <v>1.0427</v>
      </c>
      <c r="F13" s="3108">
        <v>1.0427</v>
      </c>
      <c r="G13" s="3108">
        <v>1.0427</v>
      </c>
      <c r="H13" s="3108">
        <v>1.0427</v>
      </c>
      <c r="I13" s="3108">
        <v>1</v>
      </c>
      <c r="J13" s="3108">
        <v>1</v>
      </c>
      <c r="K13" s="3108">
        <v>1</v>
      </c>
      <c r="L13" s="3108">
        <v>1</v>
      </c>
      <c r="M13" s="3109">
        <v>1</v>
      </c>
    </row>
    <row r="14" spans="1:20">
      <c r="A14" s="3110">
        <v>2.1</v>
      </c>
      <c r="B14" s="3108">
        <v>1.0749</v>
      </c>
      <c r="C14" s="3108">
        <v>1.0749</v>
      </c>
      <c r="D14" s="3108">
        <v>1.0327999999999999</v>
      </c>
      <c r="E14" s="3108">
        <v>1.0327999999999999</v>
      </c>
      <c r="F14" s="3108">
        <v>1.0327999999999999</v>
      </c>
      <c r="G14" s="3108">
        <v>1.0327999999999999</v>
      </c>
      <c r="H14" s="3108">
        <v>1.0327999999999999</v>
      </c>
      <c r="I14" s="3108">
        <v>0.98819999999999997</v>
      </c>
      <c r="J14" s="3108">
        <v>0.98819999999999997</v>
      </c>
      <c r="K14" s="3108">
        <v>0.98819999999999997</v>
      </c>
      <c r="L14" s="3108">
        <v>0.98819999999999997</v>
      </c>
      <c r="M14" s="3109">
        <v>0.98819999999999997</v>
      </c>
    </row>
    <row r="15" spans="1:20">
      <c r="A15" s="3110">
        <v>2.2000000000000002</v>
      </c>
      <c r="B15" s="3108">
        <v>1.0663</v>
      </c>
      <c r="C15" s="3108">
        <v>1.0663</v>
      </c>
      <c r="D15" s="3108">
        <v>1.0237000000000001</v>
      </c>
      <c r="E15" s="3108">
        <v>1.0237000000000001</v>
      </c>
      <c r="F15" s="3108">
        <v>1.0237000000000001</v>
      </c>
      <c r="G15" s="3108">
        <v>1.0237000000000001</v>
      </c>
      <c r="H15" s="3108">
        <v>1.0237000000000001</v>
      </c>
      <c r="I15" s="3108">
        <v>0.9768</v>
      </c>
      <c r="J15" s="3108">
        <v>0.9768</v>
      </c>
      <c r="K15" s="3108">
        <v>0.9768</v>
      </c>
      <c r="L15" s="3108">
        <v>0.9768</v>
      </c>
      <c r="M15" s="3109">
        <v>0.9768</v>
      </c>
    </row>
    <row r="16" spans="1:20">
      <c r="A16" s="3110">
        <v>2.2999999999999998</v>
      </c>
      <c r="B16" s="3108">
        <v>1.0584</v>
      </c>
      <c r="C16" s="3108">
        <v>1.0584</v>
      </c>
      <c r="D16" s="3108">
        <v>1.0152000000000001</v>
      </c>
      <c r="E16" s="3108">
        <v>1.0152000000000001</v>
      </c>
      <c r="F16" s="3108">
        <v>1.0152000000000001</v>
      </c>
      <c r="G16" s="3108">
        <v>1.0152000000000001</v>
      </c>
      <c r="H16" s="3108">
        <v>1.0152000000000001</v>
      </c>
      <c r="I16" s="3108">
        <v>0.96609999999999996</v>
      </c>
      <c r="J16" s="3108">
        <v>0.96609999999999996</v>
      </c>
      <c r="K16" s="3108">
        <v>0.96609999999999996</v>
      </c>
      <c r="L16" s="3108">
        <v>0.96609999999999996</v>
      </c>
      <c r="M16" s="3109">
        <v>0.96609999999999996</v>
      </c>
      <c r="N16" s="751"/>
    </row>
    <row r="17" spans="1:14">
      <c r="A17" s="3110">
        <v>2.4</v>
      </c>
      <c r="B17" s="3108">
        <v>1.0511999999999999</v>
      </c>
      <c r="C17" s="3108">
        <v>1.0511999999999999</v>
      </c>
      <c r="D17" s="3108">
        <v>1.0074000000000001</v>
      </c>
      <c r="E17" s="3108">
        <v>1.0074000000000001</v>
      </c>
      <c r="F17" s="3108">
        <v>1.0074000000000001</v>
      </c>
      <c r="G17" s="3108">
        <v>1.0074000000000001</v>
      </c>
      <c r="H17" s="3108">
        <v>1.0074000000000001</v>
      </c>
      <c r="I17" s="3108">
        <v>0.95579999999999998</v>
      </c>
      <c r="J17" s="3108">
        <v>0.95579999999999998</v>
      </c>
      <c r="K17" s="3108">
        <v>0.95579999999999998</v>
      </c>
      <c r="L17" s="3108">
        <v>0.95579999999999998</v>
      </c>
      <c r="M17" s="3109">
        <v>0.95579999999999998</v>
      </c>
      <c r="N17" s="751"/>
    </row>
    <row r="18" spans="1:14">
      <c r="A18" s="3110">
        <v>2.5</v>
      </c>
      <c r="B18" s="3108">
        <v>1.0445</v>
      </c>
      <c r="C18" s="3108">
        <v>1.0445</v>
      </c>
      <c r="D18" s="3108">
        <v>1</v>
      </c>
      <c r="E18" s="3108">
        <v>1</v>
      </c>
      <c r="F18" s="3108">
        <v>1</v>
      </c>
      <c r="G18" s="3108">
        <v>1</v>
      </c>
      <c r="H18" s="3108">
        <v>1</v>
      </c>
      <c r="I18" s="3108">
        <v>0.94620000000000004</v>
      </c>
      <c r="J18" s="3108">
        <v>0.94620000000000004</v>
      </c>
      <c r="K18" s="3108">
        <v>0.94620000000000004</v>
      </c>
      <c r="L18" s="3108">
        <v>0.94620000000000004</v>
      </c>
      <c r="M18" s="3109">
        <v>0.94620000000000004</v>
      </c>
    </row>
    <row r="19" spans="1:14">
      <c r="A19" s="3110">
        <v>2.6</v>
      </c>
      <c r="B19" s="3108">
        <v>1.0386</v>
      </c>
      <c r="C19" s="3108">
        <v>1.0386</v>
      </c>
      <c r="D19" s="3108">
        <v>0.99350000000000005</v>
      </c>
      <c r="E19" s="3108">
        <v>0.99350000000000005</v>
      </c>
      <c r="F19" s="3108">
        <v>0.99350000000000005</v>
      </c>
      <c r="G19" s="3108">
        <v>0.99350000000000005</v>
      </c>
      <c r="H19" s="3108">
        <v>0.99350000000000005</v>
      </c>
      <c r="I19" s="3108">
        <v>0.93710000000000004</v>
      </c>
      <c r="J19" s="3108">
        <v>0.93710000000000004</v>
      </c>
      <c r="K19" s="3108">
        <v>0.93710000000000004</v>
      </c>
      <c r="L19" s="3108">
        <v>0.93710000000000004</v>
      </c>
      <c r="M19" s="3109">
        <v>0.93710000000000004</v>
      </c>
    </row>
    <row r="20" spans="1:14">
      <c r="A20" s="3110">
        <v>2.7</v>
      </c>
      <c r="B20" s="3108">
        <v>1.0331999999999999</v>
      </c>
      <c r="C20" s="3108">
        <v>1.0331999999999999</v>
      </c>
      <c r="D20" s="3108">
        <v>0.98770000000000002</v>
      </c>
      <c r="E20" s="3108">
        <v>0.98770000000000002</v>
      </c>
      <c r="F20" s="3108">
        <v>0.98770000000000002</v>
      </c>
      <c r="G20" s="3108">
        <v>0.98770000000000002</v>
      </c>
      <c r="H20" s="3108">
        <v>0.98770000000000002</v>
      </c>
      <c r="I20" s="3108">
        <v>0.92859999999999998</v>
      </c>
      <c r="J20" s="3108">
        <v>0.92859999999999998</v>
      </c>
      <c r="K20" s="3108">
        <v>0.92859999999999998</v>
      </c>
      <c r="L20" s="3108">
        <v>0.92859999999999998</v>
      </c>
      <c r="M20" s="3109">
        <v>0.92859999999999998</v>
      </c>
    </row>
    <row r="21" spans="1:14">
      <c r="A21" s="3110">
        <v>2.8</v>
      </c>
      <c r="B21" s="3108">
        <v>1.0282</v>
      </c>
      <c r="C21" s="3108">
        <v>1.0282</v>
      </c>
      <c r="D21" s="3108">
        <v>0.98260000000000003</v>
      </c>
      <c r="E21" s="3108">
        <v>0.98260000000000003</v>
      </c>
      <c r="F21" s="3108">
        <v>0.98260000000000003</v>
      </c>
      <c r="G21" s="3108">
        <v>0.98260000000000003</v>
      </c>
      <c r="H21" s="3108">
        <v>0.98260000000000003</v>
      </c>
      <c r="I21" s="3108">
        <v>0.92069999999999996</v>
      </c>
      <c r="J21" s="3108">
        <v>0.92069999999999996</v>
      </c>
      <c r="K21" s="3108">
        <v>0.92069999999999996</v>
      </c>
      <c r="L21" s="3108">
        <v>0.92069999999999996</v>
      </c>
      <c r="M21" s="3109">
        <v>0.92069999999999996</v>
      </c>
    </row>
    <row r="22" spans="1:14">
      <c r="A22" s="3110">
        <v>2.9</v>
      </c>
      <c r="B22" s="3108">
        <v>1.0235000000000001</v>
      </c>
      <c r="C22" s="3108">
        <v>1.0235000000000001</v>
      </c>
      <c r="D22" s="3108">
        <v>0.97770000000000001</v>
      </c>
      <c r="E22" s="3108">
        <v>0.97770000000000001</v>
      </c>
      <c r="F22" s="3108">
        <v>0.97770000000000001</v>
      </c>
      <c r="G22" s="3108">
        <v>0.97770000000000001</v>
      </c>
      <c r="H22" s="3108">
        <v>0.97770000000000001</v>
      </c>
      <c r="I22" s="3108">
        <v>0.9133</v>
      </c>
      <c r="J22" s="3108">
        <v>0.9133</v>
      </c>
      <c r="K22" s="3108">
        <v>0.9133</v>
      </c>
      <c r="L22" s="3108">
        <v>0.9133</v>
      </c>
      <c r="M22" s="3109">
        <v>0.9133</v>
      </c>
    </row>
    <row r="23" spans="1:14">
      <c r="A23" s="3110">
        <v>3</v>
      </c>
      <c r="B23" s="3108">
        <v>1.0190999999999999</v>
      </c>
      <c r="C23" s="3108">
        <v>1.0190999999999999</v>
      </c>
      <c r="D23" s="3108">
        <v>0.97299999999999998</v>
      </c>
      <c r="E23" s="3108">
        <v>0.97299999999999998</v>
      </c>
      <c r="F23" s="3108">
        <v>0.97299999999999998</v>
      </c>
      <c r="G23" s="3108">
        <v>0.97299999999999998</v>
      </c>
      <c r="H23" s="3108">
        <v>0.97299999999999998</v>
      </c>
      <c r="I23" s="3108">
        <v>0.90629999999999999</v>
      </c>
      <c r="J23" s="3108">
        <v>0.90629999999999999</v>
      </c>
      <c r="K23" s="3108">
        <v>0.90629999999999999</v>
      </c>
      <c r="L23" s="3108">
        <v>0.90629999999999999</v>
      </c>
      <c r="M23" s="3109">
        <v>0.90629999999999999</v>
      </c>
    </row>
    <row r="24" spans="1:14">
      <c r="A24" s="3110">
        <v>3.1</v>
      </c>
      <c r="B24" s="3108">
        <v>1.0148999999999999</v>
      </c>
      <c r="C24" s="3108">
        <v>1.0148999999999999</v>
      </c>
      <c r="D24" s="3108">
        <v>0.96840000000000004</v>
      </c>
      <c r="E24" s="3108">
        <v>0.96840000000000004</v>
      </c>
      <c r="F24" s="3108">
        <v>0.96840000000000004</v>
      </c>
      <c r="G24" s="3108">
        <v>0.96840000000000004</v>
      </c>
      <c r="H24" s="3108">
        <v>0.96840000000000004</v>
      </c>
      <c r="I24" s="3108">
        <v>0.89959999999999996</v>
      </c>
      <c r="J24" s="3108">
        <v>0.89959999999999996</v>
      </c>
      <c r="K24" s="3108">
        <v>0.89959999999999996</v>
      </c>
      <c r="L24" s="3108">
        <v>0.89959999999999996</v>
      </c>
      <c r="M24" s="3109">
        <v>0.89959999999999996</v>
      </c>
    </row>
    <row r="25" spans="1:14">
      <c r="A25" s="3110">
        <v>3.2</v>
      </c>
      <c r="B25" s="3108">
        <v>1.0108999999999999</v>
      </c>
      <c r="C25" s="3108">
        <v>1.0108999999999999</v>
      </c>
      <c r="D25" s="3108">
        <v>0.96399999999999997</v>
      </c>
      <c r="E25" s="3108">
        <v>0.96399999999999997</v>
      </c>
      <c r="F25" s="3108">
        <v>0.96399999999999997</v>
      </c>
      <c r="G25" s="3108">
        <v>0.96399999999999997</v>
      </c>
      <c r="H25" s="3108">
        <v>0.96399999999999997</v>
      </c>
      <c r="I25" s="3108">
        <v>0.89319999999999999</v>
      </c>
      <c r="J25" s="3108">
        <v>0.89319999999999999</v>
      </c>
      <c r="K25" s="3108">
        <v>0.89319999999999999</v>
      </c>
      <c r="L25" s="3108">
        <v>0.89319999999999999</v>
      </c>
      <c r="M25" s="3109">
        <v>0.89319999999999999</v>
      </c>
    </row>
    <row r="26" spans="1:14">
      <c r="A26" s="3110">
        <v>3.3</v>
      </c>
      <c r="B26" s="3108">
        <v>1.0071000000000001</v>
      </c>
      <c r="C26" s="3108">
        <v>1.0071000000000001</v>
      </c>
      <c r="D26" s="3108">
        <v>0.95979999999999999</v>
      </c>
      <c r="E26" s="3108">
        <v>0.95979999999999999</v>
      </c>
      <c r="F26" s="3108">
        <v>0.95979999999999999</v>
      </c>
      <c r="G26" s="3108">
        <v>0.95979999999999999</v>
      </c>
      <c r="H26" s="3108">
        <v>0.95979999999999999</v>
      </c>
      <c r="I26" s="3108">
        <v>0.8871</v>
      </c>
      <c r="J26" s="3108">
        <v>0.8871</v>
      </c>
      <c r="K26" s="3108">
        <v>0.8871</v>
      </c>
      <c r="L26" s="3108">
        <v>0.8871</v>
      </c>
      <c r="M26" s="3109">
        <v>0.8871</v>
      </c>
    </row>
    <row r="27" spans="1:14">
      <c r="A27" s="3110">
        <v>3.4</v>
      </c>
      <c r="B27" s="3108">
        <v>1.0035000000000001</v>
      </c>
      <c r="C27" s="3108">
        <v>1.0035000000000001</v>
      </c>
      <c r="D27" s="3108">
        <v>0.95579999999999998</v>
      </c>
      <c r="E27" s="3108">
        <v>0.95579999999999998</v>
      </c>
      <c r="F27" s="3108">
        <v>0.95579999999999998</v>
      </c>
      <c r="G27" s="3108">
        <v>0.95579999999999998</v>
      </c>
      <c r="H27" s="3108">
        <v>0.95579999999999998</v>
      </c>
      <c r="I27" s="3108">
        <v>0.88119999999999998</v>
      </c>
      <c r="J27" s="3108">
        <v>0.88119999999999998</v>
      </c>
      <c r="K27" s="3108">
        <v>0.88119999999999998</v>
      </c>
      <c r="L27" s="3108">
        <v>0.88119999999999998</v>
      </c>
      <c r="M27" s="3109">
        <v>0.88119999999999998</v>
      </c>
    </row>
    <row r="28" spans="1:14">
      <c r="A28" s="3110">
        <v>3.5</v>
      </c>
      <c r="B28" s="3108">
        <v>1</v>
      </c>
      <c r="C28" s="3108">
        <v>1</v>
      </c>
      <c r="D28" s="3108">
        <v>0.95199999999999996</v>
      </c>
      <c r="E28" s="3108">
        <v>0.95199999999999996</v>
      </c>
      <c r="F28" s="3108">
        <v>0.95199999999999996</v>
      </c>
      <c r="G28" s="3108">
        <v>0.95199999999999996</v>
      </c>
      <c r="H28" s="3108">
        <v>0.95199999999999996</v>
      </c>
      <c r="I28" s="3108">
        <v>0.87549999999999994</v>
      </c>
      <c r="J28" s="3108">
        <v>0.87549999999999994</v>
      </c>
      <c r="K28" s="3108">
        <v>0.87549999999999994</v>
      </c>
      <c r="L28" s="3108">
        <v>0.87549999999999994</v>
      </c>
      <c r="M28" s="3109">
        <v>0.87549999999999994</v>
      </c>
    </row>
    <row r="29" spans="1:14">
      <c r="A29" s="3110">
        <v>3.6</v>
      </c>
      <c r="B29" s="3108">
        <v>0.99660000000000004</v>
      </c>
      <c r="C29" s="3108">
        <v>0.99660000000000004</v>
      </c>
      <c r="D29" s="3108">
        <v>0.94840000000000002</v>
      </c>
      <c r="E29" s="3108">
        <v>0.94840000000000002</v>
      </c>
      <c r="F29" s="3108">
        <v>0.94840000000000002</v>
      </c>
      <c r="G29" s="3108">
        <v>0.94840000000000002</v>
      </c>
      <c r="H29" s="3108">
        <v>0.94840000000000002</v>
      </c>
      <c r="I29" s="3108">
        <v>0.87</v>
      </c>
      <c r="J29" s="3108">
        <v>0.87</v>
      </c>
      <c r="K29" s="3108">
        <v>0.87</v>
      </c>
      <c r="L29" s="3108">
        <v>0.87</v>
      </c>
      <c r="M29" s="3109">
        <v>0.87</v>
      </c>
    </row>
    <row r="30" spans="1:14">
      <c r="A30" s="3110">
        <v>3.7</v>
      </c>
      <c r="B30" s="3108">
        <v>0.99329999999999996</v>
      </c>
      <c r="C30" s="3108">
        <v>0.99329999999999996</v>
      </c>
      <c r="D30" s="3108">
        <v>0.94499999999999995</v>
      </c>
      <c r="E30" s="3108">
        <v>0.94499999999999995</v>
      </c>
      <c r="F30" s="3108">
        <v>0.94499999999999995</v>
      </c>
      <c r="G30" s="3108">
        <v>0.94499999999999995</v>
      </c>
      <c r="H30" s="3108">
        <v>0.94499999999999995</v>
      </c>
      <c r="I30" s="3108">
        <v>0.86470000000000002</v>
      </c>
      <c r="J30" s="3108">
        <v>0.86470000000000002</v>
      </c>
      <c r="K30" s="3108">
        <v>0.86470000000000002</v>
      </c>
      <c r="L30" s="3108">
        <v>0.86470000000000002</v>
      </c>
      <c r="M30" s="3109">
        <v>0.86470000000000002</v>
      </c>
    </row>
    <row r="31" spans="1:14">
      <c r="A31" s="3110">
        <v>3.8</v>
      </c>
      <c r="B31" s="3108">
        <v>0.99009999999999998</v>
      </c>
      <c r="C31" s="3108">
        <v>0.99009999999999998</v>
      </c>
      <c r="D31" s="3108">
        <v>0.94169999999999998</v>
      </c>
      <c r="E31" s="3108">
        <v>0.94169999999999998</v>
      </c>
      <c r="F31" s="3108">
        <v>0.94169999999999998</v>
      </c>
      <c r="G31" s="3108">
        <v>0.94169999999999998</v>
      </c>
      <c r="H31" s="3108">
        <v>0.94169999999999998</v>
      </c>
      <c r="I31" s="3108">
        <v>0.85960000000000003</v>
      </c>
      <c r="J31" s="3108">
        <v>0.85960000000000003</v>
      </c>
      <c r="K31" s="3108">
        <v>0.85960000000000003</v>
      </c>
      <c r="L31" s="3108">
        <v>0.85960000000000003</v>
      </c>
      <c r="M31" s="3109">
        <v>0.85960000000000003</v>
      </c>
    </row>
    <row r="32" spans="1:14">
      <c r="A32" s="3110">
        <v>3.9</v>
      </c>
      <c r="B32" s="3108">
        <v>0.98699999999999999</v>
      </c>
      <c r="C32" s="3108">
        <v>0.98699999999999999</v>
      </c>
      <c r="D32" s="3108">
        <v>0.9385</v>
      </c>
      <c r="E32" s="3108">
        <v>0.9385</v>
      </c>
      <c r="F32" s="3108">
        <v>0.9385</v>
      </c>
      <c r="G32" s="3108">
        <v>0.9385</v>
      </c>
      <c r="H32" s="3108">
        <v>0.9385</v>
      </c>
      <c r="I32" s="3108">
        <v>0.85470000000000002</v>
      </c>
      <c r="J32" s="3108">
        <v>0.85470000000000002</v>
      </c>
      <c r="K32" s="3108">
        <v>0.85470000000000002</v>
      </c>
      <c r="L32" s="3108">
        <v>0.85470000000000002</v>
      </c>
      <c r="M32" s="3109">
        <v>0.85470000000000002</v>
      </c>
    </row>
    <row r="33" spans="1:13">
      <c r="A33" s="3110">
        <v>4</v>
      </c>
      <c r="B33" s="3108">
        <v>0.98399999999999999</v>
      </c>
      <c r="C33" s="3108">
        <v>0.98399999999999999</v>
      </c>
      <c r="D33" s="3108">
        <v>0.93540000000000001</v>
      </c>
      <c r="E33" s="3108">
        <v>0.93540000000000001</v>
      </c>
      <c r="F33" s="3108">
        <v>0.93540000000000001</v>
      </c>
      <c r="G33" s="3108">
        <v>0.93540000000000001</v>
      </c>
      <c r="H33" s="3108">
        <v>0.93540000000000001</v>
      </c>
      <c r="I33" s="3108">
        <v>0.84989999999999999</v>
      </c>
      <c r="J33" s="3108">
        <v>0.84989999999999999</v>
      </c>
      <c r="K33" s="3108">
        <v>0.84989999999999999</v>
      </c>
      <c r="L33" s="3108">
        <v>0.84989999999999999</v>
      </c>
      <c r="M33" s="3109">
        <v>0.84989999999999999</v>
      </c>
    </row>
    <row r="34" spans="1:13">
      <c r="A34" s="3110">
        <v>4.0999999999999996</v>
      </c>
      <c r="B34" s="3108">
        <v>0.98109999999999997</v>
      </c>
      <c r="C34" s="3108">
        <v>0.98109999999999997</v>
      </c>
      <c r="D34" s="3108">
        <v>0.93240000000000001</v>
      </c>
      <c r="E34" s="3108">
        <v>0.93240000000000001</v>
      </c>
      <c r="F34" s="3108">
        <v>0.93240000000000001</v>
      </c>
      <c r="G34" s="3108">
        <v>0.93240000000000001</v>
      </c>
      <c r="H34" s="3108">
        <v>0.93240000000000001</v>
      </c>
      <c r="I34" s="3108">
        <v>0.84519999999999995</v>
      </c>
      <c r="J34" s="3108">
        <v>0.84519999999999995</v>
      </c>
      <c r="K34" s="3108">
        <v>0.84519999999999995</v>
      </c>
      <c r="L34" s="3108">
        <v>0.84519999999999995</v>
      </c>
      <c r="M34" s="3109">
        <v>0.84519999999999995</v>
      </c>
    </row>
    <row r="35" spans="1:13">
      <c r="A35" s="3110">
        <v>4.2</v>
      </c>
      <c r="B35" s="3108">
        <v>0.97829999999999995</v>
      </c>
      <c r="C35" s="3108">
        <v>0.97829999999999995</v>
      </c>
      <c r="D35" s="3108">
        <v>0.92949999999999999</v>
      </c>
      <c r="E35" s="3108">
        <v>0.92949999999999999</v>
      </c>
      <c r="F35" s="3108">
        <v>0.92949999999999999</v>
      </c>
      <c r="G35" s="3108">
        <v>0.92949999999999999</v>
      </c>
      <c r="H35" s="3108">
        <v>0.92949999999999999</v>
      </c>
      <c r="I35" s="3108">
        <v>0.84060000000000001</v>
      </c>
      <c r="J35" s="3108">
        <v>0.84060000000000001</v>
      </c>
      <c r="K35" s="3108">
        <v>0.84060000000000001</v>
      </c>
      <c r="L35" s="3108">
        <v>0.84060000000000001</v>
      </c>
      <c r="M35" s="3109">
        <v>0.84060000000000001</v>
      </c>
    </row>
    <row r="36" spans="1:13">
      <c r="A36" s="3110">
        <v>4.3</v>
      </c>
      <c r="B36" s="3108">
        <v>0.97560000000000002</v>
      </c>
      <c r="C36" s="3108">
        <v>0.97560000000000002</v>
      </c>
      <c r="D36" s="3108">
        <v>0.92669999999999997</v>
      </c>
      <c r="E36" s="3108">
        <v>0.92669999999999997</v>
      </c>
      <c r="F36" s="3108">
        <v>0.92669999999999997</v>
      </c>
      <c r="G36" s="3108">
        <v>0.92669999999999997</v>
      </c>
      <c r="H36" s="3108">
        <v>0.92669999999999997</v>
      </c>
      <c r="I36" s="3108">
        <v>0.83609999999999995</v>
      </c>
      <c r="J36" s="3108">
        <v>0.83609999999999995</v>
      </c>
      <c r="K36" s="3108">
        <v>0.83609999999999995</v>
      </c>
      <c r="L36" s="3108">
        <v>0.83609999999999995</v>
      </c>
      <c r="M36" s="3109">
        <v>0.83609999999999995</v>
      </c>
    </row>
    <row r="37" spans="1:13">
      <c r="A37" s="3110">
        <v>4.4000000000000004</v>
      </c>
      <c r="B37" s="3108">
        <v>0.97299999999999998</v>
      </c>
      <c r="C37" s="3108">
        <v>0.97299999999999998</v>
      </c>
      <c r="D37" s="3108">
        <v>0.92400000000000004</v>
      </c>
      <c r="E37" s="3108">
        <v>0.92400000000000004</v>
      </c>
      <c r="F37" s="3108">
        <v>0.92400000000000004</v>
      </c>
      <c r="G37" s="3108">
        <v>0.92400000000000004</v>
      </c>
      <c r="H37" s="3108">
        <v>0.92400000000000004</v>
      </c>
      <c r="I37" s="3108">
        <v>0.83169999999999999</v>
      </c>
      <c r="J37" s="3108">
        <v>0.83169999999999999</v>
      </c>
      <c r="K37" s="3108">
        <v>0.83169999999999999</v>
      </c>
      <c r="L37" s="3108">
        <v>0.83169999999999999</v>
      </c>
      <c r="M37" s="3109">
        <v>0.83169999999999999</v>
      </c>
    </row>
    <row r="38" spans="1:13">
      <c r="A38" s="3110">
        <v>4.5</v>
      </c>
      <c r="B38" s="3108">
        <v>0.97050000000000003</v>
      </c>
      <c r="C38" s="3108">
        <v>0.97050000000000003</v>
      </c>
      <c r="D38" s="3108">
        <v>0.92130000000000001</v>
      </c>
      <c r="E38" s="3108">
        <v>0.92130000000000001</v>
      </c>
      <c r="F38" s="3108">
        <v>0.92130000000000001</v>
      </c>
      <c r="G38" s="3108">
        <v>0.92130000000000001</v>
      </c>
      <c r="H38" s="3108">
        <v>0.92130000000000001</v>
      </c>
      <c r="I38" s="3108">
        <v>0.82740000000000002</v>
      </c>
      <c r="J38" s="3108">
        <v>0.82740000000000002</v>
      </c>
      <c r="K38" s="3108">
        <v>0.82740000000000002</v>
      </c>
      <c r="L38" s="3108">
        <v>0.82740000000000002</v>
      </c>
      <c r="M38" s="3109">
        <v>0.82740000000000002</v>
      </c>
    </row>
    <row r="39" spans="1:13">
      <c r="A39" s="3110">
        <v>4.5999999999999996</v>
      </c>
      <c r="B39" s="3108">
        <v>0.96809999999999996</v>
      </c>
      <c r="C39" s="3108">
        <v>0.96809999999999996</v>
      </c>
      <c r="D39" s="3108">
        <v>0.91869999999999996</v>
      </c>
      <c r="E39" s="3108">
        <v>0.91869999999999996</v>
      </c>
      <c r="F39" s="3108">
        <v>0.91869999999999996</v>
      </c>
      <c r="G39" s="3108">
        <v>0.91869999999999996</v>
      </c>
      <c r="H39" s="3108">
        <v>0.91869999999999996</v>
      </c>
      <c r="I39" s="3108">
        <v>0.82320000000000004</v>
      </c>
      <c r="J39" s="3108">
        <v>0.82320000000000004</v>
      </c>
      <c r="K39" s="3108">
        <v>0.82320000000000004</v>
      </c>
      <c r="L39" s="3108">
        <v>0.82320000000000004</v>
      </c>
      <c r="M39" s="3109">
        <v>0.82320000000000004</v>
      </c>
    </row>
    <row r="40" spans="1:13">
      <c r="A40" s="3110">
        <v>4.7</v>
      </c>
      <c r="B40" s="3108">
        <v>0.96579999999999999</v>
      </c>
      <c r="C40" s="3108">
        <v>0.96579999999999999</v>
      </c>
      <c r="D40" s="3108">
        <v>0.91610000000000003</v>
      </c>
      <c r="E40" s="3108">
        <v>0.91610000000000003</v>
      </c>
      <c r="F40" s="3108">
        <v>0.91610000000000003</v>
      </c>
      <c r="G40" s="3108">
        <v>0.91610000000000003</v>
      </c>
      <c r="H40" s="3108">
        <v>0.91610000000000003</v>
      </c>
      <c r="I40" s="3108">
        <v>0.81910000000000005</v>
      </c>
      <c r="J40" s="3108">
        <v>0.81910000000000005</v>
      </c>
      <c r="K40" s="3108">
        <v>0.81910000000000005</v>
      </c>
      <c r="L40" s="3108">
        <v>0.81910000000000005</v>
      </c>
      <c r="M40" s="3109">
        <v>0.81910000000000005</v>
      </c>
    </row>
    <row r="41" spans="1:13">
      <c r="A41" s="3110">
        <v>4.8</v>
      </c>
      <c r="B41" s="3108">
        <v>0.96360000000000001</v>
      </c>
      <c r="C41" s="3108">
        <v>0.96360000000000001</v>
      </c>
      <c r="D41" s="3108">
        <v>0.91349999999999998</v>
      </c>
      <c r="E41" s="3108">
        <v>0.91349999999999998</v>
      </c>
      <c r="F41" s="3108">
        <v>0.91349999999999998</v>
      </c>
      <c r="G41" s="3108">
        <v>0.91349999999999998</v>
      </c>
      <c r="H41" s="3108">
        <v>0.91349999999999998</v>
      </c>
      <c r="I41" s="3108">
        <v>0.81510000000000005</v>
      </c>
      <c r="J41" s="3108">
        <v>0.81510000000000005</v>
      </c>
      <c r="K41" s="3108">
        <v>0.81510000000000005</v>
      </c>
      <c r="L41" s="3108">
        <v>0.81510000000000005</v>
      </c>
      <c r="M41" s="3109">
        <v>0.81510000000000005</v>
      </c>
    </row>
    <row r="42" spans="1:13">
      <c r="A42" s="3110">
        <v>4.9000000000000004</v>
      </c>
      <c r="B42" s="3108">
        <v>0.96150000000000002</v>
      </c>
      <c r="C42" s="3108">
        <v>0.96150000000000002</v>
      </c>
      <c r="D42" s="3108">
        <v>0.91100000000000003</v>
      </c>
      <c r="E42" s="3108">
        <v>0.91100000000000003</v>
      </c>
      <c r="F42" s="3108">
        <v>0.91100000000000003</v>
      </c>
      <c r="G42" s="3108">
        <v>0.91100000000000003</v>
      </c>
      <c r="H42" s="3108">
        <v>0.91100000000000003</v>
      </c>
      <c r="I42" s="3108">
        <v>0.81110000000000004</v>
      </c>
      <c r="J42" s="3108">
        <v>0.81110000000000004</v>
      </c>
      <c r="K42" s="3108">
        <v>0.81110000000000004</v>
      </c>
      <c r="L42" s="3108">
        <v>0.81110000000000004</v>
      </c>
      <c r="M42" s="3109">
        <v>0.81110000000000004</v>
      </c>
    </row>
    <row r="43" spans="1:13">
      <c r="A43" s="3110">
        <v>5</v>
      </c>
      <c r="B43" s="3108">
        <v>0.95940000000000003</v>
      </c>
      <c r="C43" s="3108">
        <v>0.95940000000000003</v>
      </c>
      <c r="D43" s="3108">
        <v>0.90849999999999997</v>
      </c>
      <c r="E43" s="3108">
        <v>0.90849999999999997</v>
      </c>
      <c r="F43" s="3108">
        <v>0.90849999999999997</v>
      </c>
      <c r="G43" s="3108">
        <v>0.90849999999999997</v>
      </c>
      <c r="H43" s="3108">
        <v>0.90849999999999997</v>
      </c>
      <c r="I43" s="3108">
        <v>0.80720000000000003</v>
      </c>
      <c r="J43" s="3108">
        <v>0.80720000000000003</v>
      </c>
      <c r="K43" s="3108">
        <v>0.80720000000000003</v>
      </c>
      <c r="L43" s="3108">
        <v>0.80720000000000003</v>
      </c>
      <c r="M43" s="3109">
        <v>0.80720000000000003</v>
      </c>
    </row>
    <row r="44" spans="1:13">
      <c r="A44" s="3107">
        <v>5.0999999999999996</v>
      </c>
      <c r="B44" s="3108">
        <v>0.95740000000000003</v>
      </c>
      <c r="C44" s="3108">
        <v>0.95740000000000003</v>
      </c>
      <c r="D44" s="3108">
        <v>0.90600000000000003</v>
      </c>
      <c r="E44" s="3108">
        <v>0.90600000000000003</v>
      </c>
      <c r="F44" s="3108">
        <v>0.90600000000000003</v>
      </c>
      <c r="G44" s="3108">
        <v>0.90600000000000003</v>
      </c>
      <c r="H44" s="3108">
        <v>0.90600000000000003</v>
      </c>
      <c r="I44" s="3108">
        <v>0.80330000000000001</v>
      </c>
      <c r="J44" s="3108">
        <v>0.80330000000000001</v>
      </c>
      <c r="K44" s="3108">
        <v>0.80330000000000001</v>
      </c>
      <c r="L44" s="3108">
        <v>0.80330000000000001</v>
      </c>
      <c r="M44" s="3109">
        <v>0.80330000000000001</v>
      </c>
    </row>
    <row r="45" spans="1:13">
      <c r="A45" s="3107">
        <v>5.2</v>
      </c>
      <c r="B45" s="3108">
        <v>0.95540000000000003</v>
      </c>
      <c r="C45" s="3108">
        <v>0.95540000000000003</v>
      </c>
      <c r="D45" s="3108">
        <v>0.90349999999999997</v>
      </c>
      <c r="E45" s="3108">
        <v>0.90349999999999997</v>
      </c>
      <c r="F45" s="3108">
        <v>0.90349999999999997</v>
      </c>
      <c r="G45" s="3108">
        <v>0.90349999999999997</v>
      </c>
      <c r="H45" s="3108">
        <v>0.90349999999999997</v>
      </c>
      <c r="I45" s="3108">
        <v>0.79949999999999999</v>
      </c>
      <c r="J45" s="3108">
        <v>0.79949999999999999</v>
      </c>
      <c r="K45" s="3108">
        <v>0.79949999999999999</v>
      </c>
      <c r="L45" s="3108">
        <v>0.79949999999999999</v>
      </c>
      <c r="M45" s="3109">
        <v>0.79949999999999999</v>
      </c>
    </row>
    <row r="46" spans="1:13">
      <c r="A46" s="3107">
        <v>5.3</v>
      </c>
      <c r="B46" s="3108">
        <v>0.95350000000000001</v>
      </c>
      <c r="C46" s="3108">
        <v>0.95350000000000001</v>
      </c>
      <c r="D46" s="3108">
        <v>0.90110000000000001</v>
      </c>
      <c r="E46" s="3108">
        <v>0.90110000000000001</v>
      </c>
      <c r="F46" s="3108">
        <v>0.90110000000000001</v>
      </c>
      <c r="G46" s="3108">
        <v>0.90110000000000001</v>
      </c>
      <c r="H46" s="3108">
        <v>0.90110000000000001</v>
      </c>
      <c r="I46" s="3108">
        <v>0.79569999999999996</v>
      </c>
      <c r="J46" s="3108">
        <v>0.79569999999999996</v>
      </c>
      <c r="K46" s="3108">
        <v>0.79569999999999996</v>
      </c>
      <c r="L46" s="3108">
        <v>0.79569999999999996</v>
      </c>
      <c r="M46" s="3109">
        <v>0.79569999999999996</v>
      </c>
    </row>
    <row r="47" spans="1:13">
      <c r="A47" s="3107">
        <v>5.4</v>
      </c>
      <c r="B47" s="3108">
        <v>0.9516</v>
      </c>
      <c r="C47" s="3108">
        <v>0.9516</v>
      </c>
      <c r="D47" s="3108">
        <v>0.89870000000000005</v>
      </c>
      <c r="E47" s="3108">
        <v>0.89870000000000005</v>
      </c>
      <c r="F47" s="3108">
        <v>0.89870000000000005</v>
      </c>
      <c r="G47" s="3108">
        <v>0.89870000000000005</v>
      </c>
      <c r="H47" s="3108">
        <v>0.89870000000000005</v>
      </c>
      <c r="I47" s="3108">
        <v>0.79200000000000004</v>
      </c>
      <c r="J47" s="3108">
        <v>0.79200000000000004</v>
      </c>
      <c r="K47" s="3108">
        <v>0.79200000000000004</v>
      </c>
      <c r="L47" s="3108">
        <v>0.79200000000000004</v>
      </c>
      <c r="M47" s="3109">
        <v>0.79200000000000004</v>
      </c>
    </row>
    <row r="48" spans="1:13">
      <c r="A48" s="3107">
        <v>5.5</v>
      </c>
      <c r="B48" s="3108">
        <v>0.94979999999999998</v>
      </c>
      <c r="C48" s="3108">
        <v>0.94979999999999998</v>
      </c>
      <c r="D48" s="3108">
        <v>0.89629999999999999</v>
      </c>
      <c r="E48" s="3108">
        <v>0.89629999999999999</v>
      </c>
      <c r="F48" s="3108">
        <v>0.89629999999999999</v>
      </c>
      <c r="G48" s="3108">
        <v>0.89629999999999999</v>
      </c>
      <c r="H48" s="3108">
        <v>0.89629999999999999</v>
      </c>
      <c r="I48" s="3108">
        <v>0.7883</v>
      </c>
      <c r="J48" s="3108">
        <v>0.7883</v>
      </c>
      <c r="K48" s="3108">
        <v>0.7883</v>
      </c>
      <c r="L48" s="3108">
        <v>0.7883</v>
      </c>
      <c r="M48" s="3109">
        <v>0.7883</v>
      </c>
    </row>
    <row r="49" spans="1:13">
      <c r="A49" s="3107">
        <v>5.6</v>
      </c>
      <c r="B49" s="3108">
        <v>0.94799999999999995</v>
      </c>
      <c r="C49" s="3108">
        <v>0.94799999999999995</v>
      </c>
      <c r="D49" s="3108">
        <v>0.89390000000000003</v>
      </c>
      <c r="E49" s="3108">
        <v>0.89390000000000003</v>
      </c>
      <c r="F49" s="3108">
        <v>0.89390000000000003</v>
      </c>
      <c r="G49" s="3108">
        <v>0.89390000000000003</v>
      </c>
      <c r="H49" s="3108">
        <v>0.89390000000000003</v>
      </c>
      <c r="I49" s="3108">
        <v>0.78469999999999995</v>
      </c>
      <c r="J49" s="3108">
        <v>0.78469999999999995</v>
      </c>
      <c r="K49" s="3108">
        <v>0.78469999999999995</v>
      </c>
      <c r="L49" s="3108">
        <v>0.78469999999999995</v>
      </c>
      <c r="M49" s="3109">
        <v>0.78469999999999995</v>
      </c>
    </row>
    <row r="50" spans="1:13">
      <c r="A50" s="3110">
        <v>5.7</v>
      </c>
      <c r="B50" s="3108">
        <v>0.94620000000000004</v>
      </c>
      <c r="C50" s="3108">
        <v>0.94620000000000004</v>
      </c>
      <c r="D50" s="3108">
        <v>0.89149999999999996</v>
      </c>
      <c r="E50" s="3108">
        <v>0.89149999999999996</v>
      </c>
      <c r="F50" s="3108">
        <v>0.89149999999999996</v>
      </c>
      <c r="G50" s="3108">
        <v>0.89149999999999996</v>
      </c>
      <c r="H50" s="3108">
        <v>0.89149999999999996</v>
      </c>
      <c r="I50" s="3108">
        <v>0.78110000000000002</v>
      </c>
      <c r="J50" s="3108">
        <v>0.78110000000000002</v>
      </c>
      <c r="K50" s="3108">
        <v>0.78110000000000002</v>
      </c>
      <c r="L50" s="3108">
        <v>0.78110000000000002</v>
      </c>
      <c r="M50" s="3109">
        <v>0.78110000000000002</v>
      </c>
    </row>
    <row r="51" spans="1:13">
      <c r="A51" s="3107">
        <v>5.8</v>
      </c>
      <c r="B51" s="3108">
        <v>0.94450000000000001</v>
      </c>
      <c r="C51" s="3108">
        <v>0.94450000000000001</v>
      </c>
      <c r="D51" s="3108">
        <v>0.88919999999999999</v>
      </c>
      <c r="E51" s="3108">
        <v>0.88919999999999999</v>
      </c>
      <c r="F51" s="3108">
        <v>0.88919999999999999</v>
      </c>
      <c r="G51" s="3108">
        <v>0.88919999999999999</v>
      </c>
      <c r="H51" s="3108">
        <v>0.88919999999999999</v>
      </c>
      <c r="I51" s="3108">
        <v>0.77759999999999996</v>
      </c>
      <c r="J51" s="3108">
        <v>0.77759999999999996</v>
      </c>
      <c r="K51" s="3108">
        <v>0.77759999999999996</v>
      </c>
      <c r="L51" s="3108">
        <v>0.77759999999999996</v>
      </c>
      <c r="M51" s="3109">
        <v>0.77759999999999996</v>
      </c>
    </row>
    <row r="52" spans="1:13">
      <c r="A52" s="3107">
        <v>5.9</v>
      </c>
      <c r="B52" s="3108">
        <v>0.94279999999999997</v>
      </c>
      <c r="C52" s="3108">
        <v>0.94279999999999997</v>
      </c>
      <c r="D52" s="3108">
        <v>0.88690000000000002</v>
      </c>
      <c r="E52" s="3108">
        <v>0.88690000000000002</v>
      </c>
      <c r="F52" s="3108">
        <v>0.88690000000000002</v>
      </c>
      <c r="G52" s="3108">
        <v>0.88690000000000002</v>
      </c>
      <c r="H52" s="3108">
        <v>0.88690000000000002</v>
      </c>
      <c r="I52" s="3108">
        <v>0.77410000000000001</v>
      </c>
      <c r="J52" s="3108">
        <v>0.77410000000000001</v>
      </c>
      <c r="K52" s="3108">
        <v>0.77410000000000001</v>
      </c>
      <c r="L52" s="3108">
        <v>0.77410000000000001</v>
      </c>
      <c r="M52" s="3109">
        <v>0.77410000000000001</v>
      </c>
    </row>
    <row r="53" spans="1:13">
      <c r="A53" s="3107">
        <v>6</v>
      </c>
      <c r="B53" s="3108">
        <v>0.94110000000000005</v>
      </c>
      <c r="C53" s="3108">
        <v>0.94110000000000005</v>
      </c>
      <c r="D53" s="3108">
        <v>0.88460000000000005</v>
      </c>
      <c r="E53" s="3108">
        <v>0.88460000000000005</v>
      </c>
      <c r="F53" s="3108">
        <v>0.88460000000000005</v>
      </c>
      <c r="G53" s="3108">
        <v>0.88460000000000005</v>
      </c>
      <c r="H53" s="3108">
        <v>0.88460000000000005</v>
      </c>
      <c r="I53" s="3108">
        <v>0.77070000000000005</v>
      </c>
      <c r="J53" s="3108">
        <v>0.77070000000000005</v>
      </c>
      <c r="K53" s="3108">
        <v>0.77070000000000005</v>
      </c>
      <c r="L53" s="3108">
        <v>0.77070000000000005</v>
      </c>
      <c r="M53" s="3109">
        <v>0.77070000000000005</v>
      </c>
    </row>
    <row r="54" spans="1:13">
      <c r="A54" s="3107">
        <v>6.1</v>
      </c>
      <c r="B54" s="3108">
        <v>0.93940000000000001</v>
      </c>
      <c r="C54" s="3108">
        <v>0.93940000000000001</v>
      </c>
      <c r="D54" s="3108">
        <v>0.88229999999999997</v>
      </c>
      <c r="E54" s="3108">
        <v>0.88229999999999997</v>
      </c>
      <c r="F54" s="3108">
        <v>0.88229999999999997</v>
      </c>
      <c r="G54" s="3108">
        <v>0.88229999999999997</v>
      </c>
      <c r="H54" s="3108">
        <v>0.88229999999999997</v>
      </c>
      <c r="I54" s="3108">
        <v>0.76729999999999998</v>
      </c>
      <c r="J54" s="3108">
        <v>0.76729999999999998</v>
      </c>
      <c r="K54" s="3108">
        <v>0.76729999999999998</v>
      </c>
      <c r="L54" s="3108">
        <v>0.76729999999999998</v>
      </c>
      <c r="M54" s="3109">
        <v>0.76729999999999998</v>
      </c>
    </row>
    <row r="55" spans="1:13">
      <c r="A55" s="3107">
        <v>6.2</v>
      </c>
      <c r="B55" s="3108">
        <v>0.93769999999999998</v>
      </c>
      <c r="C55" s="3108">
        <v>0.93769999999999998</v>
      </c>
      <c r="D55" s="3108">
        <v>0.88</v>
      </c>
      <c r="E55" s="3108">
        <v>0.88</v>
      </c>
      <c r="F55" s="3108">
        <v>0.88</v>
      </c>
      <c r="G55" s="3108">
        <v>0.88</v>
      </c>
      <c r="H55" s="3108">
        <v>0.88</v>
      </c>
      <c r="I55" s="3108">
        <v>0.76400000000000001</v>
      </c>
      <c r="J55" s="3108">
        <v>0.76400000000000001</v>
      </c>
      <c r="K55" s="3108">
        <v>0.76400000000000001</v>
      </c>
      <c r="L55" s="3108">
        <v>0.76400000000000001</v>
      </c>
      <c r="M55" s="3109">
        <v>0.76400000000000001</v>
      </c>
    </row>
    <row r="56" spans="1:13">
      <c r="A56" s="3107">
        <v>6.3</v>
      </c>
      <c r="B56" s="3108">
        <v>0.93610000000000004</v>
      </c>
      <c r="C56" s="3108">
        <v>0.93610000000000004</v>
      </c>
      <c r="D56" s="3108">
        <v>0.87780000000000002</v>
      </c>
      <c r="E56" s="3108">
        <v>0.87780000000000002</v>
      </c>
      <c r="F56" s="3108">
        <v>0.87780000000000002</v>
      </c>
      <c r="G56" s="3108">
        <v>0.87780000000000002</v>
      </c>
      <c r="H56" s="3108">
        <v>0.87780000000000002</v>
      </c>
      <c r="I56" s="3108">
        <v>0.76070000000000004</v>
      </c>
      <c r="J56" s="3108">
        <v>0.76070000000000004</v>
      </c>
      <c r="K56" s="3108">
        <v>0.76070000000000004</v>
      </c>
      <c r="L56" s="3108">
        <v>0.76070000000000004</v>
      </c>
      <c r="M56" s="3109">
        <v>0.76070000000000004</v>
      </c>
    </row>
    <row r="57" spans="1:13">
      <c r="A57" s="3107">
        <v>6.4</v>
      </c>
      <c r="B57" s="3108">
        <v>0.9345</v>
      </c>
      <c r="C57" s="3108">
        <v>0.9345</v>
      </c>
      <c r="D57" s="3108">
        <v>0.87560000000000004</v>
      </c>
      <c r="E57" s="3108">
        <v>0.87560000000000004</v>
      </c>
      <c r="F57" s="3108">
        <v>0.87560000000000004</v>
      </c>
      <c r="G57" s="3108">
        <v>0.87560000000000004</v>
      </c>
      <c r="H57" s="3108">
        <v>0.87560000000000004</v>
      </c>
      <c r="I57" s="3108">
        <v>0.75749999999999995</v>
      </c>
      <c r="J57" s="3108">
        <v>0.75749999999999995</v>
      </c>
      <c r="K57" s="3108">
        <v>0.75749999999999995</v>
      </c>
      <c r="L57" s="3108">
        <v>0.75749999999999995</v>
      </c>
      <c r="M57" s="3109">
        <v>0.75749999999999995</v>
      </c>
    </row>
    <row r="58" spans="1:13">
      <c r="A58" s="3107">
        <v>6.5</v>
      </c>
      <c r="B58" s="3108">
        <v>0.93289999999999995</v>
      </c>
      <c r="C58" s="3108">
        <v>0.93289999999999995</v>
      </c>
      <c r="D58" s="3108">
        <v>0.87339999999999995</v>
      </c>
      <c r="E58" s="3108">
        <v>0.87339999999999995</v>
      </c>
      <c r="F58" s="3108">
        <v>0.87339999999999995</v>
      </c>
      <c r="G58" s="3108">
        <v>0.87339999999999995</v>
      </c>
      <c r="H58" s="3108">
        <v>0.87339999999999995</v>
      </c>
      <c r="I58" s="3108">
        <v>0.75429999999999997</v>
      </c>
      <c r="J58" s="3108">
        <v>0.75429999999999997</v>
      </c>
      <c r="K58" s="3108">
        <v>0.75429999999999997</v>
      </c>
      <c r="L58" s="3108">
        <v>0.75429999999999997</v>
      </c>
      <c r="M58" s="3109">
        <v>0.75429999999999997</v>
      </c>
    </row>
    <row r="59" spans="1:13">
      <c r="A59" s="3107">
        <v>6.6</v>
      </c>
      <c r="B59" s="3108">
        <v>0.93130000000000002</v>
      </c>
      <c r="C59" s="3108">
        <v>0.93130000000000002</v>
      </c>
      <c r="D59" s="3108">
        <v>0.87119999999999997</v>
      </c>
      <c r="E59" s="3108">
        <v>0.87119999999999997</v>
      </c>
      <c r="F59" s="3108">
        <v>0.87119999999999997</v>
      </c>
      <c r="G59" s="3108">
        <v>0.87119999999999997</v>
      </c>
      <c r="H59" s="3108">
        <v>0.87119999999999997</v>
      </c>
      <c r="I59" s="3108">
        <v>0.75119999999999998</v>
      </c>
      <c r="J59" s="3108">
        <v>0.75119999999999998</v>
      </c>
      <c r="K59" s="3108">
        <v>0.75119999999999998</v>
      </c>
      <c r="L59" s="3108">
        <v>0.75119999999999998</v>
      </c>
      <c r="M59" s="3109">
        <v>0.75119999999999998</v>
      </c>
    </row>
    <row r="60" spans="1:13">
      <c r="A60" s="3107">
        <v>6.7</v>
      </c>
      <c r="B60" s="3108">
        <v>0.92969999999999997</v>
      </c>
      <c r="C60" s="3108">
        <v>0.92969999999999997</v>
      </c>
      <c r="D60" s="3108">
        <v>0.86899999999999999</v>
      </c>
      <c r="E60" s="3108">
        <v>0.86899999999999999</v>
      </c>
      <c r="F60" s="3108">
        <v>0.86899999999999999</v>
      </c>
      <c r="G60" s="3108">
        <v>0.86899999999999999</v>
      </c>
      <c r="H60" s="3108">
        <v>0.86899999999999999</v>
      </c>
      <c r="I60" s="3108">
        <v>0.74809999999999999</v>
      </c>
      <c r="J60" s="3108">
        <v>0.74809999999999999</v>
      </c>
      <c r="K60" s="3108">
        <v>0.74809999999999999</v>
      </c>
      <c r="L60" s="3108">
        <v>0.74809999999999999</v>
      </c>
      <c r="M60" s="3109">
        <v>0.74809999999999999</v>
      </c>
    </row>
    <row r="61" spans="1:13">
      <c r="A61" s="3107">
        <v>6.8</v>
      </c>
      <c r="B61" s="3108">
        <v>0.92820000000000003</v>
      </c>
      <c r="C61" s="3108">
        <v>0.92820000000000003</v>
      </c>
      <c r="D61" s="3108">
        <v>0.8669</v>
      </c>
      <c r="E61" s="3108">
        <v>0.8669</v>
      </c>
      <c r="F61" s="3108">
        <v>0.8669</v>
      </c>
      <c r="G61" s="3108">
        <v>0.8669</v>
      </c>
      <c r="H61" s="3108">
        <v>0.8669</v>
      </c>
      <c r="I61" s="3108">
        <v>0.74509999999999998</v>
      </c>
      <c r="J61" s="3108">
        <v>0.74509999999999998</v>
      </c>
      <c r="K61" s="3108">
        <v>0.74509999999999998</v>
      </c>
      <c r="L61" s="3108">
        <v>0.74509999999999998</v>
      </c>
      <c r="M61" s="3109">
        <v>0.74509999999999998</v>
      </c>
    </row>
    <row r="62" spans="1:13">
      <c r="A62" s="3107">
        <v>6.9</v>
      </c>
      <c r="B62" s="3108">
        <v>0.92669999999999997</v>
      </c>
      <c r="C62" s="3108">
        <v>0.92669999999999997</v>
      </c>
      <c r="D62" s="3108">
        <v>0.86480000000000001</v>
      </c>
      <c r="E62" s="3108">
        <v>0.86480000000000001</v>
      </c>
      <c r="F62" s="3108">
        <v>0.86480000000000001</v>
      </c>
      <c r="G62" s="3108">
        <v>0.86480000000000001</v>
      </c>
      <c r="H62" s="3108">
        <v>0.86480000000000001</v>
      </c>
      <c r="I62" s="3108">
        <v>0.74209999999999998</v>
      </c>
      <c r="J62" s="3108">
        <v>0.74209999999999998</v>
      </c>
      <c r="K62" s="3108">
        <v>0.74209999999999998</v>
      </c>
      <c r="L62" s="3108">
        <v>0.74209999999999998</v>
      </c>
      <c r="M62" s="3109">
        <v>0.74209999999999998</v>
      </c>
    </row>
    <row r="63" spans="1:13">
      <c r="A63" s="3107">
        <v>7</v>
      </c>
      <c r="B63" s="3108">
        <v>0.92520000000000002</v>
      </c>
      <c r="C63" s="3108">
        <v>0.92520000000000002</v>
      </c>
      <c r="D63" s="3108">
        <v>0.86270000000000002</v>
      </c>
      <c r="E63" s="3108">
        <v>0.86270000000000002</v>
      </c>
      <c r="F63" s="3108">
        <v>0.86270000000000002</v>
      </c>
      <c r="G63" s="3108">
        <v>0.86270000000000002</v>
      </c>
      <c r="H63" s="3108">
        <v>0.86270000000000002</v>
      </c>
      <c r="I63" s="3108">
        <v>0.73919999999999997</v>
      </c>
      <c r="J63" s="3108">
        <v>0.73919999999999997</v>
      </c>
      <c r="K63" s="3108">
        <v>0.73919999999999997</v>
      </c>
      <c r="L63" s="3108">
        <v>0.73919999999999997</v>
      </c>
      <c r="M63" s="3109">
        <v>0.73919999999999997</v>
      </c>
    </row>
    <row r="64" spans="1:13">
      <c r="A64" s="3107">
        <v>7.1</v>
      </c>
      <c r="B64" s="3108">
        <v>0.92369999999999997</v>
      </c>
      <c r="C64" s="3108">
        <v>0.92369999999999997</v>
      </c>
      <c r="D64" s="3108">
        <v>0.86060000000000003</v>
      </c>
      <c r="E64" s="3108">
        <v>0.86060000000000003</v>
      </c>
      <c r="F64" s="3108">
        <v>0.86060000000000003</v>
      </c>
      <c r="G64" s="3108">
        <v>0.86060000000000003</v>
      </c>
      <c r="H64" s="3108">
        <v>0.86060000000000003</v>
      </c>
      <c r="I64" s="3108">
        <v>0.73629999999999995</v>
      </c>
      <c r="J64" s="3108">
        <v>0.73629999999999995</v>
      </c>
      <c r="K64" s="3108">
        <v>0.73629999999999995</v>
      </c>
      <c r="L64" s="3108">
        <v>0.73629999999999995</v>
      </c>
      <c r="M64" s="3109">
        <v>0.73629999999999995</v>
      </c>
    </row>
    <row r="65" spans="1:13">
      <c r="A65" s="3107">
        <v>7.2</v>
      </c>
      <c r="B65" s="3108">
        <v>0.92220000000000002</v>
      </c>
      <c r="C65" s="3108">
        <v>0.92220000000000002</v>
      </c>
      <c r="D65" s="3108">
        <v>0.85850000000000004</v>
      </c>
      <c r="E65" s="3108">
        <v>0.85850000000000004</v>
      </c>
      <c r="F65" s="3108">
        <v>0.85850000000000004</v>
      </c>
      <c r="G65" s="3108">
        <v>0.85850000000000004</v>
      </c>
      <c r="H65" s="3108">
        <v>0.85850000000000004</v>
      </c>
      <c r="I65" s="3108">
        <v>0.73350000000000004</v>
      </c>
      <c r="J65" s="3108">
        <v>0.73350000000000004</v>
      </c>
      <c r="K65" s="3108">
        <v>0.73350000000000004</v>
      </c>
      <c r="L65" s="3108">
        <v>0.73350000000000004</v>
      </c>
      <c r="M65" s="3109">
        <v>0.73350000000000004</v>
      </c>
    </row>
    <row r="66" spans="1:13">
      <c r="A66" s="3107">
        <v>7.3</v>
      </c>
      <c r="B66" s="3108">
        <v>0.92069999999999996</v>
      </c>
      <c r="C66" s="3108">
        <v>0.92069999999999996</v>
      </c>
      <c r="D66" s="3108">
        <v>0.85650000000000004</v>
      </c>
      <c r="E66" s="3108">
        <v>0.85650000000000004</v>
      </c>
      <c r="F66" s="3108">
        <v>0.85650000000000004</v>
      </c>
      <c r="G66" s="3108">
        <v>0.85650000000000004</v>
      </c>
      <c r="H66" s="3108">
        <v>0.85650000000000004</v>
      </c>
      <c r="I66" s="3108">
        <v>0.73070000000000002</v>
      </c>
      <c r="J66" s="3108">
        <v>0.73070000000000002</v>
      </c>
      <c r="K66" s="3108">
        <v>0.73070000000000002</v>
      </c>
      <c r="L66" s="3108">
        <v>0.73070000000000002</v>
      </c>
      <c r="M66" s="3109">
        <v>0.73070000000000002</v>
      </c>
    </row>
    <row r="67" spans="1:13">
      <c r="A67" s="3107">
        <v>7.4</v>
      </c>
      <c r="B67" s="3108">
        <v>0.91930000000000001</v>
      </c>
      <c r="C67" s="3108">
        <v>0.91930000000000001</v>
      </c>
      <c r="D67" s="3108">
        <v>0.85450000000000004</v>
      </c>
      <c r="E67" s="3108">
        <v>0.85450000000000004</v>
      </c>
      <c r="F67" s="3108">
        <v>0.85450000000000004</v>
      </c>
      <c r="G67" s="3108">
        <v>0.85450000000000004</v>
      </c>
      <c r="H67" s="3108">
        <v>0.85450000000000004</v>
      </c>
      <c r="I67" s="3108">
        <v>0.72799999999999998</v>
      </c>
      <c r="J67" s="3108">
        <v>0.72799999999999998</v>
      </c>
      <c r="K67" s="3108">
        <v>0.72799999999999998</v>
      </c>
      <c r="L67" s="3108">
        <v>0.72799999999999998</v>
      </c>
      <c r="M67" s="3109">
        <v>0.72799999999999998</v>
      </c>
    </row>
    <row r="68" spans="1:13">
      <c r="A68" s="3107">
        <v>7.5</v>
      </c>
      <c r="B68" s="3108">
        <v>0.91790000000000005</v>
      </c>
      <c r="C68" s="3108">
        <v>0.91790000000000005</v>
      </c>
      <c r="D68" s="3108">
        <v>0.85250000000000004</v>
      </c>
      <c r="E68" s="3108">
        <v>0.85250000000000004</v>
      </c>
      <c r="F68" s="3108">
        <v>0.85250000000000004</v>
      </c>
      <c r="G68" s="3108">
        <v>0.85250000000000004</v>
      </c>
      <c r="H68" s="3108">
        <v>0.85250000000000004</v>
      </c>
      <c r="I68" s="3108">
        <v>0.72529999999999994</v>
      </c>
      <c r="J68" s="3108">
        <v>0.72529999999999994</v>
      </c>
      <c r="K68" s="3108">
        <v>0.72529999999999994</v>
      </c>
      <c r="L68" s="3108">
        <v>0.72529999999999994</v>
      </c>
      <c r="M68" s="3109">
        <v>0.72529999999999994</v>
      </c>
    </row>
    <row r="69" spans="1:13">
      <c r="A69" s="3107">
        <v>7.6</v>
      </c>
      <c r="B69" s="3108">
        <v>0.91649999999999998</v>
      </c>
      <c r="C69" s="3108">
        <v>0.91649999999999998</v>
      </c>
      <c r="D69" s="3108">
        <v>0.85050000000000003</v>
      </c>
      <c r="E69" s="3108">
        <v>0.85050000000000003</v>
      </c>
      <c r="F69" s="3108">
        <v>0.85050000000000003</v>
      </c>
      <c r="G69" s="3108">
        <v>0.85050000000000003</v>
      </c>
      <c r="H69" s="3108">
        <v>0.85050000000000003</v>
      </c>
      <c r="I69" s="3108">
        <v>0.72260000000000002</v>
      </c>
      <c r="J69" s="3108">
        <v>0.72260000000000002</v>
      </c>
      <c r="K69" s="3108">
        <v>0.72260000000000002</v>
      </c>
      <c r="L69" s="3108">
        <v>0.72260000000000002</v>
      </c>
      <c r="M69" s="3109">
        <v>0.72260000000000002</v>
      </c>
    </row>
    <row r="70" spans="1:13">
      <c r="A70" s="3107">
        <v>7.7</v>
      </c>
      <c r="B70" s="3108">
        <v>0.91510000000000002</v>
      </c>
      <c r="C70" s="3108">
        <v>0.91510000000000002</v>
      </c>
      <c r="D70" s="3108">
        <v>0.84850000000000003</v>
      </c>
      <c r="E70" s="3108">
        <v>0.84850000000000003</v>
      </c>
      <c r="F70" s="3108">
        <v>0.84850000000000003</v>
      </c>
      <c r="G70" s="3108">
        <v>0.84850000000000003</v>
      </c>
      <c r="H70" s="3108">
        <v>0.84850000000000003</v>
      </c>
      <c r="I70" s="3108">
        <v>0.72</v>
      </c>
      <c r="J70" s="3108">
        <v>0.72</v>
      </c>
      <c r="K70" s="3108">
        <v>0.72</v>
      </c>
      <c r="L70" s="3108">
        <v>0.72</v>
      </c>
      <c r="M70" s="3109">
        <v>0.72</v>
      </c>
    </row>
    <row r="71" spans="1:13">
      <c r="A71" s="3107">
        <v>7.8</v>
      </c>
      <c r="B71" s="3108">
        <v>0.91369999999999996</v>
      </c>
      <c r="C71" s="3108">
        <v>0.91369999999999996</v>
      </c>
      <c r="D71" s="3108">
        <v>0.84660000000000002</v>
      </c>
      <c r="E71" s="3108">
        <v>0.84660000000000002</v>
      </c>
      <c r="F71" s="3108">
        <v>0.84660000000000002</v>
      </c>
      <c r="G71" s="3108">
        <v>0.84660000000000002</v>
      </c>
      <c r="H71" s="3108">
        <v>0.84660000000000002</v>
      </c>
      <c r="I71" s="3108">
        <v>0.71740000000000004</v>
      </c>
      <c r="J71" s="3108">
        <v>0.71740000000000004</v>
      </c>
      <c r="K71" s="3108">
        <v>0.71740000000000004</v>
      </c>
      <c r="L71" s="3108">
        <v>0.71740000000000004</v>
      </c>
      <c r="M71" s="3109">
        <v>0.71740000000000004</v>
      </c>
    </row>
    <row r="72" spans="1:13">
      <c r="A72" s="3107">
        <v>7.9</v>
      </c>
      <c r="B72" s="3108">
        <v>0.9123</v>
      </c>
      <c r="C72" s="3108">
        <v>0.9123</v>
      </c>
      <c r="D72" s="3108">
        <v>0.84470000000000001</v>
      </c>
      <c r="E72" s="3108">
        <v>0.84470000000000001</v>
      </c>
      <c r="F72" s="3108">
        <v>0.84470000000000001</v>
      </c>
      <c r="G72" s="3108">
        <v>0.84470000000000001</v>
      </c>
      <c r="H72" s="3108">
        <v>0.84470000000000001</v>
      </c>
      <c r="I72" s="3108">
        <v>0.71479999999999999</v>
      </c>
      <c r="J72" s="3108">
        <v>0.71479999999999999</v>
      </c>
      <c r="K72" s="3108">
        <v>0.71479999999999999</v>
      </c>
      <c r="L72" s="3108">
        <v>0.71479999999999999</v>
      </c>
      <c r="M72" s="3109">
        <v>0.71479999999999999</v>
      </c>
    </row>
    <row r="73" spans="1:13">
      <c r="A73" s="3107">
        <v>8</v>
      </c>
      <c r="B73" s="3108">
        <v>0.91090000000000004</v>
      </c>
      <c r="C73" s="3108">
        <v>0.91090000000000004</v>
      </c>
      <c r="D73" s="3108">
        <v>0.84279999999999999</v>
      </c>
      <c r="E73" s="3108">
        <v>0.84279999999999999</v>
      </c>
      <c r="F73" s="3108">
        <v>0.84279999999999999</v>
      </c>
      <c r="G73" s="3108">
        <v>0.84279999999999999</v>
      </c>
      <c r="H73" s="3108">
        <v>0.84279999999999999</v>
      </c>
      <c r="I73" s="3108">
        <v>0.71230000000000004</v>
      </c>
      <c r="J73" s="3108">
        <v>0.71230000000000004</v>
      </c>
      <c r="K73" s="3108">
        <v>0.71230000000000004</v>
      </c>
      <c r="L73" s="3108">
        <v>0.71230000000000004</v>
      </c>
      <c r="M73" s="3109">
        <v>0.71230000000000004</v>
      </c>
    </row>
    <row r="74" spans="1:13">
      <c r="A74" s="3107">
        <v>8.1</v>
      </c>
      <c r="B74" s="3108">
        <v>0.90959999999999996</v>
      </c>
      <c r="C74" s="3108">
        <v>0.90959999999999996</v>
      </c>
      <c r="D74" s="3108">
        <v>0.84089999999999998</v>
      </c>
      <c r="E74" s="3108">
        <v>0.84089999999999998</v>
      </c>
      <c r="F74" s="3108">
        <v>0.84089999999999998</v>
      </c>
      <c r="G74" s="3108">
        <v>0.84089999999999998</v>
      </c>
      <c r="H74" s="3108">
        <v>0.84089999999999998</v>
      </c>
      <c r="I74" s="3108">
        <v>0.70979999999999999</v>
      </c>
      <c r="J74" s="3108">
        <v>0.70979999999999999</v>
      </c>
      <c r="K74" s="3108">
        <v>0.70979999999999999</v>
      </c>
      <c r="L74" s="3108">
        <v>0.70979999999999999</v>
      </c>
      <c r="M74" s="3109">
        <v>0.70979999999999999</v>
      </c>
    </row>
    <row r="75" spans="1:13">
      <c r="A75" s="3107">
        <v>8.1999999999999993</v>
      </c>
      <c r="B75" s="3108">
        <v>0.9083</v>
      </c>
      <c r="C75" s="3108">
        <v>0.9083</v>
      </c>
      <c r="D75" s="3108">
        <v>0.83899999999999997</v>
      </c>
      <c r="E75" s="3108">
        <v>0.83899999999999997</v>
      </c>
      <c r="F75" s="3108">
        <v>0.83899999999999997</v>
      </c>
      <c r="G75" s="3108">
        <v>0.83899999999999997</v>
      </c>
      <c r="H75" s="3108">
        <v>0.83899999999999997</v>
      </c>
      <c r="I75" s="3108">
        <v>0.70730000000000004</v>
      </c>
      <c r="J75" s="3108">
        <v>0.70730000000000004</v>
      </c>
      <c r="K75" s="3108">
        <v>0.70730000000000004</v>
      </c>
      <c r="L75" s="3108">
        <v>0.70730000000000004</v>
      </c>
      <c r="M75" s="3109">
        <v>0.70730000000000004</v>
      </c>
    </row>
    <row r="76" spans="1:13">
      <c r="A76" s="3107">
        <v>8.3000000000000007</v>
      </c>
      <c r="B76" s="3108">
        <v>0.90700000000000003</v>
      </c>
      <c r="C76" s="3108">
        <v>0.90700000000000003</v>
      </c>
      <c r="D76" s="3108">
        <v>0.83720000000000006</v>
      </c>
      <c r="E76" s="3108">
        <v>0.83720000000000006</v>
      </c>
      <c r="F76" s="3108">
        <v>0.83720000000000006</v>
      </c>
      <c r="G76" s="3108">
        <v>0.83720000000000006</v>
      </c>
      <c r="H76" s="3108">
        <v>0.83720000000000006</v>
      </c>
      <c r="I76" s="3108">
        <v>0.70489999999999997</v>
      </c>
      <c r="J76" s="3108">
        <v>0.70489999999999997</v>
      </c>
      <c r="K76" s="3108">
        <v>0.70489999999999997</v>
      </c>
      <c r="L76" s="3108">
        <v>0.70489999999999997</v>
      </c>
      <c r="M76" s="3109">
        <v>0.70489999999999997</v>
      </c>
    </row>
    <row r="77" spans="1:13">
      <c r="A77" s="3107">
        <v>8.4</v>
      </c>
      <c r="B77" s="3108">
        <v>0.90569999999999995</v>
      </c>
      <c r="C77" s="3108">
        <v>0.90569999999999995</v>
      </c>
      <c r="D77" s="3108">
        <v>0.83540000000000003</v>
      </c>
      <c r="E77" s="3108">
        <v>0.83540000000000003</v>
      </c>
      <c r="F77" s="3108">
        <v>0.83540000000000003</v>
      </c>
      <c r="G77" s="3108">
        <v>0.83540000000000003</v>
      </c>
      <c r="H77" s="3108">
        <v>0.83540000000000003</v>
      </c>
      <c r="I77" s="3108">
        <v>0.70250000000000001</v>
      </c>
      <c r="J77" s="3108">
        <v>0.70250000000000001</v>
      </c>
      <c r="K77" s="3108">
        <v>0.70250000000000001</v>
      </c>
      <c r="L77" s="3108">
        <v>0.70250000000000001</v>
      </c>
      <c r="M77" s="3109">
        <v>0.70250000000000001</v>
      </c>
    </row>
    <row r="78" spans="1:13">
      <c r="A78" s="3107">
        <v>8.5</v>
      </c>
      <c r="B78" s="3108">
        <v>0.90439999999999998</v>
      </c>
      <c r="C78" s="3108">
        <v>0.90439999999999998</v>
      </c>
      <c r="D78" s="3108">
        <v>0.83360000000000001</v>
      </c>
      <c r="E78" s="3108">
        <v>0.83360000000000001</v>
      </c>
      <c r="F78" s="3108">
        <v>0.83360000000000001</v>
      </c>
      <c r="G78" s="3108">
        <v>0.83360000000000001</v>
      </c>
      <c r="H78" s="3108">
        <v>0.83360000000000001</v>
      </c>
      <c r="I78" s="3108">
        <v>0.70009999999999994</v>
      </c>
      <c r="J78" s="3108">
        <v>0.70009999999999994</v>
      </c>
      <c r="K78" s="3108">
        <v>0.70009999999999994</v>
      </c>
      <c r="L78" s="3108">
        <v>0.70009999999999994</v>
      </c>
      <c r="M78" s="3109">
        <v>0.70009999999999994</v>
      </c>
    </row>
    <row r="79" spans="1:13">
      <c r="A79" s="3107">
        <v>8.6</v>
      </c>
      <c r="B79" s="3108">
        <v>0.90310000000000001</v>
      </c>
      <c r="C79" s="3108">
        <v>0.90310000000000001</v>
      </c>
      <c r="D79" s="3108">
        <v>0.83179999999999998</v>
      </c>
      <c r="E79" s="3108">
        <v>0.83179999999999998</v>
      </c>
      <c r="F79" s="3108">
        <v>0.83179999999999998</v>
      </c>
      <c r="G79" s="3108">
        <v>0.83179999999999998</v>
      </c>
      <c r="H79" s="3108">
        <v>0.83179999999999998</v>
      </c>
      <c r="I79" s="3108">
        <v>0.69779999999999998</v>
      </c>
      <c r="J79" s="3108">
        <v>0.69779999999999998</v>
      </c>
      <c r="K79" s="3108">
        <v>0.69779999999999998</v>
      </c>
      <c r="L79" s="3108">
        <v>0.69779999999999998</v>
      </c>
      <c r="M79" s="3109">
        <v>0.69779999999999998</v>
      </c>
    </row>
    <row r="80" spans="1:13">
      <c r="A80" s="3107">
        <v>8.6999999999999993</v>
      </c>
      <c r="B80" s="3108">
        <v>0.90180000000000005</v>
      </c>
      <c r="C80" s="3108">
        <v>0.90180000000000005</v>
      </c>
      <c r="D80" s="3108">
        <v>0.83</v>
      </c>
      <c r="E80" s="3108">
        <v>0.83</v>
      </c>
      <c r="F80" s="3108">
        <v>0.83</v>
      </c>
      <c r="G80" s="3108">
        <v>0.83</v>
      </c>
      <c r="H80" s="3108">
        <v>0.83</v>
      </c>
      <c r="I80" s="3108">
        <v>0.69550000000000001</v>
      </c>
      <c r="J80" s="3108">
        <v>0.69550000000000001</v>
      </c>
      <c r="K80" s="3108">
        <v>0.69550000000000001</v>
      </c>
      <c r="L80" s="3108">
        <v>0.69550000000000001</v>
      </c>
      <c r="M80" s="3109">
        <v>0.69550000000000001</v>
      </c>
    </row>
    <row r="81" spans="1:20">
      <c r="A81" s="3107">
        <v>8.8000000000000007</v>
      </c>
      <c r="B81" s="3108">
        <v>0.90059999999999996</v>
      </c>
      <c r="C81" s="3108">
        <v>0.90059999999999996</v>
      </c>
      <c r="D81" s="3108">
        <v>0.82830000000000004</v>
      </c>
      <c r="E81" s="3108">
        <v>0.82830000000000004</v>
      </c>
      <c r="F81" s="3108">
        <v>0.82830000000000004</v>
      </c>
      <c r="G81" s="3108">
        <v>0.82830000000000004</v>
      </c>
      <c r="H81" s="3108">
        <v>0.82830000000000004</v>
      </c>
      <c r="I81" s="3108">
        <v>0.69320000000000004</v>
      </c>
      <c r="J81" s="3108">
        <v>0.69320000000000004</v>
      </c>
      <c r="K81" s="3108">
        <v>0.69320000000000004</v>
      </c>
      <c r="L81" s="3108">
        <v>0.69320000000000004</v>
      </c>
      <c r="M81" s="3109">
        <v>0.69320000000000004</v>
      </c>
    </row>
    <row r="82" spans="1:20">
      <c r="A82" s="3107">
        <v>8.9</v>
      </c>
      <c r="B82" s="3108">
        <v>0.89939999999999998</v>
      </c>
      <c r="C82" s="3108">
        <v>0.89939999999999998</v>
      </c>
      <c r="D82" s="3108">
        <v>0.8266</v>
      </c>
      <c r="E82" s="3108">
        <v>0.8266</v>
      </c>
      <c r="F82" s="3108">
        <v>0.8266</v>
      </c>
      <c r="G82" s="3108">
        <v>0.8266</v>
      </c>
      <c r="H82" s="3108">
        <v>0.8266</v>
      </c>
      <c r="I82" s="3108">
        <v>0.69099999999999995</v>
      </c>
      <c r="J82" s="3108">
        <v>0.69099999999999995</v>
      </c>
      <c r="K82" s="3108">
        <v>0.69099999999999995</v>
      </c>
      <c r="L82" s="3108">
        <v>0.69099999999999995</v>
      </c>
      <c r="M82" s="3109">
        <v>0.69099999999999995</v>
      </c>
    </row>
    <row r="83" spans="1:20">
      <c r="A83" s="3110">
        <v>9</v>
      </c>
      <c r="B83" s="3108">
        <v>0.8982</v>
      </c>
      <c r="C83" s="3108">
        <v>0.8982</v>
      </c>
      <c r="D83" s="3108">
        <v>0.82489999999999997</v>
      </c>
      <c r="E83" s="3108">
        <v>0.82489999999999997</v>
      </c>
      <c r="F83" s="3108">
        <v>0.82489999999999997</v>
      </c>
      <c r="G83" s="3108">
        <v>0.82489999999999997</v>
      </c>
      <c r="H83" s="3108">
        <v>0.82489999999999997</v>
      </c>
      <c r="I83" s="3108">
        <v>0.68879999999999997</v>
      </c>
      <c r="J83" s="3108">
        <v>0.68879999999999997</v>
      </c>
      <c r="K83" s="3108">
        <v>0.68879999999999997</v>
      </c>
      <c r="L83" s="3108">
        <v>0.68879999999999997</v>
      </c>
      <c r="M83" s="3109">
        <v>0.68879999999999997</v>
      </c>
    </row>
    <row r="84" spans="1:20">
      <c r="A84" s="3110">
        <v>9.1</v>
      </c>
      <c r="B84" s="3108">
        <v>0.89700000000000002</v>
      </c>
      <c r="C84" s="3108">
        <v>0.89700000000000002</v>
      </c>
      <c r="D84" s="3108">
        <v>0.82320000000000004</v>
      </c>
      <c r="E84" s="3108">
        <v>0.82320000000000004</v>
      </c>
      <c r="F84" s="3108">
        <v>0.82320000000000004</v>
      </c>
      <c r="G84" s="3108">
        <v>0.82320000000000004</v>
      </c>
      <c r="H84" s="3108">
        <v>0.82320000000000004</v>
      </c>
      <c r="I84" s="3108">
        <v>0.68659999999999999</v>
      </c>
      <c r="J84" s="3108">
        <v>0.68659999999999999</v>
      </c>
      <c r="K84" s="3108">
        <v>0.68659999999999999</v>
      </c>
      <c r="L84" s="3108">
        <v>0.68659999999999999</v>
      </c>
      <c r="M84" s="3109">
        <v>0.68659999999999999</v>
      </c>
    </row>
    <row r="85" spans="1:20">
      <c r="A85" s="3110">
        <v>9.1999999999999993</v>
      </c>
      <c r="B85" s="3108">
        <v>0.89580000000000004</v>
      </c>
      <c r="C85" s="3108">
        <v>0.89580000000000004</v>
      </c>
      <c r="D85" s="3108">
        <v>0.82150000000000001</v>
      </c>
      <c r="E85" s="3108">
        <v>0.82150000000000001</v>
      </c>
      <c r="F85" s="3108">
        <v>0.82150000000000001</v>
      </c>
      <c r="G85" s="3108">
        <v>0.82150000000000001</v>
      </c>
      <c r="H85" s="3108">
        <v>0.82150000000000001</v>
      </c>
      <c r="I85" s="3108">
        <v>0.6845</v>
      </c>
      <c r="J85" s="3108">
        <v>0.6845</v>
      </c>
      <c r="K85" s="3108">
        <v>0.6845</v>
      </c>
      <c r="L85" s="3108">
        <v>0.6845</v>
      </c>
      <c r="M85" s="3109">
        <v>0.6845</v>
      </c>
    </row>
    <row r="86" spans="1:20">
      <c r="A86" s="3110">
        <v>9.3000000000000007</v>
      </c>
      <c r="B86" s="3108">
        <v>0.89459999999999995</v>
      </c>
      <c r="C86" s="3108">
        <v>0.89459999999999995</v>
      </c>
      <c r="D86" s="3108">
        <v>0.81989999999999996</v>
      </c>
      <c r="E86" s="3108">
        <v>0.81989999999999996</v>
      </c>
      <c r="F86" s="3108">
        <v>0.81989999999999996</v>
      </c>
      <c r="G86" s="3108">
        <v>0.81989999999999996</v>
      </c>
      <c r="H86" s="3108">
        <v>0.81989999999999996</v>
      </c>
      <c r="I86" s="3108">
        <v>0.68240000000000001</v>
      </c>
      <c r="J86" s="3108">
        <v>0.68240000000000001</v>
      </c>
      <c r="K86" s="3108">
        <v>0.68240000000000001</v>
      </c>
      <c r="L86" s="3108">
        <v>0.68240000000000001</v>
      </c>
      <c r="M86" s="3109">
        <v>0.68240000000000001</v>
      </c>
    </row>
    <row r="87" spans="1:20">
      <c r="A87" s="3110">
        <v>9.4</v>
      </c>
      <c r="B87" s="3108">
        <v>0.89339999999999997</v>
      </c>
      <c r="C87" s="3108">
        <v>0.89339999999999997</v>
      </c>
      <c r="D87" s="3108">
        <v>0.81830000000000003</v>
      </c>
      <c r="E87" s="3108">
        <v>0.81830000000000003</v>
      </c>
      <c r="F87" s="3108">
        <v>0.81830000000000003</v>
      </c>
      <c r="G87" s="3108">
        <v>0.81830000000000003</v>
      </c>
      <c r="H87" s="3108">
        <v>0.81830000000000003</v>
      </c>
      <c r="I87" s="3108">
        <v>0.68030000000000002</v>
      </c>
      <c r="J87" s="3108">
        <v>0.68030000000000002</v>
      </c>
      <c r="K87" s="3108">
        <v>0.68030000000000002</v>
      </c>
      <c r="L87" s="3108">
        <v>0.68030000000000002</v>
      </c>
      <c r="M87" s="3109">
        <v>0.68030000000000002</v>
      </c>
    </row>
    <row r="88" spans="1:20">
      <c r="A88" s="3110">
        <v>9.5</v>
      </c>
      <c r="B88" s="3108">
        <v>0.89229999999999998</v>
      </c>
      <c r="C88" s="3108">
        <v>0.89229999999999998</v>
      </c>
      <c r="D88" s="3108">
        <v>0.81669999999999998</v>
      </c>
      <c r="E88" s="3108">
        <v>0.81669999999999998</v>
      </c>
      <c r="F88" s="3108">
        <v>0.81669999999999998</v>
      </c>
      <c r="G88" s="3108">
        <v>0.81669999999999998</v>
      </c>
      <c r="H88" s="3108">
        <v>0.81669999999999998</v>
      </c>
      <c r="I88" s="3108">
        <v>0.67830000000000001</v>
      </c>
      <c r="J88" s="3108">
        <v>0.67830000000000001</v>
      </c>
      <c r="K88" s="3108">
        <v>0.67830000000000001</v>
      </c>
      <c r="L88" s="3108">
        <v>0.67830000000000001</v>
      </c>
      <c r="M88" s="3109">
        <v>0.67830000000000001</v>
      </c>
    </row>
    <row r="89" spans="1:20">
      <c r="A89" s="3110">
        <v>9.6</v>
      </c>
      <c r="B89" s="3108">
        <v>0.89119999999999999</v>
      </c>
      <c r="C89" s="3108">
        <v>0.89119999999999999</v>
      </c>
      <c r="D89" s="3108">
        <v>0.81510000000000005</v>
      </c>
      <c r="E89" s="3108">
        <v>0.81510000000000005</v>
      </c>
      <c r="F89" s="3108">
        <v>0.81510000000000005</v>
      </c>
      <c r="G89" s="3108">
        <v>0.81510000000000005</v>
      </c>
      <c r="H89" s="3108">
        <v>0.81510000000000005</v>
      </c>
      <c r="I89" s="3108">
        <v>0.67630000000000001</v>
      </c>
      <c r="J89" s="3108">
        <v>0.67630000000000001</v>
      </c>
      <c r="K89" s="3108">
        <v>0.67630000000000001</v>
      </c>
      <c r="L89" s="3108">
        <v>0.67630000000000001</v>
      </c>
      <c r="M89" s="3109">
        <v>0.67630000000000001</v>
      </c>
    </row>
    <row r="90" spans="1:20">
      <c r="A90" s="3110">
        <v>9.6999999999999993</v>
      </c>
      <c r="B90" s="3108">
        <v>0.8901</v>
      </c>
      <c r="C90" s="3108">
        <v>0.8901</v>
      </c>
      <c r="D90" s="3108">
        <v>0.8135</v>
      </c>
      <c r="E90" s="3108">
        <v>0.8135</v>
      </c>
      <c r="F90" s="3108">
        <v>0.8135</v>
      </c>
      <c r="G90" s="3108">
        <v>0.8135</v>
      </c>
      <c r="H90" s="3108">
        <v>0.8135</v>
      </c>
      <c r="I90" s="3108">
        <v>0.67430000000000001</v>
      </c>
      <c r="J90" s="3108">
        <v>0.67430000000000001</v>
      </c>
      <c r="K90" s="3108">
        <v>0.67430000000000001</v>
      </c>
      <c r="L90" s="3108">
        <v>0.67430000000000001</v>
      </c>
      <c r="M90" s="3109">
        <v>0.67430000000000001</v>
      </c>
    </row>
    <row r="91" spans="1:20">
      <c r="A91" s="3110">
        <v>9.8000000000000007</v>
      </c>
      <c r="B91" s="3108">
        <v>0.88900000000000001</v>
      </c>
      <c r="C91" s="3108">
        <v>0.88900000000000001</v>
      </c>
      <c r="D91" s="3108">
        <v>0.81200000000000006</v>
      </c>
      <c r="E91" s="3108">
        <v>0.81200000000000006</v>
      </c>
      <c r="F91" s="3108">
        <v>0.81200000000000006</v>
      </c>
      <c r="G91" s="3108">
        <v>0.81200000000000006</v>
      </c>
      <c r="H91" s="3108">
        <v>0.81200000000000006</v>
      </c>
      <c r="I91" s="3108">
        <v>0.6724</v>
      </c>
      <c r="J91" s="3108">
        <v>0.6724</v>
      </c>
      <c r="K91" s="3108">
        <v>0.6724</v>
      </c>
      <c r="L91" s="3108">
        <v>0.6724</v>
      </c>
      <c r="M91" s="3109">
        <v>0.6724</v>
      </c>
    </row>
    <row r="92" spans="1:20" ht="14.25" thickBot="1">
      <c r="A92" s="3111">
        <v>9.9</v>
      </c>
      <c r="B92" s="3112">
        <v>0.88790000000000002</v>
      </c>
      <c r="C92" s="3112">
        <v>0.88790000000000002</v>
      </c>
      <c r="D92" s="3112">
        <v>0.8105</v>
      </c>
      <c r="E92" s="3112">
        <v>0.8105</v>
      </c>
      <c r="F92" s="3112">
        <v>0.8105</v>
      </c>
      <c r="G92" s="3112">
        <v>0.8105</v>
      </c>
      <c r="H92" s="3112">
        <v>0.8105</v>
      </c>
      <c r="I92" s="3112">
        <v>0.67049999999999998</v>
      </c>
      <c r="J92" s="3112">
        <v>0.67049999999999998</v>
      </c>
      <c r="K92" s="3112">
        <v>0.67049999999999998</v>
      </c>
      <c r="L92" s="3112">
        <v>0.67049999999999998</v>
      </c>
      <c r="M92" s="3113">
        <v>0.67049999999999998</v>
      </c>
    </row>
    <row r="93" spans="1:20" ht="15" thickBot="1">
      <c r="A93" s="3101" t="s">
        <v>2776</v>
      </c>
      <c r="B93" s="3101"/>
      <c r="C93" s="3101"/>
      <c r="D93" s="3101"/>
      <c r="E93" s="3101"/>
      <c r="F93" s="3101"/>
      <c r="G93" s="3101"/>
      <c r="H93" s="3101"/>
      <c r="I93" s="3101"/>
      <c r="J93" s="3101"/>
      <c r="K93" s="3101"/>
      <c r="L93" s="3101"/>
      <c r="M93" s="3101"/>
    </row>
    <row r="94" spans="1:20">
      <c r="A94" s="3102" t="s">
        <v>2775</v>
      </c>
      <c r="B94" s="3103" t="s">
        <v>2571</v>
      </c>
      <c r="C94" s="3103" t="s">
        <v>2572</v>
      </c>
      <c r="D94" s="3103" t="s">
        <v>2573</v>
      </c>
      <c r="E94" s="3103" t="s">
        <v>2574</v>
      </c>
      <c r="F94" s="3103" t="s">
        <v>2575</v>
      </c>
      <c r="G94" s="3103" t="s">
        <v>2576</v>
      </c>
      <c r="H94" s="3104" t="s">
        <v>2577</v>
      </c>
      <c r="I94" s="3104" t="s">
        <v>2578</v>
      </c>
      <c r="J94" s="3105" t="s">
        <v>2579</v>
      </c>
      <c r="K94" s="3105" t="s">
        <v>2580</v>
      </c>
      <c r="L94" s="3105" t="s">
        <v>2581</v>
      </c>
      <c r="M94" s="3106" t="s">
        <v>2582</v>
      </c>
      <c r="N94" s="750">
        <f>SUMPRODUCT((A95:A184=ROUNDDOWN(基准地价修正!G3,1))*(B94:M94=基准地价修正!G2)*(B95:M184))</f>
        <v>1.2158</v>
      </c>
      <c r="Q94" s="3116" t="s">
        <v>2780</v>
      </c>
      <c r="R94" s="3116" t="s">
        <v>2781</v>
      </c>
      <c r="S94" s="3116" t="s">
        <v>2782</v>
      </c>
      <c r="T94" s="3116" t="s">
        <v>2783</v>
      </c>
    </row>
    <row r="95" spans="1:20">
      <c r="A95" s="3107">
        <v>1</v>
      </c>
      <c r="B95" s="3108">
        <v>1.2501</v>
      </c>
      <c r="C95" s="3108">
        <v>1.2501</v>
      </c>
      <c r="D95" s="3108">
        <v>1.2158</v>
      </c>
      <c r="E95" s="3108">
        <v>1.2158</v>
      </c>
      <c r="F95" s="3108">
        <v>1.2158</v>
      </c>
      <c r="G95" s="3108">
        <v>1.2158</v>
      </c>
      <c r="H95" s="3108">
        <v>1.2158</v>
      </c>
      <c r="I95" s="3108">
        <v>1.2302</v>
      </c>
      <c r="J95" s="3108">
        <v>1.2302</v>
      </c>
      <c r="K95" s="3108">
        <v>1.2302</v>
      </c>
      <c r="L95" s="3108">
        <v>1.2302</v>
      </c>
      <c r="M95" s="3109">
        <v>1.2302</v>
      </c>
      <c r="Q95" s="3116">
        <v>10</v>
      </c>
      <c r="R95" s="3116">
        <f>ROUND(0.993-0.0112*Q95,4)</f>
        <v>0.88100000000000001</v>
      </c>
      <c r="S95" s="3116">
        <f>ROUND(0.9415-0.0142*Q95,4)</f>
        <v>0.79949999999999999</v>
      </c>
      <c r="T95" s="3116">
        <f>ROUND(0.8438-0.0182*Q95,4)</f>
        <v>0.66180000000000005</v>
      </c>
    </row>
    <row r="96" spans="1:20">
      <c r="A96" s="3107">
        <v>1.1000000000000001</v>
      </c>
      <c r="B96" s="3108">
        <v>1.2310000000000001</v>
      </c>
      <c r="C96" s="3108">
        <v>1.2310000000000001</v>
      </c>
      <c r="D96" s="3108">
        <v>1.1947000000000001</v>
      </c>
      <c r="E96" s="3108">
        <v>1.1947000000000001</v>
      </c>
      <c r="F96" s="3108">
        <v>1.1947000000000001</v>
      </c>
      <c r="G96" s="3108">
        <v>1.1947000000000001</v>
      </c>
      <c r="H96" s="3108">
        <v>1.1947000000000001</v>
      </c>
      <c r="I96" s="3108">
        <v>1.2008000000000001</v>
      </c>
      <c r="J96" s="3108">
        <v>1.2008000000000001</v>
      </c>
      <c r="K96" s="3108">
        <v>1.2008000000000001</v>
      </c>
      <c r="L96" s="3108">
        <v>1.2008000000000001</v>
      </c>
      <c r="M96" s="3109">
        <v>1.2008000000000001</v>
      </c>
    </row>
    <row r="97" spans="1:14">
      <c r="A97" s="3107">
        <v>1.2</v>
      </c>
      <c r="B97" s="3108">
        <v>1.2130000000000001</v>
      </c>
      <c r="C97" s="3108">
        <v>1.2130000000000001</v>
      </c>
      <c r="D97" s="3108">
        <v>1.1748000000000001</v>
      </c>
      <c r="E97" s="3108">
        <v>1.1748000000000001</v>
      </c>
      <c r="F97" s="3108">
        <v>1.1748000000000001</v>
      </c>
      <c r="G97" s="3108">
        <v>1.1748000000000001</v>
      </c>
      <c r="H97" s="3108">
        <v>1.1748000000000001</v>
      </c>
      <c r="I97" s="3108">
        <v>1.173</v>
      </c>
      <c r="J97" s="3108">
        <v>1.173</v>
      </c>
      <c r="K97" s="3108">
        <v>1.173</v>
      </c>
      <c r="L97" s="3108">
        <v>1.173</v>
      </c>
      <c r="M97" s="3109">
        <v>1.173</v>
      </c>
    </row>
    <row r="98" spans="1:14">
      <c r="A98" s="3107">
        <v>1.3</v>
      </c>
      <c r="B98" s="3108">
        <v>1.196</v>
      </c>
      <c r="C98" s="3108">
        <v>1.196</v>
      </c>
      <c r="D98" s="3108">
        <v>1.1559999999999999</v>
      </c>
      <c r="E98" s="3108">
        <v>1.1559999999999999</v>
      </c>
      <c r="F98" s="3108">
        <v>1.1559999999999999</v>
      </c>
      <c r="G98" s="3108">
        <v>1.1559999999999999</v>
      </c>
      <c r="H98" s="3108">
        <v>1.1559999999999999</v>
      </c>
      <c r="I98" s="3108">
        <v>1.1468</v>
      </c>
      <c r="J98" s="3108">
        <v>1.1468</v>
      </c>
      <c r="K98" s="3108">
        <v>1.1468</v>
      </c>
      <c r="L98" s="3108">
        <v>1.1468</v>
      </c>
      <c r="M98" s="3109">
        <v>1.1468</v>
      </c>
    </row>
    <row r="99" spans="1:14">
      <c r="A99" s="3107">
        <v>1.4</v>
      </c>
      <c r="B99" s="3108">
        <v>1.18</v>
      </c>
      <c r="C99" s="3108">
        <v>1.18</v>
      </c>
      <c r="D99" s="3108">
        <v>1.1382000000000001</v>
      </c>
      <c r="E99" s="3108">
        <v>1.1382000000000001</v>
      </c>
      <c r="F99" s="3108">
        <v>1.1382000000000001</v>
      </c>
      <c r="G99" s="3108">
        <v>1.1382000000000001</v>
      </c>
      <c r="H99" s="3108">
        <v>1.1382000000000001</v>
      </c>
      <c r="I99" s="3108">
        <v>1.1220000000000001</v>
      </c>
      <c r="J99" s="3108">
        <v>1.1220000000000001</v>
      </c>
      <c r="K99" s="3108">
        <v>1.1220000000000001</v>
      </c>
      <c r="L99" s="3108">
        <v>1.1220000000000001</v>
      </c>
      <c r="M99" s="3109">
        <v>1.1220000000000001</v>
      </c>
    </row>
    <row r="100" spans="1:14">
      <c r="A100" s="3107">
        <v>1.5</v>
      </c>
      <c r="B100" s="3108">
        <v>1.1649</v>
      </c>
      <c r="C100" s="3108">
        <v>1.1649</v>
      </c>
      <c r="D100" s="3108">
        <v>1.1214999999999999</v>
      </c>
      <c r="E100" s="3108">
        <v>1.1214999999999999</v>
      </c>
      <c r="F100" s="3108">
        <v>1.1214999999999999</v>
      </c>
      <c r="G100" s="3108">
        <v>1.1214999999999999</v>
      </c>
      <c r="H100" s="3108">
        <v>1.1214999999999999</v>
      </c>
      <c r="I100" s="3108">
        <v>1.0985</v>
      </c>
      <c r="J100" s="3108">
        <v>1.0985</v>
      </c>
      <c r="K100" s="3108">
        <v>1.0985</v>
      </c>
      <c r="L100" s="3108">
        <v>1.0985</v>
      </c>
      <c r="M100" s="3109">
        <v>1.0985</v>
      </c>
    </row>
    <row r="101" spans="1:14">
      <c r="A101" s="3107">
        <v>1.6</v>
      </c>
      <c r="B101" s="3108">
        <v>1.1507000000000001</v>
      </c>
      <c r="C101" s="3108">
        <v>1.1507000000000001</v>
      </c>
      <c r="D101" s="3108">
        <v>1.1056999999999999</v>
      </c>
      <c r="E101" s="3108">
        <v>1.1056999999999999</v>
      </c>
      <c r="F101" s="3108">
        <v>1.1056999999999999</v>
      </c>
      <c r="G101" s="3108">
        <v>1.1056999999999999</v>
      </c>
      <c r="H101" s="3108">
        <v>1.1056999999999999</v>
      </c>
      <c r="I101" s="3108">
        <v>1.0764</v>
      </c>
      <c r="J101" s="3108">
        <v>1.0764</v>
      </c>
      <c r="K101" s="3108">
        <v>1.0764</v>
      </c>
      <c r="L101" s="3108">
        <v>1.0764</v>
      </c>
      <c r="M101" s="3109">
        <v>1.0764</v>
      </c>
    </row>
    <row r="102" spans="1:14">
      <c r="A102" s="3107">
        <v>1.7</v>
      </c>
      <c r="B102" s="3108">
        <v>1.1373</v>
      </c>
      <c r="C102" s="3108">
        <v>1.1373</v>
      </c>
      <c r="D102" s="3108">
        <v>1.0908</v>
      </c>
      <c r="E102" s="3108">
        <v>1.0908</v>
      </c>
      <c r="F102" s="3108">
        <v>1.0908</v>
      </c>
      <c r="G102" s="3108">
        <v>1.0908</v>
      </c>
      <c r="H102" s="3108">
        <v>1.0908</v>
      </c>
      <c r="I102" s="3108">
        <v>1.0556000000000001</v>
      </c>
      <c r="J102" s="3108">
        <v>1.0556000000000001</v>
      </c>
      <c r="K102" s="3108">
        <v>1.0556000000000001</v>
      </c>
      <c r="L102" s="3108">
        <v>1.0556000000000001</v>
      </c>
      <c r="M102" s="3109">
        <v>1.0556000000000001</v>
      </c>
    </row>
    <row r="103" spans="1:14" ht="14.25">
      <c r="A103" s="3107">
        <v>1.8</v>
      </c>
      <c r="B103" s="3108">
        <v>1.1247</v>
      </c>
      <c r="C103" s="3108">
        <v>1.1247</v>
      </c>
      <c r="D103" s="3108">
        <v>1.0768</v>
      </c>
      <c r="E103" s="3108">
        <v>1.0768</v>
      </c>
      <c r="F103" s="3108">
        <v>1.0768</v>
      </c>
      <c r="G103" s="3108">
        <v>1.0768</v>
      </c>
      <c r="H103" s="3108">
        <v>1.0768</v>
      </c>
      <c r="I103" s="3108">
        <v>1.0359</v>
      </c>
      <c r="J103" s="3108">
        <v>1.0359</v>
      </c>
      <c r="K103" s="3108">
        <v>1.0359</v>
      </c>
      <c r="L103" s="3108">
        <v>1.0359</v>
      </c>
      <c r="M103" s="3109">
        <v>1.0359</v>
      </c>
      <c r="N103" s="749"/>
    </row>
    <row r="104" spans="1:14" ht="14.25">
      <c r="A104" s="3107">
        <v>1.9</v>
      </c>
      <c r="B104" s="3108">
        <v>1.1128</v>
      </c>
      <c r="C104" s="3108">
        <v>1.1128</v>
      </c>
      <c r="D104" s="3108">
        <v>1.0637000000000001</v>
      </c>
      <c r="E104" s="3108">
        <v>1.0637000000000001</v>
      </c>
      <c r="F104" s="3108">
        <v>1.0637000000000001</v>
      </c>
      <c r="G104" s="3108">
        <v>1.0637000000000001</v>
      </c>
      <c r="H104" s="3108">
        <v>1.0637000000000001</v>
      </c>
      <c r="I104" s="3108">
        <v>1.0174000000000001</v>
      </c>
      <c r="J104" s="3108">
        <v>1.0174000000000001</v>
      </c>
      <c r="K104" s="3108">
        <v>1.0174000000000001</v>
      </c>
      <c r="L104" s="3108">
        <v>1.0174000000000001</v>
      </c>
      <c r="M104" s="3109">
        <v>1.0174000000000001</v>
      </c>
      <c r="N104" s="749"/>
    </row>
    <row r="105" spans="1:14">
      <c r="A105" s="3107">
        <v>2</v>
      </c>
      <c r="B105" s="3108">
        <v>1.1016999999999999</v>
      </c>
      <c r="C105" s="3108">
        <v>1.1016999999999999</v>
      </c>
      <c r="D105" s="3108">
        <v>1.0512999999999999</v>
      </c>
      <c r="E105" s="3108">
        <v>1.0512999999999999</v>
      </c>
      <c r="F105" s="3108">
        <v>1.0512999999999999</v>
      </c>
      <c r="G105" s="3108">
        <v>1.0512999999999999</v>
      </c>
      <c r="H105" s="3108">
        <v>1.0512999999999999</v>
      </c>
      <c r="I105" s="3108">
        <v>1</v>
      </c>
      <c r="J105" s="3108">
        <v>1</v>
      </c>
      <c r="K105" s="3108">
        <v>1</v>
      </c>
      <c r="L105" s="3108">
        <v>1</v>
      </c>
      <c r="M105" s="3109">
        <v>1</v>
      </c>
    </row>
    <row r="106" spans="1:14">
      <c r="A106" s="3110">
        <v>2.1</v>
      </c>
      <c r="B106" s="3108">
        <v>1.0912999999999999</v>
      </c>
      <c r="C106" s="3108">
        <v>1.0912999999999999</v>
      </c>
      <c r="D106" s="3108">
        <v>1.0397000000000001</v>
      </c>
      <c r="E106" s="3108">
        <v>1.0397000000000001</v>
      </c>
      <c r="F106" s="3108">
        <v>1.0397000000000001</v>
      </c>
      <c r="G106" s="3108">
        <v>1.0397000000000001</v>
      </c>
      <c r="H106" s="3108">
        <v>1.0397000000000001</v>
      </c>
      <c r="I106" s="3108">
        <v>0.98360000000000003</v>
      </c>
      <c r="J106" s="3108">
        <v>0.98360000000000003</v>
      </c>
      <c r="K106" s="3108">
        <v>0.98360000000000003</v>
      </c>
      <c r="L106" s="3108">
        <v>0.98360000000000003</v>
      </c>
      <c r="M106" s="3109">
        <v>0.98360000000000003</v>
      </c>
    </row>
    <row r="107" spans="1:14">
      <c r="A107" s="3110">
        <v>2.2000000000000002</v>
      </c>
      <c r="B107" s="3108">
        <v>1.0814999999999999</v>
      </c>
      <c r="C107" s="3108">
        <v>1.0814999999999999</v>
      </c>
      <c r="D107" s="3108">
        <v>1.0287999999999999</v>
      </c>
      <c r="E107" s="3108">
        <v>1.0287999999999999</v>
      </c>
      <c r="F107" s="3108">
        <v>1.0287999999999999</v>
      </c>
      <c r="G107" s="3108">
        <v>1.0287999999999999</v>
      </c>
      <c r="H107" s="3108">
        <v>1.0287999999999999</v>
      </c>
      <c r="I107" s="3108">
        <v>0.96819999999999995</v>
      </c>
      <c r="J107" s="3108">
        <v>0.96819999999999995</v>
      </c>
      <c r="K107" s="3108">
        <v>0.96819999999999995</v>
      </c>
      <c r="L107" s="3108">
        <v>0.96819999999999995</v>
      </c>
      <c r="M107" s="3109">
        <v>0.96819999999999995</v>
      </c>
    </row>
    <row r="108" spans="1:14">
      <c r="A108" s="3110">
        <v>2.2999999999999998</v>
      </c>
      <c r="B108" s="3108">
        <v>1.0724</v>
      </c>
      <c r="C108" s="3108">
        <v>1.0724</v>
      </c>
      <c r="D108" s="3108">
        <v>1.0185999999999999</v>
      </c>
      <c r="E108" s="3108">
        <v>1.0185999999999999</v>
      </c>
      <c r="F108" s="3108">
        <v>1.0185999999999999</v>
      </c>
      <c r="G108" s="3108">
        <v>1.0185999999999999</v>
      </c>
      <c r="H108" s="3108">
        <v>1.0185999999999999</v>
      </c>
      <c r="I108" s="3108">
        <v>0.95369999999999999</v>
      </c>
      <c r="J108" s="3108">
        <v>0.95369999999999999</v>
      </c>
      <c r="K108" s="3108">
        <v>0.95369999999999999</v>
      </c>
      <c r="L108" s="3108">
        <v>0.95369999999999999</v>
      </c>
      <c r="M108" s="3109">
        <v>0.95369999999999999</v>
      </c>
    </row>
    <row r="109" spans="1:14">
      <c r="A109" s="3110">
        <v>2.4</v>
      </c>
      <c r="B109" s="3108">
        <v>1.0638000000000001</v>
      </c>
      <c r="C109" s="3108">
        <v>1.0638000000000001</v>
      </c>
      <c r="D109" s="3108">
        <v>1.0089999999999999</v>
      </c>
      <c r="E109" s="3108">
        <v>1.0089999999999999</v>
      </c>
      <c r="F109" s="3108">
        <v>1.0089999999999999</v>
      </c>
      <c r="G109" s="3108">
        <v>1.0089999999999999</v>
      </c>
      <c r="H109" s="3108">
        <v>1.0089999999999999</v>
      </c>
      <c r="I109" s="3108">
        <v>0.94010000000000005</v>
      </c>
      <c r="J109" s="3108">
        <v>0.94010000000000005</v>
      </c>
      <c r="K109" s="3108">
        <v>0.94010000000000005</v>
      </c>
      <c r="L109" s="3108">
        <v>0.94010000000000005</v>
      </c>
      <c r="M109" s="3109">
        <v>0.94010000000000005</v>
      </c>
    </row>
    <row r="110" spans="1:14">
      <c r="A110" s="3110">
        <v>2.5</v>
      </c>
      <c r="B110" s="3108">
        <v>1.0558000000000001</v>
      </c>
      <c r="C110" s="3108">
        <v>1.0558000000000001</v>
      </c>
      <c r="D110" s="3108">
        <v>1</v>
      </c>
      <c r="E110" s="3108">
        <v>1</v>
      </c>
      <c r="F110" s="3108">
        <v>1</v>
      </c>
      <c r="G110" s="3108">
        <v>1</v>
      </c>
      <c r="H110" s="3108">
        <v>1</v>
      </c>
      <c r="I110" s="3108">
        <v>0.9274</v>
      </c>
      <c r="J110" s="3108">
        <v>0.9274</v>
      </c>
      <c r="K110" s="3108">
        <v>0.9274</v>
      </c>
      <c r="L110" s="3108">
        <v>0.9274</v>
      </c>
      <c r="M110" s="3109">
        <v>0.9274</v>
      </c>
    </row>
    <row r="111" spans="1:14">
      <c r="A111" s="3110">
        <v>2.6</v>
      </c>
      <c r="B111" s="3108">
        <v>1.0483</v>
      </c>
      <c r="C111" s="3108">
        <v>1.0483</v>
      </c>
      <c r="D111" s="3108">
        <v>0.99160000000000004</v>
      </c>
      <c r="E111" s="3108">
        <v>0.99160000000000004</v>
      </c>
      <c r="F111" s="3108">
        <v>0.99160000000000004</v>
      </c>
      <c r="G111" s="3108">
        <v>0.99160000000000004</v>
      </c>
      <c r="H111" s="3108">
        <v>0.99160000000000004</v>
      </c>
      <c r="I111" s="3108">
        <v>0.91539999999999999</v>
      </c>
      <c r="J111" s="3108">
        <v>0.91539999999999999</v>
      </c>
      <c r="K111" s="3108">
        <v>0.91539999999999999</v>
      </c>
      <c r="L111" s="3108">
        <v>0.91539999999999999</v>
      </c>
      <c r="M111" s="3109">
        <v>0.91539999999999999</v>
      </c>
    </row>
    <row r="112" spans="1:14">
      <c r="A112" s="3110">
        <v>2.7</v>
      </c>
      <c r="B112" s="3108">
        <v>1.0412999999999999</v>
      </c>
      <c r="C112" s="3108">
        <v>1.0412999999999999</v>
      </c>
      <c r="D112" s="3108">
        <v>0.98370000000000002</v>
      </c>
      <c r="E112" s="3108">
        <v>0.98370000000000002</v>
      </c>
      <c r="F112" s="3108">
        <v>0.98370000000000002</v>
      </c>
      <c r="G112" s="3108">
        <v>0.98370000000000002</v>
      </c>
      <c r="H112" s="3108">
        <v>0.98370000000000002</v>
      </c>
      <c r="I112" s="3108">
        <v>0.90429999999999999</v>
      </c>
      <c r="J112" s="3108">
        <v>0.90429999999999999</v>
      </c>
      <c r="K112" s="3108">
        <v>0.90429999999999999</v>
      </c>
      <c r="L112" s="3108">
        <v>0.90429999999999999</v>
      </c>
      <c r="M112" s="3109">
        <v>0.90429999999999999</v>
      </c>
    </row>
    <row r="113" spans="1:13">
      <c r="A113" s="3110">
        <v>2.8</v>
      </c>
      <c r="B113" s="3108">
        <v>1.0347999999999999</v>
      </c>
      <c r="C113" s="3108">
        <v>1.0347999999999999</v>
      </c>
      <c r="D113" s="3108">
        <v>0.97640000000000005</v>
      </c>
      <c r="E113" s="3108">
        <v>0.97640000000000005</v>
      </c>
      <c r="F113" s="3108">
        <v>0.97640000000000005</v>
      </c>
      <c r="G113" s="3108">
        <v>0.97640000000000005</v>
      </c>
      <c r="H113" s="3108">
        <v>0.97640000000000005</v>
      </c>
      <c r="I113" s="3108">
        <v>0.89370000000000005</v>
      </c>
      <c r="J113" s="3108">
        <v>0.89370000000000005</v>
      </c>
      <c r="K113" s="3108">
        <v>0.89370000000000005</v>
      </c>
      <c r="L113" s="3108">
        <v>0.89370000000000005</v>
      </c>
      <c r="M113" s="3109">
        <v>0.89370000000000005</v>
      </c>
    </row>
    <row r="114" spans="1:13">
      <c r="A114" s="3110">
        <v>2.9</v>
      </c>
      <c r="B114" s="3108">
        <v>1.0286999999999999</v>
      </c>
      <c r="C114" s="3108">
        <v>1.0286999999999999</v>
      </c>
      <c r="D114" s="3108">
        <v>0.96950000000000003</v>
      </c>
      <c r="E114" s="3108">
        <v>0.96950000000000003</v>
      </c>
      <c r="F114" s="3108">
        <v>0.96950000000000003</v>
      </c>
      <c r="G114" s="3108">
        <v>0.96950000000000003</v>
      </c>
      <c r="H114" s="3108">
        <v>0.96950000000000003</v>
      </c>
      <c r="I114" s="3108">
        <v>0.88390000000000002</v>
      </c>
      <c r="J114" s="3108">
        <v>0.88390000000000002</v>
      </c>
      <c r="K114" s="3108">
        <v>0.88390000000000002</v>
      </c>
      <c r="L114" s="3108">
        <v>0.88390000000000002</v>
      </c>
      <c r="M114" s="3109">
        <v>0.88390000000000002</v>
      </c>
    </row>
    <row r="115" spans="1:13">
      <c r="A115" s="3110">
        <v>3</v>
      </c>
      <c r="B115" s="3108">
        <v>1.0229999999999999</v>
      </c>
      <c r="C115" s="3108">
        <v>1.0229999999999999</v>
      </c>
      <c r="D115" s="3108">
        <v>0.96309999999999996</v>
      </c>
      <c r="E115" s="3108">
        <v>0.96309999999999996</v>
      </c>
      <c r="F115" s="3108">
        <v>0.96309999999999996</v>
      </c>
      <c r="G115" s="3108">
        <v>0.96309999999999996</v>
      </c>
      <c r="H115" s="3108">
        <v>0.96309999999999996</v>
      </c>
      <c r="I115" s="3108">
        <v>0.87460000000000004</v>
      </c>
      <c r="J115" s="3108">
        <v>0.87460000000000004</v>
      </c>
      <c r="K115" s="3108">
        <v>0.87460000000000004</v>
      </c>
      <c r="L115" s="3108">
        <v>0.87460000000000004</v>
      </c>
      <c r="M115" s="3109">
        <v>0.87460000000000004</v>
      </c>
    </row>
    <row r="116" spans="1:13">
      <c r="A116" s="3110">
        <v>3.1</v>
      </c>
      <c r="B116" s="3108">
        <v>1.0177</v>
      </c>
      <c r="C116" s="3108">
        <v>1.0177</v>
      </c>
      <c r="D116" s="3108">
        <v>0.95709999999999995</v>
      </c>
      <c r="E116" s="3108">
        <v>0.95709999999999995</v>
      </c>
      <c r="F116" s="3108">
        <v>0.95709999999999995</v>
      </c>
      <c r="G116" s="3108">
        <v>0.95709999999999995</v>
      </c>
      <c r="H116" s="3108">
        <v>0.95709999999999995</v>
      </c>
      <c r="I116" s="3108">
        <v>0.8659</v>
      </c>
      <c r="J116" s="3108">
        <v>0.8659</v>
      </c>
      <c r="K116" s="3108">
        <v>0.8659</v>
      </c>
      <c r="L116" s="3108">
        <v>0.8659</v>
      </c>
      <c r="M116" s="3109">
        <v>0.8659</v>
      </c>
    </row>
    <row r="117" spans="1:13">
      <c r="A117" s="3110">
        <v>3.2</v>
      </c>
      <c r="B117" s="3108">
        <v>1.0127999999999999</v>
      </c>
      <c r="C117" s="3108">
        <v>1.0127999999999999</v>
      </c>
      <c r="D117" s="3108">
        <v>0.9516</v>
      </c>
      <c r="E117" s="3108">
        <v>0.9516</v>
      </c>
      <c r="F117" s="3108">
        <v>0.9516</v>
      </c>
      <c r="G117" s="3108">
        <v>0.9516</v>
      </c>
      <c r="H117" s="3108">
        <v>0.9516</v>
      </c>
      <c r="I117" s="3108">
        <v>0.85780000000000001</v>
      </c>
      <c r="J117" s="3108">
        <v>0.85780000000000001</v>
      </c>
      <c r="K117" s="3108">
        <v>0.85780000000000001</v>
      </c>
      <c r="L117" s="3108">
        <v>0.85780000000000001</v>
      </c>
      <c r="M117" s="3109">
        <v>0.85780000000000001</v>
      </c>
    </row>
    <row r="118" spans="1:13">
      <c r="A118" s="3110">
        <v>3.3</v>
      </c>
      <c r="B118" s="3108">
        <v>1.0082</v>
      </c>
      <c r="C118" s="3108">
        <v>1.0082</v>
      </c>
      <c r="D118" s="3108">
        <v>0.94640000000000002</v>
      </c>
      <c r="E118" s="3108">
        <v>0.94640000000000002</v>
      </c>
      <c r="F118" s="3108">
        <v>0.94640000000000002</v>
      </c>
      <c r="G118" s="3108">
        <v>0.94640000000000002</v>
      </c>
      <c r="H118" s="3108">
        <v>0.94640000000000002</v>
      </c>
      <c r="I118" s="3108">
        <v>0.85029999999999994</v>
      </c>
      <c r="J118" s="3108">
        <v>0.85029999999999994</v>
      </c>
      <c r="K118" s="3108">
        <v>0.85029999999999994</v>
      </c>
      <c r="L118" s="3108">
        <v>0.85029999999999994</v>
      </c>
      <c r="M118" s="3109">
        <v>0.85029999999999994</v>
      </c>
    </row>
    <row r="119" spans="1:13">
      <c r="A119" s="3110">
        <v>3.4</v>
      </c>
      <c r="B119" s="3108">
        <v>1.004</v>
      </c>
      <c r="C119" s="3108">
        <v>1.004</v>
      </c>
      <c r="D119" s="3108">
        <v>0.9415</v>
      </c>
      <c r="E119" s="3108">
        <v>0.9415</v>
      </c>
      <c r="F119" s="3108">
        <v>0.9415</v>
      </c>
      <c r="G119" s="3108">
        <v>0.9415</v>
      </c>
      <c r="H119" s="3108">
        <v>0.9415</v>
      </c>
      <c r="I119" s="3108">
        <v>0.84319999999999995</v>
      </c>
      <c r="J119" s="3108">
        <v>0.84319999999999995</v>
      </c>
      <c r="K119" s="3108">
        <v>0.84319999999999995</v>
      </c>
      <c r="L119" s="3108">
        <v>0.84319999999999995</v>
      </c>
      <c r="M119" s="3109">
        <v>0.84319999999999995</v>
      </c>
    </row>
    <row r="120" spans="1:13">
      <c r="A120" s="3110">
        <v>3.5</v>
      </c>
      <c r="B120" s="3108">
        <v>1</v>
      </c>
      <c r="C120" s="3108">
        <v>1</v>
      </c>
      <c r="D120" s="3108">
        <v>0.93700000000000006</v>
      </c>
      <c r="E120" s="3108">
        <v>0.93700000000000006</v>
      </c>
      <c r="F120" s="3108">
        <v>0.93700000000000006</v>
      </c>
      <c r="G120" s="3108">
        <v>0.93700000000000006</v>
      </c>
      <c r="H120" s="3108">
        <v>0.93700000000000006</v>
      </c>
      <c r="I120" s="3108">
        <v>0.83660000000000001</v>
      </c>
      <c r="J120" s="3108">
        <v>0.83660000000000001</v>
      </c>
      <c r="K120" s="3108">
        <v>0.83660000000000001</v>
      </c>
      <c r="L120" s="3108">
        <v>0.83660000000000001</v>
      </c>
      <c r="M120" s="3109">
        <v>0.83660000000000001</v>
      </c>
    </row>
    <row r="121" spans="1:13">
      <c r="A121" s="3110">
        <v>3.6</v>
      </c>
      <c r="B121" s="3108">
        <v>0.99629999999999996</v>
      </c>
      <c r="C121" s="3108">
        <v>0.99629999999999996</v>
      </c>
      <c r="D121" s="3108">
        <v>0.93279999999999996</v>
      </c>
      <c r="E121" s="3108">
        <v>0.93279999999999996</v>
      </c>
      <c r="F121" s="3108">
        <v>0.93279999999999996</v>
      </c>
      <c r="G121" s="3108">
        <v>0.93279999999999996</v>
      </c>
      <c r="H121" s="3108">
        <v>0.93279999999999996</v>
      </c>
      <c r="I121" s="3108">
        <v>0.83040000000000003</v>
      </c>
      <c r="J121" s="3108">
        <v>0.83040000000000003</v>
      </c>
      <c r="K121" s="3108">
        <v>0.83040000000000003</v>
      </c>
      <c r="L121" s="3108">
        <v>0.83040000000000003</v>
      </c>
      <c r="M121" s="3109">
        <v>0.83040000000000003</v>
      </c>
    </row>
    <row r="122" spans="1:13">
      <c r="A122" s="3110">
        <v>3.7</v>
      </c>
      <c r="B122" s="3108">
        <v>0.9929</v>
      </c>
      <c r="C122" s="3108">
        <v>0.9929</v>
      </c>
      <c r="D122" s="3108">
        <v>0.92879999999999996</v>
      </c>
      <c r="E122" s="3108">
        <v>0.92879999999999996</v>
      </c>
      <c r="F122" s="3108">
        <v>0.92879999999999996</v>
      </c>
      <c r="G122" s="3108">
        <v>0.92879999999999996</v>
      </c>
      <c r="H122" s="3108">
        <v>0.92879999999999996</v>
      </c>
      <c r="I122" s="3108">
        <v>0.8246</v>
      </c>
      <c r="J122" s="3108">
        <v>0.8246</v>
      </c>
      <c r="K122" s="3108">
        <v>0.8246</v>
      </c>
      <c r="L122" s="3108">
        <v>0.8246</v>
      </c>
      <c r="M122" s="3109">
        <v>0.8246</v>
      </c>
    </row>
    <row r="123" spans="1:13">
      <c r="A123" s="3110">
        <v>3.8</v>
      </c>
      <c r="B123" s="3108">
        <v>0.98970000000000002</v>
      </c>
      <c r="C123" s="3108">
        <v>0.98970000000000002</v>
      </c>
      <c r="D123" s="3108">
        <v>0.92520000000000002</v>
      </c>
      <c r="E123" s="3108">
        <v>0.92520000000000002</v>
      </c>
      <c r="F123" s="3108">
        <v>0.92520000000000002</v>
      </c>
      <c r="G123" s="3108">
        <v>0.92520000000000002</v>
      </c>
      <c r="H123" s="3108">
        <v>0.92520000000000002</v>
      </c>
      <c r="I123" s="3108">
        <v>0.81920000000000004</v>
      </c>
      <c r="J123" s="3108">
        <v>0.81920000000000004</v>
      </c>
      <c r="K123" s="3108">
        <v>0.81920000000000004</v>
      </c>
      <c r="L123" s="3108">
        <v>0.81920000000000004</v>
      </c>
      <c r="M123" s="3109">
        <v>0.81920000000000004</v>
      </c>
    </row>
    <row r="124" spans="1:13">
      <c r="A124" s="3110">
        <v>3.9</v>
      </c>
      <c r="B124" s="3108">
        <v>0.98670000000000002</v>
      </c>
      <c r="C124" s="3108">
        <v>0.98670000000000002</v>
      </c>
      <c r="D124" s="3108">
        <v>0.92179999999999995</v>
      </c>
      <c r="E124" s="3108">
        <v>0.92179999999999995</v>
      </c>
      <c r="F124" s="3108">
        <v>0.92179999999999995</v>
      </c>
      <c r="G124" s="3108">
        <v>0.92179999999999995</v>
      </c>
      <c r="H124" s="3108">
        <v>0.92179999999999995</v>
      </c>
      <c r="I124" s="3108">
        <v>0.81410000000000005</v>
      </c>
      <c r="J124" s="3108">
        <v>0.81410000000000005</v>
      </c>
      <c r="K124" s="3108">
        <v>0.81410000000000005</v>
      </c>
      <c r="L124" s="3108">
        <v>0.81410000000000005</v>
      </c>
      <c r="M124" s="3109">
        <v>0.81410000000000005</v>
      </c>
    </row>
    <row r="125" spans="1:13">
      <c r="A125" s="3110">
        <v>4</v>
      </c>
      <c r="B125" s="3108">
        <v>0.98380000000000001</v>
      </c>
      <c r="C125" s="3108">
        <v>0.98380000000000001</v>
      </c>
      <c r="D125" s="3108">
        <v>0.91859999999999997</v>
      </c>
      <c r="E125" s="3108">
        <v>0.91859999999999997</v>
      </c>
      <c r="F125" s="3108">
        <v>0.91859999999999997</v>
      </c>
      <c r="G125" s="3108">
        <v>0.91859999999999997</v>
      </c>
      <c r="H125" s="3108">
        <v>0.91859999999999997</v>
      </c>
      <c r="I125" s="3108">
        <v>0.80940000000000001</v>
      </c>
      <c r="J125" s="3108">
        <v>0.80940000000000001</v>
      </c>
      <c r="K125" s="3108">
        <v>0.80940000000000001</v>
      </c>
      <c r="L125" s="3108">
        <v>0.80940000000000001</v>
      </c>
      <c r="M125" s="3109">
        <v>0.80940000000000001</v>
      </c>
    </row>
    <row r="126" spans="1:13">
      <c r="A126" s="3110">
        <v>4.0999999999999996</v>
      </c>
      <c r="B126" s="3108">
        <v>0.98099999999999998</v>
      </c>
      <c r="C126" s="3108">
        <v>0.98099999999999998</v>
      </c>
      <c r="D126" s="3108">
        <v>0.91559999999999997</v>
      </c>
      <c r="E126" s="3108">
        <v>0.91559999999999997</v>
      </c>
      <c r="F126" s="3108">
        <v>0.91559999999999997</v>
      </c>
      <c r="G126" s="3108">
        <v>0.91559999999999997</v>
      </c>
      <c r="H126" s="3108">
        <v>0.91559999999999997</v>
      </c>
      <c r="I126" s="3108">
        <v>0.80489999999999995</v>
      </c>
      <c r="J126" s="3108">
        <v>0.80489999999999995</v>
      </c>
      <c r="K126" s="3108">
        <v>0.80489999999999995</v>
      </c>
      <c r="L126" s="3108">
        <v>0.80489999999999995</v>
      </c>
      <c r="M126" s="3109">
        <v>0.80489999999999995</v>
      </c>
    </row>
    <row r="127" spans="1:13">
      <c r="A127" s="3110">
        <v>4.2</v>
      </c>
      <c r="B127" s="3108">
        <v>0.97829999999999995</v>
      </c>
      <c r="C127" s="3108">
        <v>0.97829999999999995</v>
      </c>
      <c r="D127" s="3108">
        <v>0.91269999999999996</v>
      </c>
      <c r="E127" s="3108">
        <v>0.91269999999999996</v>
      </c>
      <c r="F127" s="3108">
        <v>0.91269999999999996</v>
      </c>
      <c r="G127" s="3108">
        <v>0.91269999999999996</v>
      </c>
      <c r="H127" s="3108">
        <v>0.91269999999999996</v>
      </c>
      <c r="I127" s="3108">
        <v>0.80059999999999998</v>
      </c>
      <c r="J127" s="3108">
        <v>0.80059999999999998</v>
      </c>
      <c r="K127" s="3108">
        <v>0.80059999999999998</v>
      </c>
      <c r="L127" s="3108">
        <v>0.80059999999999998</v>
      </c>
      <c r="M127" s="3109">
        <v>0.80059999999999998</v>
      </c>
    </row>
    <row r="128" spans="1:13">
      <c r="A128" s="3110">
        <v>4.3</v>
      </c>
      <c r="B128" s="3108">
        <v>0.97570000000000001</v>
      </c>
      <c r="C128" s="3108">
        <v>0.97570000000000001</v>
      </c>
      <c r="D128" s="3108">
        <v>0.90990000000000004</v>
      </c>
      <c r="E128" s="3108">
        <v>0.90990000000000004</v>
      </c>
      <c r="F128" s="3108">
        <v>0.90990000000000004</v>
      </c>
      <c r="G128" s="3108">
        <v>0.90990000000000004</v>
      </c>
      <c r="H128" s="3108">
        <v>0.90990000000000004</v>
      </c>
      <c r="I128" s="3108">
        <v>0.79649999999999999</v>
      </c>
      <c r="J128" s="3108">
        <v>0.79649999999999999</v>
      </c>
      <c r="K128" s="3108">
        <v>0.79649999999999999</v>
      </c>
      <c r="L128" s="3108">
        <v>0.79649999999999999</v>
      </c>
      <c r="M128" s="3109">
        <v>0.79649999999999999</v>
      </c>
    </row>
    <row r="129" spans="1:13">
      <c r="A129" s="3110">
        <v>4.4000000000000004</v>
      </c>
      <c r="B129" s="3108">
        <v>0.97319999999999995</v>
      </c>
      <c r="C129" s="3108">
        <v>0.97319999999999995</v>
      </c>
      <c r="D129" s="3108">
        <v>0.90720000000000001</v>
      </c>
      <c r="E129" s="3108">
        <v>0.90720000000000001</v>
      </c>
      <c r="F129" s="3108">
        <v>0.90720000000000001</v>
      </c>
      <c r="G129" s="3108">
        <v>0.90720000000000001</v>
      </c>
      <c r="H129" s="3108">
        <v>0.90720000000000001</v>
      </c>
      <c r="I129" s="3108">
        <v>0.79259999999999997</v>
      </c>
      <c r="J129" s="3108">
        <v>0.79259999999999997</v>
      </c>
      <c r="K129" s="3108">
        <v>0.79259999999999997</v>
      </c>
      <c r="L129" s="3108">
        <v>0.79259999999999997</v>
      </c>
      <c r="M129" s="3109">
        <v>0.79259999999999997</v>
      </c>
    </row>
    <row r="130" spans="1:13">
      <c r="A130" s="3110">
        <v>4.5</v>
      </c>
      <c r="B130" s="3108">
        <v>0.9708</v>
      </c>
      <c r="C130" s="3108">
        <v>0.9708</v>
      </c>
      <c r="D130" s="3108">
        <v>0.90459999999999996</v>
      </c>
      <c r="E130" s="3108">
        <v>0.90459999999999996</v>
      </c>
      <c r="F130" s="3108">
        <v>0.90459999999999996</v>
      </c>
      <c r="G130" s="3108">
        <v>0.90459999999999996</v>
      </c>
      <c r="H130" s="3108">
        <v>0.90459999999999996</v>
      </c>
      <c r="I130" s="3108">
        <v>0.78890000000000005</v>
      </c>
      <c r="J130" s="3108">
        <v>0.78890000000000005</v>
      </c>
      <c r="K130" s="3108">
        <v>0.78890000000000005</v>
      </c>
      <c r="L130" s="3108">
        <v>0.78890000000000005</v>
      </c>
      <c r="M130" s="3109">
        <v>0.78890000000000005</v>
      </c>
    </row>
    <row r="131" spans="1:13">
      <c r="A131" s="3110">
        <v>4.5999999999999996</v>
      </c>
      <c r="B131" s="3108">
        <v>0.96850000000000003</v>
      </c>
      <c r="C131" s="3108">
        <v>0.96850000000000003</v>
      </c>
      <c r="D131" s="3108">
        <v>0.90210000000000001</v>
      </c>
      <c r="E131" s="3108">
        <v>0.90210000000000001</v>
      </c>
      <c r="F131" s="3108">
        <v>0.90210000000000001</v>
      </c>
      <c r="G131" s="3108">
        <v>0.90210000000000001</v>
      </c>
      <c r="H131" s="3108">
        <v>0.90210000000000001</v>
      </c>
      <c r="I131" s="3108">
        <v>0.78539999999999999</v>
      </c>
      <c r="J131" s="3108">
        <v>0.78539999999999999</v>
      </c>
      <c r="K131" s="3108">
        <v>0.78539999999999999</v>
      </c>
      <c r="L131" s="3108">
        <v>0.78539999999999999</v>
      </c>
      <c r="M131" s="3109">
        <v>0.78539999999999999</v>
      </c>
    </row>
    <row r="132" spans="1:13">
      <c r="A132" s="3110">
        <v>4.7</v>
      </c>
      <c r="B132" s="3108">
        <v>0.96630000000000005</v>
      </c>
      <c r="C132" s="3108">
        <v>0.96630000000000005</v>
      </c>
      <c r="D132" s="3108">
        <v>0.89959999999999996</v>
      </c>
      <c r="E132" s="3108">
        <v>0.89959999999999996</v>
      </c>
      <c r="F132" s="3108">
        <v>0.89959999999999996</v>
      </c>
      <c r="G132" s="3108">
        <v>0.89959999999999996</v>
      </c>
      <c r="H132" s="3108">
        <v>0.89959999999999996</v>
      </c>
      <c r="I132" s="3108">
        <v>0.78210000000000002</v>
      </c>
      <c r="J132" s="3108">
        <v>0.78210000000000002</v>
      </c>
      <c r="K132" s="3108">
        <v>0.78210000000000002</v>
      </c>
      <c r="L132" s="3108">
        <v>0.78210000000000002</v>
      </c>
      <c r="M132" s="3109">
        <v>0.78210000000000002</v>
      </c>
    </row>
    <row r="133" spans="1:13">
      <c r="A133" s="3110">
        <v>4.8</v>
      </c>
      <c r="B133" s="3108">
        <v>0.96409999999999996</v>
      </c>
      <c r="C133" s="3108">
        <v>0.96409999999999996</v>
      </c>
      <c r="D133" s="3108">
        <v>0.8972</v>
      </c>
      <c r="E133" s="3108">
        <v>0.8972</v>
      </c>
      <c r="F133" s="3108">
        <v>0.8972</v>
      </c>
      <c r="G133" s="3108">
        <v>0.8972</v>
      </c>
      <c r="H133" s="3108">
        <v>0.8972</v>
      </c>
      <c r="I133" s="3108">
        <v>0.77890000000000004</v>
      </c>
      <c r="J133" s="3108">
        <v>0.77890000000000004</v>
      </c>
      <c r="K133" s="3108">
        <v>0.77890000000000004</v>
      </c>
      <c r="L133" s="3108">
        <v>0.77890000000000004</v>
      </c>
      <c r="M133" s="3109">
        <v>0.77890000000000004</v>
      </c>
    </row>
    <row r="134" spans="1:13">
      <c r="A134" s="3110">
        <v>4.9000000000000004</v>
      </c>
      <c r="B134" s="3108">
        <v>0.96199999999999997</v>
      </c>
      <c r="C134" s="3108">
        <v>0.96199999999999997</v>
      </c>
      <c r="D134" s="3108">
        <v>0.89480000000000004</v>
      </c>
      <c r="E134" s="3108">
        <v>0.89480000000000004</v>
      </c>
      <c r="F134" s="3108">
        <v>0.89480000000000004</v>
      </c>
      <c r="G134" s="3108">
        <v>0.89480000000000004</v>
      </c>
      <c r="H134" s="3108">
        <v>0.89480000000000004</v>
      </c>
      <c r="I134" s="3108">
        <v>0.77580000000000005</v>
      </c>
      <c r="J134" s="3108">
        <v>0.77580000000000005</v>
      </c>
      <c r="K134" s="3108">
        <v>0.77580000000000005</v>
      </c>
      <c r="L134" s="3108">
        <v>0.77580000000000005</v>
      </c>
      <c r="M134" s="3109">
        <v>0.77580000000000005</v>
      </c>
    </row>
    <row r="135" spans="1:13">
      <c r="A135" s="3110">
        <v>5</v>
      </c>
      <c r="B135" s="3108">
        <v>0.95989999999999998</v>
      </c>
      <c r="C135" s="3108">
        <v>0.95989999999999998</v>
      </c>
      <c r="D135" s="3108">
        <v>0.89239999999999997</v>
      </c>
      <c r="E135" s="3108">
        <v>0.89239999999999997</v>
      </c>
      <c r="F135" s="3108">
        <v>0.89239999999999997</v>
      </c>
      <c r="G135" s="3108">
        <v>0.89239999999999997</v>
      </c>
      <c r="H135" s="3108">
        <v>0.89239999999999997</v>
      </c>
      <c r="I135" s="3108">
        <v>0.77280000000000004</v>
      </c>
      <c r="J135" s="3108">
        <v>0.77280000000000004</v>
      </c>
      <c r="K135" s="3108">
        <v>0.77280000000000004</v>
      </c>
      <c r="L135" s="3108">
        <v>0.77280000000000004</v>
      </c>
      <c r="M135" s="3109">
        <v>0.77280000000000004</v>
      </c>
    </row>
    <row r="136" spans="1:13">
      <c r="A136" s="3107">
        <v>5.0999999999999996</v>
      </c>
      <c r="B136" s="3108">
        <v>0.95779999999999998</v>
      </c>
      <c r="C136" s="3108">
        <v>0.95779999999999998</v>
      </c>
      <c r="D136" s="3108">
        <v>0.8901</v>
      </c>
      <c r="E136" s="3108">
        <v>0.8901</v>
      </c>
      <c r="F136" s="3108">
        <v>0.8901</v>
      </c>
      <c r="G136" s="3108">
        <v>0.8901</v>
      </c>
      <c r="H136" s="3108">
        <v>0.8901</v>
      </c>
      <c r="I136" s="3108">
        <v>0.76990000000000003</v>
      </c>
      <c r="J136" s="3108">
        <v>0.76990000000000003</v>
      </c>
      <c r="K136" s="3108">
        <v>0.76990000000000003</v>
      </c>
      <c r="L136" s="3108">
        <v>0.76990000000000003</v>
      </c>
      <c r="M136" s="3109">
        <v>0.76990000000000003</v>
      </c>
    </row>
    <row r="137" spans="1:13">
      <c r="A137" s="3107">
        <v>5.2</v>
      </c>
      <c r="B137" s="3108">
        <v>0.95579999999999998</v>
      </c>
      <c r="C137" s="3108">
        <v>0.95579999999999998</v>
      </c>
      <c r="D137" s="3108">
        <v>0.88780000000000003</v>
      </c>
      <c r="E137" s="3108">
        <v>0.88780000000000003</v>
      </c>
      <c r="F137" s="3108">
        <v>0.88780000000000003</v>
      </c>
      <c r="G137" s="3108">
        <v>0.88780000000000003</v>
      </c>
      <c r="H137" s="3108">
        <v>0.88780000000000003</v>
      </c>
      <c r="I137" s="3108">
        <v>0.76700000000000002</v>
      </c>
      <c r="J137" s="3108">
        <v>0.76700000000000002</v>
      </c>
      <c r="K137" s="3108">
        <v>0.76700000000000002</v>
      </c>
      <c r="L137" s="3108">
        <v>0.76700000000000002</v>
      </c>
      <c r="M137" s="3109">
        <v>0.76700000000000002</v>
      </c>
    </row>
    <row r="138" spans="1:13">
      <c r="A138" s="3107">
        <v>5.3</v>
      </c>
      <c r="B138" s="3108">
        <v>0.95379999999999998</v>
      </c>
      <c r="C138" s="3108">
        <v>0.95379999999999998</v>
      </c>
      <c r="D138" s="3108">
        <v>0.88549999999999995</v>
      </c>
      <c r="E138" s="3108">
        <v>0.88549999999999995</v>
      </c>
      <c r="F138" s="3108">
        <v>0.88549999999999995</v>
      </c>
      <c r="G138" s="3108">
        <v>0.88549999999999995</v>
      </c>
      <c r="H138" s="3108">
        <v>0.88549999999999995</v>
      </c>
      <c r="I138" s="3108">
        <v>0.76419999999999999</v>
      </c>
      <c r="J138" s="3108">
        <v>0.76419999999999999</v>
      </c>
      <c r="K138" s="3108">
        <v>0.76419999999999999</v>
      </c>
      <c r="L138" s="3108">
        <v>0.76419999999999999</v>
      </c>
      <c r="M138" s="3109">
        <v>0.76419999999999999</v>
      </c>
    </row>
    <row r="139" spans="1:13">
      <c r="A139" s="3107">
        <v>5.4</v>
      </c>
      <c r="B139" s="3108">
        <v>0.95179999999999998</v>
      </c>
      <c r="C139" s="3108">
        <v>0.95179999999999998</v>
      </c>
      <c r="D139" s="3108">
        <v>0.88329999999999997</v>
      </c>
      <c r="E139" s="3108">
        <v>0.88329999999999997</v>
      </c>
      <c r="F139" s="3108">
        <v>0.88329999999999997</v>
      </c>
      <c r="G139" s="3108">
        <v>0.88329999999999997</v>
      </c>
      <c r="H139" s="3108">
        <v>0.88329999999999997</v>
      </c>
      <c r="I139" s="3108">
        <v>0.76139999999999997</v>
      </c>
      <c r="J139" s="3108">
        <v>0.76139999999999997</v>
      </c>
      <c r="K139" s="3108">
        <v>0.76139999999999997</v>
      </c>
      <c r="L139" s="3108">
        <v>0.76139999999999997</v>
      </c>
      <c r="M139" s="3109">
        <v>0.76139999999999997</v>
      </c>
    </row>
    <row r="140" spans="1:13">
      <c r="A140" s="3107">
        <v>5.5</v>
      </c>
      <c r="B140" s="3108">
        <v>0.94979999999999998</v>
      </c>
      <c r="C140" s="3108">
        <v>0.94979999999999998</v>
      </c>
      <c r="D140" s="3108">
        <v>0.88109999999999999</v>
      </c>
      <c r="E140" s="3108">
        <v>0.88109999999999999</v>
      </c>
      <c r="F140" s="3108">
        <v>0.88109999999999999</v>
      </c>
      <c r="G140" s="3108">
        <v>0.88109999999999999</v>
      </c>
      <c r="H140" s="3108">
        <v>0.88109999999999999</v>
      </c>
      <c r="I140" s="3108">
        <v>0.75860000000000005</v>
      </c>
      <c r="J140" s="3108">
        <v>0.75860000000000005</v>
      </c>
      <c r="K140" s="3108">
        <v>0.75860000000000005</v>
      </c>
      <c r="L140" s="3108">
        <v>0.75860000000000005</v>
      </c>
      <c r="M140" s="3109">
        <v>0.75860000000000005</v>
      </c>
    </row>
    <row r="141" spans="1:13">
      <c r="A141" s="3107">
        <v>5.6</v>
      </c>
      <c r="B141" s="3108">
        <v>0.94789999999999996</v>
      </c>
      <c r="C141" s="3108">
        <v>0.94789999999999996</v>
      </c>
      <c r="D141" s="3108">
        <v>0.87890000000000001</v>
      </c>
      <c r="E141" s="3108">
        <v>0.87890000000000001</v>
      </c>
      <c r="F141" s="3108">
        <v>0.87890000000000001</v>
      </c>
      <c r="G141" s="3108">
        <v>0.87890000000000001</v>
      </c>
      <c r="H141" s="3108">
        <v>0.87890000000000001</v>
      </c>
      <c r="I141" s="3108">
        <v>0.75590000000000002</v>
      </c>
      <c r="J141" s="3108">
        <v>0.75590000000000002</v>
      </c>
      <c r="K141" s="3108">
        <v>0.75590000000000002</v>
      </c>
      <c r="L141" s="3108">
        <v>0.75590000000000002</v>
      </c>
      <c r="M141" s="3109">
        <v>0.75590000000000002</v>
      </c>
    </row>
    <row r="142" spans="1:13">
      <c r="A142" s="3110">
        <v>5.7</v>
      </c>
      <c r="B142" s="3108">
        <v>0.94599999999999995</v>
      </c>
      <c r="C142" s="3108">
        <v>0.94599999999999995</v>
      </c>
      <c r="D142" s="3108">
        <v>0.87670000000000003</v>
      </c>
      <c r="E142" s="3108">
        <v>0.87670000000000003</v>
      </c>
      <c r="F142" s="3108">
        <v>0.87670000000000003</v>
      </c>
      <c r="G142" s="3108">
        <v>0.87670000000000003</v>
      </c>
      <c r="H142" s="3108">
        <v>0.87670000000000003</v>
      </c>
      <c r="I142" s="3108">
        <v>0.75319999999999998</v>
      </c>
      <c r="J142" s="3108">
        <v>0.75319999999999998</v>
      </c>
      <c r="K142" s="3108">
        <v>0.75319999999999998</v>
      </c>
      <c r="L142" s="3108">
        <v>0.75319999999999998</v>
      </c>
      <c r="M142" s="3109">
        <v>0.75319999999999998</v>
      </c>
    </row>
    <row r="143" spans="1:13">
      <c r="A143" s="3107">
        <v>5.8</v>
      </c>
      <c r="B143" s="3108">
        <v>0.94410000000000005</v>
      </c>
      <c r="C143" s="3108">
        <v>0.94410000000000005</v>
      </c>
      <c r="D143" s="3108">
        <v>0.87460000000000004</v>
      </c>
      <c r="E143" s="3108">
        <v>0.87460000000000004</v>
      </c>
      <c r="F143" s="3108">
        <v>0.87460000000000004</v>
      </c>
      <c r="G143" s="3108">
        <v>0.87460000000000004</v>
      </c>
      <c r="H143" s="3108">
        <v>0.87460000000000004</v>
      </c>
      <c r="I143" s="3108">
        <v>0.75049999999999994</v>
      </c>
      <c r="J143" s="3108">
        <v>0.75049999999999994</v>
      </c>
      <c r="K143" s="3108">
        <v>0.75049999999999994</v>
      </c>
      <c r="L143" s="3108">
        <v>0.75049999999999994</v>
      </c>
      <c r="M143" s="3109">
        <v>0.75049999999999994</v>
      </c>
    </row>
    <row r="144" spans="1:13">
      <c r="A144" s="3107">
        <v>5.9</v>
      </c>
      <c r="B144" s="3108">
        <v>0.94220000000000004</v>
      </c>
      <c r="C144" s="3108">
        <v>0.94220000000000004</v>
      </c>
      <c r="D144" s="3108">
        <v>0.87250000000000005</v>
      </c>
      <c r="E144" s="3108">
        <v>0.87250000000000005</v>
      </c>
      <c r="F144" s="3108">
        <v>0.87250000000000005</v>
      </c>
      <c r="G144" s="3108">
        <v>0.87250000000000005</v>
      </c>
      <c r="H144" s="3108">
        <v>0.87250000000000005</v>
      </c>
      <c r="I144" s="3108">
        <v>0.74780000000000002</v>
      </c>
      <c r="J144" s="3108">
        <v>0.74780000000000002</v>
      </c>
      <c r="K144" s="3108">
        <v>0.74780000000000002</v>
      </c>
      <c r="L144" s="3108">
        <v>0.74780000000000002</v>
      </c>
      <c r="M144" s="3109">
        <v>0.74780000000000002</v>
      </c>
    </row>
    <row r="145" spans="1:13">
      <c r="A145" s="3107">
        <v>6</v>
      </c>
      <c r="B145" s="3108">
        <v>0.94040000000000001</v>
      </c>
      <c r="C145" s="3108">
        <v>0.94040000000000001</v>
      </c>
      <c r="D145" s="3108">
        <v>0.87039999999999995</v>
      </c>
      <c r="E145" s="3108">
        <v>0.87039999999999995</v>
      </c>
      <c r="F145" s="3108">
        <v>0.87039999999999995</v>
      </c>
      <c r="G145" s="3108">
        <v>0.87039999999999995</v>
      </c>
      <c r="H145" s="3108">
        <v>0.87039999999999995</v>
      </c>
      <c r="I145" s="3108">
        <v>0.74519999999999997</v>
      </c>
      <c r="J145" s="3108">
        <v>0.74519999999999997</v>
      </c>
      <c r="K145" s="3108">
        <v>0.74519999999999997</v>
      </c>
      <c r="L145" s="3108">
        <v>0.74519999999999997</v>
      </c>
      <c r="M145" s="3109">
        <v>0.74519999999999997</v>
      </c>
    </row>
    <row r="146" spans="1:13">
      <c r="A146" s="3107">
        <v>6.1</v>
      </c>
      <c r="B146" s="3108">
        <v>0.93859999999999999</v>
      </c>
      <c r="C146" s="3108">
        <v>0.93859999999999999</v>
      </c>
      <c r="D146" s="3108">
        <v>0.86829999999999996</v>
      </c>
      <c r="E146" s="3108">
        <v>0.86829999999999996</v>
      </c>
      <c r="F146" s="3108">
        <v>0.86829999999999996</v>
      </c>
      <c r="G146" s="3108">
        <v>0.86829999999999996</v>
      </c>
      <c r="H146" s="3108">
        <v>0.86829999999999996</v>
      </c>
      <c r="I146" s="3108">
        <v>0.74260000000000004</v>
      </c>
      <c r="J146" s="3108">
        <v>0.74260000000000004</v>
      </c>
      <c r="K146" s="3108">
        <v>0.74260000000000004</v>
      </c>
      <c r="L146" s="3108">
        <v>0.74260000000000004</v>
      </c>
      <c r="M146" s="3109">
        <v>0.74260000000000004</v>
      </c>
    </row>
    <row r="147" spans="1:13">
      <c r="A147" s="3107">
        <v>6.2</v>
      </c>
      <c r="B147" s="3108">
        <v>0.93679999999999997</v>
      </c>
      <c r="C147" s="3108">
        <v>0.93679999999999997</v>
      </c>
      <c r="D147" s="3108">
        <v>0.86619999999999997</v>
      </c>
      <c r="E147" s="3108">
        <v>0.86619999999999997</v>
      </c>
      <c r="F147" s="3108">
        <v>0.86619999999999997</v>
      </c>
      <c r="G147" s="3108">
        <v>0.86619999999999997</v>
      </c>
      <c r="H147" s="3108">
        <v>0.86619999999999997</v>
      </c>
      <c r="I147" s="3108">
        <v>0.74</v>
      </c>
      <c r="J147" s="3108">
        <v>0.74</v>
      </c>
      <c r="K147" s="3108">
        <v>0.74</v>
      </c>
      <c r="L147" s="3108">
        <v>0.74</v>
      </c>
      <c r="M147" s="3109">
        <v>0.74</v>
      </c>
    </row>
    <row r="148" spans="1:13">
      <c r="A148" s="3107">
        <v>6.3</v>
      </c>
      <c r="B148" s="3108">
        <v>0.93500000000000005</v>
      </c>
      <c r="C148" s="3108">
        <v>0.93500000000000005</v>
      </c>
      <c r="D148" s="3108">
        <v>0.86409999999999998</v>
      </c>
      <c r="E148" s="3108">
        <v>0.86409999999999998</v>
      </c>
      <c r="F148" s="3108">
        <v>0.86409999999999998</v>
      </c>
      <c r="G148" s="3108">
        <v>0.86409999999999998</v>
      </c>
      <c r="H148" s="3108">
        <v>0.86409999999999998</v>
      </c>
      <c r="I148" s="3108">
        <v>0.73740000000000006</v>
      </c>
      <c r="J148" s="3108">
        <v>0.73740000000000006</v>
      </c>
      <c r="K148" s="3108">
        <v>0.73740000000000006</v>
      </c>
      <c r="L148" s="3108">
        <v>0.73740000000000006</v>
      </c>
      <c r="M148" s="3109">
        <v>0.73740000000000006</v>
      </c>
    </row>
    <row r="149" spans="1:13">
      <c r="A149" s="3107">
        <v>6.4</v>
      </c>
      <c r="B149" s="3108">
        <v>0.93320000000000003</v>
      </c>
      <c r="C149" s="3108">
        <v>0.93320000000000003</v>
      </c>
      <c r="D149" s="3108">
        <v>0.86209999999999998</v>
      </c>
      <c r="E149" s="3108">
        <v>0.86209999999999998</v>
      </c>
      <c r="F149" s="3108">
        <v>0.86209999999999998</v>
      </c>
      <c r="G149" s="3108">
        <v>0.86209999999999998</v>
      </c>
      <c r="H149" s="3108">
        <v>0.86209999999999998</v>
      </c>
      <c r="I149" s="3108">
        <v>0.73480000000000001</v>
      </c>
      <c r="J149" s="3108">
        <v>0.73480000000000001</v>
      </c>
      <c r="K149" s="3108">
        <v>0.73480000000000001</v>
      </c>
      <c r="L149" s="3108">
        <v>0.73480000000000001</v>
      </c>
      <c r="M149" s="3109">
        <v>0.73480000000000001</v>
      </c>
    </row>
    <row r="150" spans="1:13">
      <c r="A150" s="3107">
        <v>6.5</v>
      </c>
      <c r="B150" s="3108">
        <v>0.93149999999999999</v>
      </c>
      <c r="C150" s="3108">
        <v>0.93149999999999999</v>
      </c>
      <c r="D150" s="3108">
        <v>0.86009999999999998</v>
      </c>
      <c r="E150" s="3108">
        <v>0.86009999999999998</v>
      </c>
      <c r="F150" s="3108">
        <v>0.86009999999999998</v>
      </c>
      <c r="G150" s="3108">
        <v>0.86009999999999998</v>
      </c>
      <c r="H150" s="3108">
        <v>0.86009999999999998</v>
      </c>
      <c r="I150" s="3108">
        <v>0.73229999999999995</v>
      </c>
      <c r="J150" s="3108">
        <v>0.73229999999999995</v>
      </c>
      <c r="K150" s="3108">
        <v>0.73229999999999995</v>
      </c>
      <c r="L150" s="3108">
        <v>0.73229999999999995</v>
      </c>
      <c r="M150" s="3109">
        <v>0.73229999999999995</v>
      </c>
    </row>
    <row r="151" spans="1:13">
      <c r="A151" s="3107">
        <v>6.6</v>
      </c>
      <c r="B151" s="3108">
        <v>0.92979999999999996</v>
      </c>
      <c r="C151" s="3108">
        <v>0.92979999999999996</v>
      </c>
      <c r="D151" s="3108">
        <v>0.85809999999999997</v>
      </c>
      <c r="E151" s="3108">
        <v>0.85809999999999997</v>
      </c>
      <c r="F151" s="3108">
        <v>0.85809999999999997</v>
      </c>
      <c r="G151" s="3108">
        <v>0.85809999999999997</v>
      </c>
      <c r="H151" s="3108">
        <v>0.85809999999999997</v>
      </c>
      <c r="I151" s="3108">
        <v>0.7298</v>
      </c>
      <c r="J151" s="3108">
        <v>0.7298</v>
      </c>
      <c r="K151" s="3108">
        <v>0.7298</v>
      </c>
      <c r="L151" s="3108">
        <v>0.7298</v>
      </c>
      <c r="M151" s="3109">
        <v>0.7298</v>
      </c>
    </row>
    <row r="152" spans="1:13">
      <c r="A152" s="3107">
        <v>6.7</v>
      </c>
      <c r="B152" s="3108">
        <v>0.92810000000000004</v>
      </c>
      <c r="C152" s="3108">
        <v>0.92810000000000004</v>
      </c>
      <c r="D152" s="3108">
        <v>0.85609999999999997</v>
      </c>
      <c r="E152" s="3108">
        <v>0.85609999999999997</v>
      </c>
      <c r="F152" s="3108">
        <v>0.85609999999999997</v>
      </c>
      <c r="G152" s="3108">
        <v>0.85609999999999997</v>
      </c>
      <c r="H152" s="3108">
        <v>0.85609999999999997</v>
      </c>
      <c r="I152" s="3108">
        <v>0.72729999999999995</v>
      </c>
      <c r="J152" s="3108">
        <v>0.72729999999999995</v>
      </c>
      <c r="K152" s="3108">
        <v>0.72729999999999995</v>
      </c>
      <c r="L152" s="3108">
        <v>0.72729999999999995</v>
      </c>
      <c r="M152" s="3109">
        <v>0.72729999999999995</v>
      </c>
    </row>
    <row r="153" spans="1:13">
      <c r="A153" s="3107">
        <v>6.8</v>
      </c>
      <c r="B153" s="3108">
        <v>0.9264</v>
      </c>
      <c r="C153" s="3108">
        <v>0.9264</v>
      </c>
      <c r="D153" s="3108">
        <v>0.85409999999999997</v>
      </c>
      <c r="E153" s="3108">
        <v>0.85409999999999997</v>
      </c>
      <c r="F153" s="3108">
        <v>0.85409999999999997</v>
      </c>
      <c r="G153" s="3108">
        <v>0.85409999999999997</v>
      </c>
      <c r="H153" s="3108">
        <v>0.85409999999999997</v>
      </c>
      <c r="I153" s="3108">
        <v>0.7248</v>
      </c>
      <c r="J153" s="3108">
        <v>0.7248</v>
      </c>
      <c r="K153" s="3108">
        <v>0.7248</v>
      </c>
      <c r="L153" s="3108">
        <v>0.7248</v>
      </c>
      <c r="M153" s="3109">
        <v>0.7248</v>
      </c>
    </row>
    <row r="154" spans="1:13">
      <c r="A154" s="3107">
        <v>6.9</v>
      </c>
      <c r="B154" s="3108">
        <v>0.92469999999999997</v>
      </c>
      <c r="C154" s="3108">
        <v>0.92469999999999997</v>
      </c>
      <c r="D154" s="3108">
        <v>0.85209999999999997</v>
      </c>
      <c r="E154" s="3108">
        <v>0.85209999999999997</v>
      </c>
      <c r="F154" s="3108">
        <v>0.85209999999999997</v>
      </c>
      <c r="G154" s="3108">
        <v>0.85209999999999997</v>
      </c>
      <c r="H154" s="3108">
        <v>0.85209999999999997</v>
      </c>
      <c r="I154" s="3108">
        <v>0.72230000000000005</v>
      </c>
      <c r="J154" s="3108">
        <v>0.72230000000000005</v>
      </c>
      <c r="K154" s="3108">
        <v>0.72230000000000005</v>
      </c>
      <c r="L154" s="3108">
        <v>0.72230000000000005</v>
      </c>
      <c r="M154" s="3109">
        <v>0.72230000000000005</v>
      </c>
    </row>
    <row r="155" spans="1:13">
      <c r="A155" s="3107">
        <v>7</v>
      </c>
      <c r="B155" s="3108">
        <v>0.92300000000000004</v>
      </c>
      <c r="C155" s="3108">
        <v>0.92300000000000004</v>
      </c>
      <c r="D155" s="3108">
        <v>0.85019999999999996</v>
      </c>
      <c r="E155" s="3108">
        <v>0.85019999999999996</v>
      </c>
      <c r="F155" s="3108">
        <v>0.85019999999999996</v>
      </c>
      <c r="G155" s="3108">
        <v>0.85019999999999996</v>
      </c>
      <c r="H155" s="3108">
        <v>0.85019999999999996</v>
      </c>
      <c r="I155" s="3108">
        <v>0.71989999999999998</v>
      </c>
      <c r="J155" s="3108">
        <v>0.71989999999999998</v>
      </c>
      <c r="K155" s="3108">
        <v>0.71989999999999998</v>
      </c>
      <c r="L155" s="3108">
        <v>0.71989999999999998</v>
      </c>
      <c r="M155" s="3109">
        <v>0.71989999999999998</v>
      </c>
    </row>
    <row r="156" spans="1:13">
      <c r="A156" s="3107">
        <v>7.1</v>
      </c>
      <c r="B156" s="3108">
        <v>0.9214</v>
      </c>
      <c r="C156" s="3108">
        <v>0.9214</v>
      </c>
      <c r="D156" s="3108">
        <v>0.84830000000000005</v>
      </c>
      <c r="E156" s="3108">
        <v>0.84830000000000005</v>
      </c>
      <c r="F156" s="3108">
        <v>0.84830000000000005</v>
      </c>
      <c r="G156" s="3108">
        <v>0.84830000000000005</v>
      </c>
      <c r="H156" s="3108">
        <v>0.84830000000000005</v>
      </c>
      <c r="I156" s="3108">
        <v>0.71750000000000003</v>
      </c>
      <c r="J156" s="3108">
        <v>0.71750000000000003</v>
      </c>
      <c r="K156" s="3108">
        <v>0.71750000000000003</v>
      </c>
      <c r="L156" s="3108">
        <v>0.71750000000000003</v>
      </c>
      <c r="M156" s="3109">
        <v>0.71750000000000003</v>
      </c>
    </row>
    <row r="157" spans="1:13">
      <c r="A157" s="3107">
        <v>7.2</v>
      </c>
      <c r="B157" s="3108">
        <v>0.91979999999999995</v>
      </c>
      <c r="C157" s="3108">
        <v>0.91979999999999995</v>
      </c>
      <c r="D157" s="3108">
        <v>0.84640000000000004</v>
      </c>
      <c r="E157" s="3108">
        <v>0.84640000000000004</v>
      </c>
      <c r="F157" s="3108">
        <v>0.84640000000000004</v>
      </c>
      <c r="G157" s="3108">
        <v>0.84640000000000004</v>
      </c>
      <c r="H157" s="3108">
        <v>0.84640000000000004</v>
      </c>
      <c r="I157" s="3108">
        <v>0.71509999999999996</v>
      </c>
      <c r="J157" s="3108">
        <v>0.71509999999999996</v>
      </c>
      <c r="K157" s="3108">
        <v>0.71509999999999996</v>
      </c>
      <c r="L157" s="3108">
        <v>0.71509999999999996</v>
      </c>
      <c r="M157" s="3109">
        <v>0.71509999999999996</v>
      </c>
    </row>
    <row r="158" spans="1:13">
      <c r="A158" s="3107">
        <v>7.3</v>
      </c>
      <c r="B158" s="3108">
        <v>0.91820000000000002</v>
      </c>
      <c r="C158" s="3108">
        <v>0.91820000000000002</v>
      </c>
      <c r="D158" s="3108">
        <v>0.84450000000000003</v>
      </c>
      <c r="E158" s="3108">
        <v>0.84450000000000003</v>
      </c>
      <c r="F158" s="3108">
        <v>0.84450000000000003</v>
      </c>
      <c r="G158" s="3108">
        <v>0.84450000000000003</v>
      </c>
      <c r="H158" s="3108">
        <v>0.84450000000000003</v>
      </c>
      <c r="I158" s="3108">
        <v>0.7127</v>
      </c>
      <c r="J158" s="3108">
        <v>0.7127</v>
      </c>
      <c r="K158" s="3108">
        <v>0.7127</v>
      </c>
      <c r="L158" s="3108">
        <v>0.7127</v>
      </c>
      <c r="M158" s="3109">
        <v>0.7127</v>
      </c>
    </row>
    <row r="159" spans="1:13">
      <c r="A159" s="3107">
        <v>7.4</v>
      </c>
      <c r="B159" s="3108">
        <v>0.91659999999999997</v>
      </c>
      <c r="C159" s="3108">
        <v>0.91659999999999997</v>
      </c>
      <c r="D159" s="3108">
        <v>0.84260000000000002</v>
      </c>
      <c r="E159" s="3108">
        <v>0.84260000000000002</v>
      </c>
      <c r="F159" s="3108">
        <v>0.84260000000000002</v>
      </c>
      <c r="G159" s="3108">
        <v>0.84260000000000002</v>
      </c>
      <c r="H159" s="3108">
        <v>0.84260000000000002</v>
      </c>
      <c r="I159" s="3108">
        <v>0.71030000000000004</v>
      </c>
      <c r="J159" s="3108">
        <v>0.71030000000000004</v>
      </c>
      <c r="K159" s="3108">
        <v>0.71030000000000004</v>
      </c>
      <c r="L159" s="3108">
        <v>0.71030000000000004</v>
      </c>
      <c r="M159" s="3109">
        <v>0.71030000000000004</v>
      </c>
    </row>
    <row r="160" spans="1:13">
      <c r="A160" s="3107">
        <v>7.5</v>
      </c>
      <c r="B160" s="3108">
        <v>0.91500000000000004</v>
      </c>
      <c r="C160" s="3108">
        <v>0.91500000000000004</v>
      </c>
      <c r="D160" s="3108">
        <v>0.8407</v>
      </c>
      <c r="E160" s="3108">
        <v>0.8407</v>
      </c>
      <c r="F160" s="3108">
        <v>0.8407</v>
      </c>
      <c r="G160" s="3108">
        <v>0.8407</v>
      </c>
      <c r="H160" s="3108">
        <v>0.8407</v>
      </c>
      <c r="I160" s="3108">
        <v>0.70799999999999996</v>
      </c>
      <c r="J160" s="3108">
        <v>0.70799999999999996</v>
      </c>
      <c r="K160" s="3108">
        <v>0.70799999999999996</v>
      </c>
      <c r="L160" s="3108">
        <v>0.70799999999999996</v>
      </c>
      <c r="M160" s="3109">
        <v>0.70799999999999996</v>
      </c>
    </row>
    <row r="161" spans="1:13">
      <c r="A161" s="3107">
        <v>7.6</v>
      </c>
      <c r="B161" s="3108">
        <v>0.91339999999999999</v>
      </c>
      <c r="C161" s="3108">
        <v>0.91339999999999999</v>
      </c>
      <c r="D161" s="3108">
        <v>0.83889999999999998</v>
      </c>
      <c r="E161" s="3108">
        <v>0.83889999999999998</v>
      </c>
      <c r="F161" s="3108">
        <v>0.83889999999999998</v>
      </c>
      <c r="G161" s="3108">
        <v>0.83889999999999998</v>
      </c>
      <c r="H161" s="3108">
        <v>0.83889999999999998</v>
      </c>
      <c r="I161" s="3108">
        <v>0.70569999999999999</v>
      </c>
      <c r="J161" s="3108">
        <v>0.70569999999999999</v>
      </c>
      <c r="K161" s="3108">
        <v>0.70569999999999999</v>
      </c>
      <c r="L161" s="3108">
        <v>0.70569999999999999</v>
      </c>
      <c r="M161" s="3109">
        <v>0.70569999999999999</v>
      </c>
    </row>
    <row r="162" spans="1:13">
      <c r="A162" s="3107">
        <v>7.7</v>
      </c>
      <c r="B162" s="3108">
        <v>0.91190000000000004</v>
      </c>
      <c r="C162" s="3108">
        <v>0.91190000000000004</v>
      </c>
      <c r="D162" s="3108">
        <v>0.83709999999999996</v>
      </c>
      <c r="E162" s="3108">
        <v>0.83709999999999996</v>
      </c>
      <c r="F162" s="3108">
        <v>0.83709999999999996</v>
      </c>
      <c r="G162" s="3108">
        <v>0.83709999999999996</v>
      </c>
      <c r="H162" s="3108">
        <v>0.83709999999999996</v>
      </c>
      <c r="I162" s="3108">
        <v>0.70340000000000003</v>
      </c>
      <c r="J162" s="3108">
        <v>0.70340000000000003</v>
      </c>
      <c r="K162" s="3108">
        <v>0.70340000000000003</v>
      </c>
      <c r="L162" s="3108">
        <v>0.70340000000000003</v>
      </c>
      <c r="M162" s="3109">
        <v>0.70340000000000003</v>
      </c>
    </row>
    <row r="163" spans="1:13">
      <c r="A163" s="3107">
        <v>7.8</v>
      </c>
      <c r="B163" s="3108">
        <v>0.91039999999999999</v>
      </c>
      <c r="C163" s="3108">
        <v>0.91039999999999999</v>
      </c>
      <c r="D163" s="3108">
        <v>0.83530000000000004</v>
      </c>
      <c r="E163" s="3108">
        <v>0.83530000000000004</v>
      </c>
      <c r="F163" s="3108">
        <v>0.83530000000000004</v>
      </c>
      <c r="G163" s="3108">
        <v>0.83530000000000004</v>
      </c>
      <c r="H163" s="3108">
        <v>0.83530000000000004</v>
      </c>
      <c r="I163" s="3108">
        <v>0.70109999999999995</v>
      </c>
      <c r="J163" s="3108">
        <v>0.70109999999999995</v>
      </c>
      <c r="K163" s="3108">
        <v>0.70109999999999995</v>
      </c>
      <c r="L163" s="3108">
        <v>0.70109999999999995</v>
      </c>
      <c r="M163" s="3109">
        <v>0.70109999999999995</v>
      </c>
    </row>
    <row r="164" spans="1:13">
      <c r="A164" s="3107">
        <v>7.9</v>
      </c>
      <c r="B164" s="3108">
        <v>0.90890000000000004</v>
      </c>
      <c r="C164" s="3108">
        <v>0.90890000000000004</v>
      </c>
      <c r="D164" s="3108">
        <v>0.83350000000000002</v>
      </c>
      <c r="E164" s="3108">
        <v>0.83350000000000002</v>
      </c>
      <c r="F164" s="3108">
        <v>0.83350000000000002</v>
      </c>
      <c r="G164" s="3108">
        <v>0.83350000000000002</v>
      </c>
      <c r="H164" s="3108">
        <v>0.83350000000000002</v>
      </c>
      <c r="I164" s="3108">
        <v>0.69879999999999998</v>
      </c>
      <c r="J164" s="3108">
        <v>0.69879999999999998</v>
      </c>
      <c r="K164" s="3108">
        <v>0.69879999999999998</v>
      </c>
      <c r="L164" s="3108">
        <v>0.69879999999999998</v>
      </c>
      <c r="M164" s="3109">
        <v>0.69879999999999998</v>
      </c>
    </row>
    <row r="165" spans="1:13">
      <c r="A165" s="3107">
        <v>8</v>
      </c>
      <c r="B165" s="3108">
        <v>0.90739999999999998</v>
      </c>
      <c r="C165" s="3108">
        <v>0.90739999999999998</v>
      </c>
      <c r="D165" s="3108">
        <v>0.83169999999999999</v>
      </c>
      <c r="E165" s="3108">
        <v>0.83169999999999999</v>
      </c>
      <c r="F165" s="3108">
        <v>0.83169999999999999</v>
      </c>
      <c r="G165" s="3108">
        <v>0.83169999999999999</v>
      </c>
      <c r="H165" s="3108">
        <v>0.83169999999999999</v>
      </c>
      <c r="I165" s="3108">
        <v>0.6966</v>
      </c>
      <c r="J165" s="3108">
        <v>0.6966</v>
      </c>
      <c r="K165" s="3108">
        <v>0.6966</v>
      </c>
      <c r="L165" s="3108">
        <v>0.6966</v>
      </c>
      <c r="M165" s="3109">
        <v>0.6966</v>
      </c>
    </row>
    <row r="166" spans="1:13">
      <c r="A166" s="3107">
        <v>8.1</v>
      </c>
      <c r="B166" s="3108">
        <v>0.90590000000000004</v>
      </c>
      <c r="C166" s="3108">
        <v>0.90590000000000004</v>
      </c>
      <c r="D166" s="3108">
        <v>0.82989999999999997</v>
      </c>
      <c r="E166" s="3108">
        <v>0.82989999999999997</v>
      </c>
      <c r="F166" s="3108">
        <v>0.82989999999999997</v>
      </c>
      <c r="G166" s="3108">
        <v>0.82989999999999997</v>
      </c>
      <c r="H166" s="3108">
        <v>0.82989999999999997</v>
      </c>
      <c r="I166" s="3108">
        <v>0.69440000000000002</v>
      </c>
      <c r="J166" s="3108">
        <v>0.69440000000000002</v>
      </c>
      <c r="K166" s="3108">
        <v>0.69440000000000002</v>
      </c>
      <c r="L166" s="3108">
        <v>0.69440000000000002</v>
      </c>
      <c r="M166" s="3109">
        <v>0.69440000000000002</v>
      </c>
    </row>
    <row r="167" spans="1:13">
      <c r="A167" s="3107">
        <v>8.1999999999999993</v>
      </c>
      <c r="B167" s="3108">
        <v>0.90439999999999998</v>
      </c>
      <c r="C167" s="3108">
        <v>0.90439999999999998</v>
      </c>
      <c r="D167" s="3108">
        <v>0.82820000000000005</v>
      </c>
      <c r="E167" s="3108">
        <v>0.82820000000000005</v>
      </c>
      <c r="F167" s="3108">
        <v>0.82820000000000005</v>
      </c>
      <c r="G167" s="3108">
        <v>0.82820000000000005</v>
      </c>
      <c r="H167" s="3108">
        <v>0.82820000000000005</v>
      </c>
      <c r="I167" s="3108">
        <v>0.69220000000000004</v>
      </c>
      <c r="J167" s="3108">
        <v>0.69220000000000004</v>
      </c>
      <c r="K167" s="3108">
        <v>0.69220000000000004</v>
      </c>
      <c r="L167" s="3108">
        <v>0.69220000000000004</v>
      </c>
      <c r="M167" s="3109">
        <v>0.69220000000000004</v>
      </c>
    </row>
    <row r="168" spans="1:13">
      <c r="A168" s="3107">
        <v>8.3000000000000007</v>
      </c>
      <c r="B168" s="3108">
        <v>0.90300000000000002</v>
      </c>
      <c r="C168" s="3108">
        <v>0.90300000000000002</v>
      </c>
      <c r="D168" s="3108">
        <v>0.82650000000000001</v>
      </c>
      <c r="E168" s="3108">
        <v>0.82650000000000001</v>
      </c>
      <c r="F168" s="3108">
        <v>0.82650000000000001</v>
      </c>
      <c r="G168" s="3108">
        <v>0.82650000000000001</v>
      </c>
      <c r="H168" s="3108">
        <v>0.82650000000000001</v>
      </c>
      <c r="I168" s="3108">
        <v>0.69</v>
      </c>
      <c r="J168" s="3108">
        <v>0.69</v>
      </c>
      <c r="K168" s="3108">
        <v>0.69</v>
      </c>
      <c r="L168" s="3108">
        <v>0.69</v>
      </c>
      <c r="M168" s="3109">
        <v>0.69</v>
      </c>
    </row>
    <row r="169" spans="1:13">
      <c r="A169" s="3107">
        <v>8.4</v>
      </c>
      <c r="B169" s="3108">
        <v>0.90159999999999996</v>
      </c>
      <c r="C169" s="3108">
        <v>0.90159999999999996</v>
      </c>
      <c r="D169" s="3108">
        <v>0.82479999999999998</v>
      </c>
      <c r="E169" s="3108">
        <v>0.82479999999999998</v>
      </c>
      <c r="F169" s="3108">
        <v>0.82479999999999998</v>
      </c>
      <c r="G169" s="3108">
        <v>0.82479999999999998</v>
      </c>
      <c r="H169" s="3108">
        <v>0.82479999999999998</v>
      </c>
      <c r="I169" s="3108">
        <v>0.68779999999999997</v>
      </c>
      <c r="J169" s="3108">
        <v>0.68779999999999997</v>
      </c>
      <c r="K169" s="3108">
        <v>0.68779999999999997</v>
      </c>
      <c r="L169" s="3108">
        <v>0.68779999999999997</v>
      </c>
      <c r="M169" s="3109">
        <v>0.68779999999999997</v>
      </c>
    </row>
    <row r="170" spans="1:13">
      <c r="A170" s="3107">
        <v>8.5</v>
      </c>
      <c r="B170" s="3108">
        <v>0.9002</v>
      </c>
      <c r="C170" s="3108">
        <v>0.9002</v>
      </c>
      <c r="D170" s="3108">
        <v>0.82310000000000005</v>
      </c>
      <c r="E170" s="3108">
        <v>0.82310000000000005</v>
      </c>
      <c r="F170" s="3108">
        <v>0.82310000000000005</v>
      </c>
      <c r="G170" s="3108">
        <v>0.82310000000000005</v>
      </c>
      <c r="H170" s="3108">
        <v>0.82310000000000005</v>
      </c>
      <c r="I170" s="3108">
        <v>0.68569999999999998</v>
      </c>
      <c r="J170" s="3108">
        <v>0.68569999999999998</v>
      </c>
      <c r="K170" s="3108">
        <v>0.68569999999999998</v>
      </c>
      <c r="L170" s="3108">
        <v>0.68569999999999998</v>
      </c>
      <c r="M170" s="3109">
        <v>0.68569999999999998</v>
      </c>
    </row>
    <row r="171" spans="1:13">
      <c r="A171" s="3107">
        <v>8.6</v>
      </c>
      <c r="B171" s="3108">
        <v>0.89880000000000004</v>
      </c>
      <c r="C171" s="3108">
        <v>0.89880000000000004</v>
      </c>
      <c r="D171" s="3108">
        <v>0.82140000000000002</v>
      </c>
      <c r="E171" s="3108">
        <v>0.82140000000000002</v>
      </c>
      <c r="F171" s="3108">
        <v>0.82140000000000002</v>
      </c>
      <c r="G171" s="3108">
        <v>0.82140000000000002</v>
      </c>
      <c r="H171" s="3108">
        <v>0.82140000000000002</v>
      </c>
      <c r="I171" s="3108">
        <v>0.68359999999999999</v>
      </c>
      <c r="J171" s="3108">
        <v>0.68359999999999999</v>
      </c>
      <c r="K171" s="3108">
        <v>0.68359999999999999</v>
      </c>
      <c r="L171" s="3108">
        <v>0.68359999999999999</v>
      </c>
      <c r="M171" s="3109">
        <v>0.68359999999999999</v>
      </c>
    </row>
    <row r="172" spans="1:13">
      <c r="A172" s="3107">
        <v>8.6999999999999993</v>
      </c>
      <c r="B172" s="3108">
        <v>0.89739999999999998</v>
      </c>
      <c r="C172" s="3108">
        <v>0.89739999999999998</v>
      </c>
      <c r="D172" s="3108">
        <v>0.81969999999999998</v>
      </c>
      <c r="E172" s="3108">
        <v>0.81969999999999998</v>
      </c>
      <c r="F172" s="3108">
        <v>0.81969999999999998</v>
      </c>
      <c r="G172" s="3108">
        <v>0.81969999999999998</v>
      </c>
      <c r="H172" s="3108">
        <v>0.81969999999999998</v>
      </c>
      <c r="I172" s="3108">
        <v>0.68149999999999999</v>
      </c>
      <c r="J172" s="3108">
        <v>0.68149999999999999</v>
      </c>
      <c r="K172" s="3108">
        <v>0.68149999999999999</v>
      </c>
      <c r="L172" s="3108">
        <v>0.68149999999999999</v>
      </c>
      <c r="M172" s="3109">
        <v>0.68149999999999999</v>
      </c>
    </row>
    <row r="173" spans="1:13">
      <c r="A173" s="3107">
        <v>8.8000000000000007</v>
      </c>
      <c r="B173" s="3108">
        <v>0.89600000000000002</v>
      </c>
      <c r="C173" s="3108">
        <v>0.89600000000000002</v>
      </c>
      <c r="D173" s="3108">
        <v>0.81810000000000005</v>
      </c>
      <c r="E173" s="3108">
        <v>0.81810000000000005</v>
      </c>
      <c r="F173" s="3108">
        <v>0.81810000000000005</v>
      </c>
      <c r="G173" s="3108">
        <v>0.81810000000000005</v>
      </c>
      <c r="H173" s="3108">
        <v>0.81810000000000005</v>
      </c>
      <c r="I173" s="3108">
        <v>0.6794</v>
      </c>
      <c r="J173" s="3108">
        <v>0.6794</v>
      </c>
      <c r="K173" s="3108">
        <v>0.6794</v>
      </c>
      <c r="L173" s="3108">
        <v>0.6794</v>
      </c>
      <c r="M173" s="3109">
        <v>0.6794</v>
      </c>
    </row>
    <row r="174" spans="1:13">
      <c r="A174" s="3107">
        <v>8.9</v>
      </c>
      <c r="B174" s="3108">
        <v>0.89470000000000005</v>
      </c>
      <c r="C174" s="3108">
        <v>0.89470000000000005</v>
      </c>
      <c r="D174" s="3108">
        <v>0.8165</v>
      </c>
      <c r="E174" s="3108">
        <v>0.8165</v>
      </c>
      <c r="F174" s="3108">
        <v>0.8165</v>
      </c>
      <c r="G174" s="3108">
        <v>0.8165</v>
      </c>
      <c r="H174" s="3108">
        <v>0.8165</v>
      </c>
      <c r="I174" s="3108">
        <v>0.6774</v>
      </c>
      <c r="J174" s="3108">
        <v>0.6774</v>
      </c>
      <c r="K174" s="3108">
        <v>0.6774</v>
      </c>
      <c r="L174" s="3108">
        <v>0.6774</v>
      </c>
      <c r="M174" s="3109">
        <v>0.6774</v>
      </c>
    </row>
    <row r="175" spans="1:13">
      <c r="A175" s="3110">
        <v>9</v>
      </c>
      <c r="B175" s="3108">
        <v>0.89339999999999997</v>
      </c>
      <c r="C175" s="3108">
        <v>0.89339999999999997</v>
      </c>
      <c r="D175" s="3108">
        <v>0.81489999999999996</v>
      </c>
      <c r="E175" s="3108">
        <v>0.81489999999999996</v>
      </c>
      <c r="F175" s="3108">
        <v>0.81489999999999996</v>
      </c>
      <c r="G175" s="3108">
        <v>0.81489999999999996</v>
      </c>
      <c r="H175" s="3108">
        <v>0.81489999999999996</v>
      </c>
      <c r="I175" s="3108">
        <v>0.6754</v>
      </c>
      <c r="J175" s="3108">
        <v>0.6754</v>
      </c>
      <c r="K175" s="3108">
        <v>0.6754</v>
      </c>
      <c r="L175" s="3108">
        <v>0.6754</v>
      </c>
      <c r="M175" s="3109">
        <v>0.6754</v>
      </c>
    </row>
    <row r="176" spans="1:13">
      <c r="A176" s="3110">
        <v>9.1</v>
      </c>
      <c r="B176" s="3108">
        <v>0.8921</v>
      </c>
      <c r="C176" s="3108">
        <v>0.8921</v>
      </c>
      <c r="D176" s="3108">
        <v>0.81330000000000002</v>
      </c>
      <c r="E176" s="3108">
        <v>0.81330000000000002</v>
      </c>
      <c r="F176" s="3108">
        <v>0.81330000000000002</v>
      </c>
      <c r="G176" s="3108">
        <v>0.81330000000000002</v>
      </c>
      <c r="H176" s="3108">
        <v>0.81330000000000002</v>
      </c>
      <c r="I176" s="3108">
        <v>0.6734</v>
      </c>
      <c r="J176" s="3108">
        <v>0.6734</v>
      </c>
      <c r="K176" s="3108">
        <v>0.6734</v>
      </c>
      <c r="L176" s="3108">
        <v>0.6734</v>
      </c>
      <c r="M176" s="3109">
        <v>0.6734</v>
      </c>
    </row>
    <row r="177" spans="1:20">
      <c r="A177" s="3110">
        <v>9.1999999999999993</v>
      </c>
      <c r="B177" s="3108">
        <v>0.89080000000000004</v>
      </c>
      <c r="C177" s="3108">
        <v>0.89080000000000004</v>
      </c>
      <c r="D177" s="3108">
        <v>0.81169999999999998</v>
      </c>
      <c r="E177" s="3108">
        <v>0.81169999999999998</v>
      </c>
      <c r="F177" s="3108">
        <v>0.81169999999999998</v>
      </c>
      <c r="G177" s="3108">
        <v>0.81169999999999998</v>
      </c>
      <c r="H177" s="3108">
        <v>0.81169999999999998</v>
      </c>
      <c r="I177" s="3108">
        <v>0.6714</v>
      </c>
      <c r="J177" s="3108">
        <v>0.6714</v>
      </c>
      <c r="K177" s="3108">
        <v>0.6714</v>
      </c>
      <c r="L177" s="3108">
        <v>0.6714</v>
      </c>
      <c r="M177" s="3109">
        <v>0.6714</v>
      </c>
    </row>
    <row r="178" spans="1:20">
      <c r="A178" s="3110">
        <v>9.3000000000000007</v>
      </c>
      <c r="B178" s="3108">
        <v>0.88949999999999996</v>
      </c>
      <c r="C178" s="3108">
        <v>0.88949999999999996</v>
      </c>
      <c r="D178" s="3108">
        <v>0.81010000000000004</v>
      </c>
      <c r="E178" s="3108">
        <v>0.81010000000000004</v>
      </c>
      <c r="F178" s="3108">
        <v>0.81010000000000004</v>
      </c>
      <c r="G178" s="3108">
        <v>0.81010000000000004</v>
      </c>
      <c r="H178" s="3108">
        <v>0.81010000000000004</v>
      </c>
      <c r="I178" s="3108">
        <v>0.6694</v>
      </c>
      <c r="J178" s="3108">
        <v>0.6694</v>
      </c>
      <c r="K178" s="3108">
        <v>0.6694</v>
      </c>
      <c r="L178" s="3108">
        <v>0.6694</v>
      </c>
      <c r="M178" s="3109">
        <v>0.6694</v>
      </c>
    </row>
    <row r="179" spans="1:20">
      <c r="A179" s="3110">
        <v>9.4</v>
      </c>
      <c r="B179" s="3108">
        <v>0.88819999999999999</v>
      </c>
      <c r="C179" s="3108">
        <v>0.88819999999999999</v>
      </c>
      <c r="D179" s="3108">
        <v>0.8085</v>
      </c>
      <c r="E179" s="3108">
        <v>0.8085</v>
      </c>
      <c r="F179" s="3108">
        <v>0.8085</v>
      </c>
      <c r="G179" s="3108">
        <v>0.8085</v>
      </c>
      <c r="H179" s="3108">
        <v>0.8085</v>
      </c>
      <c r="I179" s="3108">
        <v>0.66739999999999999</v>
      </c>
      <c r="J179" s="3108">
        <v>0.66739999999999999</v>
      </c>
      <c r="K179" s="3108">
        <v>0.66739999999999999</v>
      </c>
      <c r="L179" s="3108">
        <v>0.66739999999999999</v>
      </c>
      <c r="M179" s="3109">
        <v>0.66739999999999999</v>
      </c>
    </row>
    <row r="180" spans="1:20">
      <c r="A180" s="3110">
        <v>9.5</v>
      </c>
      <c r="B180" s="3108">
        <v>0.88700000000000001</v>
      </c>
      <c r="C180" s="3108">
        <v>0.88700000000000001</v>
      </c>
      <c r="D180" s="3108">
        <v>0.80700000000000005</v>
      </c>
      <c r="E180" s="3108">
        <v>0.80700000000000005</v>
      </c>
      <c r="F180" s="3108">
        <v>0.80700000000000005</v>
      </c>
      <c r="G180" s="3108">
        <v>0.80700000000000005</v>
      </c>
      <c r="H180" s="3108">
        <v>0.80700000000000005</v>
      </c>
      <c r="I180" s="3108">
        <v>0.66549999999999998</v>
      </c>
      <c r="J180" s="3108">
        <v>0.66549999999999998</v>
      </c>
      <c r="K180" s="3108">
        <v>0.66549999999999998</v>
      </c>
      <c r="L180" s="3108">
        <v>0.66549999999999998</v>
      </c>
      <c r="M180" s="3109">
        <v>0.66549999999999998</v>
      </c>
    </row>
    <row r="181" spans="1:20">
      <c r="A181" s="3110">
        <v>9.6</v>
      </c>
      <c r="B181" s="3108">
        <v>0.88580000000000003</v>
      </c>
      <c r="C181" s="3108">
        <v>0.88580000000000003</v>
      </c>
      <c r="D181" s="3108">
        <v>0.80549999999999999</v>
      </c>
      <c r="E181" s="3108">
        <v>0.80549999999999999</v>
      </c>
      <c r="F181" s="3108">
        <v>0.80549999999999999</v>
      </c>
      <c r="G181" s="3108">
        <v>0.80549999999999999</v>
      </c>
      <c r="H181" s="3108">
        <v>0.80549999999999999</v>
      </c>
      <c r="I181" s="3108">
        <v>0.66359999999999997</v>
      </c>
      <c r="J181" s="3108">
        <v>0.66359999999999997</v>
      </c>
      <c r="K181" s="3108">
        <v>0.66359999999999997</v>
      </c>
      <c r="L181" s="3108">
        <v>0.66359999999999997</v>
      </c>
      <c r="M181" s="3109">
        <v>0.66359999999999997</v>
      </c>
    </row>
    <row r="182" spans="1:20">
      <c r="A182" s="3110">
        <v>9.6999999999999993</v>
      </c>
      <c r="B182" s="3108">
        <v>0.88460000000000005</v>
      </c>
      <c r="C182" s="3108">
        <v>0.88460000000000005</v>
      </c>
      <c r="D182" s="3108">
        <v>0.80400000000000005</v>
      </c>
      <c r="E182" s="3108">
        <v>0.80400000000000005</v>
      </c>
      <c r="F182" s="3108">
        <v>0.80400000000000005</v>
      </c>
      <c r="G182" s="3108">
        <v>0.80400000000000005</v>
      </c>
      <c r="H182" s="3108">
        <v>0.80400000000000005</v>
      </c>
      <c r="I182" s="3108">
        <v>0.66169999999999995</v>
      </c>
      <c r="J182" s="3108">
        <v>0.66169999999999995</v>
      </c>
      <c r="K182" s="3108">
        <v>0.66169999999999995</v>
      </c>
      <c r="L182" s="3108">
        <v>0.66169999999999995</v>
      </c>
      <c r="M182" s="3109">
        <v>0.66169999999999995</v>
      </c>
    </row>
    <row r="183" spans="1:20">
      <c r="A183" s="3110">
        <v>9.8000000000000007</v>
      </c>
      <c r="B183" s="3108">
        <v>0.88339999999999996</v>
      </c>
      <c r="C183" s="3108">
        <v>0.88339999999999996</v>
      </c>
      <c r="D183" s="3108">
        <v>0.80249999999999999</v>
      </c>
      <c r="E183" s="3108">
        <v>0.80249999999999999</v>
      </c>
      <c r="F183" s="3108">
        <v>0.80249999999999999</v>
      </c>
      <c r="G183" s="3108">
        <v>0.80249999999999999</v>
      </c>
      <c r="H183" s="3108">
        <v>0.80249999999999999</v>
      </c>
      <c r="I183" s="3108">
        <v>0.65980000000000005</v>
      </c>
      <c r="J183" s="3108">
        <v>0.65980000000000005</v>
      </c>
      <c r="K183" s="3108">
        <v>0.65980000000000005</v>
      </c>
      <c r="L183" s="3108">
        <v>0.65980000000000005</v>
      </c>
      <c r="M183" s="3109">
        <v>0.65980000000000005</v>
      </c>
    </row>
    <row r="184" spans="1:20" ht="14.25" thickBot="1">
      <c r="A184" s="3111">
        <v>9.9</v>
      </c>
      <c r="B184" s="3112">
        <v>0.88219999999999998</v>
      </c>
      <c r="C184" s="3112">
        <v>0.88219999999999998</v>
      </c>
      <c r="D184" s="3112">
        <v>0.80100000000000005</v>
      </c>
      <c r="E184" s="3112">
        <v>0.80100000000000005</v>
      </c>
      <c r="F184" s="3112">
        <v>0.80100000000000005</v>
      </c>
      <c r="G184" s="3112">
        <v>0.80100000000000005</v>
      </c>
      <c r="H184" s="3112">
        <v>0.80100000000000005</v>
      </c>
      <c r="I184" s="3112">
        <v>0.65790000000000004</v>
      </c>
      <c r="J184" s="3112">
        <v>0.65790000000000004</v>
      </c>
      <c r="K184" s="3112">
        <v>0.65790000000000004</v>
      </c>
      <c r="L184" s="3112">
        <v>0.65790000000000004</v>
      </c>
      <c r="M184" s="3113">
        <v>0.65790000000000004</v>
      </c>
    </row>
    <row r="185" spans="1:20" ht="15" thickBot="1">
      <c r="A185" s="3101" t="s">
        <v>2777</v>
      </c>
      <c r="B185" s="3101"/>
      <c r="C185" s="3101"/>
      <c r="D185" s="3101"/>
      <c r="E185" s="3101"/>
      <c r="F185" s="3101"/>
      <c r="G185" s="3101"/>
      <c r="H185" s="3101"/>
      <c r="I185" s="3101"/>
      <c r="J185" s="3101"/>
      <c r="K185" s="3101"/>
      <c r="L185" s="3101"/>
      <c r="M185" s="3101"/>
    </row>
    <row r="186" spans="1:20">
      <c r="A186" s="3102" t="s">
        <v>2775</v>
      </c>
      <c r="B186" s="3103" t="s">
        <v>2571</v>
      </c>
      <c r="C186" s="3103" t="s">
        <v>2572</v>
      </c>
      <c r="D186" s="3103" t="s">
        <v>2573</v>
      </c>
      <c r="E186" s="3103" t="s">
        <v>2574</v>
      </c>
      <c r="F186" s="3103" t="s">
        <v>2575</v>
      </c>
      <c r="G186" s="3103" t="s">
        <v>2576</v>
      </c>
      <c r="H186" s="3104" t="s">
        <v>2577</v>
      </c>
      <c r="I186" s="3104" t="s">
        <v>2578</v>
      </c>
      <c r="J186" s="3105" t="s">
        <v>2579</v>
      </c>
      <c r="K186" s="3105" t="s">
        <v>2580</v>
      </c>
      <c r="L186" s="3105" t="s">
        <v>2581</v>
      </c>
      <c r="M186" s="3106" t="s">
        <v>2582</v>
      </c>
      <c r="Q186" s="3116" t="s">
        <v>2780</v>
      </c>
      <c r="R186" s="3116" t="s">
        <v>2781</v>
      </c>
      <c r="S186" s="3116" t="s">
        <v>2782</v>
      </c>
      <c r="T186" s="3116" t="s">
        <v>2783</v>
      </c>
    </row>
    <row r="187" spans="1:20">
      <c r="A187" s="3107">
        <v>1</v>
      </c>
      <c r="B187" s="3108">
        <v>1.1901999999999999</v>
      </c>
      <c r="C187" s="3108">
        <v>1.1901999999999999</v>
      </c>
      <c r="D187" s="3108">
        <v>1.222</v>
      </c>
      <c r="E187" s="3108">
        <v>1.222</v>
      </c>
      <c r="F187" s="3108">
        <v>1.222</v>
      </c>
      <c r="G187" s="3108">
        <v>1.222</v>
      </c>
      <c r="H187" s="3108">
        <v>1.222</v>
      </c>
      <c r="I187" s="3108">
        <v>1.1054999999999999</v>
      </c>
      <c r="J187" s="3108">
        <v>1.1054999999999999</v>
      </c>
      <c r="K187" s="3108">
        <v>1.1054999999999999</v>
      </c>
      <c r="L187" s="3108">
        <v>1.1054999999999999</v>
      </c>
      <c r="M187" s="3109">
        <v>1.1054999999999999</v>
      </c>
      <c r="Q187" s="3116">
        <v>10</v>
      </c>
      <c r="R187" s="3116">
        <f>ROUND(0.9448-0.0115*Q187,4)</f>
        <v>0.82979999999999998</v>
      </c>
      <c r="S187" s="3116">
        <f>ROUND(0.937-0.0145*Q187,4)</f>
        <v>0.79200000000000004</v>
      </c>
      <c r="T187" s="3116">
        <f>ROUND(0.7965-0.0185*Q187,4)</f>
        <v>0.61150000000000004</v>
      </c>
    </row>
    <row r="188" spans="1:20">
      <c r="A188" s="3107">
        <v>1.1000000000000001</v>
      </c>
      <c r="B188" s="3108">
        <v>1.1715</v>
      </c>
      <c r="C188" s="3108">
        <v>1.1715</v>
      </c>
      <c r="D188" s="3108">
        <v>1.2002999999999999</v>
      </c>
      <c r="E188" s="3108">
        <v>1.2002999999999999</v>
      </c>
      <c r="F188" s="3108">
        <v>1.2002999999999999</v>
      </c>
      <c r="G188" s="3108">
        <v>1.2002999999999999</v>
      </c>
      <c r="H188" s="3108">
        <v>1.2002999999999999</v>
      </c>
      <c r="I188" s="3108">
        <v>1.0819000000000001</v>
      </c>
      <c r="J188" s="3108">
        <v>1.0819000000000001</v>
      </c>
      <c r="K188" s="3108">
        <v>1.0819000000000001</v>
      </c>
      <c r="L188" s="3108">
        <v>1.0819000000000001</v>
      </c>
      <c r="M188" s="3109">
        <v>1.0819000000000001</v>
      </c>
    </row>
    <row r="189" spans="1:20">
      <c r="A189" s="3107">
        <v>1.2</v>
      </c>
      <c r="B189" s="3108">
        <v>1.1538999999999999</v>
      </c>
      <c r="C189" s="3108">
        <v>1.1538999999999999</v>
      </c>
      <c r="D189" s="3108">
        <v>1.1798</v>
      </c>
      <c r="E189" s="3108">
        <v>1.1798</v>
      </c>
      <c r="F189" s="3108">
        <v>1.1798</v>
      </c>
      <c r="G189" s="3108">
        <v>1.1798</v>
      </c>
      <c r="H189" s="3108">
        <v>1.1798</v>
      </c>
      <c r="I189" s="3108">
        <v>1.0597000000000001</v>
      </c>
      <c r="J189" s="3108">
        <v>1.0597000000000001</v>
      </c>
      <c r="K189" s="3108">
        <v>1.0597000000000001</v>
      </c>
      <c r="L189" s="3108">
        <v>1.0597000000000001</v>
      </c>
      <c r="M189" s="3109">
        <v>1.0597000000000001</v>
      </c>
    </row>
    <row r="190" spans="1:20">
      <c r="A190" s="3107">
        <v>1.3</v>
      </c>
      <c r="B190" s="3108">
        <v>1.1372</v>
      </c>
      <c r="C190" s="3108">
        <v>1.1372</v>
      </c>
      <c r="D190" s="3108">
        <v>1.1605000000000001</v>
      </c>
      <c r="E190" s="3108">
        <v>1.1605000000000001</v>
      </c>
      <c r="F190" s="3108">
        <v>1.1605000000000001</v>
      </c>
      <c r="G190" s="3108">
        <v>1.1605000000000001</v>
      </c>
      <c r="H190" s="3108">
        <v>1.1605000000000001</v>
      </c>
      <c r="I190" s="3108">
        <v>1.0386</v>
      </c>
      <c r="J190" s="3108">
        <v>1.0386</v>
      </c>
      <c r="K190" s="3108">
        <v>1.0386</v>
      </c>
      <c r="L190" s="3108">
        <v>1.0386</v>
      </c>
      <c r="M190" s="3109">
        <v>1.0386</v>
      </c>
    </row>
    <row r="191" spans="1:20">
      <c r="A191" s="3107">
        <v>1.4</v>
      </c>
      <c r="B191" s="3108">
        <v>1.1215999999999999</v>
      </c>
      <c r="C191" s="3108">
        <v>1.1215999999999999</v>
      </c>
      <c r="D191" s="3108">
        <v>1.1422000000000001</v>
      </c>
      <c r="E191" s="3108">
        <v>1.1422000000000001</v>
      </c>
      <c r="F191" s="3108">
        <v>1.1422000000000001</v>
      </c>
      <c r="G191" s="3108">
        <v>1.1422000000000001</v>
      </c>
      <c r="H191" s="3108">
        <v>1.1422000000000001</v>
      </c>
      <c r="I191" s="3108">
        <v>1.0187999999999999</v>
      </c>
      <c r="J191" s="3108">
        <v>1.0187999999999999</v>
      </c>
      <c r="K191" s="3108">
        <v>1.0187999999999999</v>
      </c>
      <c r="L191" s="3108">
        <v>1.0187999999999999</v>
      </c>
      <c r="M191" s="3109">
        <v>1.0187999999999999</v>
      </c>
    </row>
    <row r="192" spans="1:20">
      <c r="A192" s="3107">
        <v>1.5</v>
      </c>
      <c r="B192" s="3108">
        <v>1.1069</v>
      </c>
      <c r="C192" s="3108">
        <v>1.1069</v>
      </c>
      <c r="D192" s="3108">
        <v>1.125</v>
      </c>
      <c r="E192" s="3108">
        <v>1.125</v>
      </c>
      <c r="F192" s="3108">
        <v>1.125</v>
      </c>
      <c r="G192" s="3108">
        <v>1.125</v>
      </c>
      <c r="H192" s="3108">
        <v>1.125</v>
      </c>
      <c r="I192" s="3108">
        <v>1</v>
      </c>
      <c r="J192" s="3108">
        <v>1</v>
      </c>
      <c r="K192" s="3108">
        <v>1</v>
      </c>
      <c r="L192" s="3108">
        <v>1</v>
      </c>
      <c r="M192" s="3109">
        <v>1</v>
      </c>
    </row>
    <row r="193" spans="1:13">
      <c r="A193" s="3107">
        <v>1.6</v>
      </c>
      <c r="B193" s="3108">
        <v>1.0929</v>
      </c>
      <c r="C193" s="3108">
        <v>1.0929</v>
      </c>
      <c r="D193" s="3108">
        <v>1.1087</v>
      </c>
      <c r="E193" s="3108">
        <v>1.1087</v>
      </c>
      <c r="F193" s="3108">
        <v>1.1087</v>
      </c>
      <c r="G193" s="3108">
        <v>1.1087</v>
      </c>
      <c r="H193" s="3108">
        <v>1.1087</v>
      </c>
      <c r="I193" s="3108">
        <v>0.98229999999999995</v>
      </c>
      <c r="J193" s="3108">
        <v>0.98229999999999995</v>
      </c>
      <c r="K193" s="3108">
        <v>0.98229999999999995</v>
      </c>
      <c r="L193" s="3108">
        <v>0.98229999999999995</v>
      </c>
      <c r="M193" s="3109">
        <v>0.98229999999999995</v>
      </c>
    </row>
    <row r="194" spans="1:13">
      <c r="A194" s="3107">
        <v>1.7</v>
      </c>
      <c r="B194" s="3108">
        <v>1.0798000000000001</v>
      </c>
      <c r="C194" s="3108">
        <v>1.0798000000000001</v>
      </c>
      <c r="D194" s="3108">
        <v>1.0933999999999999</v>
      </c>
      <c r="E194" s="3108">
        <v>1.0933999999999999</v>
      </c>
      <c r="F194" s="3108">
        <v>1.0933999999999999</v>
      </c>
      <c r="G194" s="3108">
        <v>1.0933999999999999</v>
      </c>
      <c r="H194" s="3108">
        <v>1.0933999999999999</v>
      </c>
      <c r="I194" s="3108">
        <v>0.96560000000000001</v>
      </c>
      <c r="J194" s="3108">
        <v>0.96560000000000001</v>
      </c>
      <c r="K194" s="3108">
        <v>0.96560000000000001</v>
      </c>
      <c r="L194" s="3108">
        <v>0.96560000000000001</v>
      </c>
      <c r="M194" s="3109">
        <v>0.96560000000000001</v>
      </c>
    </row>
    <row r="195" spans="1:13">
      <c r="A195" s="3107">
        <v>1.8</v>
      </c>
      <c r="B195" s="3108">
        <v>1.0674999999999999</v>
      </c>
      <c r="C195" s="3108">
        <v>1.0674999999999999</v>
      </c>
      <c r="D195" s="3108">
        <v>1.0790999999999999</v>
      </c>
      <c r="E195" s="3108">
        <v>1.0790999999999999</v>
      </c>
      <c r="F195" s="3108">
        <v>1.0790999999999999</v>
      </c>
      <c r="G195" s="3108">
        <v>1.0790999999999999</v>
      </c>
      <c r="H195" s="3108">
        <v>1.0790999999999999</v>
      </c>
      <c r="I195" s="3108">
        <v>0.94989999999999997</v>
      </c>
      <c r="J195" s="3108">
        <v>0.94989999999999997</v>
      </c>
      <c r="K195" s="3108">
        <v>0.94989999999999997</v>
      </c>
      <c r="L195" s="3108">
        <v>0.94989999999999997</v>
      </c>
      <c r="M195" s="3109">
        <v>0.94989999999999997</v>
      </c>
    </row>
    <row r="196" spans="1:13">
      <c r="A196" s="3107">
        <v>1.9</v>
      </c>
      <c r="B196" s="3108">
        <v>1.0558000000000001</v>
      </c>
      <c r="C196" s="3108">
        <v>1.0558000000000001</v>
      </c>
      <c r="D196" s="3108">
        <v>1.0654999999999999</v>
      </c>
      <c r="E196" s="3108">
        <v>1.0654999999999999</v>
      </c>
      <c r="F196" s="3108">
        <v>1.0654999999999999</v>
      </c>
      <c r="G196" s="3108">
        <v>1.0654999999999999</v>
      </c>
      <c r="H196" s="3108">
        <v>1.0654999999999999</v>
      </c>
      <c r="I196" s="3108">
        <v>0.93520000000000003</v>
      </c>
      <c r="J196" s="3108">
        <v>0.93520000000000003</v>
      </c>
      <c r="K196" s="3108">
        <v>0.93520000000000003</v>
      </c>
      <c r="L196" s="3108">
        <v>0.93520000000000003</v>
      </c>
      <c r="M196" s="3109">
        <v>0.93520000000000003</v>
      </c>
    </row>
    <row r="197" spans="1:13">
      <c r="A197" s="3107">
        <v>2</v>
      </c>
      <c r="B197" s="3108">
        <v>1.0449999999999999</v>
      </c>
      <c r="C197" s="3108">
        <v>1.0449999999999999</v>
      </c>
      <c r="D197" s="3108">
        <v>1.0528</v>
      </c>
      <c r="E197" s="3108">
        <v>1.0528</v>
      </c>
      <c r="F197" s="3108">
        <v>1.0528</v>
      </c>
      <c r="G197" s="3108">
        <v>1.0528</v>
      </c>
      <c r="H197" s="3108">
        <v>1.0528</v>
      </c>
      <c r="I197" s="3108">
        <v>0.92130000000000001</v>
      </c>
      <c r="J197" s="3108">
        <v>0.92130000000000001</v>
      </c>
      <c r="K197" s="3108">
        <v>0.92130000000000001</v>
      </c>
      <c r="L197" s="3108">
        <v>0.92130000000000001</v>
      </c>
      <c r="M197" s="3109">
        <v>0.92130000000000001</v>
      </c>
    </row>
    <row r="198" spans="1:13">
      <c r="A198" s="3110">
        <v>2.1</v>
      </c>
      <c r="B198" s="3108">
        <v>1.0347999999999999</v>
      </c>
      <c r="C198" s="3108">
        <v>1.0347999999999999</v>
      </c>
      <c r="D198" s="3108">
        <v>1.0407999999999999</v>
      </c>
      <c r="E198" s="3108">
        <v>1.0407999999999999</v>
      </c>
      <c r="F198" s="3108">
        <v>1.0407999999999999</v>
      </c>
      <c r="G198" s="3108">
        <v>1.0407999999999999</v>
      </c>
      <c r="H198" s="3108">
        <v>1.0407999999999999</v>
      </c>
      <c r="I198" s="3108">
        <v>0.90820000000000001</v>
      </c>
      <c r="J198" s="3108">
        <v>0.90820000000000001</v>
      </c>
      <c r="K198" s="3108">
        <v>0.90820000000000001</v>
      </c>
      <c r="L198" s="3108">
        <v>0.90820000000000001</v>
      </c>
      <c r="M198" s="3109">
        <v>0.90820000000000001</v>
      </c>
    </row>
    <row r="199" spans="1:13">
      <c r="A199" s="3110">
        <v>2.2000000000000002</v>
      </c>
      <c r="B199" s="3108">
        <v>1.0251999999999999</v>
      </c>
      <c r="C199" s="3108">
        <v>1.0251999999999999</v>
      </c>
      <c r="D199" s="3108">
        <v>1.0296000000000001</v>
      </c>
      <c r="E199" s="3108">
        <v>1.0296000000000001</v>
      </c>
      <c r="F199" s="3108">
        <v>1.0296000000000001</v>
      </c>
      <c r="G199" s="3108">
        <v>1.0296000000000001</v>
      </c>
      <c r="H199" s="3108">
        <v>1.0296000000000001</v>
      </c>
      <c r="I199" s="3108">
        <v>0.89570000000000005</v>
      </c>
      <c r="J199" s="3108">
        <v>0.89570000000000005</v>
      </c>
      <c r="K199" s="3108">
        <v>0.89570000000000005</v>
      </c>
      <c r="L199" s="3108">
        <v>0.89570000000000005</v>
      </c>
      <c r="M199" s="3109">
        <v>0.89570000000000005</v>
      </c>
    </row>
    <row r="200" spans="1:13">
      <c r="A200" s="3110">
        <v>2.2999999999999998</v>
      </c>
      <c r="B200" s="3108">
        <v>1.0162</v>
      </c>
      <c r="C200" s="3108">
        <v>1.0162</v>
      </c>
      <c r="D200" s="3108">
        <v>1.0190999999999999</v>
      </c>
      <c r="E200" s="3108">
        <v>1.0190999999999999</v>
      </c>
      <c r="F200" s="3108">
        <v>1.0190999999999999</v>
      </c>
      <c r="G200" s="3108">
        <v>1.0190999999999999</v>
      </c>
      <c r="H200" s="3108">
        <v>1.0190999999999999</v>
      </c>
      <c r="I200" s="3108">
        <v>0.88419999999999999</v>
      </c>
      <c r="J200" s="3108">
        <v>0.88419999999999999</v>
      </c>
      <c r="K200" s="3108">
        <v>0.88419999999999999</v>
      </c>
      <c r="L200" s="3108">
        <v>0.88419999999999999</v>
      </c>
      <c r="M200" s="3109">
        <v>0.88419999999999999</v>
      </c>
    </row>
    <row r="201" spans="1:13">
      <c r="A201" s="3110">
        <v>2.4</v>
      </c>
      <c r="B201" s="3108">
        <v>1.0078</v>
      </c>
      <c r="C201" s="3108">
        <v>1.0078</v>
      </c>
      <c r="D201" s="3108">
        <v>1.0092000000000001</v>
      </c>
      <c r="E201" s="3108">
        <v>1.0092000000000001</v>
      </c>
      <c r="F201" s="3108">
        <v>1.0092000000000001</v>
      </c>
      <c r="G201" s="3108">
        <v>1.0092000000000001</v>
      </c>
      <c r="H201" s="3108">
        <v>1.0092000000000001</v>
      </c>
      <c r="I201" s="3108">
        <v>0.87329999999999997</v>
      </c>
      <c r="J201" s="3108">
        <v>0.87329999999999997</v>
      </c>
      <c r="K201" s="3108">
        <v>0.87329999999999997</v>
      </c>
      <c r="L201" s="3108">
        <v>0.87329999999999997</v>
      </c>
      <c r="M201" s="3109">
        <v>0.87329999999999997</v>
      </c>
    </row>
    <row r="202" spans="1:13">
      <c r="A202" s="3110">
        <v>2.5</v>
      </c>
      <c r="B202" s="3108">
        <v>1</v>
      </c>
      <c r="C202" s="3108">
        <v>1</v>
      </c>
      <c r="D202" s="3108">
        <v>1</v>
      </c>
      <c r="E202" s="3108">
        <v>1</v>
      </c>
      <c r="F202" s="3108">
        <v>1</v>
      </c>
      <c r="G202" s="3108">
        <v>1</v>
      </c>
      <c r="H202" s="3108">
        <v>1</v>
      </c>
      <c r="I202" s="3108">
        <v>0.86299999999999999</v>
      </c>
      <c r="J202" s="3108">
        <v>0.86299999999999999</v>
      </c>
      <c r="K202" s="3108">
        <v>0.86299999999999999</v>
      </c>
      <c r="L202" s="3108">
        <v>0.86299999999999999</v>
      </c>
      <c r="M202" s="3109">
        <v>0.86299999999999999</v>
      </c>
    </row>
    <row r="203" spans="1:13">
      <c r="A203" s="3110">
        <v>2.6</v>
      </c>
      <c r="B203" s="3108">
        <v>0.99270000000000003</v>
      </c>
      <c r="C203" s="3108">
        <v>0.99270000000000003</v>
      </c>
      <c r="D203" s="3108">
        <v>0.99139999999999995</v>
      </c>
      <c r="E203" s="3108">
        <v>0.99139999999999995</v>
      </c>
      <c r="F203" s="3108">
        <v>0.99139999999999995</v>
      </c>
      <c r="G203" s="3108">
        <v>0.99139999999999995</v>
      </c>
      <c r="H203" s="3108">
        <v>0.99139999999999995</v>
      </c>
      <c r="I203" s="3108">
        <v>0.85340000000000005</v>
      </c>
      <c r="J203" s="3108">
        <v>0.85340000000000005</v>
      </c>
      <c r="K203" s="3108">
        <v>0.85340000000000005</v>
      </c>
      <c r="L203" s="3108">
        <v>0.85340000000000005</v>
      </c>
      <c r="M203" s="3109">
        <v>0.85340000000000005</v>
      </c>
    </row>
    <row r="204" spans="1:13">
      <c r="A204" s="3110">
        <v>2.7</v>
      </c>
      <c r="B204" s="3108">
        <v>0.98580000000000001</v>
      </c>
      <c r="C204" s="3108">
        <v>0.98580000000000001</v>
      </c>
      <c r="D204" s="3108">
        <v>0.98329999999999995</v>
      </c>
      <c r="E204" s="3108">
        <v>0.98329999999999995</v>
      </c>
      <c r="F204" s="3108">
        <v>0.98329999999999995</v>
      </c>
      <c r="G204" s="3108">
        <v>0.98329999999999995</v>
      </c>
      <c r="H204" s="3108">
        <v>0.98329999999999995</v>
      </c>
      <c r="I204" s="3108">
        <v>0.84440000000000004</v>
      </c>
      <c r="J204" s="3108">
        <v>0.84440000000000004</v>
      </c>
      <c r="K204" s="3108">
        <v>0.84440000000000004</v>
      </c>
      <c r="L204" s="3108">
        <v>0.84440000000000004</v>
      </c>
      <c r="M204" s="3109">
        <v>0.84440000000000004</v>
      </c>
    </row>
    <row r="205" spans="1:13">
      <c r="A205" s="3110">
        <v>2.8</v>
      </c>
      <c r="B205" s="3108">
        <v>0.97940000000000005</v>
      </c>
      <c r="C205" s="3108">
        <v>0.97940000000000005</v>
      </c>
      <c r="D205" s="3108">
        <v>0.97570000000000001</v>
      </c>
      <c r="E205" s="3108">
        <v>0.97570000000000001</v>
      </c>
      <c r="F205" s="3108">
        <v>0.97570000000000001</v>
      </c>
      <c r="G205" s="3108">
        <v>0.97570000000000001</v>
      </c>
      <c r="H205" s="3108">
        <v>0.97570000000000001</v>
      </c>
      <c r="I205" s="3108">
        <v>0.83599999999999997</v>
      </c>
      <c r="J205" s="3108">
        <v>0.83599999999999997</v>
      </c>
      <c r="K205" s="3108">
        <v>0.83599999999999997</v>
      </c>
      <c r="L205" s="3108">
        <v>0.83599999999999997</v>
      </c>
      <c r="M205" s="3109">
        <v>0.83599999999999997</v>
      </c>
    </row>
    <row r="206" spans="1:13">
      <c r="A206" s="3110">
        <v>2.9</v>
      </c>
      <c r="B206" s="3108">
        <v>0.97350000000000003</v>
      </c>
      <c r="C206" s="3108">
        <v>0.97350000000000003</v>
      </c>
      <c r="D206" s="3108">
        <v>0.96870000000000001</v>
      </c>
      <c r="E206" s="3108">
        <v>0.96870000000000001</v>
      </c>
      <c r="F206" s="3108">
        <v>0.96870000000000001</v>
      </c>
      <c r="G206" s="3108">
        <v>0.96870000000000001</v>
      </c>
      <c r="H206" s="3108">
        <v>0.96870000000000001</v>
      </c>
      <c r="I206" s="3108">
        <v>0.82820000000000005</v>
      </c>
      <c r="J206" s="3108">
        <v>0.82820000000000005</v>
      </c>
      <c r="K206" s="3108">
        <v>0.82820000000000005</v>
      </c>
      <c r="L206" s="3108">
        <v>0.82820000000000005</v>
      </c>
      <c r="M206" s="3109">
        <v>0.82820000000000005</v>
      </c>
    </row>
    <row r="207" spans="1:13">
      <c r="A207" s="3110">
        <v>3</v>
      </c>
      <c r="B207" s="3108">
        <v>0.96789999999999998</v>
      </c>
      <c r="C207" s="3108">
        <v>0.96789999999999998</v>
      </c>
      <c r="D207" s="3108">
        <v>0.96209999999999996</v>
      </c>
      <c r="E207" s="3108">
        <v>0.96209999999999996</v>
      </c>
      <c r="F207" s="3108">
        <v>0.96209999999999996</v>
      </c>
      <c r="G207" s="3108">
        <v>0.96209999999999996</v>
      </c>
      <c r="H207" s="3108">
        <v>0.96209999999999996</v>
      </c>
      <c r="I207" s="3108">
        <v>0.82079999999999997</v>
      </c>
      <c r="J207" s="3108">
        <v>0.82079999999999997</v>
      </c>
      <c r="K207" s="3108">
        <v>0.82079999999999997</v>
      </c>
      <c r="L207" s="3108">
        <v>0.82079999999999997</v>
      </c>
      <c r="M207" s="3109">
        <v>0.82079999999999997</v>
      </c>
    </row>
    <row r="208" spans="1:13">
      <c r="A208" s="3110">
        <v>3.1</v>
      </c>
      <c r="B208" s="3108">
        <v>0.9627</v>
      </c>
      <c r="C208" s="3108">
        <v>0.9627</v>
      </c>
      <c r="D208" s="3108">
        <v>0.95589999999999997</v>
      </c>
      <c r="E208" s="3108">
        <v>0.95589999999999997</v>
      </c>
      <c r="F208" s="3108">
        <v>0.95589999999999997</v>
      </c>
      <c r="G208" s="3108">
        <v>0.95589999999999997</v>
      </c>
      <c r="H208" s="3108">
        <v>0.95589999999999997</v>
      </c>
      <c r="I208" s="3108">
        <v>0.81389999999999996</v>
      </c>
      <c r="J208" s="3108">
        <v>0.81389999999999996</v>
      </c>
      <c r="K208" s="3108">
        <v>0.81389999999999996</v>
      </c>
      <c r="L208" s="3108">
        <v>0.81389999999999996</v>
      </c>
      <c r="M208" s="3109">
        <v>0.81389999999999996</v>
      </c>
    </row>
    <row r="209" spans="1:13">
      <c r="A209" s="3110">
        <v>3.2</v>
      </c>
      <c r="B209" s="3108">
        <v>0.95789999999999997</v>
      </c>
      <c r="C209" s="3108">
        <v>0.95789999999999997</v>
      </c>
      <c r="D209" s="3108">
        <v>0.95020000000000004</v>
      </c>
      <c r="E209" s="3108">
        <v>0.95020000000000004</v>
      </c>
      <c r="F209" s="3108">
        <v>0.95020000000000004</v>
      </c>
      <c r="G209" s="3108">
        <v>0.95020000000000004</v>
      </c>
      <c r="H209" s="3108">
        <v>0.95020000000000004</v>
      </c>
      <c r="I209" s="3108">
        <v>0.8075</v>
      </c>
      <c r="J209" s="3108">
        <v>0.8075</v>
      </c>
      <c r="K209" s="3108">
        <v>0.8075</v>
      </c>
      <c r="L209" s="3108">
        <v>0.8075</v>
      </c>
      <c r="M209" s="3109">
        <v>0.8075</v>
      </c>
    </row>
    <row r="210" spans="1:13">
      <c r="A210" s="3110">
        <v>3.3</v>
      </c>
      <c r="B210" s="3108">
        <v>0.95340000000000003</v>
      </c>
      <c r="C210" s="3108">
        <v>0.95340000000000003</v>
      </c>
      <c r="D210" s="3108">
        <v>0.94479999999999997</v>
      </c>
      <c r="E210" s="3108">
        <v>0.94479999999999997</v>
      </c>
      <c r="F210" s="3108">
        <v>0.94479999999999997</v>
      </c>
      <c r="G210" s="3108">
        <v>0.94479999999999997</v>
      </c>
      <c r="H210" s="3108">
        <v>0.94479999999999997</v>
      </c>
      <c r="I210" s="3108">
        <v>0.80149999999999999</v>
      </c>
      <c r="J210" s="3108">
        <v>0.80149999999999999</v>
      </c>
      <c r="K210" s="3108">
        <v>0.80149999999999999</v>
      </c>
      <c r="L210" s="3108">
        <v>0.80149999999999999</v>
      </c>
      <c r="M210" s="3109">
        <v>0.80149999999999999</v>
      </c>
    </row>
    <row r="211" spans="1:13">
      <c r="A211" s="3110">
        <v>3.4</v>
      </c>
      <c r="B211" s="3108">
        <v>0.94920000000000004</v>
      </c>
      <c r="C211" s="3108">
        <v>0.94920000000000004</v>
      </c>
      <c r="D211" s="3108">
        <v>0.93989999999999996</v>
      </c>
      <c r="E211" s="3108">
        <v>0.93989999999999996</v>
      </c>
      <c r="F211" s="3108">
        <v>0.93989999999999996</v>
      </c>
      <c r="G211" s="3108">
        <v>0.93989999999999996</v>
      </c>
      <c r="H211" s="3108">
        <v>0.93989999999999996</v>
      </c>
      <c r="I211" s="3108">
        <v>0.79590000000000005</v>
      </c>
      <c r="J211" s="3108">
        <v>0.79590000000000005</v>
      </c>
      <c r="K211" s="3108">
        <v>0.79590000000000005</v>
      </c>
      <c r="L211" s="3108">
        <v>0.79590000000000005</v>
      </c>
      <c r="M211" s="3109">
        <v>0.79590000000000005</v>
      </c>
    </row>
    <row r="212" spans="1:13">
      <c r="A212" s="3110">
        <v>3.5</v>
      </c>
      <c r="B212" s="3108">
        <v>0.94540000000000002</v>
      </c>
      <c r="C212" s="3108">
        <v>0.94540000000000002</v>
      </c>
      <c r="D212" s="3108">
        <v>0.93520000000000003</v>
      </c>
      <c r="E212" s="3108">
        <v>0.93520000000000003</v>
      </c>
      <c r="F212" s="3108">
        <v>0.93520000000000003</v>
      </c>
      <c r="G212" s="3108">
        <v>0.93520000000000003</v>
      </c>
      <c r="H212" s="3108">
        <v>0.93520000000000003</v>
      </c>
      <c r="I212" s="3108">
        <v>0.79059999999999997</v>
      </c>
      <c r="J212" s="3108">
        <v>0.79059999999999997</v>
      </c>
      <c r="K212" s="3108">
        <v>0.79059999999999997</v>
      </c>
      <c r="L212" s="3108">
        <v>0.79059999999999997</v>
      </c>
      <c r="M212" s="3109">
        <v>0.79059999999999997</v>
      </c>
    </row>
    <row r="213" spans="1:13">
      <c r="A213" s="3110">
        <v>3.6</v>
      </c>
      <c r="B213" s="3108">
        <v>0.94179999999999997</v>
      </c>
      <c r="C213" s="3108">
        <v>0.94179999999999997</v>
      </c>
      <c r="D213" s="3108">
        <v>0.93089999999999995</v>
      </c>
      <c r="E213" s="3108">
        <v>0.93089999999999995</v>
      </c>
      <c r="F213" s="3108">
        <v>0.93089999999999995</v>
      </c>
      <c r="G213" s="3108">
        <v>0.93089999999999995</v>
      </c>
      <c r="H213" s="3108">
        <v>0.93089999999999995</v>
      </c>
      <c r="I213" s="3108">
        <v>0.78569999999999995</v>
      </c>
      <c r="J213" s="3108">
        <v>0.78569999999999995</v>
      </c>
      <c r="K213" s="3108">
        <v>0.78569999999999995</v>
      </c>
      <c r="L213" s="3108">
        <v>0.78569999999999995</v>
      </c>
      <c r="M213" s="3109">
        <v>0.78569999999999995</v>
      </c>
    </row>
    <row r="214" spans="1:13">
      <c r="A214" s="3110">
        <v>3.7</v>
      </c>
      <c r="B214" s="3108">
        <v>0.93840000000000001</v>
      </c>
      <c r="C214" s="3108">
        <v>0.93840000000000001</v>
      </c>
      <c r="D214" s="3108">
        <v>0.92689999999999995</v>
      </c>
      <c r="E214" s="3108">
        <v>0.92689999999999995</v>
      </c>
      <c r="F214" s="3108">
        <v>0.92689999999999995</v>
      </c>
      <c r="G214" s="3108">
        <v>0.92689999999999995</v>
      </c>
      <c r="H214" s="3108">
        <v>0.92689999999999995</v>
      </c>
      <c r="I214" s="3108">
        <v>0.78110000000000002</v>
      </c>
      <c r="J214" s="3108">
        <v>0.78110000000000002</v>
      </c>
      <c r="K214" s="3108">
        <v>0.78110000000000002</v>
      </c>
      <c r="L214" s="3108">
        <v>0.78110000000000002</v>
      </c>
      <c r="M214" s="3109">
        <v>0.78110000000000002</v>
      </c>
    </row>
    <row r="215" spans="1:13">
      <c r="A215" s="3110">
        <v>3.8</v>
      </c>
      <c r="B215" s="3108">
        <v>0.93530000000000002</v>
      </c>
      <c r="C215" s="3108">
        <v>0.93530000000000002</v>
      </c>
      <c r="D215" s="3108">
        <v>0.92310000000000003</v>
      </c>
      <c r="E215" s="3108">
        <v>0.92310000000000003</v>
      </c>
      <c r="F215" s="3108">
        <v>0.92310000000000003</v>
      </c>
      <c r="G215" s="3108">
        <v>0.92310000000000003</v>
      </c>
      <c r="H215" s="3108">
        <v>0.92310000000000003</v>
      </c>
      <c r="I215" s="3108">
        <v>0.77680000000000005</v>
      </c>
      <c r="J215" s="3108">
        <v>0.77680000000000005</v>
      </c>
      <c r="K215" s="3108">
        <v>0.77680000000000005</v>
      </c>
      <c r="L215" s="3108">
        <v>0.77680000000000005</v>
      </c>
      <c r="M215" s="3109">
        <v>0.77680000000000005</v>
      </c>
    </row>
    <row r="216" spans="1:13">
      <c r="A216" s="3110">
        <v>3.9</v>
      </c>
      <c r="B216" s="3108">
        <v>0.93240000000000001</v>
      </c>
      <c r="C216" s="3108">
        <v>0.93240000000000001</v>
      </c>
      <c r="D216" s="3108">
        <v>0.91959999999999997</v>
      </c>
      <c r="E216" s="3108">
        <v>0.91959999999999997</v>
      </c>
      <c r="F216" s="3108">
        <v>0.91959999999999997</v>
      </c>
      <c r="G216" s="3108">
        <v>0.91959999999999997</v>
      </c>
      <c r="H216" s="3108">
        <v>0.91959999999999997</v>
      </c>
      <c r="I216" s="3108">
        <v>0.77270000000000005</v>
      </c>
      <c r="J216" s="3108">
        <v>0.77270000000000005</v>
      </c>
      <c r="K216" s="3108">
        <v>0.77270000000000005</v>
      </c>
      <c r="L216" s="3108">
        <v>0.77270000000000005</v>
      </c>
      <c r="M216" s="3109">
        <v>0.77270000000000005</v>
      </c>
    </row>
    <row r="217" spans="1:13">
      <c r="A217" s="3110">
        <v>4</v>
      </c>
      <c r="B217" s="3108">
        <v>0.92969999999999997</v>
      </c>
      <c r="C217" s="3108">
        <v>0.92969999999999997</v>
      </c>
      <c r="D217" s="3108">
        <v>0.9163</v>
      </c>
      <c r="E217" s="3108">
        <v>0.9163</v>
      </c>
      <c r="F217" s="3108">
        <v>0.9163</v>
      </c>
      <c r="G217" s="3108">
        <v>0.9163</v>
      </c>
      <c r="H217" s="3108">
        <v>0.9163</v>
      </c>
      <c r="I217" s="3108">
        <v>0.76880000000000004</v>
      </c>
      <c r="J217" s="3108">
        <v>0.76880000000000004</v>
      </c>
      <c r="K217" s="3108">
        <v>0.76880000000000004</v>
      </c>
      <c r="L217" s="3108">
        <v>0.76880000000000004</v>
      </c>
      <c r="M217" s="3109">
        <v>0.76880000000000004</v>
      </c>
    </row>
    <row r="218" spans="1:13">
      <c r="A218" s="3110">
        <v>4.0999999999999996</v>
      </c>
      <c r="B218" s="3108">
        <v>0.92720000000000002</v>
      </c>
      <c r="C218" s="3108">
        <v>0.92720000000000002</v>
      </c>
      <c r="D218" s="3108">
        <v>0.91320000000000001</v>
      </c>
      <c r="E218" s="3108">
        <v>0.91320000000000001</v>
      </c>
      <c r="F218" s="3108">
        <v>0.91320000000000001</v>
      </c>
      <c r="G218" s="3108">
        <v>0.91320000000000001</v>
      </c>
      <c r="H218" s="3108">
        <v>0.91320000000000001</v>
      </c>
      <c r="I218" s="3108">
        <v>0.7651</v>
      </c>
      <c r="J218" s="3108">
        <v>0.7651</v>
      </c>
      <c r="K218" s="3108">
        <v>0.7651</v>
      </c>
      <c r="L218" s="3108">
        <v>0.7651</v>
      </c>
      <c r="M218" s="3109">
        <v>0.7651</v>
      </c>
    </row>
    <row r="219" spans="1:13">
      <c r="A219" s="3110">
        <v>4.2</v>
      </c>
      <c r="B219" s="3108">
        <v>0.92479999999999996</v>
      </c>
      <c r="C219" s="3108">
        <v>0.92479999999999996</v>
      </c>
      <c r="D219" s="3108">
        <v>0.91020000000000001</v>
      </c>
      <c r="E219" s="3108">
        <v>0.91020000000000001</v>
      </c>
      <c r="F219" s="3108">
        <v>0.91020000000000001</v>
      </c>
      <c r="G219" s="3108">
        <v>0.91020000000000001</v>
      </c>
      <c r="H219" s="3108">
        <v>0.91020000000000001</v>
      </c>
      <c r="I219" s="3108">
        <v>0.76149999999999995</v>
      </c>
      <c r="J219" s="3108">
        <v>0.76149999999999995</v>
      </c>
      <c r="K219" s="3108">
        <v>0.76149999999999995</v>
      </c>
      <c r="L219" s="3108">
        <v>0.76149999999999995</v>
      </c>
      <c r="M219" s="3109">
        <v>0.76149999999999995</v>
      </c>
    </row>
    <row r="220" spans="1:13">
      <c r="A220" s="3110">
        <v>4.3</v>
      </c>
      <c r="B220" s="3108">
        <v>0.92249999999999999</v>
      </c>
      <c r="C220" s="3108">
        <v>0.92249999999999999</v>
      </c>
      <c r="D220" s="3108">
        <v>0.9073</v>
      </c>
      <c r="E220" s="3108">
        <v>0.9073</v>
      </c>
      <c r="F220" s="3108">
        <v>0.9073</v>
      </c>
      <c r="G220" s="3108">
        <v>0.9073</v>
      </c>
      <c r="H220" s="3108">
        <v>0.9073</v>
      </c>
      <c r="I220" s="3108">
        <v>0.75800000000000001</v>
      </c>
      <c r="J220" s="3108">
        <v>0.75800000000000001</v>
      </c>
      <c r="K220" s="3108">
        <v>0.75800000000000001</v>
      </c>
      <c r="L220" s="3108">
        <v>0.75800000000000001</v>
      </c>
      <c r="M220" s="3109">
        <v>0.75800000000000001</v>
      </c>
    </row>
    <row r="221" spans="1:13">
      <c r="A221" s="3110">
        <v>4.4000000000000004</v>
      </c>
      <c r="B221" s="3108">
        <v>0.92030000000000001</v>
      </c>
      <c r="C221" s="3108">
        <v>0.92030000000000001</v>
      </c>
      <c r="D221" s="3108">
        <v>0.90449999999999997</v>
      </c>
      <c r="E221" s="3108">
        <v>0.90449999999999997</v>
      </c>
      <c r="F221" s="3108">
        <v>0.90449999999999997</v>
      </c>
      <c r="G221" s="3108">
        <v>0.90449999999999997</v>
      </c>
      <c r="H221" s="3108">
        <v>0.90449999999999997</v>
      </c>
      <c r="I221" s="3108">
        <v>0.75460000000000005</v>
      </c>
      <c r="J221" s="3108">
        <v>0.75460000000000005</v>
      </c>
      <c r="K221" s="3108">
        <v>0.75460000000000005</v>
      </c>
      <c r="L221" s="3108">
        <v>0.75460000000000005</v>
      </c>
      <c r="M221" s="3109">
        <v>0.75460000000000005</v>
      </c>
    </row>
    <row r="222" spans="1:13">
      <c r="A222" s="3110">
        <v>4.5</v>
      </c>
      <c r="B222" s="3108">
        <v>0.91810000000000003</v>
      </c>
      <c r="C222" s="3108">
        <v>0.91810000000000003</v>
      </c>
      <c r="D222" s="3108">
        <v>0.90180000000000005</v>
      </c>
      <c r="E222" s="3108">
        <v>0.90180000000000005</v>
      </c>
      <c r="F222" s="3108">
        <v>0.90180000000000005</v>
      </c>
      <c r="G222" s="3108">
        <v>0.90180000000000005</v>
      </c>
      <c r="H222" s="3108">
        <v>0.90180000000000005</v>
      </c>
      <c r="I222" s="3108">
        <v>0.75129999999999997</v>
      </c>
      <c r="J222" s="3108">
        <v>0.75129999999999997</v>
      </c>
      <c r="K222" s="3108">
        <v>0.75129999999999997</v>
      </c>
      <c r="L222" s="3108">
        <v>0.75129999999999997</v>
      </c>
      <c r="M222" s="3109">
        <v>0.75129999999999997</v>
      </c>
    </row>
    <row r="223" spans="1:13">
      <c r="A223" s="3110">
        <v>4.5999999999999996</v>
      </c>
      <c r="B223" s="3108">
        <v>0.91600000000000004</v>
      </c>
      <c r="C223" s="3108">
        <v>0.91600000000000004</v>
      </c>
      <c r="D223" s="3108">
        <v>0.8992</v>
      </c>
      <c r="E223" s="3108">
        <v>0.8992</v>
      </c>
      <c r="F223" s="3108">
        <v>0.8992</v>
      </c>
      <c r="G223" s="3108">
        <v>0.8992</v>
      </c>
      <c r="H223" s="3108">
        <v>0.8992</v>
      </c>
      <c r="I223" s="3108">
        <v>0.748</v>
      </c>
      <c r="J223" s="3108">
        <v>0.748</v>
      </c>
      <c r="K223" s="3108">
        <v>0.748</v>
      </c>
      <c r="L223" s="3108">
        <v>0.748</v>
      </c>
      <c r="M223" s="3109">
        <v>0.748</v>
      </c>
    </row>
    <row r="224" spans="1:13">
      <c r="A224" s="3110">
        <v>4.7</v>
      </c>
      <c r="B224" s="3108">
        <v>0.91390000000000005</v>
      </c>
      <c r="C224" s="3108">
        <v>0.91390000000000005</v>
      </c>
      <c r="D224" s="3108">
        <v>0.89659999999999995</v>
      </c>
      <c r="E224" s="3108">
        <v>0.89659999999999995</v>
      </c>
      <c r="F224" s="3108">
        <v>0.89659999999999995</v>
      </c>
      <c r="G224" s="3108">
        <v>0.89659999999999995</v>
      </c>
      <c r="H224" s="3108">
        <v>0.89659999999999995</v>
      </c>
      <c r="I224" s="3108">
        <v>0.74480000000000002</v>
      </c>
      <c r="J224" s="3108">
        <v>0.74480000000000002</v>
      </c>
      <c r="K224" s="3108">
        <v>0.74480000000000002</v>
      </c>
      <c r="L224" s="3108">
        <v>0.74480000000000002</v>
      </c>
      <c r="M224" s="3109">
        <v>0.74480000000000002</v>
      </c>
    </row>
    <row r="225" spans="1:13">
      <c r="A225" s="3110">
        <v>4.8</v>
      </c>
      <c r="B225" s="3108">
        <v>0.91180000000000005</v>
      </c>
      <c r="C225" s="3108">
        <v>0.91180000000000005</v>
      </c>
      <c r="D225" s="3108">
        <v>0.89410000000000001</v>
      </c>
      <c r="E225" s="3108">
        <v>0.89410000000000001</v>
      </c>
      <c r="F225" s="3108">
        <v>0.89410000000000001</v>
      </c>
      <c r="G225" s="3108">
        <v>0.89410000000000001</v>
      </c>
      <c r="H225" s="3108">
        <v>0.89410000000000001</v>
      </c>
      <c r="I225" s="3108">
        <v>0.74160000000000004</v>
      </c>
      <c r="J225" s="3108">
        <v>0.74160000000000004</v>
      </c>
      <c r="K225" s="3108">
        <v>0.74160000000000004</v>
      </c>
      <c r="L225" s="3108">
        <v>0.74160000000000004</v>
      </c>
      <c r="M225" s="3109">
        <v>0.74160000000000004</v>
      </c>
    </row>
    <row r="226" spans="1:13">
      <c r="A226" s="3110">
        <v>4.9000000000000004</v>
      </c>
      <c r="B226" s="3108">
        <v>0.90980000000000005</v>
      </c>
      <c r="C226" s="3108">
        <v>0.90980000000000005</v>
      </c>
      <c r="D226" s="3108">
        <v>0.89159999999999995</v>
      </c>
      <c r="E226" s="3108">
        <v>0.89159999999999995</v>
      </c>
      <c r="F226" s="3108">
        <v>0.89159999999999995</v>
      </c>
      <c r="G226" s="3108">
        <v>0.89159999999999995</v>
      </c>
      <c r="H226" s="3108">
        <v>0.89159999999999995</v>
      </c>
      <c r="I226" s="3108">
        <v>0.73839999999999995</v>
      </c>
      <c r="J226" s="3108">
        <v>0.73839999999999995</v>
      </c>
      <c r="K226" s="3108">
        <v>0.73839999999999995</v>
      </c>
      <c r="L226" s="3108">
        <v>0.73839999999999995</v>
      </c>
      <c r="M226" s="3109">
        <v>0.73839999999999995</v>
      </c>
    </row>
    <row r="227" spans="1:13">
      <c r="A227" s="3110">
        <v>5</v>
      </c>
      <c r="B227" s="3108">
        <v>0.90780000000000005</v>
      </c>
      <c r="C227" s="3108">
        <v>0.90780000000000005</v>
      </c>
      <c r="D227" s="3108">
        <v>0.8891</v>
      </c>
      <c r="E227" s="3108">
        <v>0.8891</v>
      </c>
      <c r="F227" s="3108">
        <v>0.8891</v>
      </c>
      <c r="G227" s="3108">
        <v>0.8891</v>
      </c>
      <c r="H227" s="3108">
        <v>0.8891</v>
      </c>
      <c r="I227" s="3108">
        <v>0.73529999999999995</v>
      </c>
      <c r="J227" s="3108">
        <v>0.73529999999999995</v>
      </c>
      <c r="K227" s="3108">
        <v>0.73529999999999995</v>
      </c>
      <c r="L227" s="3108">
        <v>0.73529999999999995</v>
      </c>
      <c r="M227" s="3109">
        <v>0.73529999999999995</v>
      </c>
    </row>
    <row r="228" spans="1:13">
      <c r="A228" s="3107">
        <v>5.0999999999999996</v>
      </c>
      <c r="B228" s="3108">
        <v>0.90580000000000005</v>
      </c>
      <c r="C228" s="3108">
        <v>0.90580000000000005</v>
      </c>
      <c r="D228" s="3108">
        <v>0.88670000000000004</v>
      </c>
      <c r="E228" s="3108">
        <v>0.88670000000000004</v>
      </c>
      <c r="F228" s="3108">
        <v>0.88670000000000004</v>
      </c>
      <c r="G228" s="3108">
        <v>0.88670000000000004</v>
      </c>
      <c r="H228" s="3108">
        <v>0.88670000000000004</v>
      </c>
      <c r="I228" s="3108">
        <v>0.73219999999999996</v>
      </c>
      <c r="J228" s="3108">
        <v>0.73219999999999996</v>
      </c>
      <c r="K228" s="3108">
        <v>0.73219999999999996</v>
      </c>
      <c r="L228" s="3108">
        <v>0.73219999999999996</v>
      </c>
      <c r="M228" s="3109">
        <v>0.73219999999999996</v>
      </c>
    </row>
    <row r="229" spans="1:13">
      <c r="A229" s="3107">
        <v>5.2</v>
      </c>
      <c r="B229" s="3108">
        <v>0.90380000000000005</v>
      </c>
      <c r="C229" s="3108">
        <v>0.90380000000000005</v>
      </c>
      <c r="D229" s="3108">
        <v>0.88429999999999997</v>
      </c>
      <c r="E229" s="3108">
        <v>0.88429999999999997</v>
      </c>
      <c r="F229" s="3108">
        <v>0.88429999999999997</v>
      </c>
      <c r="G229" s="3108">
        <v>0.88429999999999997</v>
      </c>
      <c r="H229" s="3108">
        <v>0.88429999999999997</v>
      </c>
      <c r="I229" s="3108">
        <v>0.72909999999999997</v>
      </c>
      <c r="J229" s="3108">
        <v>0.72909999999999997</v>
      </c>
      <c r="K229" s="3108">
        <v>0.72909999999999997</v>
      </c>
      <c r="L229" s="3108">
        <v>0.72909999999999997</v>
      </c>
      <c r="M229" s="3109">
        <v>0.72909999999999997</v>
      </c>
    </row>
    <row r="230" spans="1:13">
      <c r="A230" s="3107">
        <v>5.3</v>
      </c>
      <c r="B230" s="3108">
        <v>0.90190000000000003</v>
      </c>
      <c r="C230" s="3108">
        <v>0.90190000000000003</v>
      </c>
      <c r="D230" s="3108">
        <v>0.88190000000000002</v>
      </c>
      <c r="E230" s="3108">
        <v>0.88190000000000002</v>
      </c>
      <c r="F230" s="3108">
        <v>0.88190000000000002</v>
      </c>
      <c r="G230" s="3108">
        <v>0.88190000000000002</v>
      </c>
      <c r="H230" s="3108">
        <v>0.88190000000000002</v>
      </c>
      <c r="I230" s="3108">
        <v>0.72609999999999997</v>
      </c>
      <c r="J230" s="3108">
        <v>0.72609999999999997</v>
      </c>
      <c r="K230" s="3108">
        <v>0.72609999999999997</v>
      </c>
      <c r="L230" s="3108">
        <v>0.72609999999999997</v>
      </c>
      <c r="M230" s="3109">
        <v>0.72609999999999997</v>
      </c>
    </row>
    <row r="231" spans="1:13">
      <c r="A231" s="3107">
        <v>5.4</v>
      </c>
      <c r="B231" s="3108">
        <v>0.9</v>
      </c>
      <c r="C231" s="3108">
        <v>0.9</v>
      </c>
      <c r="D231" s="3108">
        <v>0.87949999999999995</v>
      </c>
      <c r="E231" s="3108">
        <v>0.87949999999999995</v>
      </c>
      <c r="F231" s="3108">
        <v>0.87949999999999995</v>
      </c>
      <c r="G231" s="3108">
        <v>0.87949999999999995</v>
      </c>
      <c r="H231" s="3108">
        <v>0.87949999999999995</v>
      </c>
      <c r="I231" s="3108">
        <v>0.72309999999999997</v>
      </c>
      <c r="J231" s="3108">
        <v>0.72309999999999997</v>
      </c>
      <c r="K231" s="3108">
        <v>0.72309999999999997</v>
      </c>
      <c r="L231" s="3108">
        <v>0.72309999999999997</v>
      </c>
      <c r="M231" s="3109">
        <v>0.72309999999999997</v>
      </c>
    </row>
    <row r="232" spans="1:13">
      <c r="A232" s="3107">
        <v>5.5</v>
      </c>
      <c r="B232" s="3108">
        <v>0.89810000000000001</v>
      </c>
      <c r="C232" s="3108">
        <v>0.89810000000000001</v>
      </c>
      <c r="D232" s="3108">
        <v>0.87719999999999998</v>
      </c>
      <c r="E232" s="3108">
        <v>0.87719999999999998</v>
      </c>
      <c r="F232" s="3108">
        <v>0.87719999999999998</v>
      </c>
      <c r="G232" s="3108">
        <v>0.87719999999999998</v>
      </c>
      <c r="H232" s="3108">
        <v>0.87719999999999998</v>
      </c>
      <c r="I232" s="3108">
        <v>0.72009999999999996</v>
      </c>
      <c r="J232" s="3108">
        <v>0.72009999999999996</v>
      </c>
      <c r="K232" s="3108">
        <v>0.72009999999999996</v>
      </c>
      <c r="L232" s="3108">
        <v>0.72009999999999996</v>
      </c>
      <c r="M232" s="3109">
        <v>0.72009999999999996</v>
      </c>
    </row>
    <row r="233" spans="1:13">
      <c r="A233" s="3107">
        <v>5.6</v>
      </c>
      <c r="B233" s="3108">
        <v>0.8962</v>
      </c>
      <c r="C233" s="3108">
        <v>0.8962</v>
      </c>
      <c r="D233" s="3108">
        <v>0.87490000000000001</v>
      </c>
      <c r="E233" s="3108">
        <v>0.87490000000000001</v>
      </c>
      <c r="F233" s="3108">
        <v>0.87490000000000001</v>
      </c>
      <c r="G233" s="3108">
        <v>0.87490000000000001</v>
      </c>
      <c r="H233" s="3108">
        <v>0.87490000000000001</v>
      </c>
      <c r="I233" s="3108">
        <v>0.71709999999999996</v>
      </c>
      <c r="J233" s="3108">
        <v>0.71709999999999996</v>
      </c>
      <c r="K233" s="3108">
        <v>0.71709999999999996</v>
      </c>
      <c r="L233" s="3108">
        <v>0.71709999999999996</v>
      </c>
      <c r="M233" s="3109">
        <v>0.71709999999999996</v>
      </c>
    </row>
    <row r="234" spans="1:13">
      <c r="A234" s="3110">
        <v>5.7</v>
      </c>
      <c r="B234" s="3108">
        <v>0.89429999999999998</v>
      </c>
      <c r="C234" s="3108">
        <v>0.89429999999999998</v>
      </c>
      <c r="D234" s="3108">
        <v>0.87260000000000004</v>
      </c>
      <c r="E234" s="3108">
        <v>0.87260000000000004</v>
      </c>
      <c r="F234" s="3108">
        <v>0.87260000000000004</v>
      </c>
      <c r="G234" s="3108">
        <v>0.87260000000000004</v>
      </c>
      <c r="H234" s="3108">
        <v>0.87260000000000004</v>
      </c>
      <c r="I234" s="3108">
        <v>0.71419999999999995</v>
      </c>
      <c r="J234" s="3108">
        <v>0.71419999999999995</v>
      </c>
      <c r="K234" s="3108">
        <v>0.71419999999999995</v>
      </c>
      <c r="L234" s="3108">
        <v>0.71419999999999995</v>
      </c>
      <c r="M234" s="3109">
        <v>0.71419999999999995</v>
      </c>
    </row>
    <row r="235" spans="1:13">
      <c r="A235" s="3107">
        <v>5.8</v>
      </c>
      <c r="B235" s="3108">
        <v>0.89249999999999996</v>
      </c>
      <c r="C235" s="3108">
        <v>0.89249999999999996</v>
      </c>
      <c r="D235" s="3108">
        <v>0.87029999999999996</v>
      </c>
      <c r="E235" s="3108">
        <v>0.87029999999999996</v>
      </c>
      <c r="F235" s="3108">
        <v>0.87029999999999996</v>
      </c>
      <c r="G235" s="3108">
        <v>0.87029999999999996</v>
      </c>
      <c r="H235" s="3108">
        <v>0.87029999999999996</v>
      </c>
      <c r="I235" s="3108">
        <v>0.71130000000000004</v>
      </c>
      <c r="J235" s="3108">
        <v>0.71130000000000004</v>
      </c>
      <c r="K235" s="3108">
        <v>0.71130000000000004</v>
      </c>
      <c r="L235" s="3108">
        <v>0.71130000000000004</v>
      </c>
      <c r="M235" s="3109">
        <v>0.71130000000000004</v>
      </c>
    </row>
    <row r="236" spans="1:13">
      <c r="A236" s="3107">
        <v>5.9</v>
      </c>
      <c r="B236" s="3108">
        <v>0.89070000000000005</v>
      </c>
      <c r="C236" s="3108">
        <v>0.89070000000000005</v>
      </c>
      <c r="D236" s="3108">
        <v>0.86799999999999999</v>
      </c>
      <c r="E236" s="3108">
        <v>0.86799999999999999</v>
      </c>
      <c r="F236" s="3108">
        <v>0.86799999999999999</v>
      </c>
      <c r="G236" s="3108">
        <v>0.86799999999999999</v>
      </c>
      <c r="H236" s="3108">
        <v>0.86799999999999999</v>
      </c>
      <c r="I236" s="3108">
        <v>0.70840000000000003</v>
      </c>
      <c r="J236" s="3108">
        <v>0.70840000000000003</v>
      </c>
      <c r="K236" s="3108">
        <v>0.70840000000000003</v>
      </c>
      <c r="L236" s="3108">
        <v>0.70840000000000003</v>
      </c>
      <c r="M236" s="3109">
        <v>0.70840000000000003</v>
      </c>
    </row>
    <row r="237" spans="1:13">
      <c r="A237" s="3107">
        <v>6</v>
      </c>
      <c r="B237" s="3108">
        <v>0.88890000000000002</v>
      </c>
      <c r="C237" s="3108">
        <v>0.88890000000000002</v>
      </c>
      <c r="D237" s="3108">
        <v>0.86580000000000001</v>
      </c>
      <c r="E237" s="3108">
        <v>0.86580000000000001</v>
      </c>
      <c r="F237" s="3108">
        <v>0.86580000000000001</v>
      </c>
      <c r="G237" s="3108">
        <v>0.86580000000000001</v>
      </c>
      <c r="H237" s="3108">
        <v>0.86580000000000001</v>
      </c>
      <c r="I237" s="3108">
        <v>0.70550000000000002</v>
      </c>
      <c r="J237" s="3108">
        <v>0.70550000000000002</v>
      </c>
      <c r="K237" s="3108">
        <v>0.70550000000000002</v>
      </c>
      <c r="L237" s="3108">
        <v>0.70550000000000002</v>
      </c>
      <c r="M237" s="3109">
        <v>0.70550000000000002</v>
      </c>
    </row>
    <row r="238" spans="1:13">
      <c r="A238" s="3107">
        <v>6.1</v>
      </c>
      <c r="B238" s="3108">
        <v>0.8871</v>
      </c>
      <c r="C238" s="3108">
        <v>0.8871</v>
      </c>
      <c r="D238" s="3108">
        <v>0.86360000000000003</v>
      </c>
      <c r="E238" s="3108">
        <v>0.86360000000000003</v>
      </c>
      <c r="F238" s="3108">
        <v>0.86360000000000003</v>
      </c>
      <c r="G238" s="3108">
        <v>0.86360000000000003</v>
      </c>
      <c r="H238" s="3108">
        <v>0.86360000000000003</v>
      </c>
      <c r="I238" s="3108">
        <v>0.70269999999999999</v>
      </c>
      <c r="J238" s="3108">
        <v>0.70269999999999999</v>
      </c>
      <c r="K238" s="3108">
        <v>0.70269999999999999</v>
      </c>
      <c r="L238" s="3108">
        <v>0.70269999999999999</v>
      </c>
      <c r="M238" s="3109">
        <v>0.70269999999999999</v>
      </c>
    </row>
    <row r="239" spans="1:13">
      <c r="A239" s="3107">
        <v>6.2</v>
      </c>
      <c r="B239" s="3108">
        <v>0.88529999999999998</v>
      </c>
      <c r="C239" s="3108">
        <v>0.88529999999999998</v>
      </c>
      <c r="D239" s="3108">
        <v>0.86140000000000005</v>
      </c>
      <c r="E239" s="3108">
        <v>0.86140000000000005</v>
      </c>
      <c r="F239" s="3108">
        <v>0.86140000000000005</v>
      </c>
      <c r="G239" s="3108">
        <v>0.86140000000000005</v>
      </c>
      <c r="H239" s="3108">
        <v>0.86140000000000005</v>
      </c>
      <c r="I239" s="3108">
        <v>0.69989999999999997</v>
      </c>
      <c r="J239" s="3108">
        <v>0.69989999999999997</v>
      </c>
      <c r="K239" s="3108">
        <v>0.69989999999999997</v>
      </c>
      <c r="L239" s="3108">
        <v>0.69989999999999997</v>
      </c>
      <c r="M239" s="3109">
        <v>0.69989999999999997</v>
      </c>
    </row>
    <row r="240" spans="1:13">
      <c r="A240" s="3107">
        <v>6.3</v>
      </c>
      <c r="B240" s="3108">
        <v>0.88349999999999995</v>
      </c>
      <c r="C240" s="3108">
        <v>0.88349999999999995</v>
      </c>
      <c r="D240" s="3108">
        <v>0.85919999999999996</v>
      </c>
      <c r="E240" s="3108">
        <v>0.85919999999999996</v>
      </c>
      <c r="F240" s="3108">
        <v>0.85919999999999996</v>
      </c>
      <c r="G240" s="3108">
        <v>0.85919999999999996</v>
      </c>
      <c r="H240" s="3108">
        <v>0.85919999999999996</v>
      </c>
      <c r="I240" s="3108">
        <v>0.69710000000000005</v>
      </c>
      <c r="J240" s="3108">
        <v>0.69710000000000005</v>
      </c>
      <c r="K240" s="3108">
        <v>0.69710000000000005</v>
      </c>
      <c r="L240" s="3108">
        <v>0.69710000000000005</v>
      </c>
      <c r="M240" s="3109">
        <v>0.69710000000000005</v>
      </c>
    </row>
    <row r="241" spans="1:13">
      <c r="A241" s="3107">
        <v>6.4</v>
      </c>
      <c r="B241" s="3108">
        <v>0.88180000000000003</v>
      </c>
      <c r="C241" s="3108">
        <v>0.88180000000000003</v>
      </c>
      <c r="D241" s="3108">
        <v>0.85699999999999998</v>
      </c>
      <c r="E241" s="3108">
        <v>0.85699999999999998</v>
      </c>
      <c r="F241" s="3108">
        <v>0.85699999999999998</v>
      </c>
      <c r="G241" s="3108">
        <v>0.85699999999999998</v>
      </c>
      <c r="H241" s="3108">
        <v>0.85699999999999998</v>
      </c>
      <c r="I241" s="3108">
        <v>0.69430000000000003</v>
      </c>
      <c r="J241" s="3108">
        <v>0.69430000000000003</v>
      </c>
      <c r="K241" s="3108">
        <v>0.69430000000000003</v>
      </c>
      <c r="L241" s="3108">
        <v>0.69430000000000003</v>
      </c>
      <c r="M241" s="3109">
        <v>0.69430000000000003</v>
      </c>
    </row>
    <row r="242" spans="1:13">
      <c r="A242" s="3107">
        <v>6.5</v>
      </c>
      <c r="B242" s="3108">
        <v>0.88009999999999999</v>
      </c>
      <c r="C242" s="3108">
        <v>0.88009999999999999</v>
      </c>
      <c r="D242" s="3108">
        <v>0.85489999999999999</v>
      </c>
      <c r="E242" s="3108">
        <v>0.85489999999999999</v>
      </c>
      <c r="F242" s="3108">
        <v>0.85489999999999999</v>
      </c>
      <c r="G242" s="3108">
        <v>0.85489999999999999</v>
      </c>
      <c r="H242" s="3108">
        <v>0.85489999999999999</v>
      </c>
      <c r="I242" s="3108">
        <v>0.69159999999999999</v>
      </c>
      <c r="J242" s="3108">
        <v>0.69159999999999999</v>
      </c>
      <c r="K242" s="3108">
        <v>0.69159999999999999</v>
      </c>
      <c r="L242" s="3108">
        <v>0.69159999999999999</v>
      </c>
      <c r="M242" s="3109">
        <v>0.69159999999999999</v>
      </c>
    </row>
    <row r="243" spans="1:13">
      <c r="A243" s="3107">
        <v>6.6</v>
      </c>
      <c r="B243" s="3108">
        <v>0.87839999999999996</v>
      </c>
      <c r="C243" s="3108">
        <v>0.87839999999999996</v>
      </c>
      <c r="D243" s="3108">
        <v>0.8528</v>
      </c>
      <c r="E243" s="3108">
        <v>0.8528</v>
      </c>
      <c r="F243" s="3108">
        <v>0.8528</v>
      </c>
      <c r="G243" s="3108">
        <v>0.8528</v>
      </c>
      <c r="H243" s="3108">
        <v>0.8528</v>
      </c>
      <c r="I243" s="3108">
        <v>0.68889999999999996</v>
      </c>
      <c r="J243" s="3108">
        <v>0.68889999999999996</v>
      </c>
      <c r="K243" s="3108">
        <v>0.68889999999999996</v>
      </c>
      <c r="L243" s="3108">
        <v>0.68889999999999996</v>
      </c>
      <c r="M243" s="3109">
        <v>0.68889999999999996</v>
      </c>
    </row>
    <row r="244" spans="1:13">
      <c r="A244" s="3107">
        <v>6.7</v>
      </c>
      <c r="B244" s="3108">
        <v>0.87670000000000003</v>
      </c>
      <c r="C244" s="3108">
        <v>0.87670000000000003</v>
      </c>
      <c r="D244" s="3108">
        <v>0.85070000000000001</v>
      </c>
      <c r="E244" s="3108">
        <v>0.85070000000000001</v>
      </c>
      <c r="F244" s="3108">
        <v>0.85070000000000001</v>
      </c>
      <c r="G244" s="3108">
        <v>0.85070000000000001</v>
      </c>
      <c r="H244" s="3108">
        <v>0.85070000000000001</v>
      </c>
      <c r="I244" s="3108">
        <v>0.68620000000000003</v>
      </c>
      <c r="J244" s="3108">
        <v>0.68620000000000003</v>
      </c>
      <c r="K244" s="3108">
        <v>0.68620000000000003</v>
      </c>
      <c r="L244" s="3108">
        <v>0.68620000000000003</v>
      </c>
      <c r="M244" s="3109">
        <v>0.68620000000000003</v>
      </c>
    </row>
    <row r="245" spans="1:13">
      <c r="A245" s="3107">
        <v>6.8</v>
      </c>
      <c r="B245" s="3108">
        <v>0.875</v>
      </c>
      <c r="C245" s="3108">
        <v>0.875</v>
      </c>
      <c r="D245" s="3108">
        <v>0.84860000000000002</v>
      </c>
      <c r="E245" s="3108">
        <v>0.84860000000000002</v>
      </c>
      <c r="F245" s="3108">
        <v>0.84860000000000002</v>
      </c>
      <c r="G245" s="3108">
        <v>0.84860000000000002</v>
      </c>
      <c r="H245" s="3108">
        <v>0.84860000000000002</v>
      </c>
      <c r="I245" s="3108">
        <v>0.6835</v>
      </c>
      <c r="J245" s="3108">
        <v>0.6835</v>
      </c>
      <c r="K245" s="3108">
        <v>0.6835</v>
      </c>
      <c r="L245" s="3108">
        <v>0.6835</v>
      </c>
      <c r="M245" s="3109">
        <v>0.6835</v>
      </c>
    </row>
    <row r="246" spans="1:13">
      <c r="A246" s="3107">
        <v>6.9</v>
      </c>
      <c r="B246" s="3108">
        <v>0.87329999999999997</v>
      </c>
      <c r="C246" s="3108">
        <v>0.87329999999999997</v>
      </c>
      <c r="D246" s="3108">
        <v>0.84650000000000003</v>
      </c>
      <c r="E246" s="3108">
        <v>0.84650000000000003</v>
      </c>
      <c r="F246" s="3108">
        <v>0.84650000000000003</v>
      </c>
      <c r="G246" s="3108">
        <v>0.84650000000000003</v>
      </c>
      <c r="H246" s="3108">
        <v>0.84650000000000003</v>
      </c>
      <c r="I246" s="3108">
        <v>0.68089999999999995</v>
      </c>
      <c r="J246" s="3108">
        <v>0.68089999999999995</v>
      </c>
      <c r="K246" s="3108">
        <v>0.68089999999999995</v>
      </c>
      <c r="L246" s="3108">
        <v>0.68089999999999995</v>
      </c>
      <c r="M246" s="3109">
        <v>0.68089999999999995</v>
      </c>
    </row>
    <row r="247" spans="1:13">
      <c r="A247" s="3107">
        <v>7</v>
      </c>
      <c r="B247" s="3108">
        <v>0.87170000000000003</v>
      </c>
      <c r="C247" s="3108">
        <v>0.87170000000000003</v>
      </c>
      <c r="D247" s="3108">
        <v>0.84450000000000003</v>
      </c>
      <c r="E247" s="3108">
        <v>0.84450000000000003</v>
      </c>
      <c r="F247" s="3108">
        <v>0.84450000000000003</v>
      </c>
      <c r="G247" s="3108">
        <v>0.84450000000000003</v>
      </c>
      <c r="H247" s="3108">
        <v>0.84450000000000003</v>
      </c>
      <c r="I247" s="3108">
        <v>0.67830000000000001</v>
      </c>
      <c r="J247" s="3108">
        <v>0.67830000000000001</v>
      </c>
      <c r="K247" s="3108">
        <v>0.67830000000000001</v>
      </c>
      <c r="L247" s="3108">
        <v>0.67830000000000001</v>
      </c>
      <c r="M247" s="3109">
        <v>0.67830000000000001</v>
      </c>
    </row>
    <row r="248" spans="1:13">
      <c r="A248" s="3107">
        <v>7.1</v>
      </c>
      <c r="B248" s="3108">
        <v>0.87009999999999998</v>
      </c>
      <c r="C248" s="3108">
        <v>0.87009999999999998</v>
      </c>
      <c r="D248" s="3108">
        <v>0.84250000000000003</v>
      </c>
      <c r="E248" s="3108">
        <v>0.84250000000000003</v>
      </c>
      <c r="F248" s="3108">
        <v>0.84250000000000003</v>
      </c>
      <c r="G248" s="3108">
        <v>0.84250000000000003</v>
      </c>
      <c r="H248" s="3108">
        <v>0.84250000000000003</v>
      </c>
      <c r="I248" s="3108">
        <v>0.67569999999999997</v>
      </c>
      <c r="J248" s="3108">
        <v>0.67569999999999997</v>
      </c>
      <c r="K248" s="3108">
        <v>0.67569999999999997</v>
      </c>
      <c r="L248" s="3108">
        <v>0.67569999999999997</v>
      </c>
      <c r="M248" s="3109">
        <v>0.67569999999999997</v>
      </c>
    </row>
    <row r="249" spans="1:13">
      <c r="A249" s="3107">
        <v>7.2</v>
      </c>
      <c r="B249" s="3108">
        <v>0.86850000000000005</v>
      </c>
      <c r="C249" s="3108">
        <v>0.86850000000000005</v>
      </c>
      <c r="D249" s="3108">
        <v>0.84050000000000002</v>
      </c>
      <c r="E249" s="3108">
        <v>0.84050000000000002</v>
      </c>
      <c r="F249" s="3108">
        <v>0.84050000000000002</v>
      </c>
      <c r="G249" s="3108">
        <v>0.84050000000000002</v>
      </c>
      <c r="H249" s="3108">
        <v>0.84050000000000002</v>
      </c>
      <c r="I249" s="3108">
        <v>0.67310000000000003</v>
      </c>
      <c r="J249" s="3108">
        <v>0.67310000000000003</v>
      </c>
      <c r="K249" s="3108">
        <v>0.67310000000000003</v>
      </c>
      <c r="L249" s="3108">
        <v>0.67310000000000003</v>
      </c>
      <c r="M249" s="3109">
        <v>0.67310000000000003</v>
      </c>
    </row>
    <row r="250" spans="1:13">
      <c r="A250" s="3107">
        <v>7.3</v>
      </c>
      <c r="B250" s="3108">
        <v>0.8669</v>
      </c>
      <c r="C250" s="3108">
        <v>0.8669</v>
      </c>
      <c r="D250" s="3108">
        <v>0.83850000000000002</v>
      </c>
      <c r="E250" s="3108">
        <v>0.83850000000000002</v>
      </c>
      <c r="F250" s="3108">
        <v>0.83850000000000002</v>
      </c>
      <c r="G250" s="3108">
        <v>0.83850000000000002</v>
      </c>
      <c r="H250" s="3108">
        <v>0.83850000000000002</v>
      </c>
      <c r="I250" s="3108">
        <v>0.67059999999999997</v>
      </c>
      <c r="J250" s="3108">
        <v>0.67059999999999997</v>
      </c>
      <c r="K250" s="3108">
        <v>0.67059999999999997</v>
      </c>
      <c r="L250" s="3108">
        <v>0.67059999999999997</v>
      </c>
      <c r="M250" s="3109">
        <v>0.67059999999999997</v>
      </c>
    </row>
    <row r="251" spans="1:13">
      <c r="A251" s="3107">
        <v>7.4</v>
      </c>
      <c r="B251" s="3108">
        <v>0.86529999999999996</v>
      </c>
      <c r="C251" s="3108">
        <v>0.86529999999999996</v>
      </c>
      <c r="D251" s="3108">
        <v>0.83650000000000002</v>
      </c>
      <c r="E251" s="3108">
        <v>0.83650000000000002</v>
      </c>
      <c r="F251" s="3108">
        <v>0.83650000000000002</v>
      </c>
      <c r="G251" s="3108">
        <v>0.83650000000000002</v>
      </c>
      <c r="H251" s="3108">
        <v>0.83650000000000002</v>
      </c>
      <c r="I251" s="3108">
        <v>0.66810000000000003</v>
      </c>
      <c r="J251" s="3108">
        <v>0.66810000000000003</v>
      </c>
      <c r="K251" s="3108">
        <v>0.66810000000000003</v>
      </c>
      <c r="L251" s="3108">
        <v>0.66810000000000003</v>
      </c>
      <c r="M251" s="3109">
        <v>0.66810000000000003</v>
      </c>
    </row>
    <row r="252" spans="1:13">
      <c r="A252" s="3107">
        <v>7.5</v>
      </c>
      <c r="B252" s="3108">
        <v>0.86370000000000002</v>
      </c>
      <c r="C252" s="3108">
        <v>0.86370000000000002</v>
      </c>
      <c r="D252" s="3108">
        <v>0.83460000000000001</v>
      </c>
      <c r="E252" s="3108">
        <v>0.83460000000000001</v>
      </c>
      <c r="F252" s="3108">
        <v>0.83460000000000001</v>
      </c>
      <c r="G252" s="3108">
        <v>0.83460000000000001</v>
      </c>
      <c r="H252" s="3108">
        <v>0.83460000000000001</v>
      </c>
      <c r="I252" s="3108">
        <v>0.66559999999999997</v>
      </c>
      <c r="J252" s="3108">
        <v>0.66559999999999997</v>
      </c>
      <c r="K252" s="3108">
        <v>0.66559999999999997</v>
      </c>
      <c r="L252" s="3108">
        <v>0.66559999999999997</v>
      </c>
      <c r="M252" s="3109">
        <v>0.66559999999999997</v>
      </c>
    </row>
    <row r="253" spans="1:13">
      <c r="A253" s="3107">
        <v>7.6</v>
      </c>
      <c r="B253" s="3108">
        <v>0.86219999999999997</v>
      </c>
      <c r="C253" s="3108">
        <v>0.86219999999999997</v>
      </c>
      <c r="D253" s="3108">
        <v>0.8327</v>
      </c>
      <c r="E253" s="3108">
        <v>0.8327</v>
      </c>
      <c r="F253" s="3108">
        <v>0.8327</v>
      </c>
      <c r="G253" s="3108">
        <v>0.8327</v>
      </c>
      <c r="H253" s="3108">
        <v>0.8327</v>
      </c>
      <c r="I253" s="3108">
        <v>0.66310000000000002</v>
      </c>
      <c r="J253" s="3108">
        <v>0.66310000000000002</v>
      </c>
      <c r="K253" s="3108">
        <v>0.66310000000000002</v>
      </c>
      <c r="L253" s="3108">
        <v>0.66310000000000002</v>
      </c>
      <c r="M253" s="3109">
        <v>0.66310000000000002</v>
      </c>
    </row>
    <row r="254" spans="1:13">
      <c r="A254" s="3107">
        <v>7.7</v>
      </c>
      <c r="B254" s="3108">
        <v>0.86070000000000002</v>
      </c>
      <c r="C254" s="3108">
        <v>0.86070000000000002</v>
      </c>
      <c r="D254" s="3108">
        <v>0.83079999999999998</v>
      </c>
      <c r="E254" s="3108">
        <v>0.83079999999999998</v>
      </c>
      <c r="F254" s="3108">
        <v>0.83079999999999998</v>
      </c>
      <c r="G254" s="3108">
        <v>0.83079999999999998</v>
      </c>
      <c r="H254" s="3108">
        <v>0.83079999999999998</v>
      </c>
      <c r="I254" s="3108">
        <v>0.66069999999999995</v>
      </c>
      <c r="J254" s="3108">
        <v>0.66069999999999995</v>
      </c>
      <c r="K254" s="3108">
        <v>0.66069999999999995</v>
      </c>
      <c r="L254" s="3108">
        <v>0.66069999999999995</v>
      </c>
      <c r="M254" s="3109">
        <v>0.66069999999999995</v>
      </c>
    </row>
    <row r="255" spans="1:13">
      <c r="A255" s="3107">
        <v>7.8</v>
      </c>
      <c r="B255" s="3108">
        <v>0.85919999999999996</v>
      </c>
      <c r="C255" s="3108">
        <v>0.85919999999999996</v>
      </c>
      <c r="D255" s="3108">
        <v>0.82889999999999997</v>
      </c>
      <c r="E255" s="3108">
        <v>0.82889999999999997</v>
      </c>
      <c r="F255" s="3108">
        <v>0.82889999999999997</v>
      </c>
      <c r="G255" s="3108">
        <v>0.82889999999999997</v>
      </c>
      <c r="H255" s="3108">
        <v>0.82889999999999997</v>
      </c>
      <c r="I255" s="3108">
        <v>0.6583</v>
      </c>
      <c r="J255" s="3108">
        <v>0.6583</v>
      </c>
      <c r="K255" s="3108">
        <v>0.6583</v>
      </c>
      <c r="L255" s="3108">
        <v>0.6583</v>
      </c>
      <c r="M255" s="3109">
        <v>0.6583</v>
      </c>
    </row>
    <row r="256" spans="1:13">
      <c r="A256" s="3107">
        <v>7.9</v>
      </c>
      <c r="B256" s="3108">
        <v>0.85770000000000002</v>
      </c>
      <c r="C256" s="3108">
        <v>0.85770000000000002</v>
      </c>
      <c r="D256" s="3108">
        <v>0.82699999999999996</v>
      </c>
      <c r="E256" s="3108">
        <v>0.82699999999999996</v>
      </c>
      <c r="F256" s="3108">
        <v>0.82699999999999996</v>
      </c>
      <c r="G256" s="3108">
        <v>0.82699999999999996</v>
      </c>
      <c r="H256" s="3108">
        <v>0.82699999999999996</v>
      </c>
      <c r="I256" s="3108">
        <v>0.65590000000000004</v>
      </c>
      <c r="J256" s="3108">
        <v>0.65590000000000004</v>
      </c>
      <c r="K256" s="3108">
        <v>0.65590000000000004</v>
      </c>
      <c r="L256" s="3108">
        <v>0.65590000000000004</v>
      </c>
      <c r="M256" s="3109">
        <v>0.65590000000000004</v>
      </c>
    </row>
    <row r="257" spans="1:13">
      <c r="A257" s="3107">
        <v>8</v>
      </c>
      <c r="B257" s="3108">
        <v>0.85619999999999996</v>
      </c>
      <c r="C257" s="3108">
        <v>0.85619999999999996</v>
      </c>
      <c r="D257" s="3108">
        <v>0.82509999999999994</v>
      </c>
      <c r="E257" s="3108">
        <v>0.82509999999999994</v>
      </c>
      <c r="F257" s="3108">
        <v>0.82509999999999994</v>
      </c>
      <c r="G257" s="3108">
        <v>0.82509999999999994</v>
      </c>
      <c r="H257" s="3108">
        <v>0.82509999999999994</v>
      </c>
      <c r="I257" s="3108">
        <v>0.65349999999999997</v>
      </c>
      <c r="J257" s="3108">
        <v>0.65349999999999997</v>
      </c>
      <c r="K257" s="3108">
        <v>0.65349999999999997</v>
      </c>
      <c r="L257" s="3108">
        <v>0.65349999999999997</v>
      </c>
      <c r="M257" s="3109">
        <v>0.65349999999999997</v>
      </c>
    </row>
    <row r="258" spans="1:13">
      <c r="A258" s="3107">
        <v>8.1</v>
      </c>
      <c r="B258" s="3108">
        <v>0.85470000000000002</v>
      </c>
      <c r="C258" s="3108">
        <v>0.85470000000000002</v>
      </c>
      <c r="D258" s="3108">
        <v>0.82330000000000003</v>
      </c>
      <c r="E258" s="3108">
        <v>0.82330000000000003</v>
      </c>
      <c r="F258" s="3108">
        <v>0.82330000000000003</v>
      </c>
      <c r="G258" s="3108">
        <v>0.82330000000000003</v>
      </c>
      <c r="H258" s="3108">
        <v>0.82330000000000003</v>
      </c>
      <c r="I258" s="3108">
        <v>0.6512</v>
      </c>
      <c r="J258" s="3108">
        <v>0.6512</v>
      </c>
      <c r="K258" s="3108">
        <v>0.6512</v>
      </c>
      <c r="L258" s="3108">
        <v>0.6512</v>
      </c>
      <c r="M258" s="3109">
        <v>0.6512</v>
      </c>
    </row>
    <row r="259" spans="1:13">
      <c r="A259" s="3107">
        <v>8.1999999999999993</v>
      </c>
      <c r="B259" s="3108">
        <v>0.85329999999999995</v>
      </c>
      <c r="C259" s="3108">
        <v>0.85329999999999995</v>
      </c>
      <c r="D259" s="3108">
        <v>0.82150000000000001</v>
      </c>
      <c r="E259" s="3108">
        <v>0.82150000000000001</v>
      </c>
      <c r="F259" s="3108">
        <v>0.82150000000000001</v>
      </c>
      <c r="G259" s="3108">
        <v>0.82150000000000001</v>
      </c>
      <c r="H259" s="3108">
        <v>0.82150000000000001</v>
      </c>
      <c r="I259" s="3108">
        <v>0.64890000000000003</v>
      </c>
      <c r="J259" s="3108">
        <v>0.64890000000000003</v>
      </c>
      <c r="K259" s="3108">
        <v>0.64890000000000003</v>
      </c>
      <c r="L259" s="3108">
        <v>0.64890000000000003</v>
      </c>
      <c r="M259" s="3109">
        <v>0.64890000000000003</v>
      </c>
    </row>
    <row r="260" spans="1:13">
      <c r="A260" s="3107">
        <v>8.3000000000000007</v>
      </c>
      <c r="B260" s="3108">
        <v>0.85189999999999999</v>
      </c>
      <c r="C260" s="3108">
        <v>0.85189999999999999</v>
      </c>
      <c r="D260" s="3108">
        <v>0.81969999999999998</v>
      </c>
      <c r="E260" s="3108">
        <v>0.81969999999999998</v>
      </c>
      <c r="F260" s="3108">
        <v>0.81969999999999998</v>
      </c>
      <c r="G260" s="3108">
        <v>0.81969999999999998</v>
      </c>
      <c r="H260" s="3108">
        <v>0.81969999999999998</v>
      </c>
      <c r="I260" s="3108">
        <v>0.64659999999999995</v>
      </c>
      <c r="J260" s="3108">
        <v>0.64659999999999995</v>
      </c>
      <c r="K260" s="3108">
        <v>0.64659999999999995</v>
      </c>
      <c r="L260" s="3108">
        <v>0.64659999999999995</v>
      </c>
      <c r="M260" s="3109">
        <v>0.64659999999999995</v>
      </c>
    </row>
    <row r="261" spans="1:13">
      <c r="A261" s="3107">
        <v>8.4</v>
      </c>
      <c r="B261" s="3108">
        <v>0.85050000000000003</v>
      </c>
      <c r="C261" s="3108">
        <v>0.85050000000000003</v>
      </c>
      <c r="D261" s="3108">
        <v>0.81789999999999996</v>
      </c>
      <c r="E261" s="3108">
        <v>0.81789999999999996</v>
      </c>
      <c r="F261" s="3108">
        <v>0.81789999999999996</v>
      </c>
      <c r="G261" s="3108">
        <v>0.81789999999999996</v>
      </c>
      <c r="H261" s="3108">
        <v>0.81789999999999996</v>
      </c>
      <c r="I261" s="3108">
        <v>0.64429999999999998</v>
      </c>
      <c r="J261" s="3108">
        <v>0.64429999999999998</v>
      </c>
      <c r="K261" s="3108">
        <v>0.64429999999999998</v>
      </c>
      <c r="L261" s="3108">
        <v>0.64429999999999998</v>
      </c>
      <c r="M261" s="3109">
        <v>0.64429999999999998</v>
      </c>
    </row>
    <row r="262" spans="1:13">
      <c r="A262" s="3107">
        <v>8.5</v>
      </c>
      <c r="B262" s="3108">
        <v>0.84909999999999997</v>
      </c>
      <c r="C262" s="3108">
        <v>0.84909999999999997</v>
      </c>
      <c r="D262" s="3108">
        <v>0.81610000000000005</v>
      </c>
      <c r="E262" s="3108">
        <v>0.81610000000000005</v>
      </c>
      <c r="F262" s="3108">
        <v>0.81610000000000005</v>
      </c>
      <c r="G262" s="3108">
        <v>0.81610000000000005</v>
      </c>
      <c r="H262" s="3108">
        <v>0.81610000000000005</v>
      </c>
      <c r="I262" s="3108">
        <v>0.6421</v>
      </c>
      <c r="J262" s="3108">
        <v>0.6421</v>
      </c>
      <c r="K262" s="3108">
        <v>0.6421</v>
      </c>
      <c r="L262" s="3108">
        <v>0.6421</v>
      </c>
      <c r="M262" s="3109">
        <v>0.6421</v>
      </c>
    </row>
    <row r="263" spans="1:13">
      <c r="A263" s="3107">
        <v>8.6</v>
      </c>
      <c r="B263" s="3108">
        <v>0.84770000000000001</v>
      </c>
      <c r="C263" s="3108">
        <v>0.84770000000000001</v>
      </c>
      <c r="D263" s="3108">
        <v>0.81440000000000001</v>
      </c>
      <c r="E263" s="3108">
        <v>0.81440000000000001</v>
      </c>
      <c r="F263" s="3108">
        <v>0.81440000000000001</v>
      </c>
      <c r="G263" s="3108">
        <v>0.81440000000000001</v>
      </c>
      <c r="H263" s="3108">
        <v>0.81440000000000001</v>
      </c>
      <c r="I263" s="3108">
        <v>0.63990000000000002</v>
      </c>
      <c r="J263" s="3108">
        <v>0.63990000000000002</v>
      </c>
      <c r="K263" s="3108">
        <v>0.63990000000000002</v>
      </c>
      <c r="L263" s="3108">
        <v>0.63990000000000002</v>
      </c>
      <c r="M263" s="3109">
        <v>0.63990000000000002</v>
      </c>
    </row>
    <row r="264" spans="1:13">
      <c r="A264" s="3107">
        <v>8.6999999999999993</v>
      </c>
      <c r="B264" s="3108">
        <v>0.84630000000000005</v>
      </c>
      <c r="C264" s="3108">
        <v>0.84630000000000005</v>
      </c>
      <c r="D264" s="3108">
        <v>0.81269999999999998</v>
      </c>
      <c r="E264" s="3108">
        <v>0.81269999999999998</v>
      </c>
      <c r="F264" s="3108">
        <v>0.81269999999999998</v>
      </c>
      <c r="G264" s="3108">
        <v>0.81269999999999998</v>
      </c>
      <c r="H264" s="3108">
        <v>0.81269999999999998</v>
      </c>
      <c r="I264" s="3108">
        <v>0.63770000000000004</v>
      </c>
      <c r="J264" s="3108">
        <v>0.63770000000000004</v>
      </c>
      <c r="K264" s="3108">
        <v>0.63770000000000004</v>
      </c>
      <c r="L264" s="3108">
        <v>0.63770000000000004</v>
      </c>
      <c r="M264" s="3109">
        <v>0.63770000000000004</v>
      </c>
    </row>
    <row r="265" spans="1:13">
      <c r="A265" s="3107">
        <v>8.8000000000000007</v>
      </c>
      <c r="B265" s="3108">
        <v>0.84489999999999998</v>
      </c>
      <c r="C265" s="3108">
        <v>0.84489999999999998</v>
      </c>
      <c r="D265" s="3108">
        <v>0.81100000000000005</v>
      </c>
      <c r="E265" s="3108">
        <v>0.81100000000000005</v>
      </c>
      <c r="F265" s="3108">
        <v>0.81100000000000005</v>
      </c>
      <c r="G265" s="3108">
        <v>0.81100000000000005</v>
      </c>
      <c r="H265" s="3108">
        <v>0.81100000000000005</v>
      </c>
      <c r="I265" s="3108">
        <v>0.63549999999999995</v>
      </c>
      <c r="J265" s="3108">
        <v>0.63549999999999995</v>
      </c>
      <c r="K265" s="3108">
        <v>0.63549999999999995</v>
      </c>
      <c r="L265" s="3108">
        <v>0.63549999999999995</v>
      </c>
      <c r="M265" s="3109">
        <v>0.63549999999999995</v>
      </c>
    </row>
    <row r="266" spans="1:13">
      <c r="A266" s="3107">
        <v>8.9</v>
      </c>
      <c r="B266" s="3108">
        <v>0.84360000000000002</v>
      </c>
      <c r="C266" s="3108">
        <v>0.84360000000000002</v>
      </c>
      <c r="D266" s="3108">
        <v>0.80930000000000002</v>
      </c>
      <c r="E266" s="3108">
        <v>0.80930000000000002</v>
      </c>
      <c r="F266" s="3108">
        <v>0.80930000000000002</v>
      </c>
      <c r="G266" s="3108">
        <v>0.80930000000000002</v>
      </c>
      <c r="H266" s="3108">
        <v>0.80930000000000002</v>
      </c>
      <c r="I266" s="3108">
        <v>0.63339999999999996</v>
      </c>
      <c r="J266" s="3108">
        <v>0.63339999999999996</v>
      </c>
      <c r="K266" s="3108">
        <v>0.63339999999999996</v>
      </c>
      <c r="L266" s="3108">
        <v>0.63339999999999996</v>
      </c>
      <c r="M266" s="3109">
        <v>0.63339999999999996</v>
      </c>
    </row>
    <row r="267" spans="1:13">
      <c r="A267" s="3110">
        <v>9</v>
      </c>
      <c r="B267" s="3108">
        <v>0.84230000000000005</v>
      </c>
      <c r="C267" s="3108">
        <v>0.84230000000000005</v>
      </c>
      <c r="D267" s="3108">
        <v>0.80759999999999998</v>
      </c>
      <c r="E267" s="3108">
        <v>0.80759999999999998</v>
      </c>
      <c r="F267" s="3108">
        <v>0.80759999999999998</v>
      </c>
      <c r="G267" s="3108">
        <v>0.80759999999999998</v>
      </c>
      <c r="H267" s="3108">
        <v>0.80759999999999998</v>
      </c>
      <c r="I267" s="3108">
        <v>0.63129999999999997</v>
      </c>
      <c r="J267" s="3108">
        <v>0.63129999999999997</v>
      </c>
      <c r="K267" s="3108">
        <v>0.63129999999999997</v>
      </c>
      <c r="L267" s="3108">
        <v>0.63129999999999997</v>
      </c>
      <c r="M267" s="3109">
        <v>0.63129999999999997</v>
      </c>
    </row>
    <row r="268" spans="1:13">
      <c r="A268" s="3110">
        <v>9.1</v>
      </c>
      <c r="B268" s="3108">
        <v>0.84099999999999997</v>
      </c>
      <c r="C268" s="3108">
        <v>0.84099999999999997</v>
      </c>
      <c r="D268" s="3108">
        <v>0.80600000000000005</v>
      </c>
      <c r="E268" s="3108">
        <v>0.80600000000000005</v>
      </c>
      <c r="F268" s="3108">
        <v>0.80600000000000005</v>
      </c>
      <c r="G268" s="3108">
        <v>0.80600000000000005</v>
      </c>
      <c r="H268" s="3108">
        <v>0.80600000000000005</v>
      </c>
      <c r="I268" s="3108">
        <v>0.62919999999999998</v>
      </c>
      <c r="J268" s="3108">
        <v>0.62919999999999998</v>
      </c>
      <c r="K268" s="3108">
        <v>0.62919999999999998</v>
      </c>
      <c r="L268" s="3108">
        <v>0.62919999999999998</v>
      </c>
      <c r="M268" s="3109">
        <v>0.62919999999999998</v>
      </c>
    </row>
    <row r="269" spans="1:13">
      <c r="A269" s="3110">
        <v>9.1999999999999993</v>
      </c>
      <c r="B269" s="3108">
        <v>0.8397</v>
      </c>
      <c r="C269" s="3108">
        <v>0.8397</v>
      </c>
      <c r="D269" s="3108">
        <v>0.8044</v>
      </c>
      <c r="E269" s="3108">
        <v>0.8044</v>
      </c>
      <c r="F269" s="3108">
        <v>0.8044</v>
      </c>
      <c r="G269" s="3108">
        <v>0.8044</v>
      </c>
      <c r="H269" s="3108">
        <v>0.8044</v>
      </c>
      <c r="I269" s="3108">
        <v>0.62709999999999999</v>
      </c>
      <c r="J269" s="3108">
        <v>0.62709999999999999</v>
      </c>
      <c r="K269" s="3108">
        <v>0.62709999999999999</v>
      </c>
      <c r="L269" s="3108">
        <v>0.62709999999999999</v>
      </c>
      <c r="M269" s="3109">
        <v>0.62709999999999999</v>
      </c>
    </row>
    <row r="270" spans="1:13">
      <c r="A270" s="3110">
        <v>9.3000000000000007</v>
      </c>
      <c r="B270" s="3108">
        <v>0.83840000000000003</v>
      </c>
      <c r="C270" s="3108">
        <v>0.83840000000000003</v>
      </c>
      <c r="D270" s="3108">
        <v>0.80279999999999996</v>
      </c>
      <c r="E270" s="3108">
        <v>0.80279999999999996</v>
      </c>
      <c r="F270" s="3108">
        <v>0.80279999999999996</v>
      </c>
      <c r="G270" s="3108">
        <v>0.80279999999999996</v>
      </c>
      <c r="H270" s="3108">
        <v>0.80279999999999996</v>
      </c>
      <c r="I270" s="3108">
        <v>0.62509999999999999</v>
      </c>
      <c r="J270" s="3108">
        <v>0.62509999999999999</v>
      </c>
      <c r="K270" s="3108">
        <v>0.62509999999999999</v>
      </c>
      <c r="L270" s="3108">
        <v>0.62509999999999999</v>
      </c>
      <c r="M270" s="3109">
        <v>0.62509999999999999</v>
      </c>
    </row>
    <row r="271" spans="1:13">
      <c r="A271" s="3110">
        <v>9.4</v>
      </c>
      <c r="B271" s="3108">
        <v>0.83709999999999996</v>
      </c>
      <c r="C271" s="3108">
        <v>0.83709999999999996</v>
      </c>
      <c r="D271" s="3108">
        <v>0.80120000000000002</v>
      </c>
      <c r="E271" s="3108">
        <v>0.80120000000000002</v>
      </c>
      <c r="F271" s="3108">
        <v>0.80120000000000002</v>
      </c>
      <c r="G271" s="3108">
        <v>0.80120000000000002</v>
      </c>
      <c r="H271" s="3108">
        <v>0.80120000000000002</v>
      </c>
      <c r="I271" s="3108">
        <v>0.62309999999999999</v>
      </c>
      <c r="J271" s="3108">
        <v>0.62309999999999999</v>
      </c>
      <c r="K271" s="3108">
        <v>0.62309999999999999</v>
      </c>
      <c r="L271" s="3108">
        <v>0.62309999999999999</v>
      </c>
      <c r="M271" s="3109">
        <v>0.62309999999999999</v>
      </c>
    </row>
    <row r="272" spans="1:13">
      <c r="A272" s="3110">
        <v>9.5</v>
      </c>
      <c r="B272" s="3108">
        <v>0.83579999999999999</v>
      </c>
      <c r="C272" s="3108">
        <v>0.83579999999999999</v>
      </c>
      <c r="D272" s="3108">
        <v>0.79959999999999998</v>
      </c>
      <c r="E272" s="3108">
        <v>0.79959999999999998</v>
      </c>
      <c r="F272" s="3108">
        <v>0.79959999999999998</v>
      </c>
      <c r="G272" s="3108">
        <v>0.79959999999999998</v>
      </c>
      <c r="H272" s="3108">
        <v>0.79959999999999998</v>
      </c>
      <c r="I272" s="3108">
        <v>0.62109999999999999</v>
      </c>
      <c r="J272" s="3108">
        <v>0.62109999999999999</v>
      </c>
      <c r="K272" s="3108">
        <v>0.62109999999999999</v>
      </c>
      <c r="L272" s="3108">
        <v>0.62109999999999999</v>
      </c>
      <c r="M272" s="3109">
        <v>0.62109999999999999</v>
      </c>
    </row>
    <row r="273" spans="1:21">
      <c r="A273" s="3110">
        <v>9.6</v>
      </c>
      <c r="B273" s="3108">
        <v>0.83460000000000001</v>
      </c>
      <c r="C273" s="3108">
        <v>0.83460000000000001</v>
      </c>
      <c r="D273" s="3108">
        <v>0.79800000000000004</v>
      </c>
      <c r="E273" s="3108">
        <v>0.79800000000000004</v>
      </c>
      <c r="F273" s="3108">
        <v>0.79800000000000004</v>
      </c>
      <c r="G273" s="3108">
        <v>0.79800000000000004</v>
      </c>
      <c r="H273" s="3108">
        <v>0.79800000000000004</v>
      </c>
      <c r="I273" s="3108">
        <v>0.61909999999999998</v>
      </c>
      <c r="J273" s="3108">
        <v>0.61909999999999998</v>
      </c>
      <c r="K273" s="3108">
        <v>0.61909999999999998</v>
      </c>
      <c r="L273" s="3108">
        <v>0.61909999999999998</v>
      </c>
      <c r="M273" s="3109">
        <v>0.61909999999999998</v>
      </c>
    </row>
    <row r="274" spans="1:21">
      <c r="A274" s="3110">
        <v>9.6999999999999993</v>
      </c>
      <c r="B274" s="3108">
        <v>0.83340000000000003</v>
      </c>
      <c r="C274" s="3108">
        <v>0.83340000000000003</v>
      </c>
      <c r="D274" s="3108">
        <v>0.79649999999999999</v>
      </c>
      <c r="E274" s="3108">
        <v>0.79649999999999999</v>
      </c>
      <c r="F274" s="3108">
        <v>0.79649999999999999</v>
      </c>
      <c r="G274" s="3108">
        <v>0.79649999999999999</v>
      </c>
      <c r="H274" s="3108">
        <v>0.79649999999999999</v>
      </c>
      <c r="I274" s="3108">
        <v>0.61719999999999997</v>
      </c>
      <c r="J274" s="3108">
        <v>0.61719999999999997</v>
      </c>
      <c r="K274" s="3108">
        <v>0.61719999999999997</v>
      </c>
      <c r="L274" s="3108">
        <v>0.61719999999999997</v>
      </c>
      <c r="M274" s="3109">
        <v>0.61719999999999997</v>
      </c>
    </row>
    <row r="275" spans="1:21">
      <c r="A275" s="3110">
        <v>9.8000000000000007</v>
      </c>
      <c r="B275" s="3108">
        <v>0.83220000000000005</v>
      </c>
      <c r="C275" s="3108">
        <v>0.83220000000000005</v>
      </c>
      <c r="D275" s="3108">
        <v>0.79500000000000004</v>
      </c>
      <c r="E275" s="3108">
        <v>0.79500000000000004</v>
      </c>
      <c r="F275" s="3108">
        <v>0.79500000000000004</v>
      </c>
      <c r="G275" s="3108">
        <v>0.79500000000000004</v>
      </c>
      <c r="H275" s="3108">
        <v>0.79500000000000004</v>
      </c>
      <c r="I275" s="3108">
        <v>0.61529999999999996</v>
      </c>
      <c r="J275" s="3108">
        <v>0.61529999999999996</v>
      </c>
      <c r="K275" s="3108">
        <v>0.61529999999999996</v>
      </c>
      <c r="L275" s="3108">
        <v>0.61529999999999996</v>
      </c>
      <c r="M275" s="3109">
        <v>0.61529999999999996</v>
      </c>
    </row>
    <row r="276" spans="1:21" ht="14.25" thickBot="1">
      <c r="A276" s="3111">
        <v>9.9</v>
      </c>
      <c r="B276" s="3112">
        <v>0.83099999999999996</v>
      </c>
      <c r="C276" s="3112">
        <v>0.83099999999999996</v>
      </c>
      <c r="D276" s="3112">
        <v>0.79349999999999998</v>
      </c>
      <c r="E276" s="3112">
        <v>0.79349999999999998</v>
      </c>
      <c r="F276" s="3112">
        <v>0.79349999999999998</v>
      </c>
      <c r="G276" s="3112">
        <v>0.79349999999999998</v>
      </c>
      <c r="H276" s="3112">
        <v>0.79349999999999998</v>
      </c>
      <c r="I276" s="3112">
        <v>0.61339999999999995</v>
      </c>
      <c r="J276" s="3112">
        <v>0.61339999999999995</v>
      </c>
      <c r="K276" s="3112">
        <v>0.61339999999999995</v>
      </c>
      <c r="L276" s="3112">
        <v>0.61339999999999995</v>
      </c>
      <c r="M276" s="3113">
        <v>0.61339999999999995</v>
      </c>
    </row>
    <row r="277" spans="1:21" ht="15" thickBot="1">
      <c r="A277" s="3101" t="s">
        <v>2778</v>
      </c>
      <c r="B277" s="3101"/>
      <c r="C277" s="3101"/>
      <c r="D277" s="3101"/>
      <c r="E277" s="3101"/>
      <c r="F277" s="3101"/>
      <c r="G277" s="3101"/>
      <c r="H277" s="3101"/>
      <c r="I277" s="3101"/>
      <c r="J277" s="3101"/>
      <c r="K277" s="3101"/>
      <c r="L277" s="3101"/>
      <c r="M277" s="3101"/>
    </row>
    <row r="278" spans="1:21">
      <c r="A278" s="3102" t="s">
        <v>2775</v>
      </c>
      <c r="B278" s="3103" t="s">
        <v>2571</v>
      </c>
      <c r="C278" s="3103" t="s">
        <v>2572</v>
      </c>
      <c r="D278" s="3103" t="s">
        <v>2573</v>
      </c>
      <c r="E278" s="3103" t="s">
        <v>2574</v>
      </c>
      <c r="F278" s="3103" t="s">
        <v>2575</v>
      </c>
      <c r="G278" s="3103" t="s">
        <v>2576</v>
      </c>
      <c r="H278" s="3104" t="s">
        <v>2577</v>
      </c>
      <c r="I278" s="3104" t="s">
        <v>2578</v>
      </c>
      <c r="J278" s="3105" t="s">
        <v>2579</v>
      </c>
      <c r="K278" s="3105" t="s">
        <v>2580</v>
      </c>
      <c r="L278" s="3105" t="s">
        <v>2581</v>
      </c>
      <c r="M278" s="3106" t="s">
        <v>2582</v>
      </c>
      <c r="Q278" s="3116" t="s">
        <v>2780</v>
      </c>
      <c r="R278" s="3116" t="s">
        <v>2781</v>
      </c>
      <c r="S278" s="3116" t="s">
        <v>2784</v>
      </c>
      <c r="T278" s="3116" t="s">
        <v>2785</v>
      </c>
      <c r="U278" s="3116" t="s">
        <v>2783</v>
      </c>
    </row>
    <row r="279" spans="1:21">
      <c r="A279" s="3107">
        <v>1</v>
      </c>
      <c r="B279" s="3108">
        <v>1.1055999999999999</v>
      </c>
      <c r="C279" s="3108">
        <v>1.1055999999999999</v>
      </c>
      <c r="D279" s="3108">
        <v>1.1220000000000001</v>
      </c>
      <c r="E279" s="3108">
        <v>1.1220000000000001</v>
      </c>
      <c r="F279" s="3108">
        <v>1.1220000000000001</v>
      </c>
      <c r="G279" s="3108">
        <v>1.0583</v>
      </c>
      <c r="H279" s="3108">
        <v>1.0583</v>
      </c>
      <c r="I279" s="3108">
        <v>1</v>
      </c>
      <c r="J279" s="3108">
        <v>1</v>
      </c>
      <c r="K279" s="3108">
        <v>1</v>
      </c>
      <c r="L279" s="3108">
        <v>1</v>
      </c>
      <c r="M279" s="3109">
        <v>1</v>
      </c>
      <c r="Q279" s="3116">
        <v>10</v>
      </c>
      <c r="R279" s="3116">
        <f>ROUND(0.7836-0.012*Q279,4)</f>
        <v>0.66359999999999997</v>
      </c>
      <c r="S279" s="3116">
        <f>ROUND(0.753-0.015*Q279,4)</f>
        <v>0.60299999999999998</v>
      </c>
      <c r="T279" s="3116">
        <f>ROUND(0.6612-0.018*Q279,4)</f>
        <v>0.48120000000000002</v>
      </c>
      <c r="U279" s="3116">
        <f>ROUND(0.5905-0.019*R279,4)</f>
        <v>0.57789999999999997</v>
      </c>
    </row>
    <row r="280" spans="1:21">
      <c r="A280" s="3107">
        <v>1.1000000000000001</v>
      </c>
      <c r="B280" s="3108">
        <v>1.0820000000000001</v>
      </c>
      <c r="C280" s="3108">
        <v>1.0820000000000001</v>
      </c>
      <c r="D280" s="3108">
        <v>1.0948</v>
      </c>
      <c r="E280" s="3108">
        <v>1.0948</v>
      </c>
      <c r="F280" s="3108">
        <v>1.0948</v>
      </c>
      <c r="G280" s="3108">
        <v>1.0284</v>
      </c>
      <c r="H280" s="3108">
        <v>1.0284</v>
      </c>
      <c r="I280" s="3108">
        <v>0.96860000000000002</v>
      </c>
      <c r="J280" s="3108">
        <v>0.96860000000000002</v>
      </c>
      <c r="K280" s="3108">
        <v>0.96860000000000002</v>
      </c>
      <c r="L280" s="3108">
        <v>0.96860000000000002</v>
      </c>
      <c r="M280" s="3109">
        <v>0.96860000000000002</v>
      </c>
    </row>
    <row r="281" spans="1:21">
      <c r="A281" s="3107">
        <v>1.2</v>
      </c>
      <c r="B281" s="3108">
        <v>1.0598000000000001</v>
      </c>
      <c r="C281" s="3108">
        <v>1.0598000000000001</v>
      </c>
      <c r="D281" s="3108">
        <v>1.0690999999999999</v>
      </c>
      <c r="E281" s="3108">
        <v>1.0690999999999999</v>
      </c>
      <c r="F281" s="3108">
        <v>1.0690999999999999</v>
      </c>
      <c r="G281" s="3108">
        <v>1</v>
      </c>
      <c r="H281" s="3108">
        <v>1</v>
      </c>
      <c r="I281" s="3108">
        <v>0.93879999999999997</v>
      </c>
      <c r="J281" s="3108">
        <v>0.93879999999999997</v>
      </c>
      <c r="K281" s="3108">
        <v>0.93879999999999997</v>
      </c>
      <c r="L281" s="3108">
        <v>0.93879999999999997</v>
      </c>
      <c r="M281" s="3109">
        <v>0.93879999999999997</v>
      </c>
    </row>
    <row r="282" spans="1:21">
      <c r="A282" s="3107">
        <v>1.3</v>
      </c>
      <c r="B282" s="3108">
        <v>1.0387</v>
      </c>
      <c r="C282" s="3108">
        <v>1.0387</v>
      </c>
      <c r="D282" s="3108">
        <v>1.0447</v>
      </c>
      <c r="E282" s="3108">
        <v>1.0447</v>
      </c>
      <c r="F282" s="3108">
        <v>1.0447</v>
      </c>
      <c r="G282" s="3108">
        <v>0.97319999999999995</v>
      </c>
      <c r="H282" s="3108">
        <v>0.97319999999999995</v>
      </c>
      <c r="I282" s="3108">
        <v>0.91069999999999995</v>
      </c>
      <c r="J282" s="3108">
        <v>0.91069999999999995</v>
      </c>
      <c r="K282" s="3108">
        <v>0.91069999999999995</v>
      </c>
      <c r="L282" s="3108">
        <v>0.91069999999999995</v>
      </c>
      <c r="M282" s="3109">
        <v>0.91069999999999995</v>
      </c>
    </row>
    <row r="283" spans="1:21">
      <c r="A283" s="3107">
        <v>1.4</v>
      </c>
      <c r="B283" s="3108">
        <v>1.0187999999999999</v>
      </c>
      <c r="C283" s="3108">
        <v>1.0187999999999999</v>
      </c>
      <c r="D283" s="3108">
        <v>1.0217000000000001</v>
      </c>
      <c r="E283" s="3108">
        <v>1.0217000000000001</v>
      </c>
      <c r="F283" s="3108">
        <v>1.0217000000000001</v>
      </c>
      <c r="G283" s="3108">
        <v>0.94779999999999998</v>
      </c>
      <c r="H283" s="3108">
        <v>0.94779999999999998</v>
      </c>
      <c r="I283" s="3108">
        <v>0.8841</v>
      </c>
      <c r="J283" s="3108">
        <v>0.8841</v>
      </c>
      <c r="K283" s="3108">
        <v>0.8841</v>
      </c>
      <c r="L283" s="3108">
        <v>0.8841</v>
      </c>
      <c r="M283" s="3109">
        <v>0.8841</v>
      </c>
    </row>
    <row r="284" spans="1:21">
      <c r="A284" s="3107">
        <v>1.5</v>
      </c>
      <c r="B284" s="3108">
        <v>1</v>
      </c>
      <c r="C284" s="3108">
        <v>1</v>
      </c>
      <c r="D284" s="3108">
        <v>1</v>
      </c>
      <c r="E284" s="3108">
        <v>1</v>
      </c>
      <c r="F284" s="3108">
        <v>1</v>
      </c>
      <c r="G284" s="3108">
        <v>0.92379999999999995</v>
      </c>
      <c r="H284" s="3108">
        <v>0.92379999999999995</v>
      </c>
      <c r="I284" s="3108">
        <v>0.8589</v>
      </c>
      <c r="J284" s="3108">
        <v>0.8589</v>
      </c>
      <c r="K284" s="3108">
        <v>0.8589</v>
      </c>
      <c r="L284" s="3108">
        <v>0.8589</v>
      </c>
      <c r="M284" s="3109">
        <v>0.8589</v>
      </c>
    </row>
    <row r="285" spans="1:21">
      <c r="A285" s="3107">
        <v>1.6</v>
      </c>
      <c r="B285" s="3108">
        <v>0.98229999999999995</v>
      </c>
      <c r="C285" s="3108">
        <v>0.98229999999999995</v>
      </c>
      <c r="D285" s="3108">
        <v>0.97950000000000004</v>
      </c>
      <c r="E285" s="3108">
        <v>0.97950000000000004</v>
      </c>
      <c r="F285" s="3108">
        <v>0.97950000000000004</v>
      </c>
      <c r="G285" s="3108">
        <v>0.9012</v>
      </c>
      <c r="H285" s="3108">
        <v>0.9012</v>
      </c>
      <c r="I285" s="3108">
        <v>0.83509999999999995</v>
      </c>
      <c r="J285" s="3108">
        <v>0.83509999999999995</v>
      </c>
      <c r="K285" s="3108">
        <v>0.83509999999999995</v>
      </c>
      <c r="L285" s="3108">
        <v>0.83509999999999995</v>
      </c>
      <c r="M285" s="3109">
        <v>0.83509999999999995</v>
      </c>
    </row>
    <row r="286" spans="1:21">
      <c r="A286" s="3107">
        <v>1.7</v>
      </c>
      <c r="B286" s="3108">
        <v>0.96550000000000002</v>
      </c>
      <c r="C286" s="3108">
        <v>0.96550000000000002</v>
      </c>
      <c r="D286" s="3108">
        <v>0.96009999999999995</v>
      </c>
      <c r="E286" s="3108">
        <v>0.96009999999999995</v>
      </c>
      <c r="F286" s="3108">
        <v>0.96009999999999995</v>
      </c>
      <c r="G286" s="3108">
        <v>0.87980000000000003</v>
      </c>
      <c r="H286" s="3108">
        <v>0.87980000000000003</v>
      </c>
      <c r="I286" s="3108">
        <v>0.81269999999999998</v>
      </c>
      <c r="J286" s="3108">
        <v>0.81269999999999998</v>
      </c>
      <c r="K286" s="3108">
        <v>0.81269999999999998</v>
      </c>
      <c r="L286" s="3108">
        <v>0.81269999999999998</v>
      </c>
      <c r="M286" s="3109">
        <v>0.81269999999999998</v>
      </c>
    </row>
    <row r="287" spans="1:21">
      <c r="A287" s="3107">
        <v>1.8</v>
      </c>
      <c r="B287" s="3108">
        <v>0.94969999999999999</v>
      </c>
      <c r="C287" s="3108">
        <v>0.94969999999999999</v>
      </c>
      <c r="D287" s="3108">
        <v>0.94189999999999996</v>
      </c>
      <c r="E287" s="3108">
        <v>0.94189999999999996</v>
      </c>
      <c r="F287" s="3108">
        <v>0.94189999999999996</v>
      </c>
      <c r="G287" s="3108">
        <v>0.85960000000000003</v>
      </c>
      <c r="H287" s="3108">
        <v>0.85960000000000003</v>
      </c>
      <c r="I287" s="3108">
        <v>0.79149999999999998</v>
      </c>
      <c r="J287" s="3108">
        <v>0.79149999999999998</v>
      </c>
      <c r="K287" s="3108">
        <v>0.79149999999999998</v>
      </c>
      <c r="L287" s="3108">
        <v>0.79149999999999998</v>
      </c>
      <c r="M287" s="3109">
        <v>0.79149999999999998</v>
      </c>
    </row>
    <row r="288" spans="1:21">
      <c r="A288" s="3107">
        <v>1.9</v>
      </c>
      <c r="B288" s="3108">
        <v>0.93479999999999996</v>
      </c>
      <c r="C288" s="3108">
        <v>0.93479999999999996</v>
      </c>
      <c r="D288" s="3108">
        <v>0.92459999999999998</v>
      </c>
      <c r="E288" s="3108">
        <v>0.92459999999999998</v>
      </c>
      <c r="F288" s="3108">
        <v>0.92459999999999998</v>
      </c>
      <c r="G288" s="3108">
        <v>0.84060000000000001</v>
      </c>
      <c r="H288" s="3108">
        <v>0.84060000000000001</v>
      </c>
      <c r="I288" s="3108">
        <v>0.77149999999999996</v>
      </c>
      <c r="J288" s="3108">
        <v>0.77149999999999996</v>
      </c>
      <c r="K288" s="3108">
        <v>0.77149999999999996</v>
      </c>
      <c r="L288" s="3108">
        <v>0.77149999999999996</v>
      </c>
      <c r="M288" s="3109">
        <v>0.77149999999999996</v>
      </c>
    </row>
    <row r="289" spans="1:13">
      <c r="A289" s="3107">
        <v>2</v>
      </c>
      <c r="B289" s="3108">
        <v>0.92079999999999995</v>
      </c>
      <c r="C289" s="3108">
        <v>0.92079999999999995</v>
      </c>
      <c r="D289" s="3108">
        <v>0.90839999999999999</v>
      </c>
      <c r="E289" s="3108">
        <v>0.90839999999999999</v>
      </c>
      <c r="F289" s="3108">
        <v>0.90839999999999999</v>
      </c>
      <c r="G289" s="3108">
        <v>0.82269999999999999</v>
      </c>
      <c r="H289" s="3108">
        <v>0.82269999999999999</v>
      </c>
      <c r="I289" s="3108">
        <v>0.75270000000000004</v>
      </c>
      <c r="J289" s="3108">
        <v>0.75270000000000004</v>
      </c>
      <c r="K289" s="3108">
        <v>0.75270000000000004</v>
      </c>
      <c r="L289" s="3108">
        <v>0.75270000000000004</v>
      </c>
      <c r="M289" s="3109">
        <v>0.75270000000000004</v>
      </c>
    </row>
    <row r="290" spans="1:13">
      <c r="A290" s="3110">
        <v>2.1</v>
      </c>
      <c r="B290" s="3108">
        <v>0.90759999999999996</v>
      </c>
      <c r="C290" s="3108">
        <v>0.90759999999999996</v>
      </c>
      <c r="D290" s="3108">
        <v>0.89319999999999999</v>
      </c>
      <c r="E290" s="3108">
        <v>0.89319999999999999</v>
      </c>
      <c r="F290" s="3108">
        <v>0.89319999999999999</v>
      </c>
      <c r="G290" s="3108">
        <v>0.80589999999999995</v>
      </c>
      <c r="H290" s="3108">
        <v>0.80589999999999995</v>
      </c>
      <c r="I290" s="3108">
        <v>0.73499999999999999</v>
      </c>
      <c r="J290" s="3108">
        <v>0.73499999999999999</v>
      </c>
      <c r="K290" s="3108">
        <v>0.73499999999999999</v>
      </c>
      <c r="L290" s="3108">
        <v>0.73499999999999999</v>
      </c>
      <c r="M290" s="3109">
        <v>0.73499999999999999</v>
      </c>
    </row>
    <row r="291" spans="1:13">
      <c r="A291" s="3110">
        <v>2.2000000000000002</v>
      </c>
      <c r="B291" s="3108">
        <v>0.8952</v>
      </c>
      <c r="C291" s="3108">
        <v>0.8952</v>
      </c>
      <c r="D291" s="3108">
        <v>0.87880000000000003</v>
      </c>
      <c r="E291" s="3108">
        <v>0.87880000000000003</v>
      </c>
      <c r="F291" s="3108">
        <v>0.87880000000000003</v>
      </c>
      <c r="G291" s="3108">
        <v>0.79</v>
      </c>
      <c r="H291" s="3108">
        <v>0.79</v>
      </c>
      <c r="I291" s="3108">
        <v>0.71840000000000004</v>
      </c>
      <c r="J291" s="3108">
        <v>0.71840000000000004</v>
      </c>
      <c r="K291" s="3108">
        <v>0.71840000000000004</v>
      </c>
      <c r="L291" s="3108">
        <v>0.71840000000000004</v>
      </c>
      <c r="M291" s="3109">
        <v>0.71840000000000004</v>
      </c>
    </row>
    <row r="292" spans="1:13">
      <c r="A292" s="3110">
        <v>2.2999999999999998</v>
      </c>
      <c r="B292" s="3108">
        <v>0.88360000000000005</v>
      </c>
      <c r="C292" s="3108">
        <v>0.88360000000000005</v>
      </c>
      <c r="D292" s="3108">
        <v>0.86529999999999996</v>
      </c>
      <c r="E292" s="3108">
        <v>0.86529999999999996</v>
      </c>
      <c r="F292" s="3108">
        <v>0.86529999999999996</v>
      </c>
      <c r="G292" s="3108">
        <v>0.77510000000000001</v>
      </c>
      <c r="H292" s="3108">
        <v>0.77510000000000001</v>
      </c>
      <c r="I292" s="3108">
        <v>0.70269999999999999</v>
      </c>
      <c r="J292" s="3108">
        <v>0.70269999999999999</v>
      </c>
      <c r="K292" s="3108">
        <v>0.70269999999999999</v>
      </c>
      <c r="L292" s="3108">
        <v>0.70269999999999999</v>
      </c>
      <c r="M292" s="3109">
        <v>0.70269999999999999</v>
      </c>
    </row>
    <row r="293" spans="1:13">
      <c r="A293" s="3110">
        <v>2.4</v>
      </c>
      <c r="B293" s="3108">
        <v>0.87260000000000004</v>
      </c>
      <c r="C293" s="3108">
        <v>0.87260000000000004</v>
      </c>
      <c r="D293" s="3108">
        <v>0.85260000000000002</v>
      </c>
      <c r="E293" s="3108">
        <v>0.85260000000000002</v>
      </c>
      <c r="F293" s="3108">
        <v>0.85260000000000002</v>
      </c>
      <c r="G293" s="3108">
        <v>0.76100000000000001</v>
      </c>
      <c r="H293" s="3108">
        <v>0.76100000000000001</v>
      </c>
      <c r="I293" s="3108">
        <v>0.68799999999999994</v>
      </c>
      <c r="J293" s="3108">
        <v>0.68799999999999994</v>
      </c>
      <c r="K293" s="3108">
        <v>0.68799999999999994</v>
      </c>
      <c r="L293" s="3108">
        <v>0.68799999999999994</v>
      </c>
      <c r="M293" s="3109">
        <v>0.68799999999999994</v>
      </c>
    </row>
    <row r="294" spans="1:13">
      <c r="A294" s="3110">
        <v>2.5</v>
      </c>
      <c r="B294" s="3108">
        <v>0.86229999999999996</v>
      </c>
      <c r="C294" s="3108">
        <v>0.86229999999999996</v>
      </c>
      <c r="D294" s="3108">
        <v>0.8407</v>
      </c>
      <c r="E294" s="3108">
        <v>0.8407</v>
      </c>
      <c r="F294" s="3108">
        <v>0.8407</v>
      </c>
      <c r="G294" s="3108">
        <v>0.74780000000000002</v>
      </c>
      <c r="H294" s="3108">
        <v>0.74780000000000002</v>
      </c>
      <c r="I294" s="3108">
        <v>0.67410000000000003</v>
      </c>
      <c r="J294" s="3108">
        <v>0.67410000000000003</v>
      </c>
      <c r="K294" s="3108">
        <v>0.67410000000000003</v>
      </c>
      <c r="L294" s="3108">
        <v>0.67410000000000003</v>
      </c>
      <c r="M294" s="3109">
        <v>0.67410000000000003</v>
      </c>
    </row>
    <row r="295" spans="1:13">
      <c r="A295" s="3110">
        <v>2.6</v>
      </c>
      <c r="B295" s="3108">
        <v>0.85270000000000001</v>
      </c>
      <c r="C295" s="3108">
        <v>0.85270000000000001</v>
      </c>
      <c r="D295" s="3108">
        <v>0.82950000000000002</v>
      </c>
      <c r="E295" s="3108">
        <v>0.82950000000000002</v>
      </c>
      <c r="F295" s="3108">
        <v>0.82950000000000002</v>
      </c>
      <c r="G295" s="3108">
        <v>0.73540000000000005</v>
      </c>
      <c r="H295" s="3108">
        <v>0.73540000000000005</v>
      </c>
      <c r="I295" s="3108">
        <v>0.66110000000000002</v>
      </c>
      <c r="J295" s="3108">
        <v>0.66110000000000002</v>
      </c>
      <c r="K295" s="3108">
        <v>0.66110000000000002</v>
      </c>
      <c r="L295" s="3108">
        <v>0.66110000000000002</v>
      </c>
      <c r="M295" s="3109">
        <v>0.66110000000000002</v>
      </c>
    </row>
    <row r="296" spans="1:13">
      <c r="A296" s="3110">
        <v>2.7</v>
      </c>
      <c r="B296" s="3108">
        <v>0.84360000000000002</v>
      </c>
      <c r="C296" s="3108">
        <v>0.84360000000000002</v>
      </c>
      <c r="D296" s="3108">
        <v>0.81899999999999995</v>
      </c>
      <c r="E296" s="3108">
        <v>0.81899999999999995</v>
      </c>
      <c r="F296" s="3108">
        <v>0.81899999999999995</v>
      </c>
      <c r="G296" s="3108">
        <v>0.7238</v>
      </c>
      <c r="H296" s="3108">
        <v>0.7238</v>
      </c>
      <c r="I296" s="3108">
        <v>0.64880000000000004</v>
      </c>
      <c r="J296" s="3108">
        <v>0.64880000000000004</v>
      </c>
      <c r="K296" s="3108">
        <v>0.64880000000000004</v>
      </c>
      <c r="L296" s="3108">
        <v>0.64880000000000004</v>
      </c>
      <c r="M296" s="3109">
        <v>0.64880000000000004</v>
      </c>
    </row>
    <row r="297" spans="1:13">
      <c r="A297" s="3110">
        <v>2.8</v>
      </c>
      <c r="B297" s="3108">
        <v>0.83509999999999995</v>
      </c>
      <c r="C297" s="3108">
        <v>0.83509999999999995</v>
      </c>
      <c r="D297" s="3108">
        <v>0.80910000000000004</v>
      </c>
      <c r="E297" s="3108">
        <v>0.80910000000000004</v>
      </c>
      <c r="F297" s="3108">
        <v>0.80910000000000004</v>
      </c>
      <c r="G297" s="3108">
        <v>0.71289999999999998</v>
      </c>
      <c r="H297" s="3108">
        <v>0.71289999999999998</v>
      </c>
      <c r="I297" s="3108">
        <v>0.63739999999999997</v>
      </c>
      <c r="J297" s="3108">
        <v>0.63739999999999997</v>
      </c>
      <c r="K297" s="3108">
        <v>0.63739999999999997</v>
      </c>
      <c r="L297" s="3108">
        <v>0.63739999999999997</v>
      </c>
      <c r="M297" s="3109">
        <v>0.63739999999999997</v>
      </c>
    </row>
    <row r="298" spans="1:13">
      <c r="A298" s="3110">
        <v>2.9</v>
      </c>
      <c r="B298" s="3108">
        <v>0.82720000000000005</v>
      </c>
      <c r="C298" s="3108">
        <v>0.82720000000000005</v>
      </c>
      <c r="D298" s="3108">
        <v>0.79990000000000006</v>
      </c>
      <c r="E298" s="3108">
        <v>0.79990000000000006</v>
      </c>
      <c r="F298" s="3108">
        <v>0.79990000000000006</v>
      </c>
      <c r="G298" s="3108">
        <v>0.7026</v>
      </c>
      <c r="H298" s="3108">
        <v>0.7026</v>
      </c>
      <c r="I298" s="3108">
        <v>0.62660000000000005</v>
      </c>
      <c r="J298" s="3108">
        <v>0.62660000000000005</v>
      </c>
      <c r="K298" s="3108">
        <v>0.62660000000000005</v>
      </c>
      <c r="L298" s="3108">
        <v>0.62660000000000005</v>
      </c>
      <c r="M298" s="3109">
        <v>0.62660000000000005</v>
      </c>
    </row>
    <row r="299" spans="1:13">
      <c r="A299" s="3110">
        <v>3</v>
      </c>
      <c r="B299" s="3108">
        <v>0.81969999999999998</v>
      </c>
      <c r="C299" s="3108">
        <v>0.81969999999999998</v>
      </c>
      <c r="D299" s="3108">
        <v>0.79120000000000001</v>
      </c>
      <c r="E299" s="3108">
        <v>0.79120000000000001</v>
      </c>
      <c r="F299" s="3108">
        <v>0.79120000000000001</v>
      </c>
      <c r="G299" s="3108">
        <v>0.69299999999999995</v>
      </c>
      <c r="H299" s="3108">
        <v>0.69299999999999995</v>
      </c>
      <c r="I299" s="3108">
        <v>0.61650000000000005</v>
      </c>
      <c r="J299" s="3108">
        <v>0.61650000000000005</v>
      </c>
      <c r="K299" s="3108">
        <v>0.61650000000000005</v>
      </c>
      <c r="L299" s="3108">
        <v>0.61650000000000005</v>
      </c>
      <c r="M299" s="3109">
        <v>0.61650000000000005</v>
      </c>
    </row>
    <row r="300" spans="1:13">
      <c r="A300" s="3110">
        <v>3.1</v>
      </c>
      <c r="B300" s="3108">
        <v>0.81279999999999997</v>
      </c>
      <c r="C300" s="3108">
        <v>0.81279999999999997</v>
      </c>
      <c r="D300" s="3108">
        <v>0.78310000000000002</v>
      </c>
      <c r="E300" s="3108">
        <v>0.78310000000000002</v>
      </c>
      <c r="F300" s="3108">
        <v>0.78310000000000002</v>
      </c>
      <c r="G300" s="3108">
        <v>0.68400000000000005</v>
      </c>
      <c r="H300" s="3108">
        <v>0.68400000000000005</v>
      </c>
      <c r="I300" s="3108">
        <v>0.60709999999999997</v>
      </c>
      <c r="J300" s="3108">
        <v>0.60709999999999997</v>
      </c>
      <c r="K300" s="3108">
        <v>0.60709999999999997</v>
      </c>
      <c r="L300" s="3108">
        <v>0.60709999999999997</v>
      </c>
      <c r="M300" s="3109">
        <v>0.60709999999999997</v>
      </c>
    </row>
    <row r="301" spans="1:13">
      <c r="A301" s="3110">
        <v>3.2</v>
      </c>
      <c r="B301" s="3108">
        <v>0.80620000000000003</v>
      </c>
      <c r="C301" s="3108">
        <v>0.80620000000000003</v>
      </c>
      <c r="D301" s="3108">
        <v>0.77549999999999997</v>
      </c>
      <c r="E301" s="3108">
        <v>0.77549999999999997</v>
      </c>
      <c r="F301" s="3108">
        <v>0.77549999999999997</v>
      </c>
      <c r="G301" s="3108">
        <v>0.67559999999999998</v>
      </c>
      <c r="H301" s="3108">
        <v>0.67559999999999998</v>
      </c>
      <c r="I301" s="3108">
        <v>0.59809999999999997</v>
      </c>
      <c r="J301" s="3108">
        <v>0.59809999999999997</v>
      </c>
      <c r="K301" s="3108">
        <v>0.59809999999999997</v>
      </c>
      <c r="L301" s="3108">
        <v>0.59809999999999997</v>
      </c>
      <c r="M301" s="3109">
        <v>0.59809999999999997</v>
      </c>
    </row>
    <row r="302" spans="1:13">
      <c r="A302" s="3110">
        <v>3.3</v>
      </c>
      <c r="B302" s="3108">
        <v>0.80010000000000003</v>
      </c>
      <c r="C302" s="3108">
        <v>0.80010000000000003</v>
      </c>
      <c r="D302" s="3108">
        <v>0.76839999999999997</v>
      </c>
      <c r="E302" s="3108">
        <v>0.76839999999999997</v>
      </c>
      <c r="F302" s="3108">
        <v>0.76839999999999997</v>
      </c>
      <c r="G302" s="3108">
        <v>0.66769999999999996</v>
      </c>
      <c r="H302" s="3108">
        <v>0.66769999999999996</v>
      </c>
      <c r="I302" s="3108">
        <v>0.58979999999999999</v>
      </c>
      <c r="J302" s="3108">
        <v>0.58979999999999999</v>
      </c>
      <c r="K302" s="3108">
        <v>0.58979999999999999</v>
      </c>
      <c r="L302" s="3108">
        <v>0.58979999999999999</v>
      </c>
      <c r="M302" s="3109">
        <v>0.58979999999999999</v>
      </c>
    </row>
    <row r="303" spans="1:13">
      <c r="A303" s="3110">
        <v>3.4</v>
      </c>
      <c r="B303" s="3108">
        <v>0.7944</v>
      </c>
      <c r="C303" s="3108">
        <v>0.7944</v>
      </c>
      <c r="D303" s="3108">
        <v>0.76170000000000004</v>
      </c>
      <c r="E303" s="3108">
        <v>0.76170000000000004</v>
      </c>
      <c r="F303" s="3108">
        <v>0.76170000000000004</v>
      </c>
      <c r="G303" s="3108">
        <v>0.66020000000000001</v>
      </c>
      <c r="H303" s="3108">
        <v>0.66020000000000001</v>
      </c>
      <c r="I303" s="3108">
        <v>0.58209999999999995</v>
      </c>
      <c r="J303" s="3108">
        <v>0.58209999999999995</v>
      </c>
      <c r="K303" s="3108">
        <v>0.58209999999999995</v>
      </c>
      <c r="L303" s="3108">
        <v>0.58209999999999995</v>
      </c>
      <c r="M303" s="3109">
        <v>0.58209999999999995</v>
      </c>
    </row>
    <row r="304" spans="1:13">
      <c r="A304" s="3110">
        <v>3.5</v>
      </c>
      <c r="B304" s="3108">
        <v>0.78910000000000002</v>
      </c>
      <c r="C304" s="3108">
        <v>0.78910000000000002</v>
      </c>
      <c r="D304" s="3108">
        <v>0.75549999999999995</v>
      </c>
      <c r="E304" s="3108">
        <v>0.75549999999999995</v>
      </c>
      <c r="F304" s="3108">
        <v>0.75549999999999995</v>
      </c>
      <c r="G304" s="3108">
        <v>0.65329999999999999</v>
      </c>
      <c r="H304" s="3108">
        <v>0.65329999999999999</v>
      </c>
      <c r="I304" s="3108">
        <v>0.57479999999999998</v>
      </c>
      <c r="J304" s="3108">
        <v>0.57479999999999998</v>
      </c>
      <c r="K304" s="3108">
        <v>0.57479999999999998</v>
      </c>
      <c r="L304" s="3108">
        <v>0.57479999999999998</v>
      </c>
      <c r="M304" s="3109">
        <v>0.57479999999999998</v>
      </c>
    </row>
    <row r="305" spans="1:13">
      <c r="A305" s="3110">
        <v>3.6</v>
      </c>
      <c r="B305" s="3108">
        <v>0.78410000000000002</v>
      </c>
      <c r="C305" s="3108">
        <v>0.78410000000000002</v>
      </c>
      <c r="D305" s="3108">
        <v>0.74960000000000004</v>
      </c>
      <c r="E305" s="3108">
        <v>0.74960000000000004</v>
      </c>
      <c r="F305" s="3108">
        <v>0.74960000000000004</v>
      </c>
      <c r="G305" s="3108">
        <v>0.64680000000000004</v>
      </c>
      <c r="H305" s="3108">
        <v>0.64680000000000004</v>
      </c>
      <c r="I305" s="3108">
        <v>0.56789999999999996</v>
      </c>
      <c r="J305" s="3108">
        <v>0.56789999999999996</v>
      </c>
      <c r="K305" s="3108">
        <v>0.56789999999999996</v>
      </c>
      <c r="L305" s="3108">
        <v>0.56789999999999996</v>
      </c>
      <c r="M305" s="3109">
        <v>0.56789999999999996</v>
      </c>
    </row>
    <row r="306" spans="1:13">
      <c r="A306" s="3110">
        <v>3.7</v>
      </c>
      <c r="B306" s="3108">
        <v>0.77939999999999998</v>
      </c>
      <c r="C306" s="3108">
        <v>0.77939999999999998</v>
      </c>
      <c r="D306" s="3108">
        <v>0.74409999999999998</v>
      </c>
      <c r="E306" s="3108">
        <v>0.74409999999999998</v>
      </c>
      <c r="F306" s="3108">
        <v>0.74409999999999998</v>
      </c>
      <c r="G306" s="3108">
        <v>0.64070000000000005</v>
      </c>
      <c r="H306" s="3108">
        <v>0.64070000000000005</v>
      </c>
      <c r="I306" s="3108">
        <v>0.5615</v>
      </c>
      <c r="J306" s="3108">
        <v>0.5615</v>
      </c>
      <c r="K306" s="3108">
        <v>0.5615</v>
      </c>
      <c r="L306" s="3108">
        <v>0.5615</v>
      </c>
      <c r="M306" s="3109">
        <v>0.5615</v>
      </c>
    </row>
    <row r="307" spans="1:13">
      <c r="A307" s="3110">
        <v>3.8</v>
      </c>
      <c r="B307" s="3108">
        <v>0.77500000000000002</v>
      </c>
      <c r="C307" s="3108">
        <v>0.77500000000000002</v>
      </c>
      <c r="D307" s="3108">
        <v>0.73899999999999999</v>
      </c>
      <c r="E307" s="3108">
        <v>0.73899999999999999</v>
      </c>
      <c r="F307" s="3108">
        <v>0.73899999999999999</v>
      </c>
      <c r="G307" s="3108">
        <v>0.63490000000000002</v>
      </c>
      <c r="H307" s="3108">
        <v>0.63490000000000002</v>
      </c>
      <c r="I307" s="3108">
        <v>0.55549999999999999</v>
      </c>
      <c r="J307" s="3108">
        <v>0.55549999999999999</v>
      </c>
      <c r="K307" s="3108">
        <v>0.55549999999999999</v>
      </c>
      <c r="L307" s="3108">
        <v>0.55549999999999999</v>
      </c>
      <c r="M307" s="3109">
        <v>0.55549999999999999</v>
      </c>
    </row>
    <row r="308" spans="1:13">
      <c r="A308" s="3110">
        <v>3.9</v>
      </c>
      <c r="B308" s="3108">
        <v>0.77090000000000003</v>
      </c>
      <c r="C308" s="3108">
        <v>0.77090000000000003</v>
      </c>
      <c r="D308" s="3108">
        <v>0.73419999999999996</v>
      </c>
      <c r="E308" s="3108">
        <v>0.73419999999999996</v>
      </c>
      <c r="F308" s="3108">
        <v>0.73419999999999996</v>
      </c>
      <c r="G308" s="3108">
        <v>0.62949999999999995</v>
      </c>
      <c r="H308" s="3108">
        <v>0.62949999999999995</v>
      </c>
      <c r="I308" s="3108">
        <v>0.54990000000000006</v>
      </c>
      <c r="J308" s="3108">
        <v>0.54990000000000006</v>
      </c>
      <c r="K308" s="3108">
        <v>0.54990000000000006</v>
      </c>
      <c r="L308" s="3108">
        <v>0.54990000000000006</v>
      </c>
      <c r="M308" s="3109">
        <v>0.54990000000000006</v>
      </c>
    </row>
    <row r="309" spans="1:13">
      <c r="A309" s="3110">
        <v>4</v>
      </c>
      <c r="B309" s="3108">
        <v>0.7671</v>
      </c>
      <c r="C309" s="3108">
        <v>0.7671</v>
      </c>
      <c r="D309" s="3108">
        <v>0.72970000000000002</v>
      </c>
      <c r="E309" s="3108">
        <v>0.72970000000000002</v>
      </c>
      <c r="F309" s="3108">
        <v>0.72970000000000002</v>
      </c>
      <c r="G309" s="3108">
        <v>0.62450000000000006</v>
      </c>
      <c r="H309" s="3108">
        <v>0.62450000000000006</v>
      </c>
      <c r="I309" s="3108">
        <v>0.54449999999999998</v>
      </c>
      <c r="J309" s="3108">
        <v>0.54449999999999998</v>
      </c>
      <c r="K309" s="3108">
        <v>0.54449999999999998</v>
      </c>
      <c r="L309" s="3108">
        <v>0.54449999999999998</v>
      </c>
      <c r="M309" s="3109">
        <v>0.54449999999999998</v>
      </c>
    </row>
    <row r="310" spans="1:13">
      <c r="A310" s="3110">
        <v>4.0999999999999996</v>
      </c>
      <c r="B310" s="3108">
        <v>0.76349999999999996</v>
      </c>
      <c r="C310" s="3108">
        <v>0.76349999999999996</v>
      </c>
      <c r="D310" s="3108">
        <v>0.72540000000000004</v>
      </c>
      <c r="E310" s="3108">
        <v>0.72540000000000004</v>
      </c>
      <c r="F310" s="3108">
        <v>0.72540000000000004</v>
      </c>
      <c r="G310" s="3108">
        <v>0.61970000000000003</v>
      </c>
      <c r="H310" s="3108">
        <v>0.61970000000000003</v>
      </c>
      <c r="I310" s="3108">
        <v>0.53959999999999997</v>
      </c>
      <c r="J310" s="3108">
        <v>0.53959999999999997</v>
      </c>
      <c r="K310" s="3108">
        <v>0.53959999999999997</v>
      </c>
      <c r="L310" s="3108">
        <v>0.53959999999999997</v>
      </c>
      <c r="M310" s="3109">
        <v>0.53959999999999997</v>
      </c>
    </row>
    <row r="311" spans="1:13">
      <c r="A311" s="3110">
        <v>4.2</v>
      </c>
      <c r="B311" s="3108">
        <v>0.7601</v>
      </c>
      <c r="C311" s="3108">
        <v>0.7601</v>
      </c>
      <c r="D311" s="3108">
        <v>0.72140000000000004</v>
      </c>
      <c r="E311" s="3108">
        <v>0.72140000000000004</v>
      </c>
      <c r="F311" s="3108">
        <v>0.72140000000000004</v>
      </c>
      <c r="G311" s="3108">
        <v>0.61529999999999996</v>
      </c>
      <c r="H311" s="3108">
        <v>0.61529999999999996</v>
      </c>
      <c r="I311" s="3108">
        <v>0.53490000000000004</v>
      </c>
      <c r="J311" s="3108">
        <v>0.53490000000000004</v>
      </c>
      <c r="K311" s="3108">
        <v>0.53490000000000004</v>
      </c>
      <c r="L311" s="3108">
        <v>0.53490000000000004</v>
      </c>
      <c r="M311" s="3109">
        <v>0.53490000000000004</v>
      </c>
    </row>
    <row r="312" spans="1:13">
      <c r="A312" s="3110">
        <v>4.3</v>
      </c>
      <c r="B312" s="3108">
        <v>0.75700000000000001</v>
      </c>
      <c r="C312" s="3108">
        <v>0.75700000000000001</v>
      </c>
      <c r="D312" s="3108">
        <v>0.7177</v>
      </c>
      <c r="E312" s="3108">
        <v>0.7177</v>
      </c>
      <c r="F312" s="3108">
        <v>0.7177</v>
      </c>
      <c r="G312" s="3108">
        <v>0.61109999999999998</v>
      </c>
      <c r="H312" s="3108">
        <v>0.61109999999999998</v>
      </c>
      <c r="I312" s="3108">
        <v>0.53049999999999997</v>
      </c>
      <c r="J312" s="3108">
        <v>0.53049999999999997</v>
      </c>
      <c r="K312" s="3108">
        <v>0.53049999999999997</v>
      </c>
      <c r="L312" s="3108">
        <v>0.53049999999999997</v>
      </c>
      <c r="M312" s="3109">
        <v>0.53049999999999997</v>
      </c>
    </row>
    <row r="313" spans="1:13">
      <c r="A313" s="3110">
        <v>4.4000000000000004</v>
      </c>
      <c r="B313" s="3108">
        <v>0.754</v>
      </c>
      <c r="C313" s="3108">
        <v>0.754</v>
      </c>
      <c r="D313" s="3108">
        <v>0.71409999999999996</v>
      </c>
      <c r="E313" s="3108">
        <v>0.71409999999999996</v>
      </c>
      <c r="F313" s="3108">
        <v>0.71409999999999996</v>
      </c>
      <c r="G313" s="3108">
        <v>0.60709999999999997</v>
      </c>
      <c r="H313" s="3108">
        <v>0.60709999999999997</v>
      </c>
      <c r="I313" s="3108">
        <v>0.52639999999999998</v>
      </c>
      <c r="J313" s="3108">
        <v>0.52639999999999998</v>
      </c>
      <c r="K313" s="3108">
        <v>0.52639999999999998</v>
      </c>
      <c r="L313" s="3108">
        <v>0.52639999999999998</v>
      </c>
      <c r="M313" s="3109">
        <v>0.52639999999999998</v>
      </c>
    </row>
    <row r="314" spans="1:13">
      <c r="A314" s="3110">
        <v>4.5</v>
      </c>
      <c r="B314" s="3108">
        <v>0.75119999999999998</v>
      </c>
      <c r="C314" s="3108">
        <v>0.75119999999999998</v>
      </c>
      <c r="D314" s="3108">
        <v>0.71079999999999999</v>
      </c>
      <c r="E314" s="3108">
        <v>0.71079999999999999</v>
      </c>
      <c r="F314" s="3108">
        <v>0.71079999999999999</v>
      </c>
      <c r="G314" s="3108">
        <v>0.60329999999999995</v>
      </c>
      <c r="H314" s="3108">
        <v>0.60329999999999995</v>
      </c>
      <c r="I314" s="3108">
        <v>0.52249999999999996</v>
      </c>
      <c r="J314" s="3108">
        <v>0.52249999999999996</v>
      </c>
      <c r="K314" s="3108">
        <v>0.52249999999999996</v>
      </c>
      <c r="L314" s="3108">
        <v>0.52249999999999996</v>
      </c>
      <c r="M314" s="3109">
        <v>0.52249999999999996</v>
      </c>
    </row>
    <row r="315" spans="1:13">
      <c r="A315" s="3110">
        <v>4.5999999999999996</v>
      </c>
      <c r="B315" s="3108">
        <v>0.74860000000000004</v>
      </c>
      <c r="C315" s="3108">
        <v>0.74860000000000004</v>
      </c>
      <c r="D315" s="3108">
        <v>0.70760000000000001</v>
      </c>
      <c r="E315" s="3108">
        <v>0.70760000000000001</v>
      </c>
      <c r="F315" s="3108">
        <v>0.70760000000000001</v>
      </c>
      <c r="G315" s="3108">
        <v>0.59970000000000001</v>
      </c>
      <c r="H315" s="3108">
        <v>0.59970000000000001</v>
      </c>
      <c r="I315" s="3108">
        <v>0.51890000000000003</v>
      </c>
      <c r="J315" s="3108">
        <v>0.51890000000000003</v>
      </c>
      <c r="K315" s="3108">
        <v>0.51890000000000003</v>
      </c>
      <c r="L315" s="3108">
        <v>0.51890000000000003</v>
      </c>
      <c r="M315" s="3109">
        <v>0.51890000000000003</v>
      </c>
    </row>
    <row r="316" spans="1:13">
      <c r="A316" s="3110">
        <v>4.7</v>
      </c>
      <c r="B316" s="3108">
        <v>0.74609999999999999</v>
      </c>
      <c r="C316" s="3108">
        <v>0.74609999999999999</v>
      </c>
      <c r="D316" s="3108">
        <v>0.7046</v>
      </c>
      <c r="E316" s="3108">
        <v>0.7046</v>
      </c>
      <c r="F316" s="3108">
        <v>0.7046</v>
      </c>
      <c r="G316" s="3108">
        <v>0.59630000000000005</v>
      </c>
      <c r="H316" s="3108">
        <v>0.59630000000000005</v>
      </c>
      <c r="I316" s="3108">
        <v>0.51529999999999998</v>
      </c>
      <c r="J316" s="3108">
        <v>0.51529999999999998</v>
      </c>
      <c r="K316" s="3108">
        <v>0.51529999999999998</v>
      </c>
      <c r="L316" s="3108">
        <v>0.51529999999999998</v>
      </c>
      <c r="M316" s="3109">
        <v>0.51529999999999998</v>
      </c>
    </row>
    <row r="317" spans="1:13">
      <c r="A317" s="3110">
        <v>4.8</v>
      </c>
      <c r="B317" s="3108">
        <v>0.74380000000000002</v>
      </c>
      <c r="C317" s="3108">
        <v>0.74380000000000002</v>
      </c>
      <c r="D317" s="3108">
        <v>0.70169999999999999</v>
      </c>
      <c r="E317" s="3108">
        <v>0.70169999999999999</v>
      </c>
      <c r="F317" s="3108">
        <v>0.70169999999999999</v>
      </c>
      <c r="G317" s="3108">
        <v>0.59309999999999996</v>
      </c>
      <c r="H317" s="3108">
        <v>0.59309999999999996</v>
      </c>
      <c r="I317" s="3108">
        <v>0.5121</v>
      </c>
      <c r="J317" s="3108">
        <v>0.5121</v>
      </c>
      <c r="K317" s="3108">
        <v>0.5121</v>
      </c>
      <c r="L317" s="3108">
        <v>0.5121</v>
      </c>
      <c r="M317" s="3109">
        <v>0.5121</v>
      </c>
    </row>
    <row r="318" spans="1:13">
      <c r="A318" s="3110">
        <v>4.9000000000000004</v>
      </c>
      <c r="B318" s="3108">
        <v>0.74160000000000004</v>
      </c>
      <c r="C318" s="3108">
        <v>0.74160000000000004</v>
      </c>
      <c r="D318" s="3108">
        <v>0.69889999999999997</v>
      </c>
      <c r="E318" s="3108">
        <v>0.69889999999999997</v>
      </c>
      <c r="F318" s="3108">
        <v>0.69889999999999997</v>
      </c>
      <c r="G318" s="3108">
        <v>0.59009999999999996</v>
      </c>
      <c r="H318" s="3108">
        <v>0.59009999999999996</v>
      </c>
      <c r="I318" s="3108">
        <v>0.50900000000000001</v>
      </c>
      <c r="J318" s="3108">
        <v>0.50900000000000001</v>
      </c>
      <c r="K318" s="3108">
        <v>0.50900000000000001</v>
      </c>
      <c r="L318" s="3108">
        <v>0.50900000000000001</v>
      </c>
      <c r="M318" s="3109">
        <v>0.50900000000000001</v>
      </c>
    </row>
    <row r="319" spans="1:13">
      <c r="A319" s="3110">
        <v>5</v>
      </c>
      <c r="B319" s="3108">
        <v>0.73950000000000005</v>
      </c>
      <c r="C319" s="3108">
        <v>0.73950000000000005</v>
      </c>
      <c r="D319" s="3108">
        <v>0.69620000000000004</v>
      </c>
      <c r="E319" s="3108">
        <v>0.69620000000000004</v>
      </c>
      <c r="F319" s="3108">
        <v>0.69620000000000004</v>
      </c>
      <c r="G319" s="3108">
        <v>0.58720000000000006</v>
      </c>
      <c r="H319" s="3108">
        <v>0.58720000000000006</v>
      </c>
      <c r="I319" s="3108">
        <v>0.50609999999999999</v>
      </c>
      <c r="J319" s="3108">
        <v>0.50609999999999999</v>
      </c>
      <c r="K319" s="3108">
        <v>0.50609999999999999</v>
      </c>
      <c r="L319" s="3108">
        <v>0.50609999999999999</v>
      </c>
      <c r="M319" s="3109">
        <v>0.50609999999999999</v>
      </c>
    </row>
    <row r="320" spans="1:13">
      <c r="A320" s="3107">
        <v>5.0999999999999996</v>
      </c>
      <c r="B320" s="3108">
        <v>0.73750000000000004</v>
      </c>
      <c r="C320" s="3108">
        <v>0.73750000000000004</v>
      </c>
      <c r="D320" s="3108">
        <v>0.69359999999999999</v>
      </c>
      <c r="E320" s="3108">
        <v>0.69359999999999999</v>
      </c>
      <c r="F320" s="3108">
        <v>0.69359999999999999</v>
      </c>
      <c r="G320" s="3108">
        <v>0.58440000000000003</v>
      </c>
      <c r="H320" s="3108">
        <v>0.58440000000000003</v>
      </c>
      <c r="I320" s="3108">
        <v>0.50329999999999997</v>
      </c>
      <c r="J320" s="3108">
        <v>0.50329999999999997</v>
      </c>
      <c r="K320" s="3108">
        <v>0.50329999999999997</v>
      </c>
      <c r="L320" s="3108">
        <v>0.50329999999999997</v>
      </c>
      <c r="M320" s="3109">
        <v>0.50329999999999997</v>
      </c>
    </row>
    <row r="321" spans="1:13">
      <c r="A321" s="3107">
        <v>5.2</v>
      </c>
      <c r="B321" s="3108">
        <v>0.73560000000000003</v>
      </c>
      <c r="C321" s="3108">
        <v>0.73560000000000003</v>
      </c>
      <c r="D321" s="3108">
        <v>0.69110000000000005</v>
      </c>
      <c r="E321" s="3108">
        <v>0.69110000000000005</v>
      </c>
      <c r="F321" s="3108">
        <v>0.69110000000000005</v>
      </c>
      <c r="G321" s="3108">
        <v>0.58169999999999999</v>
      </c>
      <c r="H321" s="3108">
        <v>0.58169999999999999</v>
      </c>
      <c r="I321" s="3108">
        <v>0.50060000000000004</v>
      </c>
      <c r="J321" s="3108">
        <v>0.50060000000000004</v>
      </c>
      <c r="K321" s="3108">
        <v>0.50060000000000004</v>
      </c>
      <c r="L321" s="3108">
        <v>0.50060000000000004</v>
      </c>
      <c r="M321" s="3109">
        <v>0.50060000000000004</v>
      </c>
    </row>
    <row r="322" spans="1:13">
      <c r="A322" s="3107">
        <v>5.3</v>
      </c>
      <c r="B322" s="3108">
        <v>0.73380000000000001</v>
      </c>
      <c r="C322" s="3108">
        <v>0.73380000000000001</v>
      </c>
      <c r="D322" s="3108">
        <v>0.68869999999999998</v>
      </c>
      <c r="E322" s="3108">
        <v>0.68869999999999998</v>
      </c>
      <c r="F322" s="3108">
        <v>0.68869999999999998</v>
      </c>
      <c r="G322" s="3108">
        <v>0.57909999999999995</v>
      </c>
      <c r="H322" s="3108">
        <v>0.57909999999999995</v>
      </c>
      <c r="I322" s="3108">
        <v>0.49809999999999999</v>
      </c>
      <c r="J322" s="3108">
        <v>0.49809999999999999</v>
      </c>
      <c r="K322" s="3108">
        <v>0.49809999999999999</v>
      </c>
      <c r="L322" s="3108">
        <v>0.49809999999999999</v>
      </c>
      <c r="M322" s="3109">
        <v>0.49809999999999999</v>
      </c>
    </row>
    <row r="323" spans="1:13">
      <c r="A323" s="3107">
        <v>5.4</v>
      </c>
      <c r="B323" s="3108">
        <v>0.73199999999999998</v>
      </c>
      <c r="C323" s="3108">
        <v>0.73199999999999998</v>
      </c>
      <c r="D323" s="3108">
        <v>0.68640000000000001</v>
      </c>
      <c r="E323" s="3108">
        <v>0.68640000000000001</v>
      </c>
      <c r="F323" s="3108">
        <v>0.68640000000000001</v>
      </c>
      <c r="G323" s="3108">
        <v>0.57650000000000001</v>
      </c>
      <c r="H323" s="3108">
        <v>0.57650000000000001</v>
      </c>
      <c r="I323" s="3108">
        <v>0.49559999999999998</v>
      </c>
      <c r="J323" s="3108">
        <v>0.49559999999999998</v>
      </c>
      <c r="K323" s="3108">
        <v>0.49559999999999998</v>
      </c>
      <c r="L323" s="3108">
        <v>0.49559999999999998</v>
      </c>
      <c r="M323" s="3109">
        <v>0.49559999999999998</v>
      </c>
    </row>
    <row r="324" spans="1:13">
      <c r="A324" s="3107">
        <v>5.5</v>
      </c>
      <c r="B324" s="3108">
        <v>0.73009999999999997</v>
      </c>
      <c r="C324" s="3108">
        <v>0.73009999999999997</v>
      </c>
      <c r="D324" s="3108">
        <v>0.68420000000000003</v>
      </c>
      <c r="E324" s="3108">
        <v>0.68420000000000003</v>
      </c>
      <c r="F324" s="3108">
        <v>0.68420000000000003</v>
      </c>
      <c r="G324" s="3108">
        <v>0.57399999999999995</v>
      </c>
      <c r="H324" s="3108">
        <v>0.57399999999999995</v>
      </c>
      <c r="I324" s="3108">
        <v>0.49320000000000003</v>
      </c>
      <c r="J324" s="3108">
        <v>0.49320000000000003</v>
      </c>
      <c r="K324" s="3108">
        <v>0.49320000000000003</v>
      </c>
      <c r="L324" s="3108">
        <v>0.49320000000000003</v>
      </c>
      <c r="M324" s="3109">
        <v>0.49320000000000003</v>
      </c>
    </row>
    <row r="325" spans="1:13">
      <c r="A325" s="3107">
        <v>5.6</v>
      </c>
      <c r="B325" s="3108">
        <v>0.72819999999999996</v>
      </c>
      <c r="C325" s="3108">
        <v>0.72819999999999996</v>
      </c>
      <c r="D325" s="3108">
        <v>0.68200000000000005</v>
      </c>
      <c r="E325" s="3108">
        <v>0.68200000000000005</v>
      </c>
      <c r="F325" s="3108">
        <v>0.68200000000000005</v>
      </c>
      <c r="G325" s="3108">
        <v>0.57150000000000001</v>
      </c>
      <c r="H325" s="3108">
        <v>0.57150000000000001</v>
      </c>
      <c r="I325" s="3108">
        <v>0.49080000000000001</v>
      </c>
      <c r="J325" s="3108">
        <v>0.49080000000000001</v>
      </c>
      <c r="K325" s="3108">
        <v>0.49080000000000001</v>
      </c>
      <c r="L325" s="3108">
        <v>0.49080000000000001</v>
      </c>
      <c r="M325" s="3109">
        <v>0.49080000000000001</v>
      </c>
    </row>
    <row r="326" spans="1:13">
      <c r="A326" s="3110">
        <v>5.7</v>
      </c>
      <c r="B326" s="3108">
        <v>0.72640000000000005</v>
      </c>
      <c r="C326" s="3108">
        <v>0.72640000000000005</v>
      </c>
      <c r="D326" s="3108">
        <v>0.67989999999999995</v>
      </c>
      <c r="E326" s="3108">
        <v>0.67989999999999995</v>
      </c>
      <c r="F326" s="3108">
        <v>0.67989999999999995</v>
      </c>
      <c r="G326" s="3108">
        <v>0.56899999999999995</v>
      </c>
      <c r="H326" s="3108">
        <v>0.56899999999999995</v>
      </c>
      <c r="I326" s="3108">
        <v>0.4884</v>
      </c>
      <c r="J326" s="3108">
        <v>0.4884</v>
      </c>
      <c r="K326" s="3108">
        <v>0.4884</v>
      </c>
      <c r="L326" s="3108">
        <v>0.4884</v>
      </c>
      <c r="M326" s="3109">
        <v>0.4884</v>
      </c>
    </row>
    <row r="327" spans="1:13">
      <c r="A327" s="3107">
        <v>5.8</v>
      </c>
      <c r="B327" s="3108">
        <v>0.72460000000000002</v>
      </c>
      <c r="C327" s="3108">
        <v>0.72460000000000002</v>
      </c>
      <c r="D327" s="3108">
        <v>0.67779999999999996</v>
      </c>
      <c r="E327" s="3108">
        <v>0.67779999999999996</v>
      </c>
      <c r="F327" s="3108">
        <v>0.67779999999999996</v>
      </c>
      <c r="G327" s="3108">
        <v>0.56659999999999999</v>
      </c>
      <c r="H327" s="3108">
        <v>0.56659999999999999</v>
      </c>
      <c r="I327" s="3108">
        <v>0.48609999999999998</v>
      </c>
      <c r="J327" s="3108">
        <v>0.48609999999999998</v>
      </c>
      <c r="K327" s="3108">
        <v>0.48609999999999998</v>
      </c>
      <c r="L327" s="3108">
        <v>0.48609999999999998</v>
      </c>
      <c r="M327" s="3109">
        <v>0.48609999999999998</v>
      </c>
    </row>
    <row r="328" spans="1:13">
      <c r="A328" s="3107">
        <v>5.9</v>
      </c>
      <c r="B328" s="3108">
        <v>0.7228</v>
      </c>
      <c r="C328" s="3108">
        <v>0.7228</v>
      </c>
      <c r="D328" s="3108">
        <v>0.67569999999999997</v>
      </c>
      <c r="E328" s="3108">
        <v>0.67569999999999997</v>
      </c>
      <c r="F328" s="3108">
        <v>0.67569999999999997</v>
      </c>
      <c r="G328" s="3108">
        <v>0.56420000000000003</v>
      </c>
      <c r="H328" s="3108">
        <v>0.56420000000000003</v>
      </c>
      <c r="I328" s="3108">
        <v>0.48380000000000001</v>
      </c>
      <c r="J328" s="3108">
        <v>0.48380000000000001</v>
      </c>
      <c r="K328" s="3108">
        <v>0.48380000000000001</v>
      </c>
      <c r="L328" s="3108">
        <v>0.48380000000000001</v>
      </c>
      <c r="M328" s="3109">
        <v>0.48380000000000001</v>
      </c>
    </row>
    <row r="329" spans="1:13">
      <c r="A329" s="3107">
        <v>6</v>
      </c>
      <c r="B329" s="3108">
        <v>0.72099999999999997</v>
      </c>
      <c r="C329" s="3108">
        <v>0.72099999999999997</v>
      </c>
      <c r="D329" s="3108">
        <v>0.67359999999999998</v>
      </c>
      <c r="E329" s="3108">
        <v>0.67359999999999998</v>
      </c>
      <c r="F329" s="3108">
        <v>0.67359999999999998</v>
      </c>
      <c r="G329" s="3108">
        <v>0.56179999999999997</v>
      </c>
      <c r="H329" s="3108">
        <v>0.56179999999999997</v>
      </c>
      <c r="I329" s="3108">
        <v>0.48159999999999997</v>
      </c>
      <c r="J329" s="3108">
        <v>0.48159999999999997</v>
      </c>
      <c r="K329" s="3108">
        <v>0.48159999999999997</v>
      </c>
      <c r="L329" s="3108">
        <v>0.48159999999999997</v>
      </c>
      <c r="M329" s="3109">
        <v>0.48159999999999997</v>
      </c>
    </row>
    <row r="330" spans="1:13">
      <c r="A330" s="3107">
        <v>6.1</v>
      </c>
      <c r="B330" s="3108">
        <v>0.71930000000000005</v>
      </c>
      <c r="C330" s="3108">
        <v>0.71930000000000005</v>
      </c>
      <c r="D330" s="3108">
        <v>0.67159999999999997</v>
      </c>
      <c r="E330" s="3108">
        <v>0.67159999999999997</v>
      </c>
      <c r="F330" s="3108">
        <v>0.67159999999999997</v>
      </c>
      <c r="G330" s="3108">
        <v>0.55940000000000001</v>
      </c>
      <c r="H330" s="3108">
        <v>0.55940000000000001</v>
      </c>
      <c r="I330" s="3108">
        <v>0.4793</v>
      </c>
      <c r="J330" s="3108">
        <v>0.4793</v>
      </c>
      <c r="K330" s="3108">
        <v>0.4793</v>
      </c>
      <c r="L330" s="3108">
        <v>0.4793</v>
      </c>
      <c r="M330" s="3109">
        <v>0.4793</v>
      </c>
    </row>
    <row r="331" spans="1:13">
      <c r="A331" s="3107">
        <v>6.2</v>
      </c>
      <c r="B331" s="3108">
        <v>0.71760000000000002</v>
      </c>
      <c r="C331" s="3108">
        <v>0.71760000000000002</v>
      </c>
      <c r="D331" s="3108">
        <v>0.66959999999999997</v>
      </c>
      <c r="E331" s="3108">
        <v>0.66959999999999997</v>
      </c>
      <c r="F331" s="3108">
        <v>0.66959999999999997</v>
      </c>
      <c r="G331" s="3108">
        <v>0.55710000000000004</v>
      </c>
      <c r="H331" s="3108">
        <v>0.55710000000000004</v>
      </c>
      <c r="I331" s="3108">
        <v>0.47710000000000002</v>
      </c>
      <c r="J331" s="3108">
        <v>0.47710000000000002</v>
      </c>
      <c r="K331" s="3108">
        <v>0.47710000000000002</v>
      </c>
      <c r="L331" s="3108">
        <v>0.47710000000000002</v>
      </c>
      <c r="M331" s="3109">
        <v>0.47710000000000002</v>
      </c>
    </row>
    <row r="332" spans="1:13">
      <c r="A332" s="3107">
        <v>6.3</v>
      </c>
      <c r="B332" s="3108">
        <v>0.71589999999999998</v>
      </c>
      <c r="C332" s="3108">
        <v>0.71589999999999998</v>
      </c>
      <c r="D332" s="3108">
        <v>0.66759999999999997</v>
      </c>
      <c r="E332" s="3108">
        <v>0.66759999999999997</v>
      </c>
      <c r="F332" s="3108">
        <v>0.66759999999999997</v>
      </c>
      <c r="G332" s="3108">
        <v>0.55479999999999996</v>
      </c>
      <c r="H332" s="3108">
        <v>0.55479999999999996</v>
      </c>
      <c r="I332" s="3108">
        <v>0.47489999999999999</v>
      </c>
      <c r="J332" s="3108">
        <v>0.47489999999999999</v>
      </c>
      <c r="K332" s="3108">
        <v>0.47489999999999999</v>
      </c>
      <c r="L332" s="3108">
        <v>0.47489999999999999</v>
      </c>
      <c r="M332" s="3109">
        <v>0.47489999999999999</v>
      </c>
    </row>
    <row r="333" spans="1:13">
      <c r="A333" s="3107">
        <v>6.4</v>
      </c>
      <c r="B333" s="3108">
        <v>0.71419999999999995</v>
      </c>
      <c r="C333" s="3108">
        <v>0.71419999999999995</v>
      </c>
      <c r="D333" s="3108">
        <v>0.66559999999999997</v>
      </c>
      <c r="E333" s="3108">
        <v>0.66559999999999997</v>
      </c>
      <c r="F333" s="3108">
        <v>0.66559999999999997</v>
      </c>
      <c r="G333" s="3108">
        <v>0.55249999999999999</v>
      </c>
      <c r="H333" s="3108">
        <v>0.55249999999999999</v>
      </c>
      <c r="I333" s="3108">
        <v>0.47270000000000001</v>
      </c>
      <c r="J333" s="3108">
        <v>0.47270000000000001</v>
      </c>
      <c r="K333" s="3108">
        <v>0.47270000000000001</v>
      </c>
      <c r="L333" s="3108">
        <v>0.47270000000000001</v>
      </c>
      <c r="M333" s="3109">
        <v>0.47270000000000001</v>
      </c>
    </row>
    <row r="334" spans="1:13">
      <c r="A334" s="3107">
        <v>6.5</v>
      </c>
      <c r="B334" s="3108">
        <v>0.71250000000000002</v>
      </c>
      <c r="C334" s="3108">
        <v>0.71250000000000002</v>
      </c>
      <c r="D334" s="3108">
        <v>0.66359999999999997</v>
      </c>
      <c r="E334" s="3108">
        <v>0.66359999999999997</v>
      </c>
      <c r="F334" s="3108">
        <v>0.66359999999999997</v>
      </c>
      <c r="G334" s="3108">
        <v>0.55020000000000002</v>
      </c>
      <c r="H334" s="3108">
        <v>0.55020000000000002</v>
      </c>
      <c r="I334" s="3108">
        <v>0.47060000000000002</v>
      </c>
      <c r="J334" s="3108">
        <v>0.47060000000000002</v>
      </c>
      <c r="K334" s="3108">
        <v>0.47060000000000002</v>
      </c>
      <c r="L334" s="3108">
        <v>0.47060000000000002</v>
      </c>
      <c r="M334" s="3109">
        <v>0.47060000000000002</v>
      </c>
    </row>
    <row r="335" spans="1:13">
      <c r="A335" s="3107">
        <v>6.6</v>
      </c>
      <c r="B335" s="3108">
        <v>0.71089999999999998</v>
      </c>
      <c r="C335" s="3108">
        <v>0.71089999999999998</v>
      </c>
      <c r="D335" s="3108">
        <v>0.66159999999999997</v>
      </c>
      <c r="E335" s="3108">
        <v>0.66159999999999997</v>
      </c>
      <c r="F335" s="3108">
        <v>0.66159999999999997</v>
      </c>
      <c r="G335" s="3108">
        <v>0.54800000000000004</v>
      </c>
      <c r="H335" s="3108">
        <v>0.54800000000000004</v>
      </c>
      <c r="I335" s="3108">
        <v>0.46839999999999998</v>
      </c>
      <c r="J335" s="3108">
        <v>0.46839999999999998</v>
      </c>
      <c r="K335" s="3108">
        <v>0.46839999999999998</v>
      </c>
      <c r="L335" s="3108">
        <v>0.46839999999999998</v>
      </c>
      <c r="M335" s="3109">
        <v>0.46839999999999998</v>
      </c>
    </row>
    <row r="336" spans="1:13">
      <c r="A336" s="3107">
        <v>6.7</v>
      </c>
      <c r="B336" s="3108">
        <v>0.70930000000000004</v>
      </c>
      <c r="C336" s="3108">
        <v>0.70930000000000004</v>
      </c>
      <c r="D336" s="3108">
        <v>0.65969999999999995</v>
      </c>
      <c r="E336" s="3108">
        <v>0.65969999999999995</v>
      </c>
      <c r="F336" s="3108">
        <v>0.65969999999999995</v>
      </c>
      <c r="G336" s="3108">
        <v>0.54579999999999995</v>
      </c>
      <c r="H336" s="3108">
        <v>0.54579999999999995</v>
      </c>
      <c r="I336" s="3108">
        <v>0.46629999999999999</v>
      </c>
      <c r="J336" s="3108">
        <v>0.46629999999999999</v>
      </c>
      <c r="K336" s="3108">
        <v>0.46629999999999999</v>
      </c>
      <c r="L336" s="3108">
        <v>0.46629999999999999</v>
      </c>
      <c r="M336" s="3109">
        <v>0.46629999999999999</v>
      </c>
    </row>
    <row r="337" spans="1:13">
      <c r="A337" s="3107">
        <v>6.8</v>
      </c>
      <c r="B337" s="3108">
        <v>0.7077</v>
      </c>
      <c r="C337" s="3108">
        <v>0.7077</v>
      </c>
      <c r="D337" s="3108">
        <v>0.65780000000000005</v>
      </c>
      <c r="E337" s="3108">
        <v>0.65780000000000005</v>
      </c>
      <c r="F337" s="3108">
        <v>0.65780000000000005</v>
      </c>
      <c r="G337" s="3108">
        <v>0.54359999999999997</v>
      </c>
      <c r="H337" s="3108">
        <v>0.54359999999999997</v>
      </c>
      <c r="I337" s="3108">
        <v>0.46410000000000001</v>
      </c>
      <c r="J337" s="3108">
        <v>0.46410000000000001</v>
      </c>
      <c r="K337" s="3108">
        <v>0.46410000000000001</v>
      </c>
      <c r="L337" s="3108">
        <v>0.46410000000000001</v>
      </c>
      <c r="M337" s="3109">
        <v>0.46410000000000001</v>
      </c>
    </row>
    <row r="338" spans="1:13">
      <c r="A338" s="3107">
        <v>6.9</v>
      </c>
      <c r="B338" s="3108">
        <v>0.70609999999999995</v>
      </c>
      <c r="C338" s="3108">
        <v>0.70609999999999995</v>
      </c>
      <c r="D338" s="3108">
        <v>0.65590000000000004</v>
      </c>
      <c r="E338" s="3108">
        <v>0.65590000000000004</v>
      </c>
      <c r="F338" s="3108">
        <v>0.65590000000000004</v>
      </c>
      <c r="G338" s="3108">
        <v>0.54139999999999999</v>
      </c>
      <c r="H338" s="3108">
        <v>0.54139999999999999</v>
      </c>
      <c r="I338" s="3108">
        <v>0.46200000000000002</v>
      </c>
      <c r="J338" s="3108">
        <v>0.46200000000000002</v>
      </c>
      <c r="K338" s="3108">
        <v>0.46200000000000002</v>
      </c>
      <c r="L338" s="3108">
        <v>0.46200000000000002</v>
      </c>
      <c r="M338" s="3109">
        <v>0.46200000000000002</v>
      </c>
    </row>
    <row r="339" spans="1:13">
      <c r="A339" s="3107">
        <v>7</v>
      </c>
      <c r="B339" s="3108">
        <v>0.70450000000000002</v>
      </c>
      <c r="C339" s="3108">
        <v>0.70450000000000002</v>
      </c>
      <c r="D339" s="3108">
        <v>0.65400000000000003</v>
      </c>
      <c r="E339" s="3108">
        <v>0.65400000000000003</v>
      </c>
      <c r="F339" s="3108">
        <v>0.65400000000000003</v>
      </c>
      <c r="G339" s="3108">
        <v>0.53920000000000001</v>
      </c>
      <c r="H339" s="3108">
        <v>0.53920000000000001</v>
      </c>
      <c r="I339" s="3108">
        <v>0.45979999999999999</v>
      </c>
      <c r="J339" s="3108">
        <v>0.45979999999999999</v>
      </c>
      <c r="K339" s="3108">
        <v>0.45979999999999999</v>
      </c>
      <c r="L339" s="3108">
        <v>0.45979999999999999</v>
      </c>
      <c r="M339" s="3109">
        <v>0.45979999999999999</v>
      </c>
    </row>
    <row r="340" spans="1:13">
      <c r="A340" s="3107">
        <v>7.1</v>
      </c>
      <c r="B340" s="3108">
        <v>0.70289999999999997</v>
      </c>
      <c r="C340" s="3108">
        <v>0.70289999999999997</v>
      </c>
      <c r="D340" s="3108">
        <v>0.65210000000000001</v>
      </c>
      <c r="E340" s="3108">
        <v>0.65210000000000001</v>
      </c>
      <c r="F340" s="3108">
        <v>0.65210000000000001</v>
      </c>
      <c r="G340" s="3108">
        <v>0.53710000000000002</v>
      </c>
      <c r="H340" s="3108">
        <v>0.53710000000000002</v>
      </c>
      <c r="I340" s="3108">
        <v>0.45779999999999998</v>
      </c>
      <c r="J340" s="3108">
        <v>0.45779999999999998</v>
      </c>
      <c r="K340" s="3108">
        <v>0.45779999999999998</v>
      </c>
      <c r="L340" s="3108">
        <v>0.45779999999999998</v>
      </c>
      <c r="M340" s="3109">
        <v>0.45779999999999998</v>
      </c>
    </row>
    <row r="341" spans="1:13">
      <c r="A341" s="3107">
        <v>7.2</v>
      </c>
      <c r="B341" s="3108">
        <v>0.70140000000000002</v>
      </c>
      <c r="C341" s="3108">
        <v>0.70140000000000002</v>
      </c>
      <c r="D341" s="3108">
        <v>0.6502</v>
      </c>
      <c r="E341" s="3108">
        <v>0.6502</v>
      </c>
      <c r="F341" s="3108">
        <v>0.6502</v>
      </c>
      <c r="G341" s="3108">
        <v>0.53500000000000003</v>
      </c>
      <c r="H341" s="3108">
        <v>0.53500000000000003</v>
      </c>
      <c r="I341" s="3108">
        <v>0.45569999999999999</v>
      </c>
      <c r="J341" s="3108">
        <v>0.45569999999999999</v>
      </c>
      <c r="K341" s="3108">
        <v>0.45569999999999999</v>
      </c>
      <c r="L341" s="3108">
        <v>0.45569999999999999</v>
      </c>
      <c r="M341" s="3109">
        <v>0.45569999999999999</v>
      </c>
    </row>
    <row r="342" spans="1:13">
      <c r="A342" s="3107">
        <v>7.3</v>
      </c>
      <c r="B342" s="3108">
        <v>0.69989999999999997</v>
      </c>
      <c r="C342" s="3108">
        <v>0.69989999999999997</v>
      </c>
      <c r="D342" s="3108">
        <v>0.64829999999999999</v>
      </c>
      <c r="E342" s="3108">
        <v>0.64829999999999999</v>
      </c>
      <c r="F342" s="3108">
        <v>0.64829999999999999</v>
      </c>
      <c r="G342" s="3108">
        <v>0.53290000000000004</v>
      </c>
      <c r="H342" s="3108">
        <v>0.53290000000000004</v>
      </c>
      <c r="I342" s="3108">
        <v>0.45369999999999999</v>
      </c>
      <c r="J342" s="3108">
        <v>0.45369999999999999</v>
      </c>
      <c r="K342" s="3108">
        <v>0.45369999999999999</v>
      </c>
      <c r="L342" s="3108">
        <v>0.45369999999999999</v>
      </c>
      <c r="M342" s="3109">
        <v>0.45369999999999999</v>
      </c>
    </row>
    <row r="343" spans="1:13">
      <c r="A343" s="3107">
        <v>7.4</v>
      </c>
      <c r="B343" s="3108">
        <v>0.69840000000000002</v>
      </c>
      <c r="C343" s="3108">
        <v>0.69840000000000002</v>
      </c>
      <c r="D343" s="3108">
        <v>0.64649999999999996</v>
      </c>
      <c r="E343" s="3108">
        <v>0.64649999999999996</v>
      </c>
      <c r="F343" s="3108">
        <v>0.64649999999999996</v>
      </c>
      <c r="G343" s="3108">
        <v>0.53080000000000005</v>
      </c>
      <c r="H343" s="3108">
        <v>0.53080000000000005</v>
      </c>
      <c r="I343" s="3108">
        <v>0.4516</v>
      </c>
      <c r="J343" s="3108">
        <v>0.4516</v>
      </c>
      <c r="K343" s="3108">
        <v>0.4516</v>
      </c>
      <c r="L343" s="3108">
        <v>0.4516</v>
      </c>
      <c r="M343" s="3109">
        <v>0.4516</v>
      </c>
    </row>
    <row r="344" spans="1:13">
      <c r="A344" s="3107">
        <v>7.5</v>
      </c>
      <c r="B344" s="3108">
        <v>0.69689999999999996</v>
      </c>
      <c r="C344" s="3108">
        <v>0.69689999999999996</v>
      </c>
      <c r="D344" s="3108">
        <v>0.64470000000000005</v>
      </c>
      <c r="E344" s="3108">
        <v>0.64470000000000005</v>
      </c>
      <c r="F344" s="3108">
        <v>0.64470000000000005</v>
      </c>
      <c r="G344" s="3108">
        <v>0.52869999999999995</v>
      </c>
      <c r="H344" s="3108">
        <v>0.52869999999999995</v>
      </c>
      <c r="I344" s="3108">
        <v>0.44950000000000001</v>
      </c>
      <c r="J344" s="3108">
        <v>0.44950000000000001</v>
      </c>
      <c r="K344" s="3108">
        <v>0.44950000000000001</v>
      </c>
      <c r="L344" s="3108">
        <v>0.44950000000000001</v>
      </c>
      <c r="M344" s="3109">
        <v>0.44950000000000001</v>
      </c>
    </row>
    <row r="345" spans="1:13">
      <c r="A345" s="3107">
        <v>7.6</v>
      </c>
      <c r="B345" s="3108">
        <v>0.69540000000000002</v>
      </c>
      <c r="C345" s="3108">
        <v>0.69540000000000002</v>
      </c>
      <c r="D345" s="3108">
        <v>0.64290000000000003</v>
      </c>
      <c r="E345" s="3108">
        <v>0.64290000000000003</v>
      </c>
      <c r="F345" s="3108">
        <v>0.64290000000000003</v>
      </c>
      <c r="G345" s="3108">
        <v>0.52659999999999996</v>
      </c>
      <c r="H345" s="3108">
        <v>0.52659999999999996</v>
      </c>
      <c r="I345" s="3108">
        <v>0.44750000000000001</v>
      </c>
      <c r="J345" s="3108">
        <v>0.44750000000000001</v>
      </c>
      <c r="K345" s="3108">
        <v>0.44750000000000001</v>
      </c>
      <c r="L345" s="3108">
        <v>0.44750000000000001</v>
      </c>
      <c r="M345" s="3109">
        <v>0.44750000000000001</v>
      </c>
    </row>
    <row r="346" spans="1:13">
      <c r="A346" s="3107">
        <v>7.7</v>
      </c>
      <c r="B346" s="3108">
        <v>0.69389999999999996</v>
      </c>
      <c r="C346" s="3108">
        <v>0.69389999999999996</v>
      </c>
      <c r="D346" s="3108">
        <v>0.6411</v>
      </c>
      <c r="E346" s="3108">
        <v>0.6411</v>
      </c>
      <c r="F346" s="3108">
        <v>0.6411</v>
      </c>
      <c r="G346" s="3108">
        <v>0.52459999999999996</v>
      </c>
      <c r="H346" s="3108">
        <v>0.52459999999999996</v>
      </c>
      <c r="I346" s="3108">
        <v>0.44540000000000002</v>
      </c>
      <c r="J346" s="3108">
        <v>0.44540000000000002</v>
      </c>
      <c r="K346" s="3108">
        <v>0.44540000000000002</v>
      </c>
      <c r="L346" s="3108">
        <v>0.44540000000000002</v>
      </c>
      <c r="M346" s="3109">
        <v>0.44540000000000002</v>
      </c>
    </row>
    <row r="347" spans="1:13">
      <c r="A347" s="3107">
        <v>7.8</v>
      </c>
      <c r="B347" s="3108">
        <v>0.69240000000000002</v>
      </c>
      <c r="C347" s="3108">
        <v>0.69240000000000002</v>
      </c>
      <c r="D347" s="3108">
        <v>0.63929999999999998</v>
      </c>
      <c r="E347" s="3108">
        <v>0.63929999999999998</v>
      </c>
      <c r="F347" s="3108">
        <v>0.63929999999999998</v>
      </c>
      <c r="G347" s="3108">
        <v>0.52259999999999995</v>
      </c>
      <c r="H347" s="3108">
        <v>0.52259999999999995</v>
      </c>
      <c r="I347" s="3108">
        <v>0.44340000000000002</v>
      </c>
      <c r="J347" s="3108">
        <v>0.44340000000000002</v>
      </c>
      <c r="K347" s="3108">
        <v>0.44340000000000002</v>
      </c>
      <c r="L347" s="3108">
        <v>0.44340000000000002</v>
      </c>
      <c r="M347" s="3109">
        <v>0.44340000000000002</v>
      </c>
    </row>
    <row r="348" spans="1:13">
      <c r="A348" s="3107">
        <v>7.9</v>
      </c>
      <c r="B348" s="3108">
        <v>0.69099999999999995</v>
      </c>
      <c r="C348" s="3108">
        <v>0.69099999999999995</v>
      </c>
      <c r="D348" s="3108">
        <v>0.63749999999999996</v>
      </c>
      <c r="E348" s="3108">
        <v>0.63749999999999996</v>
      </c>
      <c r="F348" s="3108">
        <v>0.63749999999999996</v>
      </c>
      <c r="G348" s="3108">
        <v>0.52059999999999995</v>
      </c>
      <c r="H348" s="3108">
        <v>0.52059999999999995</v>
      </c>
      <c r="I348" s="3108">
        <v>0.44130000000000003</v>
      </c>
      <c r="J348" s="3108">
        <v>0.44130000000000003</v>
      </c>
      <c r="K348" s="3108">
        <v>0.44130000000000003</v>
      </c>
      <c r="L348" s="3108">
        <v>0.44130000000000003</v>
      </c>
      <c r="M348" s="3109">
        <v>0.44130000000000003</v>
      </c>
    </row>
    <row r="349" spans="1:13">
      <c r="A349" s="3107">
        <v>8</v>
      </c>
      <c r="B349" s="3108">
        <v>0.68959999999999999</v>
      </c>
      <c r="C349" s="3108">
        <v>0.68959999999999999</v>
      </c>
      <c r="D349" s="3108">
        <v>0.63570000000000004</v>
      </c>
      <c r="E349" s="3108">
        <v>0.63570000000000004</v>
      </c>
      <c r="F349" s="3108">
        <v>0.63570000000000004</v>
      </c>
      <c r="G349" s="3108">
        <v>0.51859999999999995</v>
      </c>
      <c r="H349" s="3108">
        <v>0.51859999999999995</v>
      </c>
      <c r="I349" s="3108">
        <v>0.43919999999999998</v>
      </c>
      <c r="J349" s="3108">
        <v>0.43919999999999998</v>
      </c>
      <c r="K349" s="3108">
        <v>0.43919999999999998</v>
      </c>
      <c r="L349" s="3108">
        <v>0.43919999999999998</v>
      </c>
      <c r="M349" s="3109">
        <v>0.43919999999999998</v>
      </c>
    </row>
    <row r="350" spans="1:13">
      <c r="A350" s="3107">
        <v>8.1</v>
      </c>
      <c r="B350" s="3108">
        <v>0.68820000000000003</v>
      </c>
      <c r="C350" s="3108">
        <v>0.68820000000000003</v>
      </c>
      <c r="D350" s="3108">
        <v>0.63390000000000002</v>
      </c>
      <c r="E350" s="3108">
        <v>0.63390000000000002</v>
      </c>
      <c r="F350" s="3108">
        <v>0.63390000000000002</v>
      </c>
      <c r="G350" s="3108">
        <v>0.51659999999999995</v>
      </c>
      <c r="H350" s="3108">
        <v>0.51659999999999995</v>
      </c>
      <c r="I350" s="3108">
        <v>0.43730000000000002</v>
      </c>
      <c r="J350" s="3108">
        <v>0.43730000000000002</v>
      </c>
      <c r="K350" s="3108">
        <v>0.43730000000000002</v>
      </c>
      <c r="L350" s="3108">
        <v>0.43730000000000002</v>
      </c>
      <c r="M350" s="3109">
        <v>0.43730000000000002</v>
      </c>
    </row>
    <row r="351" spans="1:13">
      <c r="A351" s="3107">
        <v>8.1999999999999993</v>
      </c>
      <c r="B351" s="3108">
        <v>0.68679999999999997</v>
      </c>
      <c r="C351" s="3108">
        <v>0.68679999999999997</v>
      </c>
      <c r="D351" s="3108">
        <v>0.63219999999999998</v>
      </c>
      <c r="E351" s="3108">
        <v>0.63219999999999998</v>
      </c>
      <c r="F351" s="3108">
        <v>0.63219999999999998</v>
      </c>
      <c r="G351" s="3108">
        <v>0.51459999999999995</v>
      </c>
      <c r="H351" s="3108">
        <v>0.51459999999999995</v>
      </c>
      <c r="I351" s="3108">
        <v>0.43530000000000002</v>
      </c>
      <c r="J351" s="3108">
        <v>0.43530000000000002</v>
      </c>
      <c r="K351" s="3108">
        <v>0.43530000000000002</v>
      </c>
      <c r="L351" s="3108">
        <v>0.43530000000000002</v>
      </c>
      <c r="M351" s="3109">
        <v>0.43530000000000002</v>
      </c>
    </row>
    <row r="352" spans="1:13">
      <c r="A352" s="3107">
        <v>8.3000000000000007</v>
      </c>
      <c r="B352" s="3108">
        <v>0.68540000000000001</v>
      </c>
      <c r="C352" s="3108">
        <v>0.68540000000000001</v>
      </c>
      <c r="D352" s="3108">
        <v>0.63049999999999995</v>
      </c>
      <c r="E352" s="3108">
        <v>0.63049999999999995</v>
      </c>
      <c r="F352" s="3108">
        <v>0.63049999999999995</v>
      </c>
      <c r="G352" s="3108">
        <v>0.51259999999999994</v>
      </c>
      <c r="H352" s="3108">
        <v>0.51259999999999994</v>
      </c>
      <c r="I352" s="3108">
        <v>0.43330000000000002</v>
      </c>
      <c r="J352" s="3108">
        <v>0.43330000000000002</v>
      </c>
      <c r="K352" s="3108">
        <v>0.43330000000000002</v>
      </c>
      <c r="L352" s="3108">
        <v>0.43330000000000002</v>
      </c>
      <c r="M352" s="3109">
        <v>0.43330000000000002</v>
      </c>
    </row>
    <row r="353" spans="1:13">
      <c r="A353" s="3107">
        <v>8.4</v>
      </c>
      <c r="B353" s="3108">
        <v>0.68400000000000005</v>
      </c>
      <c r="C353" s="3108">
        <v>0.68400000000000005</v>
      </c>
      <c r="D353" s="3108">
        <v>0.62880000000000003</v>
      </c>
      <c r="E353" s="3108">
        <v>0.62880000000000003</v>
      </c>
      <c r="F353" s="3108">
        <v>0.62880000000000003</v>
      </c>
      <c r="G353" s="3108">
        <v>0.51070000000000004</v>
      </c>
      <c r="H353" s="3108">
        <v>0.51070000000000004</v>
      </c>
      <c r="I353" s="3108">
        <v>0.43130000000000002</v>
      </c>
      <c r="J353" s="3108">
        <v>0.43130000000000002</v>
      </c>
      <c r="K353" s="3108">
        <v>0.43130000000000002</v>
      </c>
      <c r="L353" s="3108">
        <v>0.43130000000000002</v>
      </c>
      <c r="M353" s="3109">
        <v>0.43130000000000002</v>
      </c>
    </row>
    <row r="354" spans="1:13">
      <c r="A354" s="3107">
        <v>8.5</v>
      </c>
      <c r="B354" s="3108">
        <v>0.68259999999999998</v>
      </c>
      <c r="C354" s="3108">
        <v>0.68259999999999998</v>
      </c>
      <c r="D354" s="3108">
        <v>0.62709999999999999</v>
      </c>
      <c r="E354" s="3108">
        <v>0.62709999999999999</v>
      </c>
      <c r="F354" s="3108">
        <v>0.62709999999999999</v>
      </c>
      <c r="G354" s="3108">
        <v>0.50880000000000003</v>
      </c>
      <c r="H354" s="3108">
        <v>0.50880000000000003</v>
      </c>
      <c r="I354" s="3108">
        <v>0.4294</v>
      </c>
      <c r="J354" s="3108">
        <v>0.4294</v>
      </c>
      <c r="K354" s="3108">
        <v>0.4294</v>
      </c>
      <c r="L354" s="3108">
        <v>0.4294</v>
      </c>
      <c r="M354" s="3109">
        <v>0.4294</v>
      </c>
    </row>
    <row r="355" spans="1:13">
      <c r="A355" s="3107">
        <v>8.6</v>
      </c>
      <c r="B355" s="3108">
        <v>0.68120000000000003</v>
      </c>
      <c r="C355" s="3108">
        <v>0.68120000000000003</v>
      </c>
      <c r="D355" s="3108">
        <v>0.62539999999999996</v>
      </c>
      <c r="E355" s="3108">
        <v>0.62539999999999996</v>
      </c>
      <c r="F355" s="3108">
        <v>0.62539999999999996</v>
      </c>
      <c r="G355" s="3108">
        <v>0.50690000000000002</v>
      </c>
      <c r="H355" s="3108">
        <v>0.50690000000000002</v>
      </c>
      <c r="I355" s="3108">
        <v>0.4274</v>
      </c>
      <c r="J355" s="3108">
        <v>0.4274</v>
      </c>
      <c r="K355" s="3108">
        <v>0.4274</v>
      </c>
      <c r="L355" s="3108">
        <v>0.4274</v>
      </c>
      <c r="M355" s="3109">
        <v>0.4274</v>
      </c>
    </row>
    <row r="356" spans="1:13">
      <c r="A356" s="3107">
        <v>8.6999999999999993</v>
      </c>
      <c r="B356" s="3108">
        <v>0.67989999999999995</v>
      </c>
      <c r="C356" s="3108">
        <v>0.67989999999999995</v>
      </c>
      <c r="D356" s="3108">
        <v>0.62370000000000003</v>
      </c>
      <c r="E356" s="3108">
        <v>0.62370000000000003</v>
      </c>
      <c r="F356" s="3108">
        <v>0.62370000000000003</v>
      </c>
      <c r="G356" s="3108">
        <v>0.505</v>
      </c>
      <c r="H356" s="3108">
        <v>0.505</v>
      </c>
      <c r="I356" s="3108">
        <v>0.4254</v>
      </c>
      <c r="J356" s="3108">
        <v>0.4254</v>
      </c>
      <c r="K356" s="3108">
        <v>0.4254</v>
      </c>
      <c r="L356" s="3108">
        <v>0.4254</v>
      </c>
      <c r="M356" s="3109">
        <v>0.4254</v>
      </c>
    </row>
    <row r="357" spans="1:13">
      <c r="A357" s="3107">
        <v>8.8000000000000007</v>
      </c>
      <c r="B357" s="3108">
        <v>0.67859999999999998</v>
      </c>
      <c r="C357" s="3108">
        <v>0.67859999999999998</v>
      </c>
      <c r="D357" s="3108">
        <v>0.622</v>
      </c>
      <c r="E357" s="3108">
        <v>0.622</v>
      </c>
      <c r="F357" s="3108">
        <v>0.622</v>
      </c>
      <c r="G357" s="3108">
        <v>0.50309999999999999</v>
      </c>
      <c r="H357" s="3108">
        <v>0.50309999999999999</v>
      </c>
      <c r="I357" s="3108">
        <v>0.4234</v>
      </c>
      <c r="J357" s="3108">
        <v>0.4234</v>
      </c>
      <c r="K357" s="3108">
        <v>0.4234</v>
      </c>
      <c r="L357" s="3108">
        <v>0.4234</v>
      </c>
      <c r="M357" s="3109">
        <v>0.4234</v>
      </c>
    </row>
    <row r="358" spans="1:13">
      <c r="A358" s="3107">
        <v>8.9</v>
      </c>
      <c r="B358" s="3108">
        <v>0.67730000000000001</v>
      </c>
      <c r="C358" s="3108">
        <v>0.67730000000000001</v>
      </c>
      <c r="D358" s="3108">
        <v>0.62029999999999996</v>
      </c>
      <c r="E358" s="3108">
        <v>0.62029999999999996</v>
      </c>
      <c r="F358" s="3108">
        <v>0.62029999999999996</v>
      </c>
      <c r="G358" s="3108">
        <v>0.50119999999999998</v>
      </c>
      <c r="H358" s="3108">
        <v>0.50119999999999998</v>
      </c>
      <c r="I358" s="3108">
        <v>0.42149999999999999</v>
      </c>
      <c r="J358" s="3108">
        <v>0.42149999999999999</v>
      </c>
      <c r="K358" s="3108">
        <v>0.42149999999999999</v>
      </c>
      <c r="L358" s="3108">
        <v>0.42149999999999999</v>
      </c>
      <c r="M358" s="3109">
        <v>0.42149999999999999</v>
      </c>
    </row>
    <row r="359" spans="1:13">
      <c r="A359" s="3110">
        <v>9</v>
      </c>
      <c r="B359" s="3108">
        <v>0.67600000000000005</v>
      </c>
      <c r="C359" s="3108">
        <v>0.67600000000000005</v>
      </c>
      <c r="D359" s="3108">
        <v>0.61870000000000003</v>
      </c>
      <c r="E359" s="3108">
        <v>0.61870000000000003</v>
      </c>
      <c r="F359" s="3108">
        <v>0.61870000000000003</v>
      </c>
      <c r="G359" s="3108">
        <v>0.49930000000000002</v>
      </c>
      <c r="H359" s="3108">
        <v>0.49930000000000002</v>
      </c>
      <c r="I359" s="3108">
        <v>0.41949999999999998</v>
      </c>
      <c r="J359" s="3108">
        <v>0.41949999999999998</v>
      </c>
      <c r="K359" s="3108">
        <v>0.41949999999999998</v>
      </c>
      <c r="L359" s="3108">
        <v>0.41949999999999998</v>
      </c>
      <c r="M359" s="3109">
        <v>0.41949999999999998</v>
      </c>
    </row>
    <row r="360" spans="1:13">
      <c r="A360" s="3110">
        <v>9.1</v>
      </c>
      <c r="B360" s="3108">
        <v>0.67469999999999997</v>
      </c>
      <c r="C360" s="3108">
        <v>0.67469999999999997</v>
      </c>
      <c r="D360" s="3108">
        <v>0.61709999999999998</v>
      </c>
      <c r="E360" s="3108">
        <v>0.61709999999999998</v>
      </c>
      <c r="F360" s="3108">
        <v>0.61709999999999998</v>
      </c>
      <c r="G360" s="3108">
        <v>0.49740000000000001</v>
      </c>
      <c r="H360" s="3108">
        <v>0.49740000000000001</v>
      </c>
      <c r="I360" s="3108">
        <v>0.41760000000000003</v>
      </c>
      <c r="J360" s="3108">
        <v>0.41760000000000003</v>
      </c>
      <c r="K360" s="3108">
        <v>0.41760000000000003</v>
      </c>
      <c r="L360" s="3108">
        <v>0.41760000000000003</v>
      </c>
      <c r="M360" s="3109">
        <v>0.41760000000000003</v>
      </c>
    </row>
    <row r="361" spans="1:13">
      <c r="A361" s="3110">
        <v>9.1999999999999993</v>
      </c>
      <c r="B361" s="3108">
        <v>0.6734</v>
      </c>
      <c r="C361" s="3108">
        <v>0.6734</v>
      </c>
      <c r="D361" s="3108">
        <v>0.61550000000000005</v>
      </c>
      <c r="E361" s="3108">
        <v>0.61550000000000005</v>
      </c>
      <c r="F361" s="3108">
        <v>0.61550000000000005</v>
      </c>
      <c r="G361" s="3108">
        <v>0.49559999999999998</v>
      </c>
      <c r="H361" s="3108">
        <v>0.49559999999999998</v>
      </c>
      <c r="I361" s="3108">
        <v>0.41570000000000001</v>
      </c>
      <c r="J361" s="3108">
        <v>0.41570000000000001</v>
      </c>
      <c r="K361" s="3108">
        <v>0.41570000000000001</v>
      </c>
      <c r="L361" s="3108">
        <v>0.41570000000000001</v>
      </c>
      <c r="M361" s="3109">
        <v>0.41570000000000001</v>
      </c>
    </row>
    <row r="362" spans="1:13">
      <c r="A362" s="3110">
        <v>9.3000000000000007</v>
      </c>
      <c r="B362" s="3108">
        <v>0.67210000000000003</v>
      </c>
      <c r="C362" s="3108">
        <v>0.67210000000000003</v>
      </c>
      <c r="D362" s="3108">
        <v>0.6139</v>
      </c>
      <c r="E362" s="3108">
        <v>0.6139</v>
      </c>
      <c r="F362" s="3108">
        <v>0.6139</v>
      </c>
      <c r="G362" s="3108">
        <v>0.49380000000000002</v>
      </c>
      <c r="H362" s="3108">
        <v>0.49380000000000002</v>
      </c>
      <c r="I362" s="3108">
        <v>0.4138</v>
      </c>
      <c r="J362" s="3108">
        <v>0.4138</v>
      </c>
      <c r="K362" s="3108">
        <v>0.4138</v>
      </c>
      <c r="L362" s="3108">
        <v>0.4138</v>
      </c>
      <c r="M362" s="3109">
        <v>0.4138</v>
      </c>
    </row>
    <row r="363" spans="1:13">
      <c r="A363" s="3110">
        <v>9.4</v>
      </c>
      <c r="B363" s="3108">
        <v>0.67079999999999995</v>
      </c>
      <c r="C363" s="3108">
        <v>0.67079999999999995</v>
      </c>
      <c r="D363" s="3108">
        <v>0.61229999999999996</v>
      </c>
      <c r="E363" s="3108">
        <v>0.61229999999999996</v>
      </c>
      <c r="F363" s="3108">
        <v>0.61229999999999996</v>
      </c>
      <c r="G363" s="3108">
        <v>0.49199999999999999</v>
      </c>
      <c r="H363" s="3108">
        <v>0.49199999999999999</v>
      </c>
      <c r="I363" s="3108">
        <v>0.41189999999999999</v>
      </c>
      <c r="J363" s="3108">
        <v>0.41189999999999999</v>
      </c>
      <c r="K363" s="3108">
        <v>0.41189999999999999</v>
      </c>
      <c r="L363" s="3108">
        <v>0.41189999999999999</v>
      </c>
      <c r="M363" s="3109">
        <v>0.41189999999999999</v>
      </c>
    </row>
    <row r="364" spans="1:13">
      <c r="A364" s="3110">
        <v>9.5</v>
      </c>
      <c r="B364" s="3108">
        <v>0.66959999999999997</v>
      </c>
      <c r="C364" s="3108">
        <v>0.66959999999999997</v>
      </c>
      <c r="D364" s="3108">
        <v>0.61070000000000002</v>
      </c>
      <c r="E364" s="3108">
        <v>0.61070000000000002</v>
      </c>
      <c r="F364" s="3108">
        <v>0.61070000000000002</v>
      </c>
      <c r="G364" s="3108">
        <v>0.49020000000000002</v>
      </c>
      <c r="H364" s="3108">
        <v>0.49020000000000002</v>
      </c>
      <c r="I364" s="3108">
        <v>0.41</v>
      </c>
      <c r="J364" s="3108">
        <v>0.41</v>
      </c>
      <c r="K364" s="3108">
        <v>0.41</v>
      </c>
      <c r="L364" s="3108">
        <v>0.41</v>
      </c>
      <c r="M364" s="3109">
        <v>0.41</v>
      </c>
    </row>
    <row r="365" spans="1:13">
      <c r="A365" s="3110">
        <v>9.6</v>
      </c>
      <c r="B365" s="3108">
        <v>0.66839999999999999</v>
      </c>
      <c r="C365" s="3108">
        <v>0.66839999999999999</v>
      </c>
      <c r="D365" s="3108">
        <v>0.60909999999999997</v>
      </c>
      <c r="E365" s="3108">
        <v>0.60909999999999997</v>
      </c>
      <c r="F365" s="3108">
        <v>0.60909999999999997</v>
      </c>
      <c r="G365" s="3108">
        <v>0.4884</v>
      </c>
      <c r="H365" s="3108">
        <v>0.4884</v>
      </c>
      <c r="I365" s="3108">
        <v>0.40810000000000002</v>
      </c>
      <c r="J365" s="3108">
        <v>0.40810000000000002</v>
      </c>
      <c r="K365" s="3108">
        <v>0.40810000000000002</v>
      </c>
      <c r="L365" s="3108">
        <v>0.40810000000000002</v>
      </c>
      <c r="M365" s="3109">
        <v>0.40810000000000002</v>
      </c>
    </row>
    <row r="366" spans="1:13">
      <c r="A366" s="3110">
        <v>9.6999999999999993</v>
      </c>
      <c r="B366" s="3108">
        <v>0.66720000000000002</v>
      </c>
      <c r="C366" s="3108">
        <v>0.66720000000000002</v>
      </c>
      <c r="D366" s="3108">
        <v>0.60750000000000004</v>
      </c>
      <c r="E366" s="3108">
        <v>0.60750000000000004</v>
      </c>
      <c r="F366" s="3108">
        <v>0.60750000000000004</v>
      </c>
      <c r="G366" s="3108">
        <v>0.48659999999999998</v>
      </c>
      <c r="H366" s="3108">
        <v>0.48659999999999998</v>
      </c>
      <c r="I366" s="3108">
        <v>0.40620000000000001</v>
      </c>
      <c r="J366" s="3108">
        <v>0.40620000000000001</v>
      </c>
      <c r="K366" s="3108">
        <v>0.40620000000000001</v>
      </c>
      <c r="L366" s="3108">
        <v>0.40620000000000001</v>
      </c>
      <c r="M366" s="3109">
        <v>0.40620000000000001</v>
      </c>
    </row>
    <row r="367" spans="1:13">
      <c r="A367" s="3110">
        <v>9.8000000000000007</v>
      </c>
      <c r="B367" s="3108">
        <v>0.66600000000000004</v>
      </c>
      <c r="C367" s="3108">
        <v>0.66600000000000004</v>
      </c>
      <c r="D367" s="3108">
        <v>0.60599999999999998</v>
      </c>
      <c r="E367" s="3108">
        <v>0.60599999999999998</v>
      </c>
      <c r="F367" s="3108">
        <v>0.60599999999999998</v>
      </c>
      <c r="G367" s="3108">
        <v>0.48480000000000001</v>
      </c>
      <c r="H367" s="3108">
        <v>0.48480000000000001</v>
      </c>
      <c r="I367" s="3108">
        <v>0.40429999999999999</v>
      </c>
      <c r="J367" s="3108">
        <v>0.40429999999999999</v>
      </c>
      <c r="K367" s="3108">
        <v>0.40429999999999999</v>
      </c>
      <c r="L367" s="3108">
        <v>0.40429999999999999</v>
      </c>
      <c r="M367" s="3109">
        <v>0.40429999999999999</v>
      </c>
    </row>
    <row r="368" spans="1:13" ht="14.25" thickBot="1">
      <c r="A368" s="3111">
        <v>9.9</v>
      </c>
      <c r="B368" s="3112">
        <v>0.66479999999999995</v>
      </c>
      <c r="C368" s="3112">
        <v>0.66479999999999995</v>
      </c>
      <c r="D368" s="3112">
        <v>0.60450000000000004</v>
      </c>
      <c r="E368" s="3112">
        <v>0.60450000000000004</v>
      </c>
      <c r="F368" s="3112">
        <v>0.60450000000000004</v>
      </c>
      <c r="G368" s="3112">
        <v>0.48299999999999998</v>
      </c>
      <c r="H368" s="3112">
        <v>0.48299999999999998</v>
      </c>
      <c r="I368" s="3112">
        <v>0.40239999999999998</v>
      </c>
      <c r="J368" s="3112">
        <v>0.40239999999999998</v>
      </c>
      <c r="K368" s="3112">
        <v>0.40239999999999998</v>
      </c>
      <c r="L368" s="3112">
        <v>0.40239999999999998</v>
      </c>
      <c r="M368" s="3113">
        <v>0.40239999999999998</v>
      </c>
    </row>
    <row r="369" spans="1:20" ht="15" thickBot="1">
      <c r="A369" s="3101" t="s">
        <v>2779</v>
      </c>
      <c r="B369" s="3114"/>
      <c r="C369" s="3114"/>
      <c r="D369" s="3114"/>
      <c r="E369" s="3114"/>
      <c r="F369" s="3114"/>
      <c r="G369" s="3114"/>
      <c r="H369" s="3114"/>
      <c r="I369" s="3114"/>
      <c r="J369" s="3114"/>
      <c r="K369" s="3114"/>
      <c r="L369" s="3114"/>
      <c r="M369" s="3114"/>
    </row>
    <row r="370" spans="1:20">
      <c r="A370" s="3102" t="s">
        <v>2775</v>
      </c>
      <c r="B370" s="3103" t="s">
        <v>2571</v>
      </c>
      <c r="C370" s="3103" t="s">
        <v>2572</v>
      </c>
      <c r="D370" s="3103" t="s">
        <v>2573</v>
      </c>
      <c r="E370" s="3103" t="s">
        <v>2574</v>
      </c>
      <c r="F370" s="3103" t="s">
        <v>2575</v>
      </c>
      <c r="G370" s="3103" t="s">
        <v>2576</v>
      </c>
      <c r="H370" s="3104" t="s">
        <v>2577</v>
      </c>
      <c r="I370" s="3104" t="s">
        <v>2578</v>
      </c>
      <c r="J370" s="3105" t="s">
        <v>2579</v>
      </c>
      <c r="K370" s="3105" t="s">
        <v>2580</v>
      </c>
      <c r="L370" s="3105" t="s">
        <v>2581</v>
      </c>
      <c r="M370" s="3106" t="s">
        <v>2582</v>
      </c>
      <c r="N370" s="750">
        <f>SUMPRODUCT((A371:A460=ROUNDDOWN(基准地价修正!G3,1))*(B370:M370=基准地价修正!G2)*(B371:M460))</f>
        <v>1.1565000000000001</v>
      </c>
      <c r="Q370" s="3116" t="s">
        <v>2780</v>
      </c>
      <c r="R370" s="3116" t="s">
        <v>2781</v>
      </c>
      <c r="S370" s="3116" t="s">
        <v>2782</v>
      </c>
      <c r="T370" s="3116" t="s">
        <v>2783</v>
      </c>
    </row>
    <row r="371" spans="1:20">
      <c r="A371" s="3107">
        <v>1</v>
      </c>
      <c r="B371" s="3108">
        <v>1.1839999999999999</v>
      </c>
      <c r="C371" s="3108">
        <v>1.1839999999999999</v>
      </c>
      <c r="D371" s="3108">
        <v>1.1565000000000001</v>
      </c>
      <c r="E371" s="3108">
        <v>1.1565000000000001</v>
      </c>
      <c r="F371" s="3108">
        <v>1.1565000000000001</v>
      </c>
      <c r="G371" s="3108">
        <v>1.1565000000000001</v>
      </c>
      <c r="H371" s="3108">
        <v>1.1565000000000001</v>
      </c>
      <c r="I371" s="3108">
        <v>1.1198999999999999</v>
      </c>
      <c r="J371" s="3108">
        <v>1.1198999999999999</v>
      </c>
      <c r="K371" s="3108">
        <v>1.1198999999999999</v>
      </c>
      <c r="L371" s="3108">
        <v>1.1198999999999999</v>
      </c>
      <c r="M371" s="3109">
        <v>1.1198999999999999</v>
      </c>
      <c r="Q371" s="3116">
        <v>10</v>
      </c>
      <c r="R371" s="3116">
        <f>ROUND(0.9404-0.0106*Q371,4)</f>
        <v>0.83440000000000003</v>
      </c>
      <c r="S371" s="3116">
        <f>ROUND(0.8955-0.0135*Q371,4)</f>
        <v>0.76049999999999995</v>
      </c>
      <c r="T371" s="3116">
        <f>ROUND(0.7632-0.0166*Q371,4)</f>
        <v>0.59719999999999995</v>
      </c>
    </row>
    <row r="372" spans="1:20">
      <c r="A372" s="3107">
        <v>1.1000000000000001</v>
      </c>
      <c r="B372" s="3108">
        <v>1.1658999999999999</v>
      </c>
      <c r="C372" s="3108">
        <v>1.1658999999999999</v>
      </c>
      <c r="D372" s="3108">
        <v>1.1364000000000001</v>
      </c>
      <c r="E372" s="3108">
        <v>1.1364000000000001</v>
      </c>
      <c r="F372" s="3108">
        <v>1.1364000000000001</v>
      </c>
      <c r="G372" s="3108">
        <v>1.1364000000000001</v>
      </c>
      <c r="H372" s="3108">
        <v>1.1364000000000001</v>
      </c>
      <c r="I372" s="3108">
        <v>1.0931</v>
      </c>
      <c r="J372" s="3108">
        <v>1.0931</v>
      </c>
      <c r="K372" s="3108">
        <v>1.0931</v>
      </c>
      <c r="L372" s="3108">
        <v>1.0931</v>
      </c>
      <c r="M372" s="3109">
        <v>1.0931</v>
      </c>
    </row>
    <row r="373" spans="1:20">
      <c r="A373" s="3107">
        <v>1.2</v>
      </c>
      <c r="B373" s="3108">
        <v>1.1489</v>
      </c>
      <c r="C373" s="3108">
        <v>1.1489</v>
      </c>
      <c r="D373" s="3108">
        <v>1.1174999999999999</v>
      </c>
      <c r="E373" s="3108">
        <v>1.1174999999999999</v>
      </c>
      <c r="F373" s="3108">
        <v>1.1174999999999999</v>
      </c>
      <c r="G373" s="3108">
        <v>1.1174999999999999</v>
      </c>
      <c r="H373" s="3108">
        <v>1.1174999999999999</v>
      </c>
      <c r="I373" s="3108">
        <v>1.0678000000000001</v>
      </c>
      <c r="J373" s="3108">
        <v>1.0678000000000001</v>
      </c>
      <c r="K373" s="3108">
        <v>1.0678000000000001</v>
      </c>
      <c r="L373" s="3108">
        <v>1.0678000000000001</v>
      </c>
      <c r="M373" s="3109">
        <v>1.0678000000000001</v>
      </c>
    </row>
    <row r="374" spans="1:20">
      <c r="A374" s="3107">
        <v>1.3</v>
      </c>
      <c r="B374" s="3108">
        <v>1.1328</v>
      </c>
      <c r="C374" s="3108">
        <v>1.1328</v>
      </c>
      <c r="D374" s="3108">
        <v>1.0995999999999999</v>
      </c>
      <c r="E374" s="3108">
        <v>1.0995999999999999</v>
      </c>
      <c r="F374" s="3108">
        <v>1.0995999999999999</v>
      </c>
      <c r="G374" s="3108">
        <v>1.0995999999999999</v>
      </c>
      <c r="H374" s="3108">
        <v>1.0995999999999999</v>
      </c>
      <c r="I374" s="3108">
        <v>1.044</v>
      </c>
      <c r="J374" s="3108">
        <v>1.044</v>
      </c>
      <c r="K374" s="3108">
        <v>1.044</v>
      </c>
      <c r="L374" s="3108">
        <v>1.044</v>
      </c>
      <c r="M374" s="3109">
        <v>1.044</v>
      </c>
    </row>
    <row r="375" spans="1:20">
      <c r="A375" s="3107">
        <v>1.4</v>
      </c>
      <c r="B375" s="3108">
        <v>1.1175999999999999</v>
      </c>
      <c r="C375" s="3108">
        <v>1.1175999999999999</v>
      </c>
      <c r="D375" s="3108">
        <v>1.0827</v>
      </c>
      <c r="E375" s="3108">
        <v>1.0827</v>
      </c>
      <c r="F375" s="3108">
        <v>1.0827</v>
      </c>
      <c r="G375" s="3108">
        <v>1.0827</v>
      </c>
      <c r="H375" s="3108">
        <v>1.0827</v>
      </c>
      <c r="I375" s="3108">
        <v>1.0214000000000001</v>
      </c>
      <c r="J375" s="3108">
        <v>1.0214000000000001</v>
      </c>
      <c r="K375" s="3108">
        <v>1.0214000000000001</v>
      </c>
      <c r="L375" s="3108">
        <v>1.0214000000000001</v>
      </c>
      <c r="M375" s="3109">
        <v>1.0214000000000001</v>
      </c>
    </row>
    <row r="376" spans="1:20">
      <c r="A376" s="3107">
        <v>1.5</v>
      </c>
      <c r="B376" s="3108">
        <v>1.1032999999999999</v>
      </c>
      <c r="C376" s="3108">
        <v>1.1032999999999999</v>
      </c>
      <c r="D376" s="3108">
        <v>1.0668</v>
      </c>
      <c r="E376" s="3108">
        <v>1.0668</v>
      </c>
      <c r="F376" s="3108">
        <v>1.0668</v>
      </c>
      <c r="G376" s="3108">
        <v>1.0668</v>
      </c>
      <c r="H376" s="3108">
        <v>1.0668</v>
      </c>
      <c r="I376" s="3108">
        <v>1</v>
      </c>
      <c r="J376" s="3108">
        <v>1</v>
      </c>
      <c r="K376" s="3108">
        <v>1</v>
      </c>
      <c r="L376" s="3108">
        <v>1</v>
      </c>
      <c r="M376" s="3109">
        <v>1</v>
      </c>
    </row>
    <row r="377" spans="1:20">
      <c r="A377" s="3107">
        <v>1.6</v>
      </c>
      <c r="B377" s="3108">
        <v>1.0899000000000001</v>
      </c>
      <c r="C377" s="3108">
        <v>1.0899000000000001</v>
      </c>
      <c r="D377" s="3108">
        <v>1.0517000000000001</v>
      </c>
      <c r="E377" s="3108">
        <v>1.0517000000000001</v>
      </c>
      <c r="F377" s="3108">
        <v>1.0517000000000001</v>
      </c>
      <c r="G377" s="3108">
        <v>1.0517000000000001</v>
      </c>
      <c r="H377" s="3108">
        <v>1.0517000000000001</v>
      </c>
      <c r="I377" s="3108">
        <v>0.97989999999999999</v>
      </c>
      <c r="J377" s="3108">
        <v>0.97989999999999999</v>
      </c>
      <c r="K377" s="3108">
        <v>0.97989999999999999</v>
      </c>
      <c r="L377" s="3108">
        <v>0.97989999999999999</v>
      </c>
      <c r="M377" s="3109">
        <v>0.97989999999999999</v>
      </c>
    </row>
    <row r="378" spans="1:20">
      <c r="A378" s="3107">
        <v>1.7</v>
      </c>
      <c r="B378" s="3108">
        <v>1.0771999999999999</v>
      </c>
      <c r="C378" s="3108">
        <v>1.0771999999999999</v>
      </c>
      <c r="D378" s="3108">
        <v>1.0376000000000001</v>
      </c>
      <c r="E378" s="3108">
        <v>1.0376000000000001</v>
      </c>
      <c r="F378" s="3108">
        <v>1.0376000000000001</v>
      </c>
      <c r="G378" s="3108">
        <v>1.0376000000000001</v>
      </c>
      <c r="H378" s="3108">
        <v>1.0376000000000001</v>
      </c>
      <c r="I378" s="3108">
        <v>0.96089999999999998</v>
      </c>
      <c r="J378" s="3108">
        <v>0.96089999999999998</v>
      </c>
      <c r="K378" s="3108">
        <v>0.96089999999999998</v>
      </c>
      <c r="L378" s="3108">
        <v>0.96089999999999998</v>
      </c>
      <c r="M378" s="3109">
        <v>0.96089999999999998</v>
      </c>
    </row>
    <row r="379" spans="1:20">
      <c r="A379" s="3107">
        <v>1.8</v>
      </c>
      <c r="B379" s="3108">
        <v>1.0652999999999999</v>
      </c>
      <c r="C379" s="3108">
        <v>1.0652999999999999</v>
      </c>
      <c r="D379" s="3108">
        <v>1.0243</v>
      </c>
      <c r="E379" s="3108">
        <v>1.0243</v>
      </c>
      <c r="F379" s="3108">
        <v>1.0243</v>
      </c>
      <c r="G379" s="3108">
        <v>1.0243</v>
      </c>
      <c r="H379" s="3108">
        <v>1.0243</v>
      </c>
      <c r="I379" s="3108">
        <v>0.94299999999999995</v>
      </c>
      <c r="J379" s="3108">
        <v>0.94299999999999995</v>
      </c>
      <c r="K379" s="3108">
        <v>0.94299999999999995</v>
      </c>
      <c r="L379" s="3108">
        <v>0.94299999999999995</v>
      </c>
      <c r="M379" s="3109">
        <v>0.94299999999999995</v>
      </c>
    </row>
    <row r="380" spans="1:20">
      <c r="A380" s="3107">
        <v>1.9</v>
      </c>
      <c r="B380" s="3108">
        <v>1.054</v>
      </c>
      <c r="C380" s="3108">
        <v>1.054</v>
      </c>
      <c r="D380" s="3108">
        <v>1.0118</v>
      </c>
      <c r="E380" s="3108">
        <v>1.0118</v>
      </c>
      <c r="F380" s="3108">
        <v>1.0118</v>
      </c>
      <c r="G380" s="3108">
        <v>1.0118</v>
      </c>
      <c r="H380" s="3108">
        <v>1.0118</v>
      </c>
      <c r="I380" s="3108">
        <v>0.92620000000000002</v>
      </c>
      <c r="J380" s="3108">
        <v>0.92620000000000002</v>
      </c>
      <c r="K380" s="3108">
        <v>0.92620000000000002</v>
      </c>
      <c r="L380" s="3108">
        <v>0.92620000000000002</v>
      </c>
      <c r="M380" s="3109">
        <v>0.92620000000000002</v>
      </c>
    </row>
    <row r="381" spans="1:20">
      <c r="A381" s="3107">
        <v>2</v>
      </c>
      <c r="B381" s="3108">
        <v>1.0435000000000001</v>
      </c>
      <c r="C381" s="3108">
        <v>1.0435000000000001</v>
      </c>
      <c r="D381" s="3108">
        <v>1</v>
      </c>
      <c r="E381" s="3108">
        <v>1</v>
      </c>
      <c r="F381" s="3108">
        <v>1</v>
      </c>
      <c r="G381" s="3108">
        <v>1</v>
      </c>
      <c r="H381" s="3108">
        <v>1</v>
      </c>
      <c r="I381" s="3108">
        <v>0.9103</v>
      </c>
      <c r="J381" s="3108">
        <v>0.9103</v>
      </c>
      <c r="K381" s="3108">
        <v>0.9103</v>
      </c>
      <c r="L381" s="3108">
        <v>0.9103</v>
      </c>
      <c r="M381" s="3109">
        <v>0.9103</v>
      </c>
    </row>
    <row r="382" spans="1:20">
      <c r="A382" s="3110">
        <v>2.1</v>
      </c>
      <c r="B382" s="3108">
        <v>1.0336000000000001</v>
      </c>
      <c r="C382" s="3108">
        <v>1.0336000000000001</v>
      </c>
      <c r="D382" s="3108">
        <v>0.98899999999999999</v>
      </c>
      <c r="E382" s="3108">
        <v>0.98899999999999999</v>
      </c>
      <c r="F382" s="3108">
        <v>0.98899999999999999</v>
      </c>
      <c r="G382" s="3108">
        <v>0.98899999999999999</v>
      </c>
      <c r="H382" s="3108">
        <v>0.98899999999999999</v>
      </c>
      <c r="I382" s="3108">
        <v>0.89539999999999997</v>
      </c>
      <c r="J382" s="3108">
        <v>0.89539999999999997</v>
      </c>
      <c r="K382" s="3108">
        <v>0.89539999999999997</v>
      </c>
      <c r="L382" s="3108">
        <v>0.89539999999999997</v>
      </c>
      <c r="M382" s="3109">
        <v>0.89539999999999997</v>
      </c>
    </row>
    <row r="383" spans="1:20">
      <c r="A383" s="3110">
        <v>2.2000000000000002</v>
      </c>
      <c r="B383" s="3108">
        <v>1.0243</v>
      </c>
      <c r="C383" s="3108">
        <v>1.0243</v>
      </c>
      <c r="D383" s="3108">
        <v>0.97860000000000003</v>
      </c>
      <c r="E383" s="3108">
        <v>0.97860000000000003</v>
      </c>
      <c r="F383" s="3108">
        <v>0.97860000000000003</v>
      </c>
      <c r="G383" s="3108">
        <v>0.97860000000000003</v>
      </c>
      <c r="H383" s="3108">
        <v>0.97860000000000003</v>
      </c>
      <c r="I383" s="3108">
        <v>0.88139999999999996</v>
      </c>
      <c r="J383" s="3108">
        <v>0.88139999999999996</v>
      </c>
      <c r="K383" s="3108">
        <v>0.88139999999999996</v>
      </c>
      <c r="L383" s="3108">
        <v>0.88139999999999996</v>
      </c>
      <c r="M383" s="3109">
        <v>0.88139999999999996</v>
      </c>
    </row>
    <row r="384" spans="1:20">
      <c r="A384" s="3110">
        <v>2.2999999999999998</v>
      </c>
      <c r="B384" s="3108">
        <v>1.0157</v>
      </c>
      <c r="C384" s="3108">
        <v>1.0157</v>
      </c>
      <c r="D384" s="3108">
        <v>0.96889999999999998</v>
      </c>
      <c r="E384" s="3108">
        <v>0.96889999999999998</v>
      </c>
      <c r="F384" s="3108">
        <v>0.96889999999999998</v>
      </c>
      <c r="G384" s="3108">
        <v>0.96889999999999998</v>
      </c>
      <c r="H384" s="3108">
        <v>0.96889999999999998</v>
      </c>
      <c r="I384" s="3108">
        <v>0.86819999999999997</v>
      </c>
      <c r="J384" s="3108">
        <v>0.86819999999999997</v>
      </c>
      <c r="K384" s="3108">
        <v>0.86819999999999997</v>
      </c>
      <c r="L384" s="3108">
        <v>0.86819999999999997</v>
      </c>
      <c r="M384" s="3109">
        <v>0.86819999999999997</v>
      </c>
    </row>
    <row r="385" spans="1:13">
      <c r="A385" s="3110">
        <v>2.4</v>
      </c>
      <c r="B385" s="3108">
        <v>1.0076000000000001</v>
      </c>
      <c r="C385" s="3108">
        <v>1.0076000000000001</v>
      </c>
      <c r="D385" s="3108">
        <v>0.95979999999999999</v>
      </c>
      <c r="E385" s="3108">
        <v>0.95979999999999999</v>
      </c>
      <c r="F385" s="3108">
        <v>0.95979999999999999</v>
      </c>
      <c r="G385" s="3108">
        <v>0.95979999999999999</v>
      </c>
      <c r="H385" s="3108">
        <v>0.95979999999999999</v>
      </c>
      <c r="I385" s="3108">
        <v>0.85580000000000001</v>
      </c>
      <c r="J385" s="3108">
        <v>0.85580000000000001</v>
      </c>
      <c r="K385" s="3108">
        <v>0.85580000000000001</v>
      </c>
      <c r="L385" s="3108">
        <v>0.85580000000000001</v>
      </c>
      <c r="M385" s="3109">
        <v>0.85580000000000001</v>
      </c>
    </row>
    <row r="386" spans="1:13">
      <c r="A386" s="3110">
        <v>2.5</v>
      </c>
      <c r="B386" s="3108">
        <v>1</v>
      </c>
      <c r="C386" s="3108">
        <v>1</v>
      </c>
      <c r="D386" s="3108">
        <v>0.95120000000000005</v>
      </c>
      <c r="E386" s="3108">
        <v>0.95120000000000005</v>
      </c>
      <c r="F386" s="3108">
        <v>0.95120000000000005</v>
      </c>
      <c r="G386" s="3108">
        <v>0.95120000000000005</v>
      </c>
      <c r="H386" s="3108">
        <v>0.95120000000000005</v>
      </c>
      <c r="I386" s="3108">
        <v>0.84419999999999995</v>
      </c>
      <c r="J386" s="3108">
        <v>0.84419999999999995</v>
      </c>
      <c r="K386" s="3108">
        <v>0.84419999999999995</v>
      </c>
      <c r="L386" s="3108">
        <v>0.84419999999999995</v>
      </c>
      <c r="M386" s="3109">
        <v>0.84419999999999995</v>
      </c>
    </row>
    <row r="387" spans="1:13">
      <c r="A387" s="3110">
        <v>2.6</v>
      </c>
      <c r="B387" s="3108">
        <v>0.9929</v>
      </c>
      <c r="C387" s="3108">
        <v>0.9929</v>
      </c>
      <c r="D387" s="3108">
        <v>0.94320000000000004</v>
      </c>
      <c r="E387" s="3108">
        <v>0.94320000000000004</v>
      </c>
      <c r="F387" s="3108">
        <v>0.94320000000000004</v>
      </c>
      <c r="G387" s="3108">
        <v>0.94320000000000004</v>
      </c>
      <c r="H387" s="3108">
        <v>0.94320000000000004</v>
      </c>
      <c r="I387" s="3108">
        <v>0.83330000000000004</v>
      </c>
      <c r="J387" s="3108">
        <v>0.83330000000000004</v>
      </c>
      <c r="K387" s="3108">
        <v>0.83330000000000004</v>
      </c>
      <c r="L387" s="3108">
        <v>0.83330000000000004</v>
      </c>
      <c r="M387" s="3109">
        <v>0.83330000000000004</v>
      </c>
    </row>
    <row r="388" spans="1:13">
      <c r="A388" s="3110">
        <v>2.7</v>
      </c>
      <c r="B388" s="3108">
        <v>0.98629999999999995</v>
      </c>
      <c r="C388" s="3108">
        <v>0.98629999999999995</v>
      </c>
      <c r="D388" s="3108">
        <v>0.93569999999999998</v>
      </c>
      <c r="E388" s="3108">
        <v>0.93569999999999998</v>
      </c>
      <c r="F388" s="3108">
        <v>0.93569999999999998</v>
      </c>
      <c r="G388" s="3108">
        <v>0.93569999999999998</v>
      </c>
      <c r="H388" s="3108">
        <v>0.93569999999999998</v>
      </c>
      <c r="I388" s="3108">
        <v>0.82320000000000004</v>
      </c>
      <c r="J388" s="3108">
        <v>0.82320000000000004</v>
      </c>
      <c r="K388" s="3108">
        <v>0.82320000000000004</v>
      </c>
      <c r="L388" s="3108">
        <v>0.82320000000000004</v>
      </c>
      <c r="M388" s="3109">
        <v>0.82320000000000004</v>
      </c>
    </row>
    <row r="389" spans="1:13">
      <c r="A389" s="3110">
        <v>2.8</v>
      </c>
      <c r="B389" s="3108">
        <v>0.98009999999999997</v>
      </c>
      <c r="C389" s="3108">
        <v>0.98009999999999997</v>
      </c>
      <c r="D389" s="3108">
        <v>0.92879999999999996</v>
      </c>
      <c r="E389" s="3108">
        <v>0.92879999999999996</v>
      </c>
      <c r="F389" s="3108">
        <v>0.92879999999999996</v>
      </c>
      <c r="G389" s="3108">
        <v>0.92879999999999996</v>
      </c>
      <c r="H389" s="3108">
        <v>0.92879999999999996</v>
      </c>
      <c r="I389" s="3108">
        <v>0.81359999999999999</v>
      </c>
      <c r="J389" s="3108">
        <v>0.81359999999999999</v>
      </c>
      <c r="K389" s="3108">
        <v>0.81359999999999999</v>
      </c>
      <c r="L389" s="3108">
        <v>0.81359999999999999</v>
      </c>
      <c r="M389" s="3109">
        <v>0.81359999999999999</v>
      </c>
    </row>
    <row r="390" spans="1:13">
      <c r="A390" s="3110">
        <v>2.9</v>
      </c>
      <c r="B390" s="3108">
        <v>0.97430000000000005</v>
      </c>
      <c r="C390" s="3108">
        <v>0.97430000000000005</v>
      </c>
      <c r="D390" s="3108">
        <v>0.92220000000000002</v>
      </c>
      <c r="E390" s="3108">
        <v>0.92220000000000002</v>
      </c>
      <c r="F390" s="3108">
        <v>0.92220000000000002</v>
      </c>
      <c r="G390" s="3108">
        <v>0.92220000000000002</v>
      </c>
      <c r="H390" s="3108">
        <v>0.92220000000000002</v>
      </c>
      <c r="I390" s="3108">
        <v>0.80459999999999998</v>
      </c>
      <c r="J390" s="3108">
        <v>0.80459999999999998</v>
      </c>
      <c r="K390" s="3108">
        <v>0.80459999999999998</v>
      </c>
      <c r="L390" s="3108">
        <v>0.80459999999999998</v>
      </c>
      <c r="M390" s="3109">
        <v>0.80459999999999998</v>
      </c>
    </row>
    <row r="391" spans="1:13">
      <c r="A391" s="3110">
        <v>3</v>
      </c>
      <c r="B391" s="3108">
        <v>0.96889999999999998</v>
      </c>
      <c r="C391" s="3108">
        <v>0.96889999999999998</v>
      </c>
      <c r="D391" s="3108">
        <v>0.91610000000000003</v>
      </c>
      <c r="E391" s="3108">
        <v>0.91610000000000003</v>
      </c>
      <c r="F391" s="3108">
        <v>0.91610000000000003</v>
      </c>
      <c r="G391" s="3108">
        <v>0.91610000000000003</v>
      </c>
      <c r="H391" s="3108">
        <v>0.91610000000000003</v>
      </c>
      <c r="I391" s="3108">
        <v>0.79620000000000002</v>
      </c>
      <c r="J391" s="3108">
        <v>0.79620000000000002</v>
      </c>
      <c r="K391" s="3108">
        <v>0.79620000000000002</v>
      </c>
      <c r="L391" s="3108">
        <v>0.79620000000000002</v>
      </c>
      <c r="M391" s="3109">
        <v>0.79620000000000002</v>
      </c>
    </row>
    <row r="392" spans="1:13">
      <c r="A392" s="3110">
        <v>3.1</v>
      </c>
      <c r="B392" s="3108">
        <v>0.96389999999999998</v>
      </c>
      <c r="C392" s="3108">
        <v>0.96389999999999998</v>
      </c>
      <c r="D392" s="3108">
        <v>0.91039999999999999</v>
      </c>
      <c r="E392" s="3108">
        <v>0.91039999999999999</v>
      </c>
      <c r="F392" s="3108">
        <v>0.91039999999999999</v>
      </c>
      <c r="G392" s="3108">
        <v>0.91039999999999999</v>
      </c>
      <c r="H392" s="3108">
        <v>0.91039999999999999</v>
      </c>
      <c r="I392" s="3108">
        <v>0.7883</v>
      </c>
      <c r="J392" s="3108">
        <v>0.7883</v>
      </c>
      <c r="K392" s="3108">
        <v>0.7883</v>
      </c>
      <c r="L392" s="3108">
        <v>0.7883</v>
      </c>
      <c r="M392" s="3109">
        <v>0.7883</v>
      </c>
    </row>
    <row r="393" spans="1:13">
      <c r="A393" s="3110">
        <v>3.2</v>
      </c>
      <c r="B393" s="3108">
        <v>0.95930000000000004</v>
      </c>
      <c r="C393" s="3108">
        <v>0.95930000000000004</v>
      </c>
      <c r="D393" s="3108">
        <v>0.9052</v>
      </c>
      <c r="E393" s="3108">
        <v>0.9052</v>
      </c>
      <c r="F393" s="3108">
        <v>0.9052</v>
      </c>
      <c r="G393" s="3108">
        <v>0.9052</v>
      </c>
      <c r="H393" s="3108">
        <v>0.9052</v>
      </c>
      <c r="I393" s="3108">
        <v>0.78090000000000004</v>
      </c>
      <c r="J393" s="3108">
        <v>0.78090000000000004</v>
      </c>
      <c r="K393" s="3108">
        <v>0.78090000000000004</v>
      </c>
      <c r="L393" s="3108">
        <v>0.78090000000000004</v>
      </c>
      <c r="M393" s="3109">
        <v>0.78090000000000004</v>
      </c>
    </row>
    <row r="394" spans="1:13">
      <c r="A394" s="3110">
        <v>3.3</v>
      </c>
      <c r="B394" s="3108">
        <v>0.95489999999999997</v>
      </c>
      <c r="C394" s="3108">
        <v>0.95489999999999997</v>
      </c>
      <c r="D394" s="3108">
        <v>0.9002</v>
      </c>
      <c r="E394" s="3108">
        <v>0.9002</v>
      </c>
      <c r="F394" s="3108">
        <v>0.9002</v>
      </c>
      <c r="G394" s="3108">
        <v>0.9002</v>
      </c>
      <c r="H394" s="3108">
        <v>0.9002</v>
      </c>
      <c r="I394" s="3108">
        <v>0.77410000000000001</v>
      </c>
      <c r="J394" s="3108">
        <v>0.77410000000000001</v>
      </c>
      <c r="K394" s="3108">
        <v>0.77410000000000001</v>
      </c>
      <c r="L394" s="3108">
        <v>0.77410000000000001</v>
      </c>
      <c r="M394" s="3109">
        <v>0.77410000000000001</v>
      </c>
    </row>
    <row r="395" spans="1:13">
      <c r="A395" s="3110">
        <v>3.4</v>
      </c>
      <c r="B395" s="3108">
        <v>0.95089999999999997</v>
      </c>
      <c r="C395" s="3108">
        <v>0.95089999999999997</v>
      </c>
      <c r="D395" s="3108">
        <v>0.89559999999999995</v>
      </c>
      <c r="E395" s="3108">
        <v>0.89559999999999995</v>
      </c>
      <c r="F395" s="3108">
        <v>0.89559999999999995</v>
      </c>
      <c r="G395" s="3108">
        <v>0.89559999999999995</v>
      </c>
      <c r="H395" s="3108">
        <v>0.89559999999999995</v>
      </c>
      <c r="I395" s="3108">
        <v>0.76759999999999995</v>
      </c>
      <c r="J395" s="3108">
        <v>0.76759999999999995</v>
      </c>
      <c r="K395" s="3108">
        <v>0.76759999999999995</v>
      </c>
      <c r="L395" s="3108">
        <v>0.76759999999999995</v>
      </c>
      <c r="M395" s="3109">
        <v>0.76759999999999995</v>
      </c>
    </row>
    <row r="396" spans="1:13">
      <c r="A396" s="3110">
        <v>3.5</v>
      </c>
      <c r="B396" s="3108">
        <v>0.94710000000000005</v>
      </c>
      <c r="C396" s="3108">
        <v>0.94710000000000005</v>
      </c>
      <c r="D396" s="3108">
        <v>0.89129999999999998</v>
      </c>
      <c r="E396" s="3108">
        <v>0.89129999999999998</v>
      </c>
      <c r="F396" s="3108">
        <v>0.89129999999999998</v>
      </c>
      <c r="G396" s="3108">
        <v>0.89129999999999998</v>
      </c>
      <c r="H396" s="3108">
        <v>0.89129999999999998</v>
      </c>
      <c r="I396" s="3108">
        <v>0.76160000000000005</v>
      </c>
      <c r="J396" s="3108">
        <v>0.76160000000000005</v>
      </c>
      <c r="K396" s="3108">
        <v>0.76160000000000005</v>
      </c>
      <c r="L396" s="3108">
        <v>0.76160000000000005</v>
      </c>
      <c r="M396" s="3109">
        <v>0.76160000000000005</v>
      </c>
    </row>
    <row r="397" spans="1:13">
      <c r="A397" s="3110">
        <v>3.6</v>
      </c>
      <c r="B397" s="3108">
        <v>0.94359999999999999</v>
      </c>
      <c r="C397" s="3108">
        <v>0.94359999999999999</v>
      </c>
      <c r="D397" s="3108">
        <v>0.88729999999999998</v>
      </c>
      <c r="E397" s="3108">
        <v>0.88729999999999998</v>
      </c>
      <c r="F397" s="3108">
        <v>0.88729999999999998</v>
      </c>
      <c r="G397" s="3108">
        <v>0.88729999999999998</v>
      </c>
      <c r="H397" s="3108">
        <v>0.88729999999999998</v>
      </c>
      <c r="I397" s="3108">
        <v>0.75590000000000002</v>
      </c>
      <c r="J397" s="3108">
        <v>0.75590000000000002</v>
      </c>
      <c r="K397" s="3108">
        <v>0.75590000000000002</v>
      </c>
      <c r="L397" s="3108">
        <v>0.75590000000000002</v>
      </c>
      <c r="M397" s="3109">
        <v>0.75590000000000002</v>
      </c>
    </row>
    <row r="398" spans="1:13">
      <c r="A398" s="3110">
        <v>3.7</v>
      </c>
      <c r="B398" s="3108">
        <v>0.94040000000000001</v>
      </c>
      <c r="C398" s="3108">
        <v>0.94040000000000001</v>
      </c>
      <c r="D398" s="3108">
        <v>0.88349999999999995</v>
      </c>
      <c r="E398" s="3108">
        <v>0.88349999999999995</v>
      </c>
      <c r="F398" s="3108">
        <v>0.88349999999999995</v>
      </c>
      <c r="G398" s="3108">
        <v>0.88349999999999995</v>
      </c>
      <c r="H398" s="3108">
        <v>0.88349999999999995</v>
      </c>
      <c r="I398" s="3108">
        <v>0.75070000000000003</v>
      </c>
      <c r="J398" s="3108">
        <v>0.75070000000000003</v>
      </c>
      <c r="K398" s="3108">
        <v>0.75070000000000003</v>
      </c>
      <c r="L398" s="3108">
        <v>0.75070000000000003</v>
      </c>
      <c r="M398" s="3109">
        <v>0.75070000000000003</v>
      </c>
    </row>
    <row r="399" spans="1:13">
      <c r="A399" s="3110">
        <v>3.8</v>
      </c>
      <c r="B399" s="3108">
        <v>0.93740000000000001</v>
      </c>
      <c r="C399" s="3108">
        <v>0.93740000000000001</v>
      </c>
      <c r="D399" s="3108">
        <v>0.88009999999999999</v>
      </c>
      <c r="E399" s="3108">
        <v>0.88009999999999999</v>
      </c>
      <c r="F399" s="3108">
        <v>0.88009999999999999</v>
      </c>
      <c r="G399" s="3108">
        <v>0.88009999999999999</v>
      </c>
      <c r="H399" s="3108">
        <v>0.88009999999999999</v>
      </c>
      <c r="I399" s="3108">
        <v>0.74570000000000003</v>
      </c>
      <c r="J399" s="3108">
        <v>0.74570000000000003</v>
      </c>
      <c r="K399" s="3108">
        <v>0.74570000000000003</v>
      </c>
      <c r="L399" s="3108">
        <v>0.74570000000000003</v>
      </c>
      <c r="M399" s="3109">
        <v>0.74570000000000003</v>
      </c>
    </row>
    <row r="400" spans="1:13">
      <c r="A400" s="3110">
        <v>3.9</v>
      </c>
      <c r="B400" s="3108">
        <v>0.93459999999999999</v>
      </c>
      <c r="C400" s="3108">
        <v>0.93459999999999999</v>
      </c>
      <c r="D400" s="3108">
        <v>0.87680000000000002</v>
      </c>
      <c r="E400" s="3108">
        <v>0.87680000000000002</v>
      </c>
      <c r="F400" s="3108">
        <v>0.87680000000000002</v>
      </c>
      <c r="G400" s="3108">
        <v>0.87680000000000002</v>
      </c>
      <c r="H400" s="3108">
        <v>0.87680000000000002</v>
      </c>
      <c r="I400" s="3108">
        <v>0.74109999999999998</v>
      </c>
      <c r="J400" s="3108">
        <v>0.74109999999999998</v>
      </c>
      <c r="K400" s="3108">
        <v>0.74109999999999998</v>
      </c>
      <c r="L400" s="3108">
        <v>0.74109999999999998</v>
      </c>
      <c r="M400" s="3109">
        <v>0.74109999999999998</v>
      </c>
    </row>
    <row r="401" spans="1:13">
      <c r="A401" s="3110">
        <v>4</v>
      </c>
      <c r="B401" s="3108">
        <v>0.93179999999999996</v>
      </c>
      <c r="C401" s="3108">
        <v>0.93179999999999996</v>
      </c>
      <c r="D401" s="3108">
        <v>0.87380000000000002</v>
      </c>
      <c r="E401" s="3108">
        <v>0.87380000000000002</v>
      </c>
      <c r="F401" s="3108">
        <v>0.87380000000000002</v>
      </c>
      <c r="G401" s="3108">
        <v>0.87380000000000002</v>
      </c>
      <c r="H401" s="3108">
        <v>0.87380000000000002</v>
      </c>
      <c r="I401" s="3108">
        <v>0.73680000000000001</v>
      </c>
      <c r="J401" s="3108">
        <v>0.73680000000000001</v>
      </c>
      <c r="K401" s="3108">
        <v>0.73680000000000001</v>
      </c>
      <c r="L401" s="3108">
        <v>0.73680000000000001</v>
      </c>
      <c r="M401" s="3109">
        <v>0.73680000000000001</v>
      </c>
    </row>
    <row r="402" spans="1:13">
      <c r="A402" s="3110">
        <v>4.0999999999999996</v>
      </c>
      <c r="B402" s="3108">
        <v>0.92920000000000003</v>
      </c>
      <c r="C402" s="3108">
        <v>0.92920000000000003</v>
      </c>
      <c r="D402" s="3108">
        <v>0.87090000000000001</v>
      </c>
      <c r="E402" s="3108">
        <v>0.87090000000000001</v>
      </c>
      <c r="F402" s="3108">
        <v>0.87090000000000001</v>
      </c>
      <c r="G402" s="3108">
        <v>0.87090000000000001</v>
      </c>
      <c r="H402" s="3108">
        <v>0.87090000000000001</v>
      </c>
      <c r="I402" s="3108">
        <v>0.73270000000000002</v>
      </c>
      <c r="J402" s="3108">
        <v>0.73270000000000002</v>
      </c>
      <c r="K402" s="3108">
        <v>0.73270000000000002</v>
      </c>
      <c r="L402" s="3108">
        <v>0.73270000000000002</v>
      </c>
      <c r="M402" s="3109">
        <v>0.73270000000000002</v>
      </c>
    </row>
    <row r="403" spans="1:13">
      <c r="A403" s="3110">
        <v>4.2</v>
      </c>
      <c r="B403" s="3108">
        <v>0.92659999999999998</v>
      </c>
      <c r="C403" s="3108">
        <v>0.92659999999999998</v>
      </c>
      <c r="D403" s="3108">
        <v>0.86819999999999997</v>
      </c>
      <c r="E403" s="3108">
        <v>0.86819999999999997</v>
      </c>
      <c r="F403" s="3108">
        <v>0.86819999999999997</v>
      </c>
      <c r="G403" s="3108">
        <v>0.86819999999999997</v>
      </c>
      <c r="H403" s="3108">
        <v>0.86819999999999997</v>
      </c>
      <c r="I403" s="3108">
        <v>0.7288</v>
      </c>
      <c r="J403" s="3108">
        <v>0.7288</v>
      </c>
      <c r="K403" s="3108">
        <v>0.7288</v>
      </c>
      <c r="L403" s="3108">
        <v>0.7288</v>
      </c>
      <c r="M403" s="3109">
        <v>0.7288</v>
      </c>
    </row>
    <row r="404" spans="1:13">
      <c r="A404" s="3110">
        <v>4.3</v>
      </c>
      <c r="B404" s="3108">
        <v>0.92410000000000003</v>
      </c>
      <c r="C404" s="3108">
        <v>0.92410000000000003</v>
      </c>
      <c r="D404" s="3108">
        <v>0.86550000000000005</v>
      </c>
      <c r="E404" s="3108">
        <v>0.86550000000000005</v>
      </c>
      <c r="F404" s="3108">
        <v>0.86550000000000005</v>
      </c>
      <c r="G404" s="3108">
        <v>0.86550000000000005</v>
      </c>
      <c r="H404" s="3108">
        <v>0.86550000000000005</v>
      </c>
      <c r="I404" s="3108">
        <v>0.72509999999999997</v>
      </c>
      <c r="J404" s="3108">
        <v>0.72509999999999997</v>
      </c>
      <c r="K404" s="3108">
        <v>0.72509999999999997</v>
      </c>
      <c r="L404" s="3108">
        <v>0.72509999999999997</v>
      </c>
      <c r="M404" s="3109">
        <v>0.72509999999999997</v>
      </c>
    </row>
    <row r="405" spans="1:13">
      <c r="A405" s="3110">
        <v>4.4000000000000004</v>
      </c>
      <c r="B405" s="3108">
        <v>0.92179999999999995</v>
      </c>
      <c r="C405" s="3108">
        <v>0.92179999999999995</v>
      </c>
      <c r="D405" s="3108">
        <v>0.8629</v>
      </c>
      <c r="E405" s="3108">
        <v>0.8629</v>
      </c>
      <c r="F405" s="3108">
        <v>0.8629</v>
      </c>
      <c r="G405" s="3108">
        <v>0.8629</v>
      </c>
      <c r="H405" s="3108">
        <v>0.8629</v>
      </c>
      <c r="I405" s="3108">
        <v>0.72150000000000003</v>
      </c>
      <c r="J405" s="3108">
        <v>0.72150000000000003</v>
      </c>
      <c r="K405" s="3108">
        <v>0.72150000000000003</v>
      </c>
      <c r="L405" s="3108">
        <v>0.72150000000000003</v>
      </c>
      <c r="M405" s="3109">
        <v>0.72150000000000003</v>
      </c>
    </row>
    <row r="406" spans="1:13">
      <c r="A406" s="3110">
        <v>4.5</v>
      </c>
      <c r="B406" s="3108">
        <v>0.91949999999999998</v>
      </c>
      <c r="C406" s="3108">
        <v>0.91949999999999998</v>
      </c>
      <c r="D406" s="3108">
        <v>0.86050000000000004</v>
      </c>
      <c r="E406" s="3108">
        <v>0.86050000000000004</v>
      </c>
      <c r="F406" s="3108">
        <v>0.86050000000000004</v>
      </c>
      <c r="G406" s="3108">
        <v>0.86050000000000004</v>
      </c>
      <c r="H406" s="3108">
        <v>0.86050000000000004</v>
      </c>
      <c r="I406" s="3108">
        <v>0.71819999999999995</v>
      </c>
      <c r="J406" s="3108">
        <v>0.71819999999999995</v>
      </c>
      <c r="K406" s="3108">
        <v>0.71819999999999995</v>
      </c>
      <c r="L406" s="3108">
        <v>0.71819999999999995</v>
      </c>
      <c r="M406" s="3109">
        <v>0.71819999999999995</v>
      </c>
    </row>
    <row r="407" spans="1:13">
      <c r="A407" s="3110">
        <v>4.5999999999999996</v>
      </c>
      <c r="B407" s="3108">
        <v>0.9173</v>
      </c>
      <c r="C407" s="3108">
        <v>0.9173</v>
      </c>
      <c r="D407" s="3108">
        <v>0.85809999999999997</v>
      </c>
      <c r="E407" s="3108">
        <v>0.85809999999999997</v>
      </c>
      <c r="F407" s="3108">
        <v>0.85809999999999997</v>
      </c>
      <c r="G407" s="3108">
        <v>0.85809999999999997</v>
      </c>
      <c r="H407" s="3108">
        <v>0.85809999999999997</v>
      </c>
      <c r="I407" s="3108">
        <v>0.71499999999999997</v>
      </c>
      <c r="J407" s="3108">
        <v>0.71499999999999997</v>
      </c>
      <c r="K407" s="3108">
        <v>0.71499999999999997</v>
      </c>
      <c r="L407" s="3108">
        <v>0.71499999999999997</v>
      </c>
      <c r="M407" s="3109">
        <v>0.71499999999999997</v>
      </c>
    </row>
    <row r="408" spans="1:13">
      <c r="A408" s="3110">
        <v>4.7</v>
      </c>
      <c r="B408" s="3108">
        <v>0.91520000000000001</v>
      </c>
      <c r="C408" s="3108">
        <v>0.91520000000000001</v>
      </c>
      <c r="D408" s="3108">
        <v>0.85570000000000002</v>
      </c>
      <c r="E408" s="3108">
        <v>0.85570000000000002</v>
      </c>
      <c r="F408" s="3108">
        <v>0.85570000000000002</v>
      </c>
      <c r="G408" s="3108">
        <v>0.85570000000000002</v>
      </c>
      <c r="H408" s="3108">
        <v>0.85570000000000002</v>
      </c>
      <c r="I408" s="3108">
        <v>0.71199999999999997</v>
      </c>
      <c r="J408" s="3108">
        <v>0.71199999999999997</v>
      </c>
      <c r="K408" s="3108">
        <v>0.71199999999999997</v>
      </c>
      <c r="L408" s="3108">
        <v>0.71199999999999997</v>
      </c>
      <c r="M408" s="3109">
        <v>0.71199999999999997</v>
      </c>
    </row>
    <row r="409" spans="1:13">
      <c r="A409" s="3110">
        <v>4.8</v>
      </c>
      <c r="B409" s="3108">
        <v>0.91310000000000002</v>
      </c>
      <c r="C409" s="3108">
        <v>0.91310000000000002</v>
      </c>
      <c r="D409" s="3108">
        <v>0.85340000000000005</v>
      </c>
      <c r="E409" s="3108">
        <v>0.85340000000000005</v>
      </c>
      <c r="F409" s="3108">
        <v>0.85340000000000005</v>
      </c>
      <c r="G409" s="3108">
        <v>0.85340000000000005</v>
      </c>
      <c r="H409" s="3108">
        <v>0.85340000000000005</v>
      </c>
      <c r="I409" s="3108">
        <v>0.70909999999999995</v>
      </c>
      <c r="J409" s="3108">
        <v>0.70909999999999995</v>
      </c>
      <c r="K409" s="3108">
        <v>0.70909999999999995</v>
      </c>
      <c r="L409" s="3108">
        <v>0.70909999999999995</v>
      </c>
      <c r="M409" s="3109">
        <v>0.70909999999999995</v>
      </c>
    </row>
    <row r="410" spans="1:13">
      <c r="A410" s="3110">
        <v>4.9000000000000004</v>
      </c>
      <c r="B410" s="3108">
        <v>0.91120000000000001</v>
      </c>
      <c r="C410" s="3108">
        <v>0.91120000000000001</v>
      </c>
      <c r="D410" s="3108">
        <v>0.85109999999999997</v>
      </c>
      <c r="E410" s="3108">
        <v>0.85109999999999997</v>
      </c>
      <c r="F410" s="3108">
        <v>0.85109999999999997</v>
      </c>
      <c r="G410" s="3108">
        <v>0.85109999999999997</v>
      </c>
      <c r="H410" s="3108">
        <v>0.85109999999999997</v>
      </c>
      <c r="I410" s="3108">
        <v>0.70620000000000005</v>
      </c>
      <c r="J410" s="3108">
        <v>0.70620000000000005</v>
      </c>
      <c r="K410" s="3108">
        <v>0.70620000000000005</v>
      </c>
      <c r="L410" s="3108">
        <v>0.70620000000000005</v>
      </c>
      <c r="M410" s="3109">
        <v>0.70620000000000005</v>
      </c>
    </row>
    <row r="411" spans="1:13">
      <c r="A411" s="3110">
        <v>5</v>
      </c>
      <c r="B411" s="3108">
        <v>0.90920000000000001</v>
      </c>
      <c r="C411" s="3108">
        <v>0.90920000000000001</v>
      </c>
      <c r="D411" s="3108">
        <v>0.84889999999999999</v>
      </c>
      <c r="E411" s="3108">
        <v>0.84889999999999999</v>
      </c>
      <c r="F411" s="3108">
        <v>0.84889999999999999</v>
      </c>
      <c r="G411" s="3108">
        <v>0.84889999999999999</v>
      </c>
      <c r="H411" s="3108">
        <v>0.84889999999999999</v>
      </c>
      <c r="I411" s="3108">
        <v>0.70350000000000001</v>
      </c>
      <c r="J411" s="3108">
        <v>0.70350000000000001</v>
      </c>
      <c r="K411" s="3108">
        <v>0.70350000000000001</v>
      </c>
      <c r="L411" s="3108">
        <v>0.70350000000000001</v>
      </c>
      <c r="M411" s="3109">
        <v>0.70350000000000001</v>
      </c>
    </row>
    <row r="412" spans="1:13">
      <c r="A412" s="3107">
        <v>5.0999999999999996</v>
      </c>
      <c r="B412" s="3108">
        <v>0.90720000000000001</v>
      </c>
      <c r="C412" s="3108">
        <v>0.90720000000000001</v>
      </c>
      <c r="D412" s="3108">
        <v>0.84670000000000001</v>
      </c>
      <c r="E412" s="3108">
        <v>0.84670000000000001</v>
      </c>
      <c r="F412" s="3108">
        <v>0.84670000000000001</v>
      </c>
      <c r="G412" s="3108">
        <v>0.84670000000000001</v>
      </c>
      <c r="H412" s="3108">
        <v>0.84670000000000001</v>
      </c>
      <c r="I412" s="3108">
        <v>0.70089999999999997</v>
      </c>
      <c r="J412" s="3108">
        <v>0.70089999999999997</v>
      </c>
      <c r="K412" s="3108">
        <v>0.70089999999999997</v>
      </c>
      <c r="L412" s="3108">
        <v>0.70089999999999997</v>
      </c>
      <c r="M412" s="3109">
        <v>0.70089999999999997</v>
      </c>
    </row>
    <row r="413" spans="1:13">
      <c r="A413" s="3107">
        <v>5.2</v>
      </c>
      <c r="B413" s="3108">
        <v>0.90529999999999999</v>
      </c>
      <c r="C413" s="3108">
        <v>0.90529999999999999</v>
      </c>
      <c r="D413" s="3108">
        <v>0.84450000000000003</v>
      </c>
      <c r="E413" s="3108">
        <v>0.84450000000000003</v>
      </c>
      <c r="F413" s="3108">
        <v>0.84450000000000003</v>
      </c>
      <c r="G413" s="3108">
        <v>0.84450000000000003</v>
      </c>
      <c r="H413" s="3108">
        <v>0.84450000000000003</v>
      </c>
      <c r="I413" s="3108">
        <v>0.69820000000000004</v>
      </c>
      <c r="J413" s="3108">
        <v>0.69820000000000004</v>
      </c>
      <c r="K413" s="3108">
        <v>0.69820000000000004</v>
      </c>
      <c r="L413" s="3108">
        <v>0.69820000000000004</v>
      </c>
      <c r="M413" s="3109">
        <v>0.69820000000000004</v>
      </c>
    </row>
    <row r="414" spans="1:13">
      <c r="A414" s="3107">
        <v>5.3</v>
      </c>
      <c r="B414" s="3108">
        <v>0.90339999999999998</v>
      </c>
      <c r="C414" s="3108">
        <v>0.90339999999999998</v>
      </c>
      <c r="D414" s="3108">
        <v>0.84230000000000005</v>
      </c>
      <c r="E414" s="3108">
        <v>0.84230000000000005</v>
      </c>
      <c r="F414" s="3108">
        <v>0.84230000000000005</v>
      </c>
      <c r="G414" s="3108">
        <v>0.84230000000000005</v>
      </c>
      <c r="H414" s="3108">
        <v>0.84230000000000005</v>
      </c>
      <c r="I414" s="3108">
        <v>0.69569999999999999</v>
      </c>
      <c r="J414" s="3108">
        <v>0.69569999999999999</v>
      </c>
      <c r="K414" s="3108">
        <v>0.69569999999999999</v>
      </c>
      <c r="L414" s="3108">
        <v>0.69569999999999999</v>
      </c>
      <c r="M414" s="3109">
        <v>0.69569999999999999</v>
      </c>
    </row>
    <row r="415" spans="1:13">
      <c r="A415" s="3107">
        <v>5.4</v>
      </c>
      <c r="B415" s="3108">
        <v>0.90149999999999997</v>
      </c>
      <c r="C415" s="3108">
        <v>0.90149999999999997</v>
      </c>
      <c r="D415" s="3108">
        <v>0.84019999999999995</v>
      </c>
      <c r="E415" s="3108">
        <v>0.84019999999999995</v>
      </c>
      <c r="F415" s="3108">
        <v>0.84019999999999995</v>
      </c>
      <c r="G415" s="3108">
        <v>0.84019999999999995</v>
      </c>
      <c r="H415" s="3108">
        <v>0.84019999999999995</v>
      </c>
      <c r="I415" s="3108">
        <v>0.69310000000000005</v>
      </c>
      <c r="J415" s="3108">
        <v>0.69310000000000005</v>
      </c>
      <c r="K415" s="3108">
        <v>0.69310000000000005</v>
      </c>
      <c r="L415" s="3108">
        <v>0.69310000000000005</v>
      </c>
      <c r="M415" s="3109">
        <v>0.69310000000000005</v>
      </c>
    </row>
    <row r="416" spans="1:13">
      <c r="A416" s="3107">
        <v>5.5</v>
      </c>
      <c r="B416" s="3108">
        <v>0.89959999999999996</v>
      </c>
      <c r="C416" s="3108">
        <v>0.89959999999999996</v>
      </c>
      <c r="D416" s="3108">
        <v>0.83809999999999996</v>
      </c>
      <c r="E416" s="3108">
        <v>0.83809999999999996</v>
      </c>
      <c r="F416" s="3108">
        <v>0.83809999999999996</v>
      </c>
      <c r="G416" s="3108">
        <v>0.83809999999999996</v>
      </c>
      <c r="H416" s="3108">
        <v>0.83809999999999996</v>
      </c>
      <c r="I416" s="3108">
        <v>0.69059999999999999</v>
      </c>
      <c r="J416" s="3108">
        <v>0.69059999999999999</v>
      </c>
      <c r="K416" s="3108">
        <v>0.69059999999999999</v>
      </c>
      <c r="L416" s="3108">
        <v>0.69059999999999999</v>
      </c>
      <c r="M416" s="3109">
        <v>0.69059999999999999</v>
      </c>
    </row>
    <row r="417" spans="1:13">
      <c r="A417" s="3107">
        <v>5.6</v>
      </c>
      <c r="B417" s="3108">
        <v>0.89780000000000004</v>
      </c>
      <c r="C417" s="3108">
        <v>0.89780000000000004</v>
      </c>
      <c r="D417" s="3108">
        <v>0.83599999999999997</v>
      </c>
      <c r="E417" s="3108">
        <v>0.83599999999999997</v>
      </c>
      <c r="F417" s="3108">
        <v>0.83599999999999997</v>
      </c>
      <c r="G417" s="3108">
        <v>0.83599999999999997</v>
      </c>
      <c r="H417" s="3108">
        <v>0.83599999999999997</v>
      </c>
      <c r="I417" s="3108">
        <v>0.68810000000000004</v>
      </c>
      <c r="J417" s="3108">
        <v>0.68810000000000004</v>
      </c>
      <c r="K417" s="3108">
        <v>0.68810000000000004</v>
      </c>
      <c r="L417" s="3108">
        <v>0.68810000000000004</v>
      </c>
      <c r="M417" s="3109">
        <v>0.68810000000000004</v>
      </c>
    </row>
    <row r="418" spans="1:13">
      <c r="A418" s="3110">
        <v>5.7</v>
      </c>
      <c r="B418" s="3108">
        <v>0.89600000000000002</v>
      </c>
      <c r="C418" s="3108">
        <v>0.89600000000000002</v>
      </c>
      <c r="D418" s="3108">
        <v>0.83389999999999997</v>
      </c>
      <c r="E418" s="3108">
        <v>0.83389999999999997</v>
      </c>
      <c r="F418" s="3108">
        <v>0.83389999999999997</v>
      </c>
      <c r="G418" s="3108">
        <v>0.83389999999999997</v>
      </c>
      <c r="H418" s="3108">
        <v>0.83389999999999997</v>
      </c>
      <c r="I418" s="3108">
        <v>0.68569999999999998</v>
      </c>
      <c r="J418" s="3108">
        <v>0.68569999999999998</v>
      </c>
      <c r="K418" s="3108">
        <v>0.68569999999999998</v>
      </c>
      <c r="L418" s="3108">
        <v>0.68569999999999998</v>
      </c>
      <c r="M418" s="3109">
        <v>0.68569999999999998</v>
      </c>
    </row>
    <row r="419" spans="1:13">
      <c r="A419" s="3107">
        <v>5.8</v>
      </c>
      <c r="B419" s="3108">
        <v>0.89419999999999999</v>
      </c>
      <c r="C419" s="3108">
        <v>0.89419999999999999</v>
      </c>
      <c r="D419" s="3108">
        <v>0.83189999999999997</v>
      </c>
      <c r="E419" s="3108">
        <v>0.83189999999999997</v>
      </c>
      <c r="F419" s="3108">
        <v>0.83189999999999997</v>
      </c>
      <c r="G419" s="3108">
        <v>0.83189999999999997</v>
      </c>
      <c r="H419" s="3108">
        <v>0.83189999999999997</v>
      </c>
      <c r="I419" s="3108">
        <v>0.68320000000000003</v>
      </c>
      <c r="J419" s="3108">
        <v>0.68320000000000003</v>
      </c>
      <c r="K419" s="3108">
        <v>0.68320000000000003</v>
      </c>
      <c r="L419" s="3108">
        <v>0.68320000000000003</v>
      </c>
      <c r="M419" s="3109">
        <v>0.68320000000000003</v>
      </c>
    </row>
    <row r="420" spans="1:13">
      <c r="A420" s="3107">
        <v>5.9</v>
      </c>
      <c r="B420" s="3108">
        <v>0.89239999999999997</v>
      </c>
      <c r="C420" s="3108">
        <v>0.89239999999999997</v>
      </c>
      <c r="D420" s="3108">
        <v>0.82989999999999997</v>
      </c>
      <c r="E420" s="3108">
        <v>0.82989999999999997</v>
      </c>
      <c r="F420" s="3108">
        <v>0.82989999999999997</v>
      </c>
      <c r="G420" s="3108">
        <v>0.82989999999999997</v>
      </c>
      <c r="H420" s="3108">
        <v>0.82989999999999997</v>
      </c>
      <c r="I420" s="3108">
        <v>0.68069999999999997</v>
      </c>
      <c r="J420" s="3108">
        <v>0.68069999999999997</v>
      </c>
      <c r="K420" s="3108">
        <v>0.68069999999999997</v>
      </c>
      <c r="L420" s="3108">
        <v>0.68069999999999997</v>
      </c>
      <c r="M420" s="3109">
        <v>0.68069999999999997</v>
      </c>
    </row>
    <row r="421" spans="1:13">
      <c r="A421" s="3107">
        <v>6</v>
      </c>
      <c r="B421" s="3108">
        <v>0.89070000000000005</v>
      </c>
      <c r="C421" s="3108">
        <v>0.89070000000000005</v>
      </c>
      <c r="D421" s="3108">
        <v>0.82789999999999997</v>
      </c>
      <c r="E421" s="3108">
        <v>0.82789999999999997</v>
      </c>
      <c r="F421" s="3108">
        <v>0.82789999999999997</v>
      </c>
      <c r="G421" s="3108">
        <v>0.82789999999999997</v>
      </c>
      <c r="H421" s="3108">
        <v>0.82789999999999997</v>
      </c>
      <c r="I421" s="3108">
        <v>0.6784</v>
      </c>
      <c r="J421" s="3108">
        <v>0.6784</v>
      </c>
      <c r="K421" s="3108">
        <v>0.6784</v>
      </c>
      <c r="L421" s="3108">
        <v>0.6784</v>
      </c>
      <c r="M421" s="3109">
        <v>0.6784</v>
      </c>
    </row>
    <row r="422" spans="1:13">
      <c r="A422" s="3107">
        <v>6.1</v>
      </c>
      <c r="B422" s="3108">
        <v>0.88900000000000001</v>
      </c>
      <c r="C422" s="3108">
        <v>0.88900000000000001</v>
      </c>
      <c r="D422" s="3108">
        <v>0.82589999999999997</v>
      </c>
      <c r="E422" s="3108">
        <v>0.82589999999999997</v>
      </c>
      <c r="F422" s="3108">
        <v>0.82589999999999997</v>
      </c>
      <c r="G422" s="3108">
        <v>0.82589999999999997</v>
      </c>
      <c r="H422" s="3108">
        <v>0.82589999999999997</v>
      </c>
      <c r="I422" s="3108">
        <v>0.67600000000000005</v>
      </c>
      <c r="J422" s="3108">
        <v>0.67600000000000005</v>
      </c>
      <c r="K422" s="3108">
        <v>0.67600000000000005</v>
      </c>
      <c r="L422" s="3108">
        <v>0.67600000000000005</v>
      </c>
      <c r="M422" s="3109">
        <v>0.67600000000000005</v>
      </c>
    </row>
    <row r="423" spans="1:13">
      <c r="A423" s="3107">
        <v>6.2</v>
      </c>
      <c r="B423" s="3108">
        <v>0.88729999999999998</v>
      </c>
      <c r="C423" s="3108">
        <v>0.88729999999999998</v>
      </c>
      <c r="D423" s="3108">
        <v>0.82389999999999997</v>
      </c>
      <c r="E423" s="3108">
        <v>0.82389999999999997</v>
      </c>
      <c r="F423" s="3108">
        <v>0.82389999999999997</v>
      </c>
      <c r="G423" s="3108">
        <v>0.82389999999999997</v>
      </c>
      <c r="H423" s="3108">
        <v>0.82389999999999997</v>
      </c>
      <c r="I423" s="3108">
        <v>0.67359999999999998</v>
      </c>
      <c r="J423" s="3108">
        <v>0.67359999999999998</v>
      </c>
      <c r="K423" s="3108">
        <v>0.67359999999999998</v>
      </c>
      <c r="L423" s="3108">
        <v>0.67359999999999998</v>
      </c>
      <c r="M423" s="3109">
        <v>0.67359999999999998</v>
      </c>
    </row>
    <row r="424" spans="1:13">
      <c r="A424" s="3107">
        <v>6.3</v>
      </c>
      <c r="B424" s="3108">
        <v>0.88560000000000005</v>
      </c>
      <c r="C424" s="3108">
        <v>0.88560000000000005</v>
      </c>
      <c r="D424" s="3108">
        <v>0.82189999999999996</v>
      </c>
      <c r="E424" s="3108">
        <v>0.82189999999999996</v>
      </c>
      <c r="F424" s="3108">
        <v>0.82189999999999996</v>
      </c>
      <c r="G424" s="3108">
        <v>0.82189999999999996</v>
      </c>
      <c r="H424" s="3108">
        <v>0.82189999999999996</v>
      </c>
      <c r="I424" s="3108">
        <v>0.67130000000000001</v>
      </c>
      <c r="J424" s="3108">
        <v>0.67130000000000001</v>
      </c>
      <c r="K424" s="3108">
        <v>0.67130000000000001</v>
      </c>
      <c r="L424" s="3108">
        <v>0.67130000000000001</v>
      </c>
      <c r="M424" s="3109">
        <v>0.67130000000000001</v>
      </c>
    </row>
    <row r="425" spans="1:13">
      <c r="A425" s="3107">
        <v>6.4</v>
      </c>
      <c r="B425" s="3108">
        <v>0.88390000000000002</v>
      </c>
      <c r="C425" s="3108">
        <v>0.88390000000000002</v>
      </c>
      <c r="D425" s="3108">
        <v>0.82</v>
      </c>
      <c r="E425" s="3108">
        <v>0.82</v>
      </c>
      <c r="F425" s="3108">
        <v>0.82</v>
      </c>
      <c r="G425" s="3108">
        <v>0.82</v>
      </c>
      <c r="H425" s="3108">
        <v>0.82</v>
      </c>
      <c r="I425" s="3108">
        <v>0.66890000000000005</v>
      </c>
      <c r="J425" s="3108">
        <v>0.66890000000000005</v>
      </c>
      <c r="K425" s="3108">
        <v>0.66890000000000005</v>
      </c>
      <c r="L425" s="3108">
        <v>0.66890000000000005</v>
      </c>
      <c r="M425" s="3109">
        <v>0.66890000000000005</v>
      </c>
    </row>
    <row r="426" spans="1:13">
      <c r="A426" s="3107">
        <v>6.5</v>
      </c>
      <c r="B426" s="3108">
        <v>0.88229999999999997</v>
      </c>
      <c r="C426" s="3108">
        <v>0.88229999999999997</v>
      </c>
      <c r="D426" s="3108">
        <v>0.81810000000000005</v>
      </c>
      <c r="E426" s="3108">
        <v>0.81810000000000005</v>
      </c>
      <c r="F426" s="3108">
        <v>0.81810000000000005</v>
      </c>
      <c r="G426" s="3108">
        <v>0.81810000000000005</v>
      </c>
      <c r="H426" s="3108">
        <v>0.81810000000000005</v>
      </c>
      <c r="I426" s="3108">
        <v>0.66659999999999997</v>
      </c>
      <c r="J426" s="3108">
        <v>0.66659999999999997</v>
      </c>
      <c r="K426" s="3108">
        <v>0.66659999999999997</v>
      </c>
      <c r="L426" s="3108">
        <v>0.66659999999999997</v>
      </c>
      <c r="M426" s="3109">
        <v>0.66659999999999997</v>
      </c>
    </row>
    <row r="427" spans="1:13">
      <c r="A427" s="3107">
        <v>6.6</v>
      </c>
      <c r="B427" s="3108">
        <v>0.88070000000000004</v>
      </c>
      <c r="C427" s="3108">
        <v>0.88070000000000004</v>
      </c>
      <c r="D427" s="3108">
        <v>0.81620000000000004</v>
      </c>
      <c r="E427" s="3108">
        <v>0.81620000000000004</v>
      </c>
      <c r="F427" s="3108">
        <v>0.81620000000000004</v>
      </c>
      <c r="G427" s="3108">
        <v>0.81620000000000004</v>
      </c>
      <c r="H427" s="3108">
        <v>0.81620000000000004</v>
      </c>
      <c r="I427" s="3108">
        <v>0.66439999999999999</v>
      </c>
      <c r="J427" s="3108">
        <v>0.66439999999999999</v>
      </c>
      <c r="K427" s="3108">
        <v>0.66439999999999999</v>
      </c>
      <c r="L427" s="3108">
        <v>0.66439999999999999</v>
      </c>
      <c r="M427" s="3109">
        <v>0.66439999999999999</v>
      </c>
    </row>
    <row r="428" spans="1:13">
      <c r="A428" s="3107">
        <v>6.7</v>
      </c>
      <c r="B428" s="3108">
        <v>0.879</v>
      </c>
      <c r="C428" s="3108">
        <v>0.879</v>
      </c>
      <c r="D428" s="3108">
        <v>0.81430000000000002</v>
      </c>
      <c r="E428" s="3108">
        <v>0.81430000000000002</v>
      </c>
      <c r="F428" s="3108">
        <v>0.81430000000000002</v>
      </c>
      <c r="G428" s="3108">
        <v>0.81430000000000002</v>
      </c>
      <c r="H428" s="3108">
        <v>0.81430000000000002</v>
      </c>
      <c r="I428" s="3108">
        <v>0.66210000000000002</v>
      </c>
      <c r="J428" s="3108">
        <v>0.66210000000000002</v>
      </c>
      <c r="K428" s="3108">
        <v>0.66210000000000002</v>
      </c>
      <c r="L428" s="3108">
        <v>0.66210000000000002</v>
      </c>
      <c r="M428" s="3109">
        <v>0.66210000000000002</v>
      </c>
    </row>
    <row r="429" spans="1:13">
      <c r="A429" s="3107">
        <v>6.8</v>
      </c>
      <c r="B429" s="3108">
        <v>0.87739999999999996</v>
      </c>
      <c r="C429" s="3108">
        <v>0.87739999999999996</v>
      </c>
      <c r="D429" s="3108">
        <v>0.81240000000000001</v>
      </c>
      <c r="E429" s="3108">
        <v>0.81240000000000001</v>
      </c>
      <c r="F429" s="3108">
        <v>0.81240000000000001</v>
      </c>
      <c r="G429" s="3108">
        <v>0.81240000000000001</v>
      </c>
      <c r="H429" s="3108">
        <v>0.81240000000000001</v>
      </c>
      <c r="I429" s="3108">
        <v>0.65980000000000005</v>
      </c>
      <c r="J429" s="3108">
        <v>0.65980000000000005</v>
      </c>
      <c r="K429" s="3108">
        <v>0.65980000000000005</v>
      </c>
      <c r="L429" s="3108">
        <v>0.65980000000000005</v>
      </c>
      <c r="M429" s="3109">
        <v>0.65980000000000005</v>
      </c>
    </row>
    <row r="430" spans="1:13">
      <c r="A430" s="3107">
        <v>6.9</v>
      </c>
      <c r="B430" s="3108">
        <v>0.87580000000000002</v>
      </c>
      <c r="C430" s="3108">
        <v>0.87580000000000002</v>
      </c>
      <c r="D430" s="3108">
        <v>0.8105</v>
      </c>
      <c r="E430" s="3108">
        <v>0.8105</v>
      </c>
      <c r="F430" s="3108">
        <v>0.8105</v>
      </c>
      <c r="G430" s="3108">
        <v>0.8105</v>
      </c>
      <c r="H430" s="3108">
        <v>0.8105</v>
      </c>
      <c r="I430" s="3108">
        <v>0.65749999999999997</v>
      </c>
      <c r="J430" s="3108">
        <v>0.65749999999999997</v>
      </c>
      <c r="K430" s="3108">
        <v>0.65749999999999997</v>
      </c>
      <c r="L430" s="3108">
        <v>0.65749999999999997</v>
      </c>
      <c r="M430" s="3109">
        <v>0.65749999999999997</v>
      </c>
    </row>
    <row r="431" spans="1:13">
      <c r="A431" s="3107">
        <v>7</v>
      </c>
      <c r="B431" s="3108">
        <v>0.87419999999999998</v>
      </c>
      <c r="C431" s="3108">
        <v>0.87419999999999998</v>
      </c>
      <c r="D431" s="3108">
        <v>0.80869999999999997</v>
      </c>
      <c r="E431" s="3108">
        <v>0.80869999999999997</v>
      </c>
      <c r="F431" s="3108">
        <v>0.80869999999999997</v>
      </c>
      <c r="G431" s="3108">
        <v>0.80869999999999997</v>
      </c>
      <c r="H431" s="3108">
        <v>0.80869999999999997</v>
      </c>
      <c r="I431" s="3108">
        <v>0.65529999999999999</v>
      </c>
      <c r="J431" s="3108">
        <v>0.65529999999999999</v>
      </c>
      <c r="K431" s="3108">
        <v>0.65529999999999999</v>
      </c>
      <c r="L431" s="3108">
        <v>0.65529999999999999</v>
      </c>
      <c r="M431" s="3109">
        <v>0.65529999999999999</v>
      </c>
    </row>
    <row r="432" spans="1:13">
      <c r="A432" s="3107">
        <v>7.1</v>
      </c>
      <c r="B432" s="3108">
        <v>0.87270000000000003</v>
      </c>
      <c r="C432" s="3108">
        <v>0.87270000000000003</v>
      </c>
      <c r="D432" s="3108">
        <v>0.80689999999999995</v>
      </c>
      <c r="E432" s="3108">
        <v>0.80689999999999995</v>
      </c>
      <c r="F432" s="3108">
        <v>0.80689999999999995</v>
      </c>
      <c r="G432" s="3108">
        <v>0.80689999999999995</v>
      </c>
      <c r="H432" s="3108">
        <v>0.80689999999999995</v>
      </c>
      <c r="I432" s="3108">
        <v>0.6532</v>
      </c>
      <c r="J432" s="3108">
        <v>0.6532</v>
      </c>
      <c r="K432" s="3108">
        <v>0.6532</v>
      </c>
      <c r="L432" s="3108">
        <v>0.6532</v>
      </c>
      <c r="M432" s="3109">
        <v>0.6532</v>
      </c>
    </row>
    <row r="433" spans="1:13">
      <c r="A433" s="3107">
        <v>7.2</v>
      </c>
      <c r="B433" s="3108">
        <v>0.87119999999999997</v>
      </c>
      <c r="C433" s="3108">
        <v>0.87119999999999997</v>
      </c>
      <c r="D433" s="3108">
        <v>0.80510000000000004</v>
      </c>
      <c r="E433" s="3108">
        <v>0.80510000000000004</v>
      </c>
      <c r="F433" s="3108">
        <v>0.80510000000000004</v>
      </c>
      <c r="G433" s="3108">
        <v>0.80510000000000004</v>
      </c>
      <c r="H433" s="3108">
        <v>0.80510000000000004</v>
      </c>
      <c r="I433" s="3108">
        <v>0.65100000000000002</v>
      </c>
      <c r="J433" s="3108">
        <v>0.65100000000000002</v>
      </c>
      <c r="K433" s="3108">
        <v>0.65100000000000002</v>
      </c>
      <c r="L433" s="3108">
        <v>0.65100000000000002</v>
      </c>
      <c r="M433" s="3109">
        <v>0.65100000000000002</v>
      </c>
    </row>
    <row r="434" spans="1:13">
      <c r="A434" s="3107">
        <v>7.3</v>
      </c>
      <c r="B434" s="3108">
        <v>0.86970000000000003</v>
      </c>
      <c r="C434" s="3108">
        <v>0.86970000000000003</v>
      </c>
      <c r="D434" s="3108">
        <v>0.80330000000000001</v>
      </c>
      <c r="E434" s="3108">
        <v>0.80330000000000001</v>
      </c>
      <c r="F434" s="3108">
        <v>0.80330000000000001</v>
      </c>
      <c r="G434" s="3108">
        <v>0.80330000000000001</v>
      </c>
      <c r="H434" s="3108">
        <v>0.80330000000000001</v>
      </c>
      <c r="I434" s="3108">
        <v>0.64880000000000004</v>
      </c>
      <c r="J434" s="3108">
        <v>0.64880000000000004</v>
      </c>
      <c r="K434" s="3108">
        <v>0.64880000000000004</v>
      </c>
      <c r="L434" s="3108">
        <v>0.64880000000000004</v>
      </c>
      <c r="M434" s="3109">
        <v>0.64880000000000004</v>
      </c>
    </row>
    <row r="435" spans="1:13">
      <c r="A435" s="3107">
        <v>7.4</v>
      </c>
      <c r="B435" s="3108">
        <v>0.86819999999999997</v>
      </c>
      <c r="C435" s="3108">
        <v>0.86819999999999997</v>
      </c>
      <c r="D435" s="3108">
        <v>0.80149999999999999</v>
      </c>
      <c r="E435" s="3108">
        <v>0.80149999999999999</v>
      </c>
      <c r="F435" s="3108">
        <v>0.80149999999999999</v>
      </c>
      <c r="G435" s="3108">
        <v>0.80149999999999999</v>
      </c>
      <c r="H435" s="3108">
        <v>0.80149999999999999</v>
      </c>
      <c r="I435" s="3108">
        <v>0.64659999999999995</v>
      </c>
      <c r="J435" s="3108">
        <v>0.64659999999999995</v>
      </c>
      <c r="K435" s="3108">
        <v>0.64659999999999995</v>
      </c>
      <c r="L435" s="3108">
        <v>0.64659999999999995</v>
      </c>
      <c r="M435" s="3109">
        <v>0.64659999999999995</v>
      </c>
    </row>
    <row r="436" spans="1:13">
      <c r="A436" s="3107">
        <v>7.5</v>
      </c>
      <c r="B436" s="3108">
        <v>0.86660000000000004</v>
      </c>
      <c r="C436" s="3108">
        <v>0.86660000000000004</v>
      </c>
      <c r="D436" s="3108">
        <v>0.79969999999999997</v>
      </c>
      <c r="E436" s="3108">
        <v>0.79969999999999997</v>
      </c>
      <c r="F436" s="3108">
        <v>0.79969999999999997</v>
      </c>
      <c r="G436" s="3108">
        <v>0.79969999999999997</v>
      </c>
      <c r="H436" s="3108">
        <v>0.79969999999999997</v>
      </c>
      <c r="I436" s="3108">
        <v>0.64449999999999996</v>
      </c>
      <c r="J436" s="3108">
        <v>0.64449999999999996</v>
      </c>
      <c r="K436" s="3108">
        <v>0.64449999999999996</v>
      </c>
      <c r="L436" s="3108">
        <v>0.64449999999999996</v>
      </c>
      <c r="M436" s="3109">
        <v>0.64449999999999996</v>
      </c>
    </row>
    <row r="437" spans="1:13">
      <c r="A437" s="3107">
        <v>7.6</v>
      </c>
      <c r="B437" s="3108">
        <v>0.86509999999999998</v>
      </c>
      <c r="C437" s="3108">
        <v>0.86509999999999998</v>
      </c>
      <c r="D437" s="3108">
        <v>0.79800000000000004</v>
      </c>
      <c r="E437" s="3108">
        <v>0.79800000000000004</v>
      </c>
      <c r="F437" s="3108">
        <v>0.79800000000000004</v>
      </c>
      <c r="G437" s="3108">
        <v>0.79800000000000004</v>
      </c>
      <c r="H437" s="3108">
        <v>0.79800000000000004</v>
      </c>
      <c r="I437" s="3108">
        <v>0.64239999999999997</v>
      </c>
      <c r="J437" s="3108">
        <v>0.64239999999999997</v>
      </c>
      <c r="K437" s="3108">
        <v>0.64239999999999997</v>
      </c>
      <c r="L437" s="3108">
        <v>0.64239999999999997</v>
      </c>
      <c r="M437" s="3109">
        <v>0.64239999999999997</v>
      </c>
    </row>
    <row r="438" spans="1:13">
      <c r="A438" s="3107">
        <v>7.7</v>
      </c>
      <c r="B438" s="3108">
        <v>0.86370000000000002</v>
      </c>
      <c r="C438" s="3108">
        <v>0.86370000000000002</v>
      </c>
      <c r="D438" s="3108">
        <v>0.79630000000000001</v>
      </c>
      <c r="E438" s="3108">
        <v>0.79630000000000001</v>
      </c>
      <c r="F438" s="3108">
        <v>0.79630000000000001</v>
      </c>
      <c r="G438" s="3108">
        <v>0.79630000000000001</v>
      </c>
      <c r="H438" s="3108">
        <v>0.79630000000000001</v>
      </c>
      <c r="I438" s="3108">
        <v>0.64029999999999998</v>
      </c>
      <c r="J438" s="3108">
        <v>0.64029999999999998</v>
      </c>
      <c r="K438" s="3108">
        <v>0.64029999999999998</v>
      </c>
      <c r="L438" s="3108">
        <v>0.64029999999999998</v>
      </c>
      <c r="M438" s="3109">
        <v>0.64029999999999998</v>
      </c>
    </row>
    <row r="439" spans="1:13">
      <c r="A439" s="3107">
        <v>7.8</v>
      </c>
      <c r="B439" s="3108">
        <v>0.86229999999999996</v>
      </c>
      <c r="C439" s="3108">
        <v>0.86229999999999996</v>
      </c>
      <c r="D439" s="3108">
        <v>0.79449999999999998</v>
      </c>
      <c r="E439" s="3108">
        <v>0.79449999999999998</v>
      </c>
      <c r="F439" s="3108">
        <v>0.79449999999999998</v>
      </c>
      <c r="G439" s="3108">
        <v>0.79449999999999998</v>
      </c>
      <c r="H439" s="3108">
        <v>0.79449999999999998</v>
      </c>
      <c r="I439" s="3108">
        <v>0.63819999999999999</v>
      </c>
      <c r="J439" s="3108">
        <v>0.63819999999999999</v>
      </c>
      <c r="K439" s="3108">
        <v>0.63819999999999999</v>
      </c>
      <c r="L439" s="3108">
        <v>0.63819999999999999</v>
      </c>
      <c r="M439" s="3109">
        <v>0.63819999999999999</v>
      </c>
    </row>
    <row r="440" spans="1:13">
      <c r="A440" s="3107">
        <v>7.9</v>
      </c>
      <c r="B440" s="3108">
        <v>0.8609</v>
      </c>
      <c r="C440" s="3108">
        <v>0.8609</v>
      </c>
      <c r="D440" s="3108">
        <v>0.79279999999999995</v>
      </c>
      <c r="E440" s="3108">
        <v>0.79279999999999995</v>
      </c>
      <c r="F440" s="3108">
        <v>0.79279999999999995</v>
      </c>
      <c r="G440" s="3108">
        <v>0.79279999999999995</v>
      </c>
      <c r="H440" s="3108">
        <v>0.79279999999999995</v>
      </c>
      <c r="I440" s="3108">
        <v>0.6361</v>
      </c>
      <c r="J440" s="3108">
        <v>0.6361</v>
      </c>
      <c r="K440" s="3108">
        <v>0.6361</v>
      </c>
      <c r="L440" s="3108">
        <v>0.6361</v>
      </c>
      <c r="M440" s="3109">
        <v>0.6361</v>
      </c>
    </row>
    <row r="441" spans="1:13">
      <c r="A441" s="3107">
        <v>8</v>
      </c>
      <c r="B441" s="3108">
        <v>0.85940000000000005</v>
      </c>
      <c r="C441" s="3108">
        <v>0.85940000000000005</v>
      </c>
      <c r="D441" s="3108">
        <v>0.79110000000000003</v>
      </c>
      <c r="E441" s="3108">
        <v>0.79110000000000003</v>
      </c>
      <c r="F441" s="3108">
        <v>0.79110000000000003</v>
      </c>
      <c r="G441" s="3108">
        <v>0.79110000000000003</v>
      </c>
      <c r="H441" s="3108">
        <v>0.79110000000000003</v>
      </c>
      <c r="I441" s="3108">
        <v>0.6341</v>
      </c>
      <c r="J441" s="3108">
        <v>0.6341</v>
      </c>
      <c r="K441" s="3108">
        <v>0.6341</v>
      </c>
      <c r="L441" s="3108">
        <v>0.6341</v>
      </c>
      <c r="M441" s="3109">
        <v>0.6341</v>
      </c>
    </row>
    <row r="442" spans="1:13">
      <c r="A442" s="3107">
        <v>8.1</v>
      </c>
      <c r="B442" s="3108">
        <v>0.85799999999999998</v>
      </c>
      <c r="C442" s="3108">
        <v>0.85799999999999998</v>
      </c>
      <c r="D442" s="3108">
        <v>0.78939999999999999</v>
      </c>
      <c r="E442" s="3108">
        <v>0.78939999999999999</v>
      </c>
      <c r="F442" s="3108">
        <v>0.78939999999999999</v>
      </c>
      <c r="G442" s="3108">
        <v>0.78939999999999999</v>
      </c>
      <c r="H442" s="3108">
        <v>0.78939999999999999</v>
      </c>
      <c r="I442" s="3108">
        <v>0.6321</v>
      </c>
      <c r="J442" s="3108">
        <v>0.6321</v>
      </c>
      <c r="K442" s="3108">
        <v>0.6321</v>
      </c>
      <c r="L442" s="3108">
        <v>0.6321</v>
      </c>
      <c r="M442" s="3109">
        <v>0.6321</v>
      </c>
    </row>
    <row r="443" spans="1:13">
      <c r="A443" s="3107">
        <v>8.1999999999999993</v>
      </c>
      <c r="B443" s="3108">
        <v>0.85660000000000003</v>
      </c>
      <c r="C443" s="3108">
        <v>0.85660000000000003</v>
      </c>
      <c r="D443" s="3108">
        <v>0.78779999999999994</v>
      </c>
      <c r="E443" s="3108">
        <v>0.78779999999999994</v>
      </c>
      <c r="F443" s="3108">
        <v>0.78779999999999994</v>
      </c>
      <c r="G443" s="3108">
        <v>0.78779999999999994</v>
      </c>
      <c r="H443" s="3108">
        <v>0.78779999999999994</v>
      </c>
      <c r="I443" s="3108">
        <v>0.63009999999999999</v>
      </c>
      <c r="J443" s="3108">
        <v>0.63009999999999999</v>
      </c>
      <c r="K443" s="3108">
        <v>0.63009999999999999</v>
      </c>
      <c r="L443" s="3108">
        <v>0.63009999999999999</v>
      </c>
      <c r="M443" s="3109">
        <v>0.63009999999999999</v>
      </c>
    </row>
    <row r="444" spans="1:13">
      <c r="A444" s="3107">
        <v>8.3000000000000007</v>
      </c>
      <c r="B444" s="3108">
        <v>0.85529999999999995</v>
      </c>
      <c r="C444" s="3108">
        <v>0.85529999999999995</v>
      </c>
      <c r="D444" s="3108">
        <v>0.78620000000000001</v>
      </c>
      <c r="E444" s="3108">
        <v>0.78620000000000001</v>
      </c>
      <c r="F444" s="3108">
        <v>0.78620000000000001</v>
      </c>
      <c r="G444" s="3108">
        <v>0.78620000000000001</v>
      </c>
      <c r="H444" s="3108">
        <v>0.78620000000000001</v>
      </c>
      <c r="I444" s="3108">
        <v>0.62809999999999999</v>
      </c>
      <c r="J444" s="3108">
        <v>0.62809999999999999</v>
      </c>
      <c r="K444" s="3108">
        <v>0.62809999999999999</v>
      </c>
      <c r="L444" s="3108">
        <v>0.62809999999999999</v>
      </c>
      <c r="M444" s="3109">
        <v>0.62809999999999999</v>
      </c>
    </row>
    <row r="445" spans="1:13">
      <c r="A445" s="3107">
        <v>8.4</v>
      </c>
      <c r="B445" s="3108">
        <v>0.85389999999999999</v>
      </c>
      <c r="C445" s="3108">
        <v>0.85389999999999999</v>
      </c>
      <c r="D445" s="3108">
        <v>0.78459999999999996</v>
      </c>
      <c r="E445" s="3108">
        <v>0.78459999999999996</v>
      </c>
      <c r="F445" s="3108">
        <v>0.78459999999999996</v>
      </c>
      <c r="G445" s="3108">
        <v>0.78459999999999996</v>
      </c>
      <c r="H445" s="3108">
        <v>0.78459999999999996</v>
      </c>
      <c r="I445" s="3108">
        <v>0.62609999999999999</v>
      </c>
      <c r="J445" s="3108">
        <v>0.62609999999999999</v>
      </c>
      <c r="K445" s="3108">
        <v>0.62609999999999999</v>
      </c>
      <c r="L445" s="3108">
        <v>0.62609999999999999</v>
      </c>
      <c r="M445" s="3109">
        <v>0.62609999999999999</v>
      </c>
    </row>
    <row r="446" spans="1:13">
      <c r="A446" s="3107">
        <v>8.5</v>
      </c>
      <c r="B446" s="3108">
        <v>0.85260000000000002</v>
      </c>
      <c r="C446" s="3108">
        <v>0.85260000000000002</v>
      </c>
      <c r="D446" s="3108">
        <v>0.78290000000000004</v>
      </c>
      <c r="E446" s="3108">
        <v>0.78290000000000004</v>
      </c>
      <c r="F446" s="3108">
        <v>0.78290000000000004</v>
      </c>
      <c r="G446" s="3108">
        <v>0.78290000000000004</v>
      </c>
      <c r="H446" s="3108">
        <v>0.78290000000000004</v>
      </c>
      <c r="I446" s="3108">
        <v>0.62419999999999998</v>
      </c>
      <c r="J446" s="3108">
        <v>0.62419999999999998</v>
      </c>
      <c r="K446" s="3108">
        <v>0.62419999999999998</v>
      </c>
      <c r="L446" s="3108">
        <v>0.62419999999999998</v>
      </c>
      <c r="M446" s="3109">
        <v>0.62419999999999998</v>
      </c>
    </row>
    <row r="447" spans="1:13">
      <c r="A447" s="3107">
        <v>8.6</v>
      </c>
      <c r="B447" s="3108">
        <v>0.85129999999999995</v>
      </c>
      <c r="C447" s="3108">
        <v>0.85129999999999995</v>
      </c>
      <c r="D447" s="3108">
        <v>0.78129999999999999</v>
      </c>
      <c r="E447" s="3108">
        <v>0.78129999999999999</v>
      </c>
      <c r="F447" s="3108">
        <v>0.78129999999999999</v>
      </c>
      <c r="G447" s="3108">
        <v>0.78129999999999999</v>
      </c>
      <c r="H447" s="3108">
        <v>0.78129999999999999</v>
      </c>
      <c r="I447" s="3108">
        <v>0.62229999999999996</v>
      </c>
      <c r="J447" s="3108">
        <v>0.62229999999999996</v>
      </c>
      <c r="K447" s="3108">
        <v>0.62229999999999996</v>
      </c>
      <c r="L447" s="3108">
        <v>0.62229999999999996</v>
      </c>
      <c r="M447" s="3109">
        <v>0.62229999999999996</v>
      </c>
    </row>
    <row r="448" spans="1:13">
      <c r="A448" s="3107">
        <v>8.6999999999999993</v>
      </c>
      <c r="B448" s="3108">
        <v>0.85</v>
      </c>
      <c r="C448" s="3108">
        <v>0.85</v>
      </c>
      <c r="D448" s="3108">
        <v>0.77969999999999995</v>
      </c>
      <c r="E448" s="3108">
        <v>0.77969999999999995</v>
      </c>
      <c r="F448" s="3108">
        <v>0.77969999999999995</v>
      </c>
      <c r="G448" s="3108">
        <v>0.77969999999999995</v>
      </c>
      <c r="H448" s="3108">
        <v>0.77969999999999995</v>
      </c>
      <c r="I448" s="3108">
        <v>0.62039999999999995</v>
      </c>
      <c r="J448" s="3108">
        <v>0.62039999999999995</v>
      </c>
      <c r="K448" s="3108">
        <v>0.62039999999999995</v>
      </c>
      <c r="L448" s="3108">
        <v>0.62039999999999995</v>
      </c>
      <c r="M448" s="3109">
        <v>0.62039999999999995</v>
      </c>
    </row>
    <row r="449" spans="1:13">
      <c r="A449" s="3107">
        <v>8.8000000000000007</v>
      </c>
      <c r="B449" s="3108">
        <v>0.84860000000000002</v>
      </c>
      <c r="C449" s="3108">
        <v>0.84860000000000002</v>
      </c>
      <c r="D449" s="3108">
        <v>0.7782</v>
      </c>
      <c r="E449" s="3108">
        <v>0.7782</v>
      </c>
      <c r="F449" s="3108">
        <v>0.7782</v>
      </c>
      <c r="G449" s="3108">
        <v>0.7782</v>
      </c>
      <c r="H449" s="3108">
        <v>0.7782</v>
      </c>
      <c r="I449" s="3108">
        <v>0.61850000000000005</v>
      </c>
      <c r="J449" s="3108">
        <v>0.61850000000000005</v>
      </c>
      <c r="K449" s="3108">
        <v>0.61850000000000005</v>
      </c>
      <c r="L449" s="3108">
        <v>0.61850000000000005</v>
      </c>
      <c r="M449" s="3109">
        <v>0.61850000000000005</v>
      </c>
    </row>
    <row r="450" spans="1:13">
      <c r="A450" s="3107">
        <v>8.9</v>
      </c>
      <c r="B450" s="3108">
        <v>0.84740000000000004</v>
      </c>
      <c r="C450" s="3108">
        <v>0.84740000000000004</v>
      </c>
      <c r="D450" s="3108">
        <v>0.77669999999999995</v>
      </c>
      <c r="E450" s="3108">
        <v>0.77669999999999995</v>
      </c>
      <c r="F450" s="3108">
        <v>0.77669999999999995</v>
      </c>
      <c r="G450" s="3108">
        <v>0.77669999999999995</v>
      </c>
      <c r="H450" s="3108">
        <v>0.77669999999999995</v>
      </c>
      <c r="I450" s="3108">
        <v>0.61670000000000003</v>
      </c>
      <c r="J450" s="3108">
        <v>0.61670000000000003</v>
      </c>
      <c r="K450" s="3108">
        <v>0.61670000000000003</v>
      </c>
      <c r="L450" s="3108">
        <v>0.61670000000000003</v>
      </c>
      <c r="M450" s="3109">
        <v>0.61670000000000003</v>
      </c>
    </row>
    <row r="451" spans="1:13">
      <c r="A451" s="3110">
        <v>9</v>
      </c>
      <c r="B451" s="3108">
        <v>0.84619999999999995</v>
      </c>
      <c r="C451" s="3108">
        <v>0.84619999999999995</v>
      </c>
      <c r="D451" s="3108">
        <v>0.77510000000000001</v>
      </c>
      <c r="E451" s="3108">
        <v>0.77510000000000001</v>
      </c>
      <c r="F451" s="3108">
        <v>0.77510000000000001</v>
      </c>
      <c r="G451" s="3108">
        <v>0.77510000000000001</v>
      </c>
      <c r="H451" s="3108">
        <v>0.77510000000000001</v>
      </c>
      <c r="I451" s="3108">
        <v>0.61480000000000001</v>
      </c>
      <c r="J451" s="3108">
        <v>0.61480000000000001</v>
      </c>
      <c r="K451" s="3108">
        <v>0.61480000000000001</v>
      </c>
      <c r="L451" s="3108">
        <v>0.61480000000000001</v>
      </c>
      <c r="M451" s="3109">
        <v>0.61480000000000001</v>
      </c>
    </row>
    <row r="452" spans="1:13">
      <c r="A452" s="3110">
        <v>9.1</v>
      </c>
      <c r="B452" s="3108">
        <v>0.84499999999999997</v>
      </c>
      <c r="C452" s="3108">
        <v>0.84499999999999997</v>
      </c>
      <c r="D452" s="3108">
        <v>0.77359999999999995</v>
      </c>
      <c r="E452" s="3108">
        <v>0.77359999999999995</v>
      </c>
      <c r="F452" s="3108">
        <v>0.77359999999999995</v>
      </c>
      <c r="G452" s="3108">
        <v>0.77359999999999995</v>
      </c>
      <c r="H452" s="3108">
        <v>0.77359999999999995</v>
      </c>
      <c r="I452" s="3108">
        <v>0.61299999999999999</v>
      </c>
      <c r="J452" s="3108">
        <v>0.61299999999999999</v>
      </c>
      <c r="K452" s="3108">
        <v>0.61299999999999999</v>
      </c>
      <c r="L452" s="3108">
        <v>0.61299999999999999</v>
      </c>
      <c r="M452" s="3109">
        <v>0.61299999999999999</v>
      </c>
    </row>
    <row r="453" spans="1:13">
      <c r="A453" s="3110">
        <v>9.1999999999999993</v>
      </c>
      <c r="B453" s="3108">
        <v>0.84370000000000001</v>
      </c>
      <c r="C453" s="3108">
        <v>0.84370000000000001</v>
      </c>
      <c r="D453" s="3108">
        <v>0.77210000000000001</v>
      </c>
      <c r="E453" s="3108">
        <v>0.77210000000000001</v>
      </c>
      <c r="F453" s="3108">
        <v>0.77210000000000001</v>
      </c>
      <c r="G453" s="3108">
        <v>0.77210000000000001</v>
      </c>
      <c r="H453" s="3108">
        <v>0.77210000000000001</v>
      </c>
      <c r="I453" s="3108">
        <v>0.61119999999999997</v>
      </c>
      <c r="J453" s="3108">
        <v>0.61119999999999997</v>
      </c>
      <c r="K453" s="3108">
        <v>0.61119999999999997</v>
      </c>
      <c r="L453" s="3108">
        <v>0.61119999999999997</v>
      </c>
      <c r="M453" s="3109">
        <v>0.61119999999999997</v>
      </c>
    </row>
    <row r="454" spans="1:13">
      <c r="A454" s="3110">
        <v>9.3000000000000007</v>
      </c>
      <c r="B454" s="3108">
        <v>0.84250000000000003</v>
      </c>
      <c r="C454" s="3108">
        <v>0.84250000000000003</v>
      </c>
      <c r="D454" s="3108">
        <v>0.77059999999999995</v>
      </c>
      <c r="E454" s="3108">
        <v>0.77059999999999995</v>
      </c>
      <c r="F454" s="3108">
        <v>0.77059999999999995</v>
      </c>
      <c r="G454" s="3108">
        <v>0.77059999999999995</v>
      </c>
      <c r="H454" s="3108">
        <v>0.77059999999999995</v>
      </c>
      <c r="I454" s="3108">
        <v>0.60940000000000005</v>
      </c>
      <c r="J454" s="3108">
        <v>0.60940000000000005</v>
      </c>
      <c r="K454" s="3108">
        <v>0.60940000000000005</v>
      </c>
      <c r="L454" s="3108">
        <v>0.60940000000000005</v>
      </c>
      <c r="M454" s="3109">
        <v>0.60940000000000005</v>
      </c>
    </row>
    <row r="455" spans="1:13">
      <c r="A455" s="3110">
        <v>9.4</v>
      </c>
      <c r="B455" s="3108">
        <v>0.84130000000000005</v>
      </c>
      <c r="C455" s="3108">
        <v>0.84130000000000005</v>
      </c>
      <c r="D455" s="3108">
        <v>0.76900000000000002</v>
      </c>
      <c r="E455" s="3108">
        <v>0.76900000000000002</v>
      </c>
      <c r="F455" s="3108">
        <v>0.76900000000000002</v>
      </c>
      <c r="G455" s="3108">
        <v>0.76900000000000002</v>
      </c>
      <c r="H455" s="3108">
        <v>0.76900000000000002</v>
      </c>
      <c r="I455" s="3108">
        <v>0.60760000000000003</v>
      </c>
      <c r="J455" s="3108">
        <v>0.60760000000000003</v>
      </c>
      <c r="K455" s="3108">
        <v>0.60760000000000003</v>
      </c>
      <c r="L455" s="3108">
        <v>0.60760000000000003</v>
      </c>
      <c r="M455" s="3109">
        <v>0.60760000000000003</v>
      </c>
    </row>
    <row r="456" spans="1:13">
      <c r="A456" s="3110">
        <v>9.5</v>
      </c>
      <c r="B456" s="3108">
        <v>0.84009999999999996</v>
      </c>
      <c r="C456" s="3108">
        <v>0.84009999999999996</v>
      </c>
      <c r="D456" s="3108">
        <v>0.76759999999999995</v>
      </c>
      <c r="E456" s="3108">
        <v>0.76759999999999995</v>
      </c>
      <c r="F456" s="3108">
        <v>0.76759999999999995</v>
      </c>
      <c r="G456" s="3108">
        <v>0.76759999999999995</v>
      </c>
      <c r="H456" s="3108">
        <v>0.76759999999999995</v>
      </c>
      <c r="I456" s="3108">
        <v>0.60580000000000001</v>
      </c>
      <c r="J456" s="3108">
        <v>0.60580000000000001</v>
      </c>
      <c r="K456" s="3108">
        <v>0.60580000000000001</v>
      </c>
      <c r="L456" s="3108">
        <v>0.60580000000000001</v>
      </c>
      <c r="M456" s="3109">
        <v>0.60580000000000001</v>
      </c>
    </row>
    <row r="457" spans="1:13">
      <c r="A457" s="3110">
        <v>9.6</v>
      </c>
      <c r="B457" s="3108">
        <v>0.83899999999999997</v>
      </c>
      <c r="C457" s="3108">
        <v>0.83899999999999997</v>
      </c>
      <c r="D457" s="3108">
        <v>0.76619999999999999</v>
      </c>
      <c r="E457" s="3108">
        <v>0.76619999999999999</v>
      </c>
      <c r="F457" s="3108">
        <v>0.76619999999999999</v>
      </c>
      <c r="G457" s="3108">
        <v>0.76619999999999999</v>
      </c>
      <c r="H457" s="3108">
        <v>0.76619999999999999</v>
      </c>
      <c r="I457" s="3108">
        <v>0.60409999999999997</v>
      </c>
      <c r="J457" s="3108">
        <v>0.60409999999999997</v>
      </c>
      <c r="K457" s="3108">
        <v>0.60409999999999997</v>
      </c>
      <c r="L457" s="3108">
        <v>0.60409999999999997</v>
      </c>
      <c r="M457" s="3109">
        <v>0.60409999999999997</v>
      </c>
    </row>
    <row r="458" spans="1:13">
      <c r="A458" s="3110">
        <v>9.6999999999999993</v>
      </c>
      <c r="B458" s="3108">
        <v>0.83779999999999999</v>
      </c>
      <c r="C458" s="3108">
        <v>0.83779999999999999</v>
      </c>
      <c r="D458" s="3108">
        <v>0.76480000000000004</v>
      </c>
      <c r="E458" s="3108">
        <v>0.76480000000000004</v>
      </c>
      <c r="F458" s="3108">
        <v>0.76480000000000004</v>
      </c>
      <c r="G458" s="3108">
        <v>0.76480000000000004</v>
      </c>
      <c r="H458" s="3108">
        <v>0.76480000000000004</v>
      </c>
      <c r="I458" s="3108">
        <v>0.60240000000000005</v>
      </c>
      <c r="J458" s="3108">
        <v>0.60240000000000005</v>
      </c>
      <c r="K458" s="3108">
        <v>0.60240000000000005</v>
      </c>
      <c r="L458" s="3108">
        <v>0.60240000000000005</v>
      </c>
      <c r="M458" s="3109">
        <v>0.60240000000000005</v>
      </c>
    </row>
    <row r="459" spans="1:13">
      <c r="A459" s="3110">
        <v>9.8000000000000007</v>
      </c>
      <c r="B459" s="3108">
        <v>0.8367</v>
      </c>
      <c r="C459" s="3108">
        <v>0.8367</v>
      </c>
      <c r="D459" s="3108">
        <v>0.76329999999999998</v>
      </c>
      <c r="E459" s="3108">
        <v>0.76329999999999998</v>
      </c>
      <c r="F459" s="3108">
        <v>0.76329999999999998</v>
      </c>
      <c r="G459" s="3108">
        <v>0.76329999999999998</v>
      </c>
      <c r="H459" s="3108">
        <v>0.76329999999999998</v>
      </c>
      <c r="I459" s="3108">
        <v>0.60060000000000002</v>
      </c>
      <c r="J459" s="3108">
        <v>0.60060000000000002</v>
      </c>
      <c r="K459" s="3108">
        <v>0.60060000000000002</v>
      </c>
      <c r="L459" s="3108">
        <v>0.60060000000000002</v>
      </c>
      <c r="M459" s="3109">
        <v>0.60060000000000002</v>
      </c>
    </row>
    <row r="460" spans="1:13" ht="14.25" thickBot="1">
      <c r="A460" s="3111">
        <v>9.9</v>
      </c>
      <c r="B460" s="3112">
        <v>0.83560000000000001</v>
      </c>
      <c r="C460" s="3112">
        <v>0.83560000000000001</v>
      </c>
      <c r="D460" s="3112">
        <v>0.76190000000000002</v>
      </c>
      <c r="E460" s="3112">
        <v>0.76190000000000002</v>
      </c>
      <c r="F460" s="3112">
        <v>0.76190000000000002</v>
      </c>
      <c r="G460" s="3112">
        <v>0.76190000000000002</v>
      </c>
      <c r="H460" s="3112">
        <v>0.76190000000000002</v>
      </c>
      <c r="I460" s="3112">
        <v>0.59889999999999999</v>
      </c>
      <c r="J460" s="3112">
        <v>0.59889999999999999</v>
      </c>
      <c r="K460" s="3112">
        <v>0.59889999999999999</v>
      </c>
      <c r="L460" s="3112">
        <v>0.59889999999999999</v>
      </c>
      <c r="M460" s="3113">
        <v>0.59889999999999999</v>
      </c>
    </row>
  </sheetData>
  <sheetProtection password="CEE9" sheet="1" objects="1" scenarios="1" formatCells="0" formatColumns="0" formatRows="0"/>
  <phoneticPr fontId="76" type="noConversion"/>
  <pageMargins left="0.7" right="0.7" top="0.75" bottom="0.75" header="0.3" footer="0.3"/>
</worksheet>
</file>

<file path=xl/worksheets/sheet4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sheetPr codeName="Sheet5">
    <tabColor rgb="FF92D050"/>
    <pageSetUpPr fitToPage="1"/>
  </sheetPr>
  <dimension ref="A1:G57"/>
  <sheetViews>
    <sheetView workbookViewId="0">
      <selection activeCell="I1" sqref="I1"/>
    </sheetView>
  </sheetViews>
  <sheetFormatPr defaultColWidth="8.375" defaultRowHeight="12.75"/>
  <cols>
    <col min="1" max="1" width="9.375" style="269" customWidth="1"/>
    <col min="2" max="2" width="29.25" style="251" customWidth="1"/>
    <col min="3" max="3" width="12.125" style="251" customWidth="1"/>
    <col min="4" max="5" width="11.25" style="272" customWidth="1"/>
    <col min="6" max="6" width="9.5" style="251" customWidth="1"/>
    <col min="7" max="7" width="31.875" style="251" customWidth="1"/>
    <col min="8" max="254" width="9" style="251" customWidth="1"/>
    <col min="255" max="16384" width="8.375" style="251"/>
  </cols>
  <sheetData>
    <row r="1" spans="1:7" s="200" customFormat="1" ht="20.25">
      <c r="A1" s="196" t="s">
        <v>56</v>
      </c>
      <c r="B1" s="197"/>
      <c r="C1" s="198"/>
      <c r="D1" s="198"/>
      <c r="E1" s="198"/>
      <c r="F1" s="198"/>
      <c r="G1" s="199"/>
    </row>
    <row r="2" spans="1:7" s="200" customFormat="1" ht="18" customHeight="1">
      <c r="A2" s="201" t="s">
        <v>57</v>
      </c>
      <c r="B2" s="202">
        <f ca="1">C52</f>
        <v>42140</v>
      </c>
      <c r="C2" s="2" t="s">
        <v>106</v>
      </c>
      <c r="D2" s="199"/>
      <c r="E2" s="199"/>
      <c r="F2" s="199"/>
      <c r="G2" s="199"/>
    </row>
    <row r="3" spans="1:7" s="200" customFormat="1" ht="18" customHeight="1" thickBot="1">
      <c r="A3" s="203" t="s">
        <v>58</v>
      </c>
      <c r="B3" s="204">
        <f ca="1">ROUND(B2*10000/'数据-汇总表'!E3,0)</f>
        <v>23999</v>
      </c>
      <c r="C3" s="2" t="s">
        <v>107</v>
      </c>
      <c r="D3" s="199"/>
      <c r="E3" s="199"/>
      <c r="F3" s="199"/>
      <c r="G3" s="199"/>
    </row>
    <row r="4" spans="1:7" s="208" customFormat="1" ht="15.75">
      <c r="A4" s="205" t="s">
        <v>59</v>
      </c>
      <c r="B4" s="206"/>
      <c r="C4" s="206"/>
      <c r="D4" s="206"/>
      <c r="E4" s="206"/>
      <c r="F4" s="206"/>
      <c r="G4" s="207"/>
    </row>
    <row r="5" spans="1:7" s="214" customFormat="1" ht="13.5" customHeight="1">
      <c r="A5" s="255" t="s">
        <v>416</v>
      </c>
      <c r="B5" s="210" t="s">
        <v>60</v>
      </c>
      <c r="C5" s="211">
        <f>C6+C7+C8</f>
        <v>20610</v>
      </c>
      <c r="D5" s="211" t="s">
        <v>61</v>
      </c>
      <c r="E5" s="212" t="s">
        <v>62</v>
      </c>
      <c r="F5" s="212" t="s">
        <v>63</v>
      </c>
      <c r="G5" s="213"/>
    </row>
    <row r="6" spans="1:7" s="214" customFormat="1" ht="13.5" customHeight="1">
      <c r="A6" s="778" t="s">
        <v>346</v>
      </c>
      <c r="B6" s="215" t="s">
        <v>64</v>
      </c>
      <c r="C6" s="216">
        <v>20000</v>
      </c>
      <c r="D6" s="217"/>
      <c r="E6" s="218"/>
      <c r="F6" s="218"/>
      <c r="G6" s="219"/>
    </row>
    <row r="7" spans="1:7" s="214" customFormat="1" ht="13.5" customHeight="1">
      <c r="A7" s="778" t="s">
        <v>347</v>
      </c>
      <c r="B7" s="215" t="s">
        <v>30</v>
      </c>
      <c r="C7" s="220">
        <f>ROUND(C6*F7,0)</f>
        <v>610</v>
      </c>
      <c r="D7" s="220"/>
      <c r="E7" s="218"/>
      <c r="F7" s="221">
        <f>'数据-取费表'!B48+'数据-取费表'!B49</f>
        <v>3.0499999999999999E-2</v>
      </c>
      <c r="G7" s="219"/>
    </row>
    <row r="8" spans="1:7" s="223" customFormat="1">
      <c r="A8" s="778" t="s">
        <v>348</v>
      </c>
      <c r="B8" s="215" t="s">
        <v>65</v>
      </c>
      <c r="C8" s="220" t="str">
        <f>IF(G8="已包含在土地购买价格中","0",'数据-取费表'!B29)</f>
        <v>0</v>
      </c>
      <c r="D8" s="222"/>
      <c r="E8" s="220"/>
      <c r="F8" s="221"/>
      <c r="G8" s="1" t="s">
        <v>451</v>
      </c>
    </row>
    <row r="9" spans="1:7" s="214" customFormat="1" ht="13.5" customHeight="1">
      <c r="A9" s="779" t="s">
        <v>355</v>
      </c>
      <c r="B9" s="224" t="s">
        <v>66</v>
      </c>
      <c r="C9" s="225">
        <f>ROUND(D9*E9/10000,0)</f>
        <v>0</v>
      </c>
      <c r="D9" s="845">
        <f>'数据-汇总表'!E5</f>
        <v>0</v>
      </c>
      <c r="E9" s="225">
        <f>'数据-取费表'!B27</f>
        <v>160</v>
      </c>
      <c r="F9" s="221"/>
      <c r="G9" s="226"/>
    </row>
    <row r="10" spans="1:7" s="214" customFormat="1" ht="13.5" customHeight="1">
      <c r="A10" s="779" t="s">
        <v>356</v>
      </c>
      <c r="B10" s="224" t="s">
        <v>67</v>
      </c>
      <c r="C10" s="225">
        <f>ROUND(D10*E10/10000,0)</f>
        <v>351</v>
      </c>
      <c r="D10" s="845">
        <f>'数据-汇总表'!E6</f>
        <v>17559.11</v>
      </c>
      <c r="E10" s="225">
        <f>'数据-取费表'!B28</f>
        <v>200</v>
      </c>
      <c r="F10" s="221"/>
      <c r="G10" s="226"/>
    </row>
    <row r="11" spans="1:7" s="214" customFormat="1" ht="13.5" hidden="1" customHeight="1">
      <c r="A11" s="227" t="s">
        <v>4</v>
      </c>
      <c r="B11" s="215" t="s">
        <v>68</v>
      </c>
      <c r="C11" s="211"/>
      <c r="D11" s="847"/>
      <c r="E11" s="218"/>
      <c r="F11" s="218"/>
      <c r="G11" s="219"/>
    </row>
    <row r="12" spans="1:7" s="214" customFormat="1" ht="13.5" hidden="1" customHeight="1">
      <c r="A12" s="227" t="s">
        <v>5</v>
      </c>
      <c r="B12" s="215" t="s">
        <v>69</v>
      </c>
      <c r="C12" s="211">
        <v>0</v>
      </c>
      <c r="D12" s="847"/>
      <c r="E12" s="228"/>
      <c r="F12" s="221">
        <v>3.0499999999999999E-2</v>
      </c>
      <c r="G12" s="219"/>
    </row>
    <row r="13" spans="1:7" s="214" customFormat="1" ht="13.5" hidden="1" customHeight="1">
      <c r="A13" s="227" t="s">
        <v>6</v>
      </c>
      <c r="B13" s="215" t="s">
        <v>70</v>
      </c>
      <c r="C13" s="211"/>
      <c r="D13" s="847"/>
      <c r="E13" s="218"/>
      <c r="F13" s="218"/>
      <c r="G13" s="219"/>
    </row>
    <row r="14" spans="1:7" s="214" customFormat="1" ht="13.5" hidden="1" customHeight="1">
      <c r="A14" s="227" t="s">
        <v>7</v>
      </c>
      <c r="B14" s="215" t="s">
        <v>65</v>
      </c>
      <c r="C14" s="211"/>
      <c r="D14" s="847"/>
      <c r="E14" s="218"/>
      <c r="F14" s="218"/>
      <c r="G14" s="219" t="s">
        <v>71</v>
      </c>
    </row>
    <row r="15" spans="1:7" s="214" customFormat="1" ht="13.5" hidden="1" customHeight="1">
      <c r="A15" s="227" t="s">
        <v>8</v>
      </c>
      <c r="B15" s="215" t="s">
        <v>72</v>
      </c>
      <c r="C15" s="220"/>
      <c r="D15" s="847"/>
      <c r="E15" s="218"/>
      <c r="F15" s="218"/>
      <c r="G15" s="219" t="s">
        <v>73</v>
      </c>
    </row>
    <row r="16" spans="1:7" s="214" customFormat="1" ht="13.5" hidden="1" customHeight="1">
      <c r="A16" s="227" t="s">
        <v>9</v>
      </c>
      <c r="B16" s="215" t="s">
        <v>65</v>
      </c>
      <c r="C16" s="220"/>
      <c r="D16" s="847"/>
      <c r="E16" s="218"/>
      <c r="F16" s="218"/>
      <c r="G16" s="219"/>
    </row>
    <row r="17" spans="1:7" s="214" customFormat="1" ht="13.5" hidden="1" customHeight="1">
      <c r="A17" s="227" t="s">
        <v>10</v>
      </c>
      <c r="B17" s="215" t="s">
        <v>74</v>
      </c>
      <c r="C17" s="229"/>
      <c r="D17" s="848"/>
      <c r="E17" s="229"/>
      <c r="F17" s="229"/>
      <c r="G17" s="219" t="s">
        <v>73</v>
      </c>
    </row>
    <row r="18" spans="1:7" s="214" customFormat="1" ht="13.5" hidden="1" customHeight="1">
      <c r="A18" s="227" t="s">
        <v>11</v>
      </c>
      <c r="B18" s="215" t="s">
        <v>75</v>
      </c>
      <c r="C18" s="220">
        <v>0</v>
      </c>
      <c r="D18" s="847"/>
      <c r="E18" s="218"/>
      <c r="F18" s="221">
        <v>3.0499999999999999E-2</v>
      </c>
      <c r="G18" s="219" t="s">
        <v>76</v>
      </c>
    </row>
    <row r="19" spans="1:7" s="223" customFormat="1" ht="13.5" customHeight="1">
      <c r="A19" s="777" t="s">
        <v>417</v>
      </c>
      <c r="B19" s="210" t="s">
        <v>84</v>
      </c>
      <c r="C19" s="211">
        <f>IF(G19="已包含在土地取得成本中","0",ROUND(D19*E19/10000,0))</f>
        <v>351</v>
      </c>
      <c r="D19" s="849">
        <f>'数据-汇总表'!E3</f>
        <v>17559.11</v>
      </c>
      <c r="E19" s="211">
        <f>'数据-取费表'!B31</f>
        <v>200</v>
      </c>
      <c r="F19" s="231"/>
      <c r="G19" s="1" t="s">
        <v>436</v>
      </c>
    </row>
    <row r="20" spans="1:7" s="214" customFormat="1" ht="13.5" customHeight="1">
      <c r="A20" s="777" t="s">
        <v>419</v>
      </c>
      <c r="B20" s="210" t="s">
        <v>77</v>
      </c>
      <c r="C20" s="232">
        <f>ROUND((C5+C19)*F20,0)</f>
        <v>629</v>
      </c>
      <c r="D20" s="232"/>
      <c r="E20" s="232"/>
      <c r="F20" s="233">
        <f>'数据-取费表'!B37</f>
        <v>0.03</v>
      </c>
      <c r="G20" s="1067" t="s">
        <v>430</v>
      </c>
    </row>
    <row r="21" spans="1:7" s="214" customFormat="1" ht="13.5" customHeight="1">
      <c r="A21" s="777" t="s">
        <v>421</v>
      </c>
      <c r="B21" s="210" t="s">
        <v>78</v>
      </c>
      <c r="C21" s="235">
        <f>F21</f>
        <v>0.03</v>
      </c>
      <c r="D21" s="236" t="s">
        <v>99</v>
      </c>
      <c r="E21" s="232"/>
      <c r="F21" s="233">
        <f>'数据-取费表'!B38</f>
        <v>0.03</v>
      </c>
      <c r="G21" s="234" t="s">
        <v>79</v>
      </c>
    </row>
    <row r="22" spans="1:7" s="214" customFormat="1" ht="13.5" customHeight="1">
      <c r="A22" s="777" t="s">
        <v>341</v>
      </c>
      <c r="B22" s="210" t="s">
        <v>80</v>
      </c>
      <c r="C22" s="1104">
        <f ca="1">ROUND(SUM(C23:C25),0)</f>
        <v>1494</v>
      </c>
      <c r="D22" s="235">
        <f ca="1">C26</f>
        <v>1E-3</v>
      </c>
      <c r="E22" s="236" t="s">
        <v>99</v>
      </c>
      <c r="F22" s="237">
        <f ca="1">'数据-取费表'!B40</f>
        <v>3.4500000000000003E-2</v>
      </c>
      <c r="G22" s="1067" t="str">
        <f>IF('数据-取费表'!B22&lt;=1,"单利计息","复利计息")</f>
        <v>复利计息</v>
      </c>
    </row>
    <row r="23" spans="1:7" s="214" customFormat="1" ht="13.5" customHeight="1">
      <c r="A23" s="780" t="s">
        <v>349</v>
      </c>
      <c r="B23" s="215" t="s">
        <v>423</v>
      </c>
      <c r="C23" s="1105">
        <f ca="1">ROUND(IF('数据-取费表'!B22&lt;=1,C5*F22*'数据-取费表'!B23,C5*(POWER((1+F22),'数据-取费表'!B23)-1)),0)</f>
        <v>1447</v>
      </c>
      <c r="D23" s="238"/>
      <c r="E23" s="238"/>
      <c r="F23" s="239"/>
      <c r="G23" s="240" t="s">
        <v>81</v>
      </c>
    </row>
    <row r="24" spans="1:7" s="214" customFormat="1" ht="13.5" customHeight="1">
      <c r="A24" s="780" t="s">
        <v>347</v>
      </c>
      <c r="B24" s="215" t="s">
        <v>418</v>
      </c>
      <c r="C24" s="1105">
        <f ca="1">ROUND(IF('数据-取费表'!B22&lt;=1,C19*F22*('数据-取费表'!B19/2+'数据-取费表'!B21),C19*(POWER((1+F22),('数据-取费表'!B19/2+'数据-取费表'!B21))-1)),0)</f>
        <v>25</v>
      </c>
      <c r="D24" s="238"/>
      <c r="E24" s="238"/>
      <c r="F24" s="239"/>
      <c r="G24" s="240" t="s">
        <v>82</v>
      </c>
    </row>
    <row r="25" spans="1:7" s="214" customFormat="1" ht="24">
      <c r="A25" s="780" t="s">
        <v>348</v>
      </c>
      <c r="B25" s="215" t="s">
        <v>420</v>
      </c>
      <c r="C25" s="1105">
        <f ca="1">ROUND(IF('数据-取费表'!B22&lt;=1,C20*F22*'数据-取费表'!B23/2,C20*(POWER((1+F22),'数据-取费表'!B23/2)-1)),0)</f>
        <v>22</v>
      </c>
      <c r="D25" s="238"/>
      <c r="E25" s="241"/>
      <c r="F25" s="239"/>
      <c r="G25" s="242" t="s">
        <v>83</v>
      </c>
    </row>
    <row r="26" spans="1:7" s="214" customFormat="1">
      <c r="A26" s="780" t="s">
        <v>350</v>
      </c>
      <c r="B26" s="215" t="s">
        <v>422</v>
      </c>
      <c r="C26" s="238">
        <f ca="1">ROUND(IF('数据-取费表'!B22&lt;=1,F21*F22*'数据-取费表'!B23/2,F21*(POWER((1+F22),'数据-取费表'!B23/2)-1)),4)</f>
        <v>1E-3</v>
      </c>
      <c r="D26" s="238"/>
      <c r="E26" s="241"/>
      <c r="F26" s="239"/>
      <c r="G26" s="243"/>
    </row>
    <row r="27" spans="1:7" s="214" customFormat="1" ht="24.75">
      <c r="A27" s="777" t="s">
        <v>342</v>
      </c>
      <c r="B27" s="244" t="s">
        <v>85</v>
      </c>
      <c r="C27" s="245">
        <f>C28</f>
        <v>3239</v>
      </c>
      <c r="D27" s="235">
        <f>C29</f>
        <v>4.4999999999999997E-3</v>
      </c>
      <c r="E27" s="236" t="s">
        <v>99</v>
      </c>
      <c r="F27" s="246">
        <f>'数据-取费表'!Q16</f>
        <v>0.15</v>
      </c>
      <c r="G27" s="247" t="s">
        <v>431</v>
      </c>
    </row>
    <row r="28" spans="1:7" s="214" customFormat="1" ht="13.5" customHeight="1">
      <c r="A28" s="780" t="s">
        <v>349</v>
      </c>
      <c r="B28" s="248" t="s">
        <v>424</v>
      </c>
      <c r="C28" s="249">
        <f>ROUND((C5+C19+C20)*F27*'数据-取费表'!B21/'数据-取费表'!B20,0)</f>
        <v>3239</v>
      </c>
      <c r="D28" s="235"/>
      <c r="E28" s="236"/>
      <c r="F28" s="246"/>
      <c r="G28" s="247"/>
    </row>
    <row r="29" spans="1:7" s="214" customFormat="1" ht="13.5" customHeight="1">
      <c r="A29" s="780" t="s">
        <v>347</v>
      </c>
      <c r="B29" s="248" t="s">
        <v>425</v>
      </c>
      <c r="C29" s="238">
        <f>ROUND(C21*F27*'数据-取费表'!B21/'数据-取费表'!B20,4)</f>
        <v>4.4999999999999997E-3</v>
      </c>
      <c r="D29" s="235"/>
      <c r="E29" s="236"/>
      <c r="F29" s="246"/>
      <c r="G29" s="247"/>
    </row>
    <row r="30" spans="1:7" s="214" customFormat="1" ht="13.5" customHeight="1">
      <c r="A30" s="777" t="s">
        <v>343</v>
      </c>
      <c r="B30" s="210" t="s">
        <v>31</v>
      </c>
      <c r="C30" s="235">
        <f>F30</f>
        <v>5.5000000000000007E-2</v>
      </c>
      <c r="D30" s="236" t="s">
        <v>100</v>
      </c>
      <c r="E30" s="241"/>
      <c r="F30" s="237">
        <f>'数据-取费表'!B41</f>
        <v>5.5000000000000007E-2</v>
      </c>
      <c r="G30" s="234" t="s">
        <v>86</v>
      </c>
    </row>
    <row r="31" spans="1:7" ht="16.5" customHeight="1">
      <c r="A31" s="209">
        <v>1</v>
      </c>
      <c r="B31" s="210" t="s">
        <v>101</v>
      </c>
      <c r="C31" s="211">
        <f ca="1">ROUND((C5+C19+C20+C22+C27)/(1-C21-D22-D27-C30/(1+'数据-取费表'!B42)),0)</f>
        <v>28859</v>
      </c>
      <c r="D31" s="230"/>
      <c r="E31" s="211"/>
      <c r="F31" s="250"/>
      <c r="G31" s="234" t="s">
        <v>432</v>
      </c>
    </row>
    <row r="32" spans="1:7" s="208" customFormat="1" ht="15.75">
      <c r="A32" s="252" t="s">
        <v>87</v>
      </c>
      <c r="B32" s="253"/>
      <c r="C32" s="253"/>
      <c r="D32" s="253"/>
      <c r="E32" s="253"/>
      <c r="F32" s="253"/>
      <c r="G32" s="254"/>
    </row>
    <row r="33" spans="1:7" s="214" customFormat="1" ht="13.5" customHeight="1">
      <c r="A33" s="255" t="s">
        <v>337</v>
      </c>
      <c r="B33" s="210" t="s">
        <v>88</v>
      </c>
      <c r="C33" s="256">
        <f>SUM(C34:C38)</f>
        <v>11413</v>
      </c>
      <c r="D33" s="232"/>
      <c r="E33" s="212"/>
      <c r="F33" s="241"/>
      <c r="G33" s="234"/>
    </row>
    <row r="34" spans="1:7" s="258" customFormat="1" ht="13.5" customHeight="1">
      <c r="A34" s="780" t="s">
        <v>349</v>
      </c>
      <c r="B34" s="215" t="s">
        <v>32</v>
      </c>
      <c r="C34" s="220">
        <f>IF(F34=100%,'数据-取费表'!M16-SUMIF('数据-取费表'!C:C,"公共配套",'数据-取费表'!M:M),'数据-取费表'!O16-SUMIF('数据-取费表'!C:C,"公共配套",'数据-取费表'!O:O))</f>
        <v>10535</v>
      </c>
      <c r="D34" s="217"/>
      <c r="E34" s="220"/>
      <c r="F34" s="257">
        <f>IF('数据-取费表'!B24=0,1,'数据-取费表'!N16)</f>
        <v>1</v>
      </c>
      <c r="G34" s="219" t="s">
        <v>89</v>
      </c>
    </row>
    <row r="35" spans="1:7" ht="13.5" customHeight="1">
      <c r="A35" s="780" t="s">
        <v>351</v>
      </c>
      <c r="B35" s="215" t="s">
        <v>33</v>
      </c>
      <c r="C35" s="220">
        <f>ROUND(C34*F35,0)</f>
        <v>316</v>
      </c>
      <c r="D35" s="220"/>
      <c r="E35" s="220"/>
      <c r="F35" s="259">
        <f>'数据-取费表'!B33</f>
        <v>0.03</v>
      </c>
      <c r="G35" s="219" t="s">
        <v>90</v>
      </c>
    </row>
    <row r="36" spans="1:7" ht="24">
      <c r="A36" s="780" t="s">
        <v>352</v>
      </c>
      <c r="B36" s="215" t="s">
        <v>34</v>
      </c>
      <c r="C36" s="220">
        <f>ROUND(IF(SUMIF('数据-取费表'!C:C,"住宅",IF(F34=100%,'数据-取费表'!M:M,'数据-取费表'!O:O))=0,0,IF(F36=0,SUMIF('数据-取费表'!C:C,"公共配套",IF(F34=100%,'数据-取费表'!M:M,'数据-取费表'!O:O)),SUMIF('数据-取费表'!C:C,"住宅",IF(F34=100%,'数据-取费表'!M:M,'数据-取费表'!O:O))*F36)),0)</f>
        <v>0</v>
      </c>
      <c r="D36" s="220"/>
      <c r="E36" s="220"/>
      <c r="F36" s="259">
        <f>'数据-取费表'!B34</f>
        <v>0</v>
      </c>
      <c r="G36" s="260" t="s">
        <v>35</v>
      </c>
    </row>
    <row r="37" spans="1:7" s="258" customFormat="1" ht="13.5" customHeight="1">
      <c r="A37" s="780" t="s">
        <v>353</v>
      </c>
      <c r="B37" s="215" t="s">
        <v>91</v>
      </c>
      <c r="C37" s="249">
        <f>ROUND(E37*D37*F34/10000,0)</f>
        <v>351</v>
      </c>
      <c r="D37" s="217">
        <f>'数据-汇总表'!E3</f>
        <v>17559.11</v>
      </c>
      <c r="E37" s="249">
        <f>'数据-取费表'!B35</f>
        <v>200</v>
      </c>
      <c r="F37" s="259"/>
      <c r="G37" s="261" t="s">
        <v>92</v>
      </c>
    </row>
    <row r="38" spans="1:7" ht="13.5" customHeight="1">
      <c r="A38" s="780" t="s">
        <v>354</v>
      </c>
      <c r="B38" s="215" t="s">
        <v>36</v>
      </c>
      <c r="C38" s="220">
        <f>ROUND(C34*F38,0)</f>
        <v>211</v>
      </c>
      <c r="D38" s="220"/>
      <c r="E38" s="220"/>
      <c r="F38" s="259">
        <f>'数据-取费表'!B36</f>
        <v>0.02</v>
      </c>
      <c r="G38" s="219" t="s">
        <v>90</v>
      </c>
    </row>
    <row r="39" spans="1:7" s="214" customFormat="1" ht="13.5" customHeight="1">
      <c r="A39" s="777" t="s">
        <v>338</v>
      </c>
      <c r="B39" s="210" t="s">
        <v>77</v>
      </c>
      <c r="C39" s="232">
        <f>ROUND(C33*F20,0)</f>
        <v>342</v>
      </c>
      <c r="D39" s="232"/>
      <c r="E39" s="232"/>
      <c r="F39" s="233"/>
      <c r="G39" s="1067" t="s">
        <v>433</v>
      </c>
    </row>
    <row r="40" spans="1:7" s="214" customFormat="1" ht="13.5" customHeight="1">
      <c r="A40" s="777" t="s">
        <v>339</v>
      </c>
      <c r="B40" s="210" t="s">
        <v>78</v>
      </c>
      <c r="C40" s="262">
        <f>F21</f>
        <v>0.03</v>
      </c>
      <c r="D40" s="236" t="s">
        <v>102</v>
      </c>
      <c r="E40" s="232"/>
      <c r="F40" s="233"/>
      <c r="G40" s="234" t="s">
        <v>93</v>
      </c>
    </row>
    <row r="41" spans="1:7" s="214" customFormat="1" ht="13.5" customHeight="1">
      <c r="A41" s="777" t="s">
        <v>340</v>
      </c>
      <c r="B41" s="210" t="s">
        <v>80</v>
      </c>
      <c r="C41" s="232">
        <f ca="1">ROUND(SUM(C42:C43),0)</f>
        <v>406</v>
      </c>
      <c r="D41" s="235">
        <f ca="1">C44</f>
        <v>1E-3</v>
      </c>
      <c r="E41" s="236" t="s">
        <v>102</v>
      </c>
      <c r="F41" s="237"/>
      <c r="G41" s="1067" t="str">
        <f>IF('数据-取费表'!B22&lt;=1,"单利计息","复利计息")</f>
        <v>复利计息</v>
      </c>
    </row>
    <row r="42" spans="1:7" ht="13.5" customHeight="1">
      <c r="A42" s="780" t="s">
        <v>349</v>
      </c>
      <c r="B42" s="215" t="s">
        <v>423</v>
      </c>
      <c r="C42" s="238">
        <f ca="1">ROUND(IF('数据-取费表'!B22&lt;=1,C33*F22*'数据-取费表'!B21/2,C33*(POWER((1+F22),'数据-取费表'!B21/2)-1)),0)</f>
        <v>394</v>
      </c>
      <c r="D42" s="238"/>
      <c r="E42" s="238"/>
      <c r="F42" s="239"/>
      <c r="G42" s="3674" t="s">
        <v>94</v>
      </c>
    </row>
    <row r="43" spans="1:7" ht="13.5" customHeight="1">
      <c r="A43" s="780" t="s">
        <v>347</v>
      </c>
      <c r="B43" s="215" t="s">
        <v>426</v>
      </c>
      <c r="C43" s="238">
        <f ca="1">ROUND(IF('数据-取费表'!B22&lt;=1,C39*F22*'数据-取费表'!B21/2,C39*(POWER((1+F22),'数据-取费表'!B21/2)-1)),0)</f>
        <v>12</v>
      </c>
      <c r="D43" s="238"/>
      <c r="E43" s="238"/>
      <c r="F43" s="239"/>
      <c r="G43" s="3675"/>
    </row>
    <row r="44" spans="1:7" ht="13.5" customHeight="1">
      <c r="A44" s="780" t="s">
        <v>348</v>
      </c>
      <c r="B44" s="215" t="s">
        <v>428</v>
      </c>
      <c r="C44" s="238">
        <f ca="1">ROUND(IF('数据-取费表'!B22&lt;=1,C40*F22*'数据-取费表'!B21/2,C40*(POWER((1+F22),'数据-取费表'!B21/2)-1)),4)</f>
        <v>1E-3</v>
      </c>
      <c r="D44" s="238"/>
      <c r="E44" s="238"/>
      <c r="F44" s="239"/>
      <c r="G44" s="3676"/>
    </row>
    <row r="45" spans="1:7" s="214" customFormat="1" ht="13.5" customHeight="1">
      <c r="A45" s="777" t="s">
        <v>341</v>
      </c>
      <c r="B45" s="244" t="s">
        <v>85</v>
      </c>
      <c r="C45" s="245">
        <f>C46</f>
        <v>1763</v>
      </c>
      <c r="D45" s="235">
        <f>C47</f>
        <v>4.4999999999999997E-3</v>
      </c>
      <c r="E45" s="236" t="s">
        <v>102</v>
      </c>
      <c r="F45" s="246"/>
      <c r="G45" s="247" t="s">
        <v>434</v>
      </c>
    </row>
    <row r="46" spans="1:7" s="214" customFormat="1" ht="13.5" customHeight="1">
      <c r="A46" s="780" t="s">
        <v>349</v>
      </c>
      <c r="B46" s="248" t="s">
        <v>427</v>
      </c>
      <c r="C46" s="249">
        <f>ROUND((C33+C39)*F27,0)</f>
        <v>1763</v>
      </c>
      <c r="D46" s="263"/>
      <c r="E46" s="236"/>
      <c r="F46" s="246"/>
      <c r="G46" s="247"/>
    </row>
    <row r="47" spans="1:7" s="214" customFormat="1" ht="13.5" customHeight="1">
      <c r="A47" s="780" t="s">
        <v>347</v>
      </c>
      <c r="B47" s="248" t="s">
        <v>429</v>
      </c>
      <c r="C47" s="238">
        <f>ROUND(C40*F27,4)</f>
        <v>4.4999999999999997E-3</v>
      </c>
      <c r="D47" s="263"/>
      <c r="E47" s="236"/>
      <c r="F47" s="246"/>
      <c r="G47" s="247"/>
    </row>
    <row r="48" spans="1:7" s="214" customFormat="1" ht="13.5" customHeight="1">
      <c r="A48" s="777" t="s">
        <v>342</v>
      </c>
      <c r="B48" s="210" t="s">
        <v>95</v>
      </c>
      <c r="C48" s="262">
        <f>F30</f>
        <v>5.5000000000000007E-2</v>
      </c>
      <c r="D48" s="236" t="s">
        <v>103</v>
      </c>
      <c r="E48" s="232"/>
      <c r="F48" s="237"/>
      <c r="G48" s="234" t="s">
        <v>96</v>
      </c>
    </row>
    <row r="49" spans="1:7" ht="16.5" customHeight="1">
      <c r="A49" s="777" t="s">
        <v>343</v>
      </c>
      <c r="B49" s="210" t="s">
        <v>104</v>
      </c>
      <c r="C49" s="232">
        <f ca="1">ROUND((C33+C39+C41+C45)/(1-C40-D41-D45-C48/(1+'数据-取费表'!B42)),0)</f>
        <v>15266</v>
      </c>
      <c r="D49" s="232"/>
      <c r="E49" s="232"/>
      <c r="F49" s="264"/>
      <c r="G49" s="234" t="s">
        <v>435</v>
      </c>
    </row>
    <row r="50" spans="1:7" s="258" customFormat="1" ht="24">
      <c r="A50" s="777" t="s">
        <v>344</v>
      </c>
      <c r="B50" s="210" t="s">
        <v>97</v>
      </c>
      <c r="C50" s="232"/>
      <c r="D50" s="232"/>
      <c r="E50" s="232"/>
      <c r="F50" s="264">
        <f>IF('数据-取费表'!B24=0,'数据-取费表'!N16,1)</f>
        <v>0.87</v>
      </c>
      <c r="G50" s="247" t="s">
        <v>98</v>
      </c>
    </row>
    <row r="51" spans="1:7" ht="16.5" customHeight="1">
      <c r="A51" s="777" t="s">
        <v>345</v>
      </c>
      <c r="B51" s="210" t="s">
        <v>105</v>
      </c>
      <c r="C51" s="232">
        <f ca="1">ROUND(C49*F50,0)</f>
        <v>13281</v>
      </c>
      <c r="D51" s="232"/>
      <c r="E51" s="232"/>
      <c r="F51" s="264"/>
      <c r="G51" s="234" t="s">
        <v>37</v>
      </c>
    </row>
    <row r="52" spans="1:7" s="208" customFormat="1" ht="16.5" thickBot="1">
      <c r="A52" s="265" t="s">
        <v>38</v>
      </c>
      <c r="B52" s="266"/>
      <c r="C52" s="267">
        <f ca="1">C31+C51</f>
        <v>42140</v>
      </c>
      <c r="D52" s="266"/>
      <c r="E52" s="266"/>
      <c r="F52" s="266"/>
      <c r="G52" s="268"/>
    </row>
    <row r="55" spans="1:7" ht="15">
      <c r="B55" s="270" t="s">
        <v>39</v>
      </c>
      <c r="C55" s="271"/>
    </row>
    <row r="56" spans="1:7">
      <c r="B56" s="273" t="s">
        <v>40</v>
      </c>
      <c r="C56" s="274">
        <f ca="1">ROUND(C51/C52,3)</f>
        <v>0.315</v>
      </c>
    </row>
    <row r="57" spans="1:7">
      <c r="B57" s="273" t="s">
        <v>41</v>
      </c>
      <c r="C57" s="275">
        <f ca="1">1-C56</f>
        <v>0.68500000000000005</v>
      </c>
    </row>
  </sheetData>
  <mergeCells count="1">
    <mergeCell ref="G42:G44"/>
  </mergeCells>
  <phoneticPr fontId="18" type="noConversion"/>
  <dataValidations count="2">
    <dataValidation type="list" allowBlank="1" showInputMessage="1" showErrorMessage="1" sqref="G19">
      <formula1>"已包含在土地取得成本中,未包含在土地取得成本中"</formula1>
    </dataValidation>
    <dataValidation type="list" allowBlank="1" showInputMessage="1" showErrorMessage="1" sqref="G8">
      <formula1>"已包含在土地购买价格中,未包含在土地购买价格中"</formula1>
    </dataValidation>
  </dataValidations>
  <pageMargins left="0.7" right="0.7" top="0.75" bottom="0.75" header="0.3" footer="0.3"/>
  <pageSetup paperSize="9" scale="77" orientation="portrait" r:id="rId1"/>
</worksheet>
</file>

<file path=xl/worksheets/sheet4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T384"/>
  <sheetViews>
    <sheetView zoomScale="80" zoomScaleNormal="80" workbookViewId="0">
      <selection activeCell="T47" sqref="T47:T48"/>
    </sheetView>
  </sheetViews>
  <sheetFormatPr defaultColWidth="8.875" defaultRowHeight="11.25"/>
  <cols>
    <col min="1" max="1" width="9.625" style="3200" customWidth="1"/>
    <col min="2" max="2" width="18.625" style="3200" customWidth="1"/>
    <col min="3" max="6" width="10.25" style="3200" customWidth="1"/>
    <col min="7" max="7" width="10.5" style="3200" bestFit="1" customWidth="1"/>
    <col min="8" max="8" width="8.875" style="3196"/>
    <col min="9" max="9" width="13.375" style="3196" customWidth="1"/>
    <col min="10" max="13" width="13.375" style="3200" customWidth="1"/>
    <col min="14" max="14" width="18.25" style="3200" customWidth="1"/>
    <col min="15" max="17" width="15.125" style="3200" customWidth="1"/>
    <col min="18" max="20" width="11.5" style="3200" customWidth="1"/>
    <col min="21" max="16384" width="8.875" style="3200"/>
  </cols>
  <sheetData>
    <row r="1" spans="1:20" ht="12" thickBot="1">
      <c r="A1" s="3813" t="s">
        <v>2815</v>
      </c>
      <c r="B1" s="3813"/>
      <c r="C1" s="3813"/>
      <c r="D1" s="3813"/>
      <c r="E1" s="3813"/>
      <c r="F1" s="3813"/>
      <c r="G1" s="3814"/>
      <c r="I1" s="3197" t="s">
        <v>2816</v>
      </c>
      <c r="J1" s="3198" t="s">
        <v>2817</v>
      </c>
      <c r="K1" s="3198" t="s">
        <v>2818</v>
      </c>
      <c r="L1" s="3198" t="s">
        <v>2819</v>
      </c>
      <c r="M1" s="3198" t="s">
        <v>2820</v>
      </c>
      <c r="N1" s="3198" t="s">
        <v>2821</v>
      </c>
      <c r="O1" s="3198" t="s">
        <v>2822</v>
      </c>
      <c r="P1" s="3198" t="s">
        <v>2823</v>
      </c>
      <c r="Q1" s="3198" t="s">
        <v>2824</v>
      </c>
      <c r="R1" s="3198" t="s">
        <v>2825</v>
      </c>
      <c r="S1" s="3198" t="s">
        <v>2826</v>
      </c>
      <c r="T1" s="3199" t="s">
        <v>2827</v>
      </c>
    </row>
    <row r="2" spans="1:20" ht="12" thickBot="1">
      <c r="A2" s="3201" t="s">
        <v>2828</v>
      </c>
      <c r="B2" s="3201"/>
      <c r="C2" s="3201"/>
      <c r="D2" s="3201"/>
      <c r="E2" s="3201"/>
      <c r="F2" s="3201"/>
      <c r="G2" s="3202" t="s">
        <v>2829</v>
      </c>
      <c r="I2" s="3203" t="s">
        <v>2830</v>
      </c>
      <c r="J2" s="3203" t="s">
        <v>2831</v>
      </c>
      <c r="K2" s="3203" t="s">
        <v>2832</v>
      </c>
      <c r="L2" s="3203" t="s">
        <v>2833</v>
      </c>
      <c r="M2" s="3203" t="s">
        <v>2834</v>
      </c>
      <c r="N2" s="3203" t="s">
        <v>2835</v>
      </c>
      <c r="O2" s="3203" t="s">
        <v>2836</v>
      </c>
      <c r="P2" s="3203" t="s">
        <v>2837</v>
      </c>
      <c r="Q2" s="3203" t="s">
        <v>2838</v>
      </c>
      <c r="R2" s="3203" t="s">
        <v>2839</v>
      </c>
      <c r="S2" s="3203" t="s">
        <v>2840</v>
      </c>
      <c r="T2" s="3203" t="s">
        <v>2841</v>
      </c>
    </row>
    <row r="3" spans="1:20" s="3209" customFormat="1">
      <c r="A3" s="3811" t="s">
        <v>2842</v>
      </c>
      <c r="B3" s="3204"/>
      <c r="C3" s="3205" t="s">
        <v>2787</v>
      </c>
      <c r="D3" s="3205" t="s">
        <v>2843</v>
      </c>
      <c r="E3" s="3205" t="s">
        <v>2789</v>
      </c>
      <c r="F3" s="3205" t="s">
        <v>2844</v>
      </c>
      <c r="G3" s="3205" t="s">
        <v>2607</v>
      </c>
      <c r="H3" s="3206"/>
      <c r="I3" s="3207" t="s">
        <v>2845</v>
      </c>
      <c r="J3" s="3208" t="s">
        <v>128</v>
      </c>
      <c r="K3" s="3208" t="s">
        <v>129</v>
      </c>
      <c r="L3" s="3207" t="s">
        <v>130</v>
      </c>
      <c r="M3" s="3207" t="s">
        <v>131</v>
      </c>
      <c r="N3" s="3207" t="s">
        <v>132</v>
      </c>
      <c r="O3" s="3207" t="s">
        <v>133</v>
      </c>
      <c r="P3" s="3207" t="s">
        <v>134</v>
      </c>
      <c r="Q3" s="3207" t="s">
        <v>135</v>
      </c>
      <c r="R3" s="3207" t="s">
        <v>136</v>
      </c>
      <c r="S3" s="3207" t="s">
        <v>2846</v>
      </c>
      <c r="T3" s="3207" t="s">
        <v>2847</v>
      </c>
    </row>
    <row r="4" spans="1:20" s="3209" customFormat="1" ht="12" thickBot="1">
      <c r="A4" s="3812"/>
      <c r="B4" s="3210" t="s">
        <v>2848</v>
      </c>
      <c r="C4" s="3210" t="s">
        <v>2849</v>
      </c>
      <c r="D4" s="3210" t="s">
        <v>2849</v>
      </c>
      <c r="E4" s="3210" t="s">
        <v>2849</v>
      </c>
      <c r="F4" s="3211" t="s">
        <v>2849</v>
      </c>
      <c r="G4" s="3211" t="s">
        <v>2849</v>
      </c>
      <c r="H4" s="3206"/>
      <c r="I4" s="3208" t="s">
        <v>137</v>
      </c>
      <c r="J4" s="3208" t="s">
        <v>111</v>
      </c>
      <c r="K4" s="3208" t="s">
        <v>138</v>
      </c>
      <c r="L4" s="3207" t="s">
        <v>139</v>
      </c>
      <c r="M4" s="3207" t="s">
        <v>140</v>
      </c>
      <c r="N4" s="3207" t="s">
        <v>141</v>
      </c>
      <c r="O4" s="3207" t="s">
        <v>142</v>
      </c>
      <c r="P4" s="3207" t="s">
        <v>143</v>
      </c>
      <c r="Q4" s="3207" t="s">
        <v>2850</v>
      </c>
      <c r="R4" s="3207" t="s">
        <v>2851</v>
      </c>
      <c r="S4" s="3207" t="s">
        <v>2852</v>
      </c>
      <c r="T4" s="3207" t="s">
        <v>2853</v>
      </c>
    </row>
    <row r="5" spans="1:20">
      <c r="A5" s="3212" t="s">
        <v>2816</v>
      </c>
      <c r="B5" s="3203" t="s">
        <v>2830</v>
      </c>
      <c r="C5" s="3203">
        <v>34550</v>
      </c>
      <c r="D5" s="3203">
        <v>34470</v>
      </c>
      <c r="E5" s="3203">
        <v>34330</v>
      </c>
      <c r="F5" s="3203">
        <v>13400</v>
      </c>
      <c r="G5" s="3203">
        <v>25450</v>
      </c>
      <c r="H5" s="3206"/>
      <c r="I5" s="3207" t="s">
        <v>145</v>
      </c>
      <c r="J5" s="3208" t="s">
        <v>146</v>
      </c>
      <c r="K5" s="3208" t="s">
        <v>147</v>
      </c>
      <c r="L5" s="3207" t="s">
        <v>148</v>
      </c>
      <c r="M5" s="3207" t="s">
        <v>149</v>
      </c>
      <c r="N5" s="3207" t="s">
        <v>150</v>
      </c>
      <c r="O5" s="3207" t="s">
        <v>151</v>
      </c>
      <c r="P5" s="3207" t="s">
        <v>152</v>
      </c>
      <c r="Q5" s="3207" t="s">
        <v>2854</v>
      </c>
      <c r="R5" s="3207" t="s">
        <v>2855</v>
      </c>
      <c r="S5" s="3207" t="s">
        <v>153</v>
      </c>
      <c r="T5" s="3207" t="s">
        <v>2856</v>
      </c>
    </row>
    <row r="6" spans="1:20" ht="12" thickBot="1">
      <c r="A6" s="3207" t="s">
        <v>144</v>
      </c>
      <c r="B6" s="3207" t="s">
        <v>2845</v>
      </c>
      <c r="C6" s="3207">
        <v>36990</v>
      </c>
      <c r="D6" s="3207">
        <v>36850</v>
      </c>
      <c r="E6" s="3207">
        <v>36700</v>
      </c>
      <c r="F6" s="3207">
        <v>14590</v>
      </c>
      <c r="G6" s="3207">
        <v>27450</v>
      </c>
      <c r="H6" s="3206"/>
      <c r="I6" s="3213" t="s">
        <v>154</v>
      </c>
      <c r="J6" s="3208" t="s">
        <v>155</v>
      </c>
      <c r="K6" s="3208" t="s">
        <v>156</v>
      </c>
      <c r="L6" s="3207" t="s">
        <v>157</v>
      </c>
      <c r="M6" s="3207" t="s">
        <v>158</v>
      </c>
      <c r="N6" s="3207" t="s">
        <v>159</v>
      </c>
      <c r="O6" s="3207" t="s">
        <v>160</v>
      </c>
      <c r="P6" s="3207" t="s">
        <v>2857</v>
      </c>
      <c r="Q6" s="3207" t="s">
        <v>2858</v>
      </c>
      <c r="R6" s="3207" t="s">
        <v>161</v>
      </c>
      <c r="S6" s="3207" t="s">
        <v>2859</v>
      </c>
      <c r="T6" s="3207" t="s">
        <v>2860</v>
      </c>
    </row>
    <row r="7" spans="1:20">
      <c r="A7" s="3207" t="s">
        <v>144</v>
      </c>
      <c r="B7" s="3208" t="s">
        <v>137</v>
      </c>
      <c r="C7" s="3207">
        <v>34850</v>
      </c>
      <c r="D7" s="3207">
        <v>34690</v>
      </c>
      <c r="E7" s="3207">
        <v>34550</v>
      </c>
      <c r="F7" s="3207">
        <v>14360</v>
      </c>
      <c r="G7" s="3207">
        <v>25620</v>
      </c>
      <c r="H7" s="3206"/>
      <c r="J7" s="3208" t="s">
        <v>162</v>
      </c>
      <c r="K7" s="3208" t="s">
        <v>163</v>
      </c>
      <c r="L7" s="3207" t="s">
        <v>164</v>
      </c>
      <c r="M7" s="3207" t="s">
        <v>165</v>
      </c>
      <c r="N7" s="3207" t="s">
        <v>166</v>
      </c>
      <c r="O7" s="3207" t="s">
        <v>167</v>
      </c>
      <c r="P7" s="3207" t="s">
        <v>2861</v>
      </c>
      <c r="Q7" s="3207" t="s">
        <v>2862</v>
      </c>
      <c r="R7" s="3207" t="s">
        <v>2863</v>
      </c>
      <c r="S7" s="3207" t="s">
        <v>2864</v>
      </c>
      <c r="T7" s="3207" t="s">
        <v>2865</v>
      </c>
    </row>
    <row r="8" spans="1:20" ht="12" thickBot="1">
      <c r="A8" s="3207" t="s">
        <v>144</v>
      </c>
      <c r="B8" s="3207" t="s">
        <v>145</v>
      </c>
      <c r="C8" s="3207">
        <v>32630</v>
      </c>
      <c r="D8" s="3207">
        <v>32510</v>
      </c>
      <c r="E8" s="3207">
        <v>32420</v>
      </c>
      <c r="F8" s="3207">
        <v>13300</v>
      </c>
      <c r="G8" s="3207">
        <v>24010</v>
      </c>
      <c r="H8" s="3206"/>
      <c r="J8" s="3208" t="s">
        <v>168</v>
      </c>
      <c r="K8" s="3208" t="s">
        <v>169</v>
      </c>
      <c r="L8" s="3207" t="s">
        <v>170</v>
      </c>
      <c r="M8" s="3207" t="s">
        <v>171</v>
      </c>
      <c r="N8" s="3207" t="s">
        <v>172</v>
      </c>
      <c r="O8" s="3207" t="s">
        <v>173</v>
      </c>
      <c r="P8" s="3207" t="s">
        <v>2866</v>
      </c>
      <c r="Q8" s="3207" t="s">
        <v>174</v>
      </c>
      <c r="R8" s="3207" t="s">
        <v>2867</v>
      </c>
      <c r="S8" s="3207" t="s">
        <v>2868</v>
      </c>
      <c r="T8" s="3214" t="s">
        <v>2869</v>
      </c>
    </row>
    <row r="9" spans="1:20" ht="12" thickBot="1">
      <c r="A9" s="3215" t="s">
        <v>144</v>
      </c>
      <c r="B9" s="3213" t="s">
        <v>154</v>
      </c>
      <c r="C9" s="3214">
        <v>36370</v>
      </c>
      <c r="D9" s="3214">
        <v>36210</v>
      </c>
      <c r="E9" s="3214">
        <v>36050</v>
      </c>
      <c r="F9" s="3214"/>
      <c r="G9" s="3214">
        <v>26740</v>
      </c>
      <c r="H9" s="3206"/>
      <c r="J9" s="3208" t="s">
        <v>175</v>
      </c>
      <c r="K9" s="3208" t="s">
        <v>176</v>
      </c>
      <c r="L9" s="3207" t="s">
        <v>177</v>
      </c>
      <c r="M9" s="3207" t="s">
        <v>178</v>
      </c>
      <c r="N9" s="3207" t="s">
        <v>179</v>
      </c>
      <c r="O9" s="3207" t="s">
        <v>180</v>
      </c>
      <c r="P9" s="3207" t="s">
        <v>2870</v>
      </c>
      <c r="Q9" s="3207" t="s">
        <v>182</v>
      </c>
      <c r="R9" s="3207" t="s">
        <v>183</v>
      </c>
      <c r="S9" s="3207" t="s">
        <v>200</v>
      </c>
    </row>
    <row r="10" spans="1:20">
      <c r="A10" s="3212" t="s">
        <v>184</v>
      </c>
      <c r="B10" s="3203" t="s">
        <v>2831</v>
      </c>
      <c r="C10" s="3207">
        <v>32350</v>
      </c>
      <c r="D10" s="3207">
        <v>31430</v>
      </c>
      <c r="E10" s="3207">
        <v>31320</v>
      </c>
      <c r="F10" s="3207">
        <v>10850</v>
      </c>
      <c r="G10" s="3207">
        <v>22860</v>
      </c>
      <c r="H10" s="3206"/>
      <c r="J10" s="3208" t="s">
        <v>185</v>
      </c>
      <c r="K10" s="3208" t="s">
        <v>186</v>
      </c>
      <c r="L10" s="3207" t="s">
        <v>187</v>
      </c>
      <c r="M10" s="3207" t="s">
        <v>188</v>
      </c>
      <c r="N10" s="3207" t="s">
        <v>189</v>
      </c>
      <c r="O10" s="3207" t="s">
        <v>190</v>
      </c>
      <c r="P10" s="3207" t="s">
        <v>181</v>
      </c>
      <c r="Q10" s="3207" t="s">
        <v>192</v>
      </c>
      <c r="R10" s="3207" t="s">
        <v>193</v>
      </c>
      <c r="S10" s="3207" t="s">
        <v>2871</v>
      </c>
    </row>
    <row r="11" spans="1:20">
      <c r="A11" s="3207" t="s">
        <v>184</v>
      </c>
      <c r="B11" s="3208" t="s">
        <v>128</v>
      </c>
      <c r="C11" s="3207">
        <v>31590</v>
      </c>
      <c r="D11" s="3207">
        <v>29490</v>
      </c>
      <c r="E11" s="3207">
        <v>28700</v>
      </c>
      <c r="F11" s="3207">
        <v>10410</v>
      </c>
      <c r="G11" s="3207">
        <v>21460</v>
      </c>
      <c r="H11" s="3206"/>
      <c r="J11" s="3208" t="s">
        <v>194</v>
      </c>
      <c r="K11" s="3208" t="s">
        <v>195</v>
      </c>
      <c r="L11" s="3207" t="s">
        <v>196</v>
      </c>
      <c r="M11" s="3207" t="s">
        <v>197</v>
      </c>
      <c r="N11" s="3207" t="s">
        <v>198</v>
      </c>
      <c r="O11" s="3207" t="s">
        <v>2872</v>
      </c>
      <c r="P11" s="3207" t="s">
        <v>191</v>
      </c>
      <c r="Q11" s="3207" t="s">
        <v>199</v>
      </c>
      <c r="R11" s="3207" t="s">
        <v>2873</v>
      </c>
      <c r="S11" s="3207" t="s">
        <v>2874</v>
      </c>
    </row>
    <row r="12" spans="1:20">
      <c r="A12" s="3207" t="s">
        <v>184</v>
      </c>
      <c r="B12" s="3208" t="s">
        <v>111</v>
      </c>
      <c r="C12" s="3207">
        <v>29640</v>
      </c>
      <c r="D12" s="3207">
        <v>27550</v>
      </c>
      <c r="E12" s="3207">
        <v>28010</v>
      </c>
      <c r="F12" s="3207">
        <v>8730</v>
      </c>
      <c r="G12" s="3207">
        <v>20050</v>
      </c>
      <c r="H12" s="3206"/>
      <c r="J12" s="3208" t="s">
        <v>201</v>
      </c>
      <c r="K12" s="3208" t="s">
        <v>202</v>
      </c>
      <c r="L12" s="3207" t="s">
        <v>203</v>
      </c>
      <c r="M12" s="3207" t="s">
        <v>204</v>
      </c>
      <c r="N12" s="3207" t="s">
        <v>205</v>
      </c>
      <c r="O12" s="3207" t="s">
        <v>2875</v>
      </c>
      <c r="P12" s="3207" t="s">
        <v>2876</v>
      </c>
      <c r="Q12" s="3207" t="s">
        <v>2877</v>
      </c>
      <c r="R12" s="3207" t="s">
        <v>2878</v>
      </c>
      <c r="S12" s="3207" t="s">
        <v>2879</v>
      </c>
    </row>
    <row r="13" spans="1:20">
      <c r="A13" s="3207" t="s">
        <v>184</v>
      </c>
      <c r="B13" s="3208" t="s">
        <v>146</v>
      </c>
      <c r="C13" s="3207">
        <v>29680</v>
      </c>
      <c r="D13" s="3207">
        <v>27660</v>
      </c>
      <c r="E13" s="3207">
        <v>28210</v>
      </c>
      <c r="F13" s="3207">
        <v>9590</v>
      </c>
      <c r="G13" s="3207">
        <v>20120</v>
      </c>
      <c r="H13" s="3206"/>
      <c r="J13" s="3208" t="s">
        <v>208</v>
      </c>
      <c r="K13" s="3208" t="s">
        <v>209</v>
      </c>
      <c r="L13" s="3207" t="s">
        <v>210</v>
      </c>
      <c r="M13" s="3207" t="s">
        <v>211</v>
      </c>
      <c r="N13" s="3207" t="s">
        <v>212</v>
      </c>
      <c r="O13" s="3207" t="s">
        <v>2880</v>
      </c>
      <c r="P13" s="3207" t="s">
        <v>206</v>
      </c>
      <c r="Q13" s="3207" t="s">
        <v>219</v>
      </c>
      <c r="R13" s="3207" t="s">
        <v>220</v>
      </c>
      <c r="S13" s="3207" t="s">
        <v>214</v>
      </c>
    </row>
    <row r="14" spans="1:20">
      <c r="A14" s="3207" t="s">
        <v>184</v>
      </c>
      <c r="B14" s="3208" t="s">
        <v>155</v>
      </c>
      <c r="C14" s="3207">
        <v>30520</v>
      </c>
      <c r="D14" s="3207">
        <v>29510</v>
      </c>
      <c r="E14" s="3207">
        <v>29400</v>
      </c>
      <c r="F14" s="3207">
        <v>9630</v>
      </c>
      <c r="G14" s="3207">
        <v>21480</v>
      </c>
      <c r="H14" s="3206"/>
      <c r="J14" s="3208" t="s">
        <v>2881</v>
      </c>
      <c r="K14" s="3208" t="s">
        <v>215</v>
      </c>
      <c r="L14" s="3207" t="s">
        <v>216</v>
      </c>
      <c r="M14" s="3207" t="s">
        <v>217</v>
      </c>
      <c r="N14" s="3207" t="s">
        <v>218</v>
      </c>
      <c r="O14" s="3207" t="s">
        <v>240</v>
      </c>
      <c r="P14" s="3207" t="s">
        <v>213</v>
      </c>
      <c r="Q14" s="3207" t="s">
        <v>2882</v>
      </c>
      <c r="R14" s="3207" t="s">
        <v>228</v>
      </c>
      <c r="S14" s="3207" t="s">
        <v>221</v>
      </c>
    </row>
    <row r="15" spans="1:20">
      <c r="A15" s="3207" t="s">
        <v>184</v>
      </c>
      <c r="B15" s="3208" t="s">
        <v>162</v>
      </c>
      <c r="C15" s="3207">
        <v>29090</v>
      </c>
      <c r="D15" s="3207">
        <v>27590</v>
      </c>
      <c r="E15" s="3207">
        <v>28120</v>
      </c>
      <c r="F15" s="3207">
        <v>9110</v>
      </c>
      <c r="G15" s="3207">
        <v>20070</v>
      </c>
      <c r="H15" s="3206"/>
      <c r="J15" s="3208" t="s">
        <v>222</v>
      </c>
      <c r="K15" s="3208" t="s">
        <v>223</v>
      </c>
      <c r="L15" s="3207" t="s">
        <v>224</v>
      </c>
      <c r="M15" s="3207" t="s">
        <v>225</v>
      </c>
      <c r="N15" s="3207" t="s">
        <v>226</v>
      </c>
      <c r="O15" s="3207" t="s">
        <v>2883</v>
      </c>
      <c r="P15" s="3207" t="s">
        <v>2884</v>
      </c>
      <c r="Q15" s="3207" t="s">
        <v>242</v>
      </c>
      <c r="R15" s="3207" t="s">
        <v>2885</v>
      </c>
      <c r="S15" s="3207" t="s">
        <v>229</v>
      </c>
    </row>
    <row r="16" spans="1:20">
      <c r="A16" s="3207" t="s">
        <v>184</v>
      </c>
      <c r="B16" s="3208" t="s">
        <v>168</v>
      </c>
      <c r="C16" s="3207">
        <v>26790</v>
      </c>
      <c r="D16" s="3207">
        <v>30370</v>
      </c>
      <c r="E16" s="3207">
        <v>30240</v>
      </c>
      <c r="F16" s="3207">
        <v>11590</v>
      </c>
      <c r="G16" s="3207">
        <v>22090</v>
      </c>
      <c r="H16" s="3206"/>
      <c r="J16" s="3208" t="s">
        <v>230</v>
      </c>
      <c r="K16" s="3208" t="s">
        <v>231</v>
      </c>
      <c r="L16" s="3207" t="s">
        <v>232</v>
      </c>
      <c r="M16" s="3207" t="s">
        <v>233</v>
      </c>
      <c r="N16" s="3207" t="s">
        <v>234</v>
      </c>
      <c r="O16" s="3207" t="s">
        <v>2886</v>
      </c>
      <c r="P16" s="3207" t="s">
        <v>227</v>
      </c>
      <c r="Q16" s="3207" t="s">
        <v>250</v>
      </c>
      <c r="R16" s="3207" t="s">
        <v>207</v>
      </c>
      <c r="S16" s="3207" t="s">
        <v>2887</v>
      </c>
    </row>
    <row r="17" spans="1:19" ht="14.25" customHeight="1">
      <c r="A17" s="3207" t="s">
        <v>184</v>
      </c>
      <c r="B17" s="3208" t="s">
        <v>175</v>
      </c>
      <c r="C17" s="3207">
        <v>29180</v>
      </c>
      <c r="D17" s="3207">
        <v>27620</v>
      </c>
      <c r="E17" s="3207">
        <v>28180</v>
      </c>
      <c r="F17" s="3207">
        <v>10790</v>
      </c>
      <c r="G17" s="3207">
        <v>20090</v>
      </c>
      <c r="H17" s="3206"/>
      <c r="J17" s="3208" t="s">
        <v>235</v>
      </c>
      <c r="K17" s="3208" t="s">
        <v>236</v>
      </c>
      <c r="L17" s="3207" t="s">
        <v>237</v>
      </c>
      <c r="M17" s="3207" t="s">
        <v>238</v>
      </c>
      <c r="N17" s="3207" t="s">
        <v>239</v>
      </c>
      <c r="O17" s="3207" t="s">
        <v>2888</v>
      </c>
      <c r="P17" s="3207" t="s">
        <v>2889</v>
      </c>
      <c r="Q17" s="3207" t="s">
        <v>256</v>
      </c>
      <c r="R17" s="3207" t="s">
        <v>2890</v>
      </c>
      <c r="S17" s="3207" t="s">
        <v>258</v>
      </c>
    </row>
    <row r="18" spans="1:19" ht="14.25" customHeight="1">
      <c r="A18" s="3207" t="s">
        <v>184</v>
      </c>
      <c r="B18" s="3208" t="s">
        <v>185</v>
      </c>
      <c r="C18" s="3207">
        <v>26840</v>
      </c>
      <c r="D18" s="3207">
        <v>28930</v>
      </c>
      <c r="E18" s="3207">
        <v>28820</v>
      </c>
      <c r="F18" s="3207"/>
      <c r="G18" s="3207">
        <v>21050</v>
      </c>
      <c r="H18" s="3206"/>
      <c r="J18" s="3208" t="s">
        <v>244</v>
      </c>
      <c r="K18" s="3208" t="s">
        <v>245</v>
      </c>
      <c r="L18" s="3207" t="s">
        <v>246</v>
      </c>
      <c r="M18" s="3207" t="s">
        <v>247</v>
      </c>
      <c r="N18" s="3207" t="s">
        <v>248</v>
      </c>
      <c r="O18" s="3207" t="s">
        <v>2891</v>
      </c>
      <c r="P18" s="3207" t="s">
        <v>241</v>
      </c>
      <c r="Q18" s="3207" t="s">
        <v>2892</v>
      </c>
      <c r="R18" s="3207" t="s">
        <v>257</v>
      </c>
      <c r="S18" s="3207" t="s">
        <v>266</v>
      </c>
    </row>
    <row r="19" spans="1:19" ht="14.25" customHeight="1">
      <c r="A19" s="3207" t="s">
        <v>184</v>
      </c>
      <c r="B19" s="3208" t="s">
        <v>194</v>
      </c>
      <c r="C19" s="3207">
        <v>27750</v>
      </c>
      <c r="D19" s="3207">
        <v>26680</v>
      </c>
      <c r="E19" s="3207">
        <v>26590</v>
      </c>
      <c r="F19" s="3207"/>
      <c r="G19" s="3207">
        <v>19420</v>
      </c>
      <c r="H19" s="3206"/>
      <c r="J19" s="3208" t="s">
        <v>251</v>
      </c>
      <c r="K19" s="3208" t="s">
        <v>252</v>
      </c>
      <c r="L19" s="3207" t="s">
        <v>253</v>
      </c>
      <c r="M19" s="3207" t="s">
        <v>254</v>
      </c>
      <c r="N19" s="3207" t="s">
        <v>255</v>
      </c>
      <c r="O19" s="3207" t="s">
        <v>2893</v>
      </c>
      <c r="P19" s="3207" t="s">
        <v>249</v>
      </c>
      <c r="Q19" s="3207" t="s">
        <v>2894</v>
      </c>
      <c r="R19" s="3207" t="s">
        <v>265</v>
      </c>
      <c r="S19" s="3207" t="s">
        <v>2895</v>
      </c>
    </row>
    <row r="20" spans="1:19" ht="14.25" customHeight="1">
      <c r="A20" s="3207" t="s">
        <v>184</v>
      </c>
      <c r="B20" s="3208" t="s">
        <v>201</v>
      </c>
      <c r="C20" s="3207">
        <v>27050</v>
      </c>
      <c r="D20" s="3207">
        <v>29010</v>
      </c>
      <c r="E20" s="3207">
        <v>28910</v>
      </c>
      <c r="F20" s="3207"/>
      <c r="G20" s="3207">
        <v>21110</v>
      </c>
      <c r="J20" s="3208" t="s">
        <v>259</v>
      </c>
      <c r="K20" s="3208" t="s">
        <v>260</v>
      </c>
      <c r="L20" s="3207" t="s">
        <v>261</v>
      </c>
      <c r="M20" s="3207" t="s">
        <v>262</v>
      </c>
      <c r="N20" s="3207" t="s">
        <v>263</v>
      </c>
      <c r="O20" s="3207" t="s">
        <v>2896</v>
      </c>
      <c r="P20" s="3207" t="s">
        <v>2897</v>
      </c>
      <c r="Q20" s="3207" t="s">
        <v>290</v>
      </c>
      <c r="R20" s="3207" t="s">
        <v>2898</v>
      </c>
      <c r="S20" s="3207" t="s">
        <v>277</v>
      </c>
    </row>
    <row r="21" spans="1:19" ht="14.25" customHeight="1" thickBot="1">
      <c r="A21" s="3207" t="s">
        <v>184</v>
      </c>
      <c r="B21" s="3208" t="s">
        <v>208</v>
      </c>
      <c r="C21" s="3207">
        <v>32370</v>
      </c>
      <c r="D21" s="3207">
        <v>26730</v>
      </c>
      <c r="E21" s="3207">
        <v>26640</v>
      </c>
      <c r="F21" s="3207"/>
      <c r="G21" s="3207">
        <v>19440</v>
      </c>
      <c r="J21" s="3214" t="s">
        <v>2899</v>
      </c>
      <c r="K21" s="3208" t="s">
        <v>267</v>
      </c>
      <c r="L21" s="3207" t="s">
        <v>268</v>
      </c>
      <c r="M21" s="3207" t="s">
        <v>269</v>
      </c>
      <c r="N21" s="3207" t="s">
        <v>270</v>
      </c>
      <c r="O21" s="3207" t="s">
        <v>264</v>
      </c>
      <c r="P21" s="3207" t="s">
        <v>283</v>
      </c>
      <c r="Q21" s="3207" t="s">
        <v>293</v>
      </c>
      <c r="R21" s="3207" t="s">
        <v>2900</v>
      </c>
      <c r="S21" s="3214" t="s">
        <v>2901</v>
      </c>
    </row>
    <row r="22" spans="1:19" ht="14.25" customHeight="1">
      <c r="A22" s="3207" t="s">
        <v>184</v>
      </c>
      <c r="B22" s="3208" t="s">
        <v>2881</v>
      </c>
      <c r="C22" s="3207">
        <v>29830</v>
      </c>
      <c r="D22" s="3207">
        <v>27600</v>
      </c>
      <c r="E22" s="3207">
        <v>28150</v>
      </c>
      <c r="F22" s="3207"/>
      <c r="G22" s="3207">
        <v>20080</v>
      </c>
      <c r="K22" s="3208" t="s">
        <v>2902</v>
      </c>
      <c r="L22" s="3207" t="s">
        <v>272</v>
      </c>
      <c r="M22" s="3207" t="s">
        <v>273</v>
      </c>
      <c r="N22" s="3207" t="s">
        <v>274</v>
      </c>
      <c r="O22" s="3207" t="s">
        <v>2903</v>
      </c>
      <c r="P22" s="3207" t="s">
        <v>286</v>
      </c>
      <c r="Q22" s="3207" t="s">
        <v>295</v>
      </c>
      <c r="R22" s="3207" t="s">
        <v>243</v>
      </c>
    </row>
    <row r="23" spans="1:19" ht="14.25" customHeight="1">
      <c r="A23" s="3207" t="s">
        <v>184</v>
      </c>
      <c r="B23" s="3208" t="s">
        <v>222</v>
      </c>
      <c r="C23" s="3207">
        <v>27800</v>
      </c>
      <c r="D23" s="3207">
        <v>26900</v>
      </c>
      <c r="E23" s="3207">
        <v>27170</v>
      </c>
      <c r="F23" s="3207"/>
      <c r="G23" s="3207">
        <v>19570</v>
      </c>
      <c r="K23" s="3208" t="s">
        <v>2904</v>
      </c>
      <c r="L23" s="3207" t="s">
        <v>278</v>
      </c>
      <c r="M23" s="3207" t="s">
        <v>279</v>
      </c>
      <c r="N23" s="3207" t="s">
        <v>2905</v>
      </c>
      <c r="O23" s="3207" t="s">
        <v>2906</v>
      </c>
      <c r="P23" s="3207" t="s">
        <v>289</v>
      </c>
      <c r="Q23" s="3207" t="s">
        <v>298</v>
      </c>
      <c r="R23" s="3207" t="s">
        <v>2907</v>
      </c>
    </row>
    <row r="24" spans="1:19" ht="14.25" customHeight="1">
      <c r="A24" s="3207" t="s">
        <v>184</v>
      </c>
      <c r="B24" s="3208" t="s">
        <v>230</v>
      </c>
      <c r="C24" s="3207">
        <v>27930</v>
      </c>
      <c r="D24" s="3207">
        <v>32260</v>
      </c>
      <c r="E24" s="3207">
        <v>32120</v>
      </c>
      <c r="F24" s="3207"/>
      <c r="G24" s="3207">
        <v>23470</v>
      </c>
      <c r="K24" s="3208" t="s">
        <v>2908</v>
      </c>
      <c r="L24" s="3207" t="s">
        <v>281</v>
      </c>
      <c r="M24" s="3207" t="s">
        <v>282</v>
      </c>
      <c r="N24" s="3207" t="s">
        <v>2909</v>
      </c>
      <c r="O24" s="3207" t="s">
        <v>285</v>
      </c>
      <c r="P24" s="3207" t="s">
        <v>2910</v>
      </c>
      <c r="Q24" s="3216" t="s">
        <v>2911</v>
      </c>
      <c r="R24" s="3207" t="s">
        <v>2912</v>
      </c>
    </row>
    <row r="25" spans="1:19" ht="14.25" customHeight="1">
      <c r="A25" s="3207" t="s">
        <v>184</v>
      </c>
      <c r="B25" s="3208" t="s">
        <v>235</v>
      </c>
      <c r="C25" s="3207">
        <v>32230</v>
      </c>
      <c r="D25" s="3207">
        <v>29640</v>
      </c>
      <c r="E25" s="3207">
        <v>29510</v>
      </c>
      <c r="F25" s="3207"/>
      <c r="G25" s="3207">
        <v>21560</v>
      </c>
      <c r="K25" s="3208" t="s">
        <v>2913</v>
      </c>
      <c r="L25" s="3207" t="s">
        <v>2914</v>
      </c>
      <c r="M25" s="3207" t="s">
        <v>284</v>
      </c>
      <c r="N25" s="3207" t="s">
        <v>292</v>
      </c>
      <c r="O25" s="3207" t="s">
        <v>288</v>
      </c>
      <c r="P25" s="3207" t="s">
        <v>275</v>
      </c>
      <c r="Q25" s="3216" t="s">
        <v>271</v>
      </c>
      <c r="R25" s="3207" t="s">
        <v>2915</v>
      </c>
    </row>
    <row r="26" spans="1:19" ht="14.25" customHeight="1" thickBot="1">
      <c r="A26" s="3207" t="s">
        <v>184</v>
      </c>
      <c r="B26" s="3208" t="s">
        <v>244</v>
      </c>
      <c r="C26" s="3207">
        <v>31690</v>
      </c>
      <c r="D26" s="3207">
        <v>27650</v>
      </c>
      <c r="E26" s="3207">
        <v>28200</v>
      </c>
      <c r="F26" s="3207"/>
      <c r="G26" s="3207">
        <v>20110</v>
      </c>
      <c r="K26" s="3213" t="s">
        <v>2916</v>
      </c>
      <c r="L26" s="3207" t="s">
        <v>2917</v>
      </c>
      <c r="M26" s="3207" t="s">
        <v>287</v>
      </c>
      <c r="N26" s="3207" t="s">
        <v>294</v>
      </c>
      <c r="O26" s="3207" t="s">
        <v>2918</v>
      </c>
      <c r="P26" s="3207" t="s">
        <v>2919</v>
      </c>
      <c r="Q26" s="3216" t="s">
        <v>276</v>
      </c>
      <c r="R26" s="3207" t="s">
        <v>2920</v>
      </c>
    </row>
    <row r="27" spans="1:19" ht="14.25" customHeight="1">
      <c r="A27" s="3207" t="s">
        <v>184</v>
      </c>
      <c r="B27" s="3208" t="s">
        <v>251</v>
      </c>
      <c r="C27" s="3207">
        <v>29610</v>
      </c>
      <c r="D27" s="3207">
        <v>27770</v>
      </c>
      <c r="E27" s="3207">
        <v>28300</v>
      </c>
      <c r="F27" s="3207"/>
      <c r="G27" s="3207">
        <v>20210</v>
      </c>
      <c r="L27" s="3207" t="s">
        <v>2921</v>
      </c>
      <c r="M27" s="3207" t="s">
        <v>291</v>
      </c>
      <c r="N27" s="3207" t="s">
        <v>297</v>
      </c>
      <c r="O27" s="3207" t="s">
        <v>2922</v>
      </c>
      <c r="P27" s="3207" t="s">
        <v>2923</v>
      </c>
      <c r="Q27" s="3207" t="s">
        <v>2924</v>
      </c>
      <c r="R27" s="3207" t="s">
        <v>2925</v>
      </c>
    </row>
    <row r="28" spans="1:19" ht="14.25" customHeight="1">
      <c r="A28" s="3207" t="s">
        <v>184</v>
      </c>
      <c r="B28" s="3208" t="s">
        <v>259</v>
      </c>
      <c r="C28" s="3207"/>
      <c r="D28" s="3207">
        <v>31520</v>
      </c>
      <c r="E28" s="3207">
        <v>31410</v>
      </c>
      <c r="F28" s="3207"/>
      <c r="G28" s="3207">
        <v>22940</v>
      </c>
      <c r="L28" s="3207" t="s">
        <v>2926</v>
      </c>
      <c r="M28" s="3207" t="s">
        <v>2927</v>
      </c>
      <c r="N28" s="3207" t="s">
        <v>2928</v>
      </c>
      <c r="O28" s="3207" t="s">
        <v>2929</v>
      </c>
      <c r="P28" s="3207" t="s">
        <v>2930</v>
      </c>
      <c r="Q28" s="3207" t="s">
        <v>2931</v>
      </c>
      <c r="R28" s="3207" t="s">
        <v>2932</v>
      </c>
    </row>
    <row r="29" spans="1:19" ht="14.25" customHeight="1" thickBot="1">
      <c r="A29" s="3215" t="s">
        <v>184</v>
      </c>
      <c r="B29" s="3217" t="s">
        <v>2899</v>
      </c>
      <c r="C29" s="3218"/>
      <c r="D29" s="3218">
        <v>29460</v>
      </c>
      <c r="E29" s="3218">
        <v>28640</v>
      </c>
      <c r="F29" s="3218"/>
      <c r="G29" s="3218">
        <v>21430</v>
      </c>
      <c r="L29" s="3207" t="s">
        <v>2933</v>
      </c>
      <c r="M29" s="3207" t="s">
        <v>2934</v>
      </c>
      <c r="N29" s="3207" t="s">
        <v>2935</v>
      </c>
      <c r="O29" s="3207" t="s">
        <v>2936</v>
      </c>
      <c r="P29" s="3207" t="s">
        <v>2937</v>
      </c>
      <c r="Q29" s="3207" t="s">
        <v>2938</v>
      </c>
      <c r="R29" s="3207" t="s">
        <v>280</v>
      </c>
    </row>
    <row r="30" spans="1:19" ht="14.25" customHeight="1">
      <c r="A30" s="3212" t="s">
        <v>296</v>
      </c>
      <c r="B30" s="3203" t="s">
        <v>2832</v>
      </c>
      <c r="C30" s="3203">
        <v>26890</v>
      </c>
      <c r="D30" s="3203">
        <v>26770</v>
      </c>
      <c r="E30" s="3203">
        <v>25700</v>
      </c>
      <c r="F30" s="3203">
        <v>8180</v>
      </c>
      <c r="G30" s="3219">
        <v>18740</v>
      </c>
      <c r="L30" s="3207" t="s">
        <v>2939</v>
      </c>
      <c r="M30" s="3207" t="s">
        <v>2940</v>
      </c>
      <c r="N30" s="3207" t="s">
        <v>2941</v>
      </c>
      <c r="O30" s="3207" t="s">
        <v>2942</v>
      </c>
      <c r="P30" s="3207" t="s">
        <v>2943</v>
      </c>
      <c r="Q30" s="3207" t="s">
        <v>2944</v>
      </c>
      <c r="R30" s="3207" t="s">
        <v>2945</v>
      </c>
    </row>
    <row r="31" spans="1:19" ht="14.25" customHeight="1">
      <c r="A31" s="3207" t="s">
        <v>296</v>
      </c>
      <c r="B31" s="3208" t="s">
        <v>129</v>
      </c>
      <c r="C31" s="3207">
        <v>24550</v>
      </c>
      <c r="D31" s="3207">
        <v>23990</v>
      </c>
      <c r="E31" s="3207">
        <v>22930</v>
      </c>
      <c r="F31" s="3207">
        <v>7470</v>
      </c>
      <c r="G31" s="3220">
        <v>16790</v>
      </c>
      <c r="L31" s="3207" t="s">
        <v>2946</v>
      </c>
      <c r="M31" s="3207" t="s">
        <v>2947</v>
      </c>
      <c r="N31" s="3207" t="s">
        <v>2948</v>
      </c>
      <c r="O31" s="3207" t="s">
        <v>2949</v>
      </c>
      <c r="P31" s="3207" t="s">
        <v>2950</v>
      </c>
      <c r="Q31" s="3207" t="s">
        <v>2951</v>
      </c>
      <c r="R31" s="3207" t="s">
        <v>2952</v>
      </c>
    </row>
    <row r="32" spans="1:19" ht="14.25" customHeight="1" thickBot="1">
      <c r="A32" s="3207" t="s">
        <v>296</v>
      </c>
      <c r="B32" s="3208" t="s">
        <v>138</v>
      </c>
      <c r="C32" s="3207">
        <v>27210</v>
      </c>
      <c r="D32" s="3207">
        <v>23240</v>
      </c>
      <c r="E32" s="3207">
        <v>23260</v>
      </c>
      <c r="F32" s="3207">
        <v>7130</v>
      </c>
      <c r="G32" s="3220">
        <v>16270</v>
      </c>
      <c r="L32" s="3207" t="s">
        <v>2953</v>
      </c>
      <c r="M32" s="3207" t="s">
        <v>2954</v>
      </c>
      <c r="N32" s="3207" t="s">
        <v>300</v>
      </c>
      <c r="O32" s="3207" t="s">
        <v>2955</v>
      </c>
      <c r="P32" s="3207" t="s">
        <v>299</v>
      </c>
      <c r="Q32" s="3207" t="s">
        <v>2956</v>
      </c>
      <c r="R32" s="3214" t="s">
        <v>2957</v>
      </c>
    </row>
    <row r="33" spans="1:17" ht="14.25" customHeight="1" thickBot="1">
      <c r="A33" s="3207" t="s">
        <v>296</v>
      </c>
      <c r="B33" s="3208" t="s">
        <v>147</v>
      </c>
      <c r="C33" s="3207">
        <v>27300</v>
      </c>
      <c r="D33" s="3207">
        <v>22980</v>
      </c>
      <c r="E33" s="3207">
        <v>24260</v>
      </c>
      <c r="F33" s="3207">
        <v>5860</v>
      </c>
      <c r="G33" s="3220">
        <v>16090</v>
      </c>
      <c r="L33" s="3214" t="s">
        <v>2958</v>
      </c>
      <c r="M33" s="3207" t="s">
        <v>2959</v>
      </c>
      <c r="N33" s="3207" t="s">
        <v>301</v>
      </c>
      <c r="O33" s="3207" t="s">
        <v>2960</v>
      </c>
      <c r="P33" s="3207" t="s">
        <v>2961</v>
      </c>
      <c r="Q33" s="3207" t="s">
        <v>2962</v>
      </c>
    </row>
    <row r="34" spans="1:17" ht="14.25" customHeight="1">
      <c r="A34" s="3207" t="s">
        <v>296</v>
      </c>
      <c r="B34" s="3208" t="s">
        <v>156</v>
      </c>
      <c r="C34" s="3207">
        <v>23090</v>
      </c>
      <c r="D34" s="3207">
        <v>23390</v>
      </c>
      <c r="E34" s="3207">
        <v>23510</v>
      </c>
      <c r="F34" s="3207">
        <v>6700</v>
      </c>
      <c r="G34" s="3220">
        <v>16370</v>
      </c>
      <c r="M34" s="3207" t="s">
        <v>2963</v>
      </c>
      <c r="N34" s="3207" t="s">
        <v>302</v>
      </c>
      <c r="O34" s="3207" t="s">
        <v>2964</v>
      </c>
      <c r="P34" s="3207" t="s">
        <v>2965</v>
      </c>
      <c r="Q34" s="3207" t="s">
        <v>2966</v>
      </c>
    </row>
    <row r="35" spans="1:17" ht="14.25" customHeight="1">
      <c r="A35" s="3207" t="s">
        <v>296</v>
      </c>
      <c r="B35" s="3208" t="s">
        <v>163</v>
      </c>
      <c r="C35" s="3207">
        <v>27270</v>
      </c>
      <c r="D35" s="3207">
        <v>24270</v>
      </c>
      <c r="E35" s="3207">
        <v>24950</v>
      </c>
      <c r="F35" s="3207">
        <v>6600</v>
      </c>
      <c r="G35" s="3220">
        <v>16990</v>
      </c>
      <c r="M35" s="3207" t="s">
        <v>2967</v>
      </c>
      <c r="N35" s="3207" t="s">
        <v>2968</v>
      </c>
      <c r="O35" s="3207" t="s">
        <v>2969</v>
      </c>
      <c r="P35" s="3207" t="s">
        <v>2970</v>
      </c>
      <c r="Q35" s="3207" t="s">
        <v>2971</v>
      </c>
    </row>
    <row r="36" spans="1:17" ht="14.25" customHeight="1">
      <c r="A36" s="3207" t="s">
        <v>296</v>
      </c>
      <c r="B36" s="3208" t="s">
        <v>169</v>
      </c>
      <c r="C36" s="3207">
        <v>23490</v>
      </c>
      <c r="D36" s="3207">
        <v>23020</v>
      </c>
      <c r="E36" s="3207">
        <v>25230</v>
      </c>
      <c r="F36" s="3207">
        <v>6780</v>
      </c>
      <c r="G36" s="3220">
        <v>16120</v>
      </c>
      <c r="M36" s="3207" t="s">
        <v>2972</v>
      </c>
      <c r="N36" s="3207" t="s">
        <v>2973</v>
      </c>
      <c r="O36" s="3207" t="s">
        <v>2974</v>
      </c>
      <c r="P36" s="3207" t="s">
        <v>2975</v>
      </c>
      <c r="Q36" s="3207" t="s">
        <v>2976</v>
      </c>
    </row>
    <row r="37" spans="1:17" ht="14.25" customHeight="1">
      <c r="A37" s="3207" t="s">
        <v>296</v>
      </c>
      <c r="B37" s="3208" t="s">
        <v>176</v>
      </c>
      <c r="C37" s="3207">
        <v>24380</v>
      </c>
      <c r="D37" s="3207">
        <v>22240</v>
      </c>
      <c r="E37" s="3207">
        <v>25980</v>
      </c>
      <c r="F37" s="3207">
        <v>8160</v>
      </c>
      <c r="G37" s="3220">
        <v>15570</v>
      </c>
      <c r="M37" s="3207" t="s">
        <v>2977</v>
      </c>
      <c r="N37" s="3207" t="s">
        <v>2978</v>
      </c>
      <c r="O37" s="3207" t="s">
        <v>2979</v>
      </c>
      <c r="P37" s="3207" t="s">
        <v>2980</v>
      </c>
      <c r="Q37" s="3207" t="s">
        <v>2981</v>
      </c>
    </row>
    <row r="38" spans="1:17" ht="14.25" customHeight="1">
      <c r="A38" s="3207" t="s">
        <v>296</v>
      </c>
      <c r="B38" s="3208" t="s">
        <v>186</v>
      </c>
      <c r="C38" s="3207">
        <v>23120</v>
      </c>
      <c r="D38" s="3207">
        <v>24630</v>
      </c>
      <c r="E38" s="3207">
        <v>25030</v>
      </c>
      <c r="F38" s="3207">
        <v>7710</v>
      </c>
      <c r="G38" s="3220">
        <v>17240</v>
      </c>
      <c r="M38" s="3207" t="s">
        <v>2982</v>
      </c>
      <c r="N38" s="3207" t="s">
        <v>2983</v>
      </c>
      <c r="O38" s="3207" t="s">
        <v>2984</v>
      </c>
      <c r="P38" s="3207" t="s">
        <v>2985</v>
      </c>
      <c r="Q38" s="3207" t="s">
        <v>2986</v>
      </c>
    </row>
    <row r="39" spans="1:17" ht="14.25" customHeight="1">
      <c r="A39" s="3207" t="s">
        <v>296</v>
      </c>
      <c r="B39" s="3208" t="s">
        <v>195</v>
      </c>
      <c r="C39" s="3207">
        <v>22330</v>
      </c>
      <c r="D39" s="3207">
        <v>21140</v>
      </c>
      <c r="E39" s="3207">
        <v>23970</v>
      </c>
      <c r="F39" s="3207">
        <v>7940</v>
      </c>
      <c r="G39" s="3220">
        <v>14790</v>
      </c>
      <c r="M39" s="3207" t="s">
        <v>2987</v>
      </c>
      <c r="N39" s="3207" t="s">
        <v>2988</v>
      </c>
      <c r="O39" s="3207" t="s">
        <v>2989</v>
      </c>
      <c r="P39" s="3207" t="s">
        <v>2990</v>
      </c>
      <c r="Q39" s="3207" t="s">
        <v>2991</v>
      </c>
    </row>
    <row r="40" spans="1:17" ht="14.25" customHeight="1">
      <c r="A40" s="3207" t="s">
        <v>296</v>
      </c>
      <c r="B40" s="3208" t="s">
        <v>202</v>
      </c>
      <c r="C40" s="3207">
        <v>24740</v>
      </c>
      <c r="D40" s="3207">
        <v>24690</v>
      </c>
      <c r="E40" s="3207">
        <v>22610</v>
      </c>
      <c r="F40" s="3207"/>
      <c r="G40" s="3220">
        <v>17280</v>
      </c>
      <c r="M40" s="3207" t="s">
        <v>2992</v>
      </c>
      <c r="N40" s="3207" t="s">
        <v>2993</v>
      </c>
      <c r="O40" s="3207" t="s">
        <v>2994</v>
      </c>
      <c r="P40" s="3207" t="s">
        <v>2995</v>
      </c>
      <c r="Q40" s="3207" t="s">
        <v>2996</v>
      </c>
    </row>
    <row r="41" spans="1:17" ht="14.25" customHeight="1" thickBot="1">
      <c r="A41" s="3207" t="s">
        <v>296</v>
      </c>
      <c r="B41" s="3208" t="s">
        <v>209</v>
      </c>
      <c r="C41" s="3207">
        <v>21220</v>
      </c>
      <c r="D41" s="3207">
        <v>21120</v>
      </c>
      <c r="E41" s="3207">
        <v>22590</v>
      </c>
      <c r="F41" s="3207"/>
      <c r="G41" s="3220">
        <v>14780</v>
      </c>
      <c r="M41" s="3214" t="s">
        <v>2997</v>
      </c>
      <c r="N41" s="3207" t="s">
        <v>2998</v>
      </c>
      <c r="O41" s="3207" t="s">
        <v>2999</v>
      </c>
      <c r="P41" s="3207" t="s">
        <v>3000</v>
      </c>
      <c r="Q41" s="3207" t="s">
        <v>3001</v>
      </c>
    </row>
    <row r="42" spans="1:17" ht="14.25" customHeight="1">
      <c r="A42" s="3207" t="s">
        <v>296</v>
      </c>
      <c r="B42" s="3208" t="s">
        <v>215</v>
      </c>
      <c r="C42" s="3207">
        <v>24800</v>
      </c>
      <c r="D42" s="3207">
        <v>22280</v>
      </c>
      <c r="E42" s="3207">
        <v>24350</v>
      </c>
      <c r="F42" s="3207"/>
      <c r="G42" s="3220">
        <v>15590</v>
      </c>
      <c r="N42" s="3207" t="s">
        <v>3002</v>
      </c>
      <c r="O42" s="3207" t="s">
        <v>3003</v>
      </c>
      <c r="P42" s="3207" t="s">
        <v>3004</v>
      </c>
      <c r="Q42" s="3207" t="s">
        <v>3005</v>
      </c>
    </row>
    <row r="43" spans="1:17" ht="14.25" customHeight="1">
      <c r="A43" s="3207" t="s">
        <v>3006</v>
      </c>
      <c r="B43" s="3208" t="s">
        <v>223</v>
      </c>
      <c r="C43" s="3207">
        <v>21210</v>
      </c>
      <c r="D43" s="3207">
        <v>21160</v>
      </c>
      <c r="E43" s="3207">
        <v>22650</v>
      </c>
      <c r="F43" s="3207"/>
      <c r="G43" s="3220">
        <v>14800</v>
      </c>
      <c r="N43" s="3207" t="s">
        <v>3007</v>
      </c>
      <c r="O43" s="3207" t="s">
        <v>3008</v>
      </c>
      <c r="P43" s="3207" t="s">
        <v>3009</v>
      </c>
      <c r="Q43" s="3207" t="s">
        <v>3010</v>
      </c>
    </row>
    <row r="44" spans="1:17" ht="14.25" customHeight="1" thickBot="1">
      <c r="A44" s="3207" t="s">
        <v>296</v>
      </c>
      <c r="B44" s="3208" t="s">
        <v>231</v>
      </c>
      <c r="C44" s="3207">
        <v>22370</v>
      </c>
      <c r="D44" s="3207">
        <v>23140</v>
      </c>
      <c r="E44" s="3207">
        <v>25090</v>
      </c>
      <c r="F44" s="3207"/>
      <c r="G44" s="3220">
        <v>16190</v>
      </c>
      <c r="N44" s="3207" t="s">
        <v>3011</v>
      </c>
      <c r="O44" s="3207" t="s">
        <v>3012</v>
      </c>
      <c r="P44" s="3214" t="s">
        <v>3013</v>
      </c>
      <c r="Q44" s="3207" t="s">
        <v>3014</v>
      </c>
    </row>
    <row r="45" spans="1:17" ht="14.25" customHeight="1" thickBot="1">
      <c r="A45" s="3207" t="s">
        <v>296</v>
      </c>
      <c r="B45" s="3208" t="s">
        <v>236</v>
      </c>
      <c r="C45" s="3207">
        <v>21240</v>
      </c>
      <c r="D45" s="3207">
        <v>27050</v>
      </c>
      <c r="E45" s="3207">
        <v>28000</v>
      </c>
      <c r="F45" s="3207"/>
      <c r="G45" s="3220">
        <v>18940</v>
      </c>
      <c r="N45" s="3207" t="s">
        <v>3015</v>
      </c>
      <c r="O45" s="3214" t="s">
        <v>3016</v>
      </c>
      <c r="Q45" s="3207" t="s">
        <v>3017</v>
      </c>
    </row>
    <row r="46" spans="1:17" ht="14.25" customHeight="1">
      <c r="A46" s="3207" t="s">
        <v>296</v>
      </c>
      <c r="B46" s="3208" t="s">
        <v>245</v>
      </c>
      <c r="C46" s="3207">
        <v>23240</v>
      </c>
      <c r="D46" s="3207">
        <v>23000</v>
      </c>
      <c r="E46" s="3207">
        <v>24980</v>
      </c>
      <c r="F46" s="3207"/>
      <c r="G46" s="3220">
        <v>16100</v>
      </c>
      <c r="N46" s="3207" t="s">
        <v>3018</v>
      </c>
      <c r="Q46" s="3207" t="s">
        <v>3019</v>
      </c>
    </row>
    <row r="47" spans="1:17" ht="14.25" customHeight="1">
      <c r="A47" s="3207" t="s">
        <v>296</v>
      </c>
      <c r="B47" s="3208" t="s">
        <v>252</v>
      </c>
      <c r="C47" s="3207">
        <v>27150</v>
      </c>
      <c r="D47" s="3207">
        <v>23310</v>
      </c>
      <c r="E47" s="3207">
        <v>25150</v>
      </c>
      <c r="F47" s="3207"/>
      <c r="G47" s="3220">
        <v>16310</v>
      </c>
      <c r="N47" s="3207" t="s">
        <v>3020</v>
      </c>
      <c r="Q47" s="3207" t="s">
        <v>3021</v>
      </c>
    </row>
    <row r="48" spans="1:17" ht="14.25" customHeight="1">
      <c r="A48" s="3207" t="s">
        <v>296</v>
      </c>
      <c r="B48" s="3208" t="s">
        <v>260</v>
      </c>
      <c r="C48" s="3207">
        <v>23100</v>
      </c>
      <c r="D48" s="3207">
        <v>21110</v>
      </c>
      <c r="E48" s="3207">
        <v>23080</v>
      </c>
      <c r="F48" s="3207"/>
      <c r="G48" s="3220">
        <v>14780</v>
      </c>
      <c r="N48" s="3207" t="s">
        <v>3022</v>
      </c>
      <c r="Q48" s="3207" t="s">
        <v>3023</v>
      </c>
    </row>
    <row r="49" spans="1:17" ht="14.25" customHeight="1">
      <c r="A49" s="3207" t="s">
        <v>296</v>
      </c>
      <c r="B49" s="3208" t="s">
        <v>267</v>
      </c>
      <c r="C49" s="3207">
        <v>23400</v>
      </c>
      <c r="D49" s="3207">
        <v>22920</v>
      </c>
      <c r="E49" s="3207">
        <v>24900</v>
      </c>
      <c r="F49" s="3207"/>
      <c r="G49" s="3220">
        <v>16040</v>
      </c>
      <c r="N49" s="3207" t="s">
        <v>3024</v>
      </c>
      <c r="Q49" s="3207" t="s">
        <v>3025</v>
      </c>
    </row>
    <row r="50" spans="1:17" ht="14.25" customHeight="1">
      <c r="A50" s="3207" t="s">
        <v>296</v>
      </c>
      <c r="B50" s="3208" t="s">
        <v>2902</v>
      </c>
      <c r="C50" s="3207">
        <v>21200</v>
      </c>
      <c r="D50" s="3207">
        <v>26540</v>
      </c>
      <c r="E50" s="3207">
        <v>23200</v>
      </c>
      <c r="F50" s="3207"/>
      <c r="G50" s="3220">
        <v>18580</v>
      </c>
      <c r="N50" s="3207" t="s">
        <v>3026</v>
      </c>
      <c r="Q50" s="3208" t="s">
        <v>3027</v>
      </c>
    </row>
    <row r="51" spans="1:17" ht="14.25" customHeight="1" thickBot="1">
      <c r="A51" s="3207" t="s">
        <v>296</v>
      </c>
      <c r="B51" s="3208" t="s">
        <v>2904</v>
      </c>
      <c r="C51" s="3207">
        <v>23000</v>
      </c>
      <c r="D51" s="3207">
        <v>23460</v>
      </c>
      <c r="E51" s="3207">
        <v>25290</v>
      </c>
      <c r="F51" s="3207"/>
      <c r="G51" s="3220">
        <v>16420</v>
      </c>
      <c r="N51" s="3207" t="s">
        <v>3028</v>
      </c>
      <c r="Q51" s="3214" t="s">
        <v>3029</v>
      </c>
    </row>
    <row r="52" spans="1:17" ht="14.25" customHeight="1">
      <c r="A52" s="3207" t="s">
        <v>296</v>
      </c>
      <c r="B52" s="3208" t="s">
        <v>2908</v>
      </c>
      <c r="C52" s="3207">
        <v>26660</v>
      </c>
      <c r="D52" s="3207">
        <v>22350</v>
      </c>
      <c r="E52" s="3207">
        <v>22920</v>
      </c>
      <c r="F52" s="3207"/>
      <c r="G52" s="3220">
        <v>15640</v>
      </c>
      <c r="N52" s="3207" t="s">
        <v>3030</v>
      </c>
    </row>
    <row r="53" spans="1:17" ht="14.25" customHeight="1">
      <c r="A53" s="3207" t="s">
        <v>296</v>
      </c>
      <c r="B53" s="3208" t="s">
        <v>2913</v>
      </c>
      <c r="C53" s="3207">
        <v>23580</v>
      </c>
      <c r="D53" s="3207"/>
      <c r="E53" s="3207">
        <v>24280</v>
      </c>
      <c r="F53" s="3207"/>
      <c r="G53" s="3220"/>
      <c r="N53" s="3207" t="s">
        <v>3031</v>
      </c>
    </row>
    <row r="54" spans="1:17" ht="14.25" customHeight="1" thickBot="1">
      <c r="A54" s="3221" t="s">
        <v>296</v>
      </c>
      <c r="B54" s="3213" t="s">
        <v>2916</v>
      </c>
      <c r="C54" s="3214">
        <v>22460</v>
      </c>
      <c r="D54" s="3214"/>
      <c r="E54" s="3214"/>
      <c r="F54" s="3214"/>
      <c r="G54" s="3222"/>
      <c r="N54" s="3207" t="s">
        <v>3032</v>
      </c>
    </row>
    <row r="55" spans="1:17" ht="14.25" customHeight="1">
      <c r="A55" s="3212" t="s">
        <v>110</v>
      </c>
      <c r="B55" s="3203" t="s">
        <v>3033</v>
      </c>
      <c r="C55" s="3207">
        <v>21970</v>
      </c>
      <c r="D55" s="3207">
        <v>20370</v>
      </c>
      <c r="E55" s="3207">
        <v>20180</v>
      </c>
      <c r="F55" s="3207">
        <v>5730</v>
      </c>
      <c r="G55" s="3207">
        <v>13820</v>
      </c>
      <c r="N55" s="3207" t="s">
        <v>3034</v>
      </c>
    </row>
    <row r="56" spans="1:17" ht="14.25" customHeight="1">
      <c r="A56" s="3207" t="s">
        <v>110</v>
      </c>
      <c r="B56" s="3207" t="s">
        <v>130</v>
      </c>
      <c r="C56" s="3207">
        <v>20470</v>
      </c>
      <c r="D56" s="3207">
        <v>20700</v>
      </c>
      <c r="E56" s="3207">
        <v>20380</v>
      </c>
      <c r="F56" s="3207">
        <v>4760</v>
      </c>
      <c r="G56" s="3207">
        <v>14050</v>
      </c>
      <c r="N56" s="3207" t="s">
        <v>3035</v>
      </c>
    </row>
    <row r="57" spans="1:17" ht="14.25" customHeight="1">
      <c r="A57" s="3207" t="s">
        <v>110</v>
      </c>
      <c r="B57" s="3207" t="s">
        <v>139</v>
      </c>
      <c r="C57" s="3207">
        <v>20790</v>
      </c>
      <c r="D57" s="3207">
        <v>21370</v>
      </c>
      <c r="E57" s="3207">
        <v>20890</v>
      </c>
      <c r="F57" s="3207">
        <v>4910</v>
      </c>
      <c r="G57" s="3207">
        <v>14510</v>
      </c>
      <c r="N57" s="3207" t="s">
        <v>3036</v>
      </c>
    </row>
    <row r="58" spans="1:17" ht="14.25" customHeight="1">
      <c r="A58" s="3207" t="s">
        <v>110</v>
      </c>
      <c r="B58" s="3207" t="s">
        <v>148</v>
      </c>
      <c r="C58" s="3207">
        <v>21460</v>
      </c>
      <c r="D58" s="3207">
        <v>20920</v>
      </c>
      <c r="E58" s="3207">
        <v>23410</v>
      </c>
      <c r="F58" s="3207">
        <v>5100</v>
      </c>
      <c r="G58" s="3207">
        <v>14200</v>
      </c>
      <c r="N58" s="3207" t="s">
        <v>3037</v>
      </c>
    </row>
    <row r="59" spans="1:17" ht="14.25" customHeight="1">
      <c r="A59" s="3207" t="s">
        <v>110</v>
      </c>
      <c r="B59" s="3207" t="s">
        <v>157</v>
      </c>
      <c r="C59" s="3207">
        <v>21000</v>
      </c>
      <c r="D59" s="3207">
        <v>21550</v>
      </c>
      <c r="E59" s="3207">
        <v>21150</v>
      </c>
      <c r="F59" s="3207">
        <v>5250</v>
      </c>
      <c r="G59" s="3207">
        <v>14630</v>
      </c>
      <c r="N59" s="3207" t="s">
        <v>3038</v>
      </c>
    </row>
    <row r="60" spans="1:17" ht="14.25" customHeight="1">
      <c r="A60" s="3207" t="s">
        <v>110</v>
      </c>
      <c r="B60" s="3207" t="s">
        <v>164</v>
      </c>
      <c r="C60" s="3207">
        <v>21640</v>
      </c>
      <c r="D60" s="3207">
        <v>21260</v>
      </c>
      <c r="E60" s="3207">
        <v>24040</v>
      </c>
      <c r="F60" s="3207">
        <v>4470</v>
      </c>
      <c r="G60" s="3207">
        <v>14430</v>
      </c>
      <c r="N60" s="3207" t="s">
        <v>3039</v>
      </c>
    </row>
    <row r="61" spans="1:17" ht="14.25" customHeight="1">
      <c r="A61" s="3207" t="s">
        <v>110</v>
      </c>
      <c r="B61" s="3207" t="s">
        <v>170</v>
      </c>
      <c r="C61" s="3207">
        <v>21330</v>
      </c>
      <c r="D61" s="3207">
        <v>18640</v>
      </c>
      <c r="E61" s="3207">
        <v>21190</v>
      </c>
      <c r="F61" s="3207">
        <v>4180</v>
      </c>
      <c r="G61" s="3207">
        <v>12650</v>
      </c>
      <c r="N61" s="3207" t="s">
        <v>3040</v>
      </c>
    </row>
    <row r="62" spans="1:17" ht="14.25" customHeight="1">
      <c r="A62" s="3207" t="s">
        <v>110</v>
      </c>
      <c r="B62" s="3207" t="s">
        <v>177</v>
      </c>
      <c r="C62" s="3207">
        <v>18710</v>
      </c>
      <c r="D62" s="3207">
        <v>19400</v>
      </c>
      <c r="E62" s="3207">
        <v>23750</v>
      </c>
      <c r="F62" s="3207">
        <v>4860</v>
      </c>
      <c r="G62" s="3207">
        <v>13170</v>
      </c>
      <c r="N62" s="3207" t="s">
        <v>3041</v>
      </c>
    </row>
    <row r="63" spans="1:17" ht="14.25" customHeight="1">
      <c r="A63" s="3207" t="s">
        <v>110</v>
      </c>
      <c r="B63" s="3207" t="s">
        <v>187</v>
      </c>
      <c r="C63" s="3207">
        <v>19480</v>
      </c>
      <c r="D63" s="3207">
        <v>16830</v>
      </c>
      <c r="E63" s="3207">
        <v>21590</v>
      </c>
      <c r="F63" s="3207">
        <v>4560</v>
      </c>
      <c r="G63" s="3207">
        <v>11420</v>
      </c>
      <c r="N63" s="3207" t="s">
        <v>3042</v>
      </c>
    </row>
    <row r="64" spans="1:17" ht="14.25" customHeight="1" thickBot="1">
      <c r="A64" s="3207" t="s">
        <v>110</v>
      </c>
      <c r="B64" s="3207" t="s">
        <v>196</v>
      </c>
      <c r="C64" s="3207">
        <v>16920</v>
      </c>
      <c r="D64" s="3207">
        <v>19190</v>
      </c>
      <c r="E64" s="3207">
        <v>22200</v>
      </c>
      <c r="F64" s="3207">
        <v>4390</v>
      </c>
      <c r="G64" s="3207">
        <v>13030</v>
      </c>
      <c r="N64" s="3214" t="s">
        <v>3043</v>
      </c>
    </row>
    <row r="65" spans="1:7" s="3196" customFormat="1" ht="14.25" customHeight="1">
      <c r="A65" s="3207" t="s">
        <v>110</v>
      </c>
      <c r="B65" s="3207" t="s">
        <v>203</v>
      </c>
      <c r="C65" s="3207">
        <v>19290</v>
      </c>
      <c r="D65" s="3207">
        <v>17020</v>
      </c>
      <c r="E65" s="3207">
        <v>19880</v>
      </c>
      <c r="F65" s="3207">
        <v>4070</v>
      </c>
      <c r="G65" s="3207">
        <v>11550</v>
      </c>
    </row>
    <row r="66" spans="1:7" s="3196" customFormat="1" ht="14.25" customHeight="1">
      <c r="A66" s="3207" t="s">
        <v>110</v>
      </c>
      <c r="B66" s="3207" t="s">
        <v>210</v>
      </c>
      <c r="C66" s="3207">
        <v>17090</v>
      </c>
      <c r="D66" s="3207">
        <v>18340</v>
      </c>
      <c r="E66" s="3207">
        <v>21830</v>
      </c>
      <c r="F66" s="3207">
        <v>4690</v>
      </c>
      <c r="G66" s="3207">
        <v>12450</v>
      </c>
    </row>
    <row r="67" spans="1:7" s="3196" customFormat="1" ht="14.25" customHeight="1">
      <c r="A67" s="3207" t="s">
        <v>110</v>
      </c>
      <c r="B67" s="3207" t="s">
        <v>216</v>
      </c>
      <c r="C67" s="3207">
        <v>18420</v>
      </c>
      <c r="D67" s="3207">
        <v>16360</v>
      </c>
      <c r="E67" s="3207">
        <v>20020</v>
      </c>
      <c r="F67" s="3207">
        <v>5150</v>
      </c>
      <c r="G67" s="3207">
        <v>11110</v>
      </c>
    </row>
    <row r="68" spans="1:7" s="3196" customFormat="1" ht="14.25" customHeight="1">
      <c r="A68" s="3207" t="s">
        <v>110</v>
      </c>
      <c r="B68" s="3207" t="s">
        <v>224</v>
      </c>
      <c r="C68" s="3207">
        <v>16450</v>
      </c>
      <c r="D68" s="3207">
        <v>18430</v>
      </c>
      <c r="E68" s="3207">
        <v>21010</v>
      </c>
      <c r="F68" s="3207">
        <v>4720</v>
      </c>
      <c r="G68" s="3207">
        <v>12510</v>
      </c>
    </row>
    <row r="69" spans="1:7" s="3196" customFormat="1" ht="14.25" customHeight="1">
      <c r="A69" s="3207" t="s">
        <v>110</v>
      </c>
      <c r="B69" s="3207" t="s">
        <v>232</v>
      </c>
      <c r="C69" s="3207">
        <v>18510</v>
      </c>
      <c r="D69" s="3207">
        <v>16300</v>
      </c>
      <c r="E69" s="3207">
        <v>18830</v>
      </c>
      <c r="F69" s="3207">
        <v>5400</v>
      </c>
      <c r="G69" s="3207">
        <v>11070</v>
      </c>
    </row>
    <row r="70" spans="1:7" s="3196" customFormat="1" ht="14.25" customHeight="1">
      <c r="A70" s="3207" t="s">
        <v>110</v>
      </c>
      <c r="B70" s="3207" t="s">
        <v>237</v>
      </c>
      <c r="C70" s="3207">
        <v>16370</v>
      </c>
      <c r="D70" s="3207">
        <v>18620</v>
      </c>
      <c r="E70" s="3207">
        <v>21100</v>
      </c>
      <c r="F70" s="3207">
        <v>5700</v>
      </c>
      <c r="G70" s="3207">
        <v>12640</v>
      </c>
    </row>
    <row r="71" spans="1:7" s="3196" customFormat="1" ht="14.25" customHeight="1">
      <c r="A71" s="3207" t="s">
        <v>110</v>
      </c>
      <c r="B71" s="3207" t="s">
        <v>246</v>
      </c>
      <c r="C71" s="3207">
        <v>18700</v>
      </c>
      <c r="D71" s="3207">
        <v>16290</v>
      </c>
      <c r="E71" s="3207">
        <v>18760</v>
      </c>
      <c r="F71" s="3207">
        <v>4780</v>
      </c>
      <c r="G71" s="3207">
        <v>11050</v>
      </c>
    </row>
    <row r="72" spans="1:7" s="3196" customFormat="1" ht="14.25" customHeight="1">
      <c r="A72" s="3207" t="s">
        <v>110</v>
      </c>
      <c r="B72" s="3207" t="s">
        <v>253</v>
      </c>
      <c r="C72" s="3207">
        <v>16340</v>
      </c>
      <c r="D72" s="3207">
        <v>17520</v>
      </c>
      <c r="E72" s="3207">
        <v>21170</v>
      </c>
      <c r="F72" s="3207"/>
      <c r="G72" s="3207">
        <v>11900</v>
      </c>
    </row>
    <row r="73" spans="1:7" s="3196" customFormat="1" ht="14.25" customHeight="1">
      <c r="A73" s="3207" t="s">
        <v>110</v>
      </c>
      <c r="B73" s="3207" t="s">
        <v>261</v>
      </c>
      <c r="C73" s="3207">
        <v>17610</v>
      </c>
      <c r="D73" s="3207">
        <v>18520</v>
      </c>
      <c r="E73" s="3207">
        <v>18720</v>
      </c>
      <c r="F73" s="3207"/>
      <c r="G73" s="3207">
        <v>12570</v>
      </c>
    </row>
    <row r="74" spans="1:7" s="3196" customFormat="1" ht="14.25" customHeight="1">
      <c r="A74" s="3207" t="s">
        <v>110</v>
      </c>
      <c r="B74" s="3207" t="s">
        <v>268</v>
      </c>
      <c r="C74" s="3207">
        <v>18600</v>
      </c>
      <c r="D74" s="3207">
        <v>16480</v>
      </c>
      <c r="E74" s="3207">
        <v>20100</v>
      </c>
      <c r="F74" s="3207"/>
      <c r="G74" s="3207">
        <v>11190</v>
      </c>
    </row>
    <row r="75" spans="1:7" s="3196" customFormat="1" ht="14.25" customHeight="1">
      <c r="A75" s="3207" t="s">
        <v>110</v>
      </c>
      <c r="B75" s="3207" t="s">
        <v>272</v>
      </c>
      <c r="C75" s="3207">
        <v>16570</v>
      </c>
      <c r="D75" s="3207">
        <v>17530</v>
      </c>
      <c r="E75" s="3207">
        <v>21030</v>
      </c>
      <c r="F75" s="3207"/>
      <c r="G75" s="3207">
        <v>11900</v>
      </c>
    </row>
    <row r="76" spans="1:7" s="3196" customFormat="1" ht="14.25" customHeight="1">
      <c r="A76" s="3207" t="s">
        <v>110</v>
      </c>
      <c r="B76" s="3207" t="s">
        <v>278</v>
      </c>
      <c r="C76" s="3207">
        <v>17610</v>
      </c>
      <c r="D76" s="3207">
        <v>20800</v>
      </c>
      <c r="E76" s="3207">
        <v>18920</v>
      </c>
      <c r="F76" s="3207"/>
      <c r="G76" s="3207">
        <v>14120</v>
      </c>
    </row>
    <row r="77" spans="1:7" s="3196" customFormat="1" ht="14.25" customHeight="1">
      <c r="A77" s="3207" t="s">
        <v>110</v>
      </c>
      <c r="B77" s="3207" t="s">
        <v>281</v>
      </c>
      <c r="C77" s="3207">
        <v>20890</v>
      </c>
      <c r="D77" s="3207">
        <v>19740</v>
      </c>
      <c r="E77" s="3207">
        <v>20110</v>
      </c>
      <c r="F77" s="3207"/>
      <c r="G77" s="3207">
        <v>13400</v>
      </c>
    </row>
    <row r="78" spans="1:7" s="3196" customFormat="1" ht="14.25" customHeight="1">
      <c r="A78" s="3207" t="s">
        <v>110</v>
      </c>
      <c r="B78" s="3207" t="s">
        <v>2914</v>
      </c>
      <c r="C78" s="3207">
        <v>19820</v>
      </c>
      <c r="D78" s="3207">
        <v>19780</v>
      </c>
      <c r="E78" s="3207">
        <v>18560</v>
      </c>
      <c r="F78" s="3207"/>
      <c r="G78" s="3207">
        <v>13430</v>
      </c>
    </row>
    <row r="79" spans="1:7" s="3196" customFormat="1" ht="14.25" customHeight="1">
      <c r="A79" s="3207" t="s">
        <v>110</v>
      </c>
      <c r="B79" s="3207" t="s">
        <v>2917</v>
      </c>
      <c r="C79" s="3207">
        <v>21660</v>
      </c>
      <c r="D79" s="3207">
        <v>18000</v>
      </c>
      <c r="E79" s="3207">
        <v>22570</v>
      </c>
      <c r="F79" s="3207"/>
      <c r="G79" s="3207">
        <v>12220</v>
      </c>
    </row>
    <row r="80" spans="1:7" s="3196" customFormat="1" ht="14.25" customHeight="1">
      <c r="A80" s="3207" t="s">
        <v>110</v>
      </c>
      <c r="B80" s="3207" t="s">
        <v>2921</v>
      </c>
      <c r="C80" s="3207">
        <v>19850</v>
      </c>
      <c r="D80" s="3207"/>
      <c r="E80" s="3207">
        <v>21700</v>
      </c>
      <c r="F80" s="3207"/>
      <c r="G80" s="3207"/>
    </row>
    <row r="81" spans="1:7" s="3196" customFormat="1" ht="14.25" customHeight="1">
      <c r="A81" s="3207" t="s">
        <v>110</v>
      </c>
      <c r="B81" s="3207" t="s">
        <v>2926</v>
      </c>
      <c r="C81" s="3207">
        <v>18080</v>
      </c>
      <c r="D81" s="3207"/>
      <c r="E81" s="3207">
        <v>20900</v>
      </c>
      <c r="F81" s="3207"/>
      <c r="G81" s="3207"/>
    </row>
    <row r="82" spans="1:7" s="3196" customFormat="1" ht="14.25" customHeight="1">
      <c r="A82" s="3207" t="s">
        <v>110</v>
      </c>
      <c r="B82" s="3207" t="s">
        <v>2933</v>
      </c>
      <c r="C82" s="3207"/>
      <c r="D82" s="3207"/>
      <c r="E82" s="3207">
        <v>20840</v>
      </c>
      <c r="F82" s="3207"/>
      <c r="G82" s="3207"/>
    </row>
    <row r="83" spans="1:7" s="3196" customFormat="1" ht="14.25" customHeight="1">
      <c r="A83" s="3207" t="s">
        <v>110</v>
      </c>
      <c r="B83" s="3207" t="s">
        <v>3044</v>
      </c>
      <c r="C83" s="3207"/>
      <c r="D83" s="3207"/>
      <c r="E83" s="3207"/>
      <c r="F83" s="3207">
        <v>4770</v>
      </c>
      <c r="G83" s="3207"/>
    </row>
    <row r="84" spans="1:7" s="3196" customFormat="1" ht="14.25" customHeight="1">
      <c r="A84" s="3207" t="s">
        <v>110</v>
      </c>
      <c r="B84" s="3207" t="s">
        <v>3045</v>
      </c>
      <c r="C84" s="3207"/>
      <c r="D84" s="3207"/>
      <c r="E84" s="3207"/>
      <c r="F84" s="3207">
        <v>4600</v>
      </c>
      <c r="G84" s="3207"/>
    </row>
    <row r="85" spans="1:7" s="3196" customFormat="1" ht="14.25" customHeight="1">
      <c r="A85" s="3207" t="s">
        <v>110</v>
      </c>
      <c r="B85" s="3207" t="s">
        <v>3046</v>
      </c>
      <c r="C85" s="3207"/>
      <c r="D85" s="3207"/>
      <c r="E85" s="3207"/>
      <c r="F85" s="3207">
        <v>4680</v>
      </c>
      <c r="G85" s="3207"/>
    </row>
    <row r="86" spans="1:7" s="3196" customFormat="1" ht="14.25" customHeight="1" thickBot="1">
      <c r="A86" s="3215" t="s">
        <v>110</v>
      </c>
      <c r="B86" s="3217" t="s">
        <v>3047</v>
      </c>
      <c r="C86" s="3218">
        <v>16610</v>
      </c>
      <c r="D86" s="3218">
        <v>16540</v>
      </c>
      <c r="E86" s="3218">
        <v>18850</v>
      </c>
      <c r="F86" s="3218"/>
      <c r="G86" s="3218">
        <v>11220</v>
      </c>
    </row>
    <row r="87" spans="1:7" s="3196" customFormat="1" ht="14.25" customHeight="1">
      <c r="A87" s="3212" t="s">
        <v>303</v>
      </c>
      <c r="B87" s="3203" t="s">
        <v>3048</v>
      </c>
      <c r="C87" s="3203">
        <v>15240</v>
      </c>
      <c r="D87" s="3203">
        <v>15170</v>
      </c>
      <c r="E87" s="3203">
        <v>18260</v>
      </c>
      <c r="F87" s="3203">
        <v>3830</v>
      </c>
      <c r="G87" s="3219">
        <v>10020</v>
      </c>
    </row>
    <row r="88" spans="1:7" s="3196" customFormat="1" ht="14.25" customHeight="1">
      <c r="A88" s="3207" t="s">
        <v>303</v>
      </c>
      <c r="B88" s="3207" t="s">
        <v>131</v>
      </c>
      <c r="C88" s="3207">
        <v>17310</v>
      </c>
      <c r="D88" s="3207">
        <v>17220</v>
      </c>
      <c r="E88" s="3207">
        <v>18610</v>
      </c>
      <c r="F88" s="3207">
        <v>3990</v>
      </c>
      <c r="G88" s="3220">
        <v>11380</v>
      </c>
    </row>
    <row r="89" spans="1:7" s="3196" customFormat="1" ht="14.25" customHeight="1">
      <c r="A89" s="3207" t="s">
        <v>303</v>
      </c>
      <c r="B89" s="3207" t="s">
        <v>140</v>
      </c>
      <c r="C89" s="3207">
        <v>15600</v>
      </c>
      <c r="D89" s="3207">
        <v>15550</v>
      </c>
      <c r="E89" s="3207">
        <v>19200</v>
      </c>
      <c r="F89" s="3207">
        <v>4110</v>
      </c>
      <c r="G89" s="3220">
        <v>10270</v>
      </c>
    </row>
    <row r="90" spans="1:7" s="3196" customFormat="1" ht="14.25" customHeight="1">
      <c r="A90" s="3207" t="s">
        <v>303</v>
      </c>
      <c r="B90" s="3207" t="s">
        <v>149</v>
      </c>
      <c r="C90" s="3207">
        <v>17330</v>
      </c>
      <c r="D90" s="3207">
        <v>17240</v>
      </c>
      <c r="E90" s="3207">
        <v>18570</v>
      </c>
      <c r="F90" s="3207">
        <v>4070</v>
      </c>
      <c r="G90" s="3220">
        <v>11390</v>
      </c>
    </row>
    <row r="91" spans="1:7" s="3196" customFormat="1" ht="14.25" customHeight="1">
      <c r="A91" s="3207" t="s">
        <v>303</v>
      </c>
      <c r="B91" s="3207" t="s">
        <v>158</v>
      </c>
      <c r="C91" s="3207">
        <v>16330</v>
      </c>
      <c r="D91" s="3207">
        <v>16260</v>
      </c>
      <c r="E91" s="3207">
        <v>16800</v>
      </c>
      <c r="F91" s="3207">
        <v>3410</v>
      </c>
      <c r="G91" s="3220">
        <v>10740</v>
      </c>
    </row>
    <row r="92" spans="1:7" s="3196" customFormat="1" ht="14.25" customHeight="1">
      <c r="A92" s="3207" t="s">
        <v>303</v>
      </c>
      <c r="B92" s="3207" t="s">
        <v>165</v>
      </c>
      <c r="C92" s="3207">
        <v>15570</v>
      </c>
      <c r="D92" s="3207">
        <v>15500</v>
      </c>
      <c r="E92" s="3207">
        <v>17360</v>
      </c>
      <c r="F92" s="3207">
        <v>3510</v>
      </c>
      <c r="G92" s="3220">
        <v>10240</v>
      </c>
    </row>
    <row r="93" spans="1:7" s="3196" customFormat="1" ht="14.25" customHeight="1">
      <c r="A93" s="3207" t="s">
        <v>303</v>
      </c>
      <c r="B93" s="3207" t="s">
        <v>171</v>
      </c>
      <c r="C93" s="3207">
        <v>14000</v>
      </c>
      <c r="D93" s="3207">
        <v>13930</v>
      </c>
      <c r="E93" s="3207">
        <v>18200</v>
      </c>
      <c r="F93" s="3207">
        <v>3640</v>
      </c>
      <c r="G93" s="3220">
        <v>9210</v>
      </c>
    </row>
    <row r="94" spans="1:7" s="3196" customFormat="1" ht="14.25" customHeight="1">
      <c r="A94" s="3207" t="s">
        <v>303</v>
      </c>
      <c r="B94" s="3207" t="s">
        <v>178</v>
      </c>
      <c r="C94" s="3207">
        <v>14530</v>
      </c>
      <c r="D94" s="3207">
        <v>14470</v>
      </c>
      <c r="E94" s="3207">
        <v>18240</v>
      </c>
      <c r="F94" s="3207">
        <v>3180</v>
      </c>
      <c r="G94" s="3220">
        <v>9560</v>
      </c>
    </row>
    <row r="95" spans="1:7" s="3196" customFormat="1" ht="14.25" customHeight="1">
      <c r="A95" s="3207" t="s">
        <v>303</v>
      </c>
      <c r="B95" s="3207" t="s">
        <v>188</v>
      </c>
      <c r="C95" s="3207">
        <v>17330</v>
      </c>
      <c r="D95" s="3207">
        <v>17260</v>
      </c>
      <c r="E95" s="3207">
        <v>18420</v>
      </c>
      <c r="F95" s="3207">
        <v>3060</v>
      </c>
      <c r="G95" s="3220">
        <v>11410</v>
      </c>
    </row>
    <row r="96" spans="1:7" s="3196" customFormat="1" ht="14.25" customHeight="1">
      <c r="A96" s="3207" t="s">
        <v>303</v>
      </c>
      <c r="B96" s="3207" t="s">
        <v>197</v>
      </c>
      <c r="C96" s="3207">
        <v>15030</v>
      </c>
      <c r="D96" s="3207">
        <v>14970</v>
      </c>
      <c r="E96" s="3207">
        <v>17580</v>
      </c>
      <c r="F96" s="3207">
        <v>2970</v>
      </c>
      <c r="G96" s="3220">
        <v>9890</v>
      </c>
    </row>
    <row r="97" spans="1:7" s="3196" customFormat="1" ht="14.25" customHeight="1">
      <c r="A97" s="3207" t="s">
        <v>303</v>
      </c>
      <c r="B97" s="3207" t="s">
        <v>204</v>
      </c>
      <c r="C97" s="3207">
        <v>17400</v>
      </c>
      <c r="D97" s="3207">
        <v>17330</v>
      </c>
      <c r="E97" s="3207">
        <v>16430</v>
      </c>
      <c r="F97" s="3207">
        <v>2950</v>
      </c>
      <c r="G97" s="3220">
        <v>11450</v>
      </c>
    </row>
    <row r="98" spans="1:7" s="3196" customFormat="1" ht="14.25" customHeight="1">
      <c r="A98" s="3207" t="s">
        <v>303</v>
      </c>
      <c r="B98" s="3207" t="s">
        <v>211</v>
      </c>
      <c r="C98" s="3207">
        <v>15200</v>
      </c>
      <c r="D98" s="3207">
        <v>15120</v>
      </c>
      <c r="E98" s="3207">
        <v>17550</v>
      </c>
      <c r="F98" s="3207">
        <v>3080</v>
      </c>
      <c r="G98" s="3220">
        <v>9990</v>
      </c>
    </row>
    <row r="99" spans="1:7" s="3196" customFormat="1" ht="14.25" customHeight="1">
      <c r="A99" s="3207" t="s">
        <v>303</v>
      </c>
      <c r="B99" s="3207" t="s">
        <v>217</v>
      </c>
      <c r="C99" s="3207">
        <v>17520</v>
      </c>
      <c r="D99" s="3207">
        <v>17430</v>
      </c>
      <c r="E99" s="3207">
        <v>16350</v>
      </c>
      <c r="F99" s="3207">
        <v>3260</v>
      </c>
      <c r="G99" s="3220">
        <v>11510</v>
      </c>
    </row>
    <row r="100" spans="1:7" s="3196" customFormat="1" ht="14.25" customHeight="1">
      <c r="A100" s="3207" t="s">
        <v>303</v>
      </c>
      <c r="B100" s="3207" t="s">
        <v>225</v>
      </c>
      <c r="C100" s="3207">
        <v>15340</v>
      </c>
      <c r="D100" s="3207">
        <v>15260</v>
      </c>
      <c r="E100" s="3207">
        <v>15930</v>
      </c>
      <c r="F100" s="3207">
        <v>2740</v>
      </c>
      <c r="G100" s="3220">
        <v>10080</v>
      </c>
    </row>
    <row r="101" spans="1:7" s="3196" customFormat="1" ht="14.25" customHeight="1">
      <c r="A101" s="3207" t="s">
        <v>303</v>
      </c>
      <c r="B101" s="3207" t="s">
        <v>233</v>
      </c>
      <c r="C101" s="3207">
        <v>14620</v>
      </c>
      <c r="D101" s="3207">
        <v>14560</v>
      </c>
      <c r="E101" s="3207">
        <v>15570</v>
      </c>
      <c r="F101" s="3207">
        <v>3500</v>
      </c>
      <c r="G101" s="3220">
        <v>9630</v>
      </c>
    </row>
    <row r="102" spans="1:7" s="3196" customFormat="1" ht="14.25" customHeight="1">
      <c r="A102" s="3207" t="s">
        <v>303</v>
      </c>
      <c r="B102" s="3207" t="s">
        <v>238</v>
      </c>
      <c r="C102" s="3207">
        <v>13680</v>
      </c>
      <c r="D102" s="3207">
        <v>13610</v>
      </c>
      <c r="E102" s="3207">
        <v>15690</v>
      </c>
      <c r="F102" s="3207">
        <v>2870</v>
      </c>
      <c r="G102" s="3220">
        <v>8990</v>
      </c>
    </row>
    <row r="103" spans="1:7" s="3196" customFormat="1" ht="14.25" customHeight="1">
      <c r="A103" s="3207" t="s">
        <v>303</v>
      </c>
      <c r="B103" s="3207" t="s">
        <v>247</v>
      </c>
      <c r="C103" s="3207">
        <v>14620</v>
      </c>
      <c r="D103" s="3207">
        <v>14540</v>
      </c>
      <c r="E103" s="3207">
        <v>15240</v>
      </c>
      <c r="F103" s="3207">
        <v>2840</v>
      </c>
      <c r="G103" s="3220">
        <v>9610</v>
      </c>
    </row>
    <row r="104" spans="1:7" s="3196" customFormat="1" ht="14.25" customHeight="1">
      <c r="A104" s="3207" t="s">
        <v>303</v>
      </c>
      <c r="B104" s="3207" t="s">
        <v>254</v>
      </c>
      <c r="C104" s="3207">
        <v>13610</v>
      </c>
      <c r="D104" s="3207">
        <v>13540</v>
      </c>
      <c r="E104" s="3207">
        <v>15750</v>
      </c>
      <c r="F104" s="3207">
        <v>2770</v>
      </c>
      <c r="G104" s="3220">
        <v>8940</v>
      </c>
    </row>
    <row r="105" spans="1:7" s="3196" customFormat="1" ht="14.25" customHeight="1">
      <c r="A105" s="3207" t="s">
        <v>303</v>
      </c>
      <c r="B105" s="3207" t="s">
        <v>262</v>
      </c>
      <c r="C105" s="3207">
        <v>13310</v>
      </c>
      <c r="D105" s="3207">
        <v>13240</v>
      </c>
      <c r="E105" s="3207">
        <v>16280</v>
      </c>
      <c r="F105" s="3207">
        <v>3210</v>
      </c>
      <c r="G105" s="3220">
        <v>8750</v>
      </c>
    </row>
    <row r="106" spans="1:7" s="3196" customFormat="1" ht="14.25" customHeight="1">
      <c r="A106" s="3207" t="s">
        <v>303</v>
      </c>
      <c r="B106" s="3207" t="s">
        <v>269</v>
      </c>
      <c r="C106" s="3207">
        <v>13010</v>
      </c>
      <c r="D106" s="3207">
        <v>12930</v>
      </c>
      <c r="E106" s="3207">
        <v>14960</v>
      </c>
      <c r="F106" s="3207">
        <v>3530</v>
      </c>
      <c r="G106" s="3220">
        <v>8550</v>
      </c>
    </row>
    <row r="107" spans="1:7" s="3196" customFormat="1" ht="14.25" customHeight="1">
      <c r="A107" s="3207" t="s">
        <v>303</v>
      </c>
      <c r="B107" s="3207" t="s">
        <v>273</v>
      </c>
      <c r="C107" s="3207">
        <v>13070</v>
      </c>
      <c r="D107" s="3207">
        <v>13000</v>
      </c>
      <c r="E107" s="3207">
        <v>15910</v>
      </c>
      <c r="F107" s="3207">
        <v>3990</v>
      </c>
      <c r="G107" s="3220">
        <v>8580</v>
      </c>
    </row>
    <row r="108" spans="1:7" s="3196" customFormat="1" ht="14.25" customHeight="1">
      <c r="A108" s="3207" t="s">
        <v>303</v>
      </c>
      <c r="B108" s="3207" t="s">
        <v>279</v>
      </c>
      <c r="C108" s="3207">
        <v>12640</v>
      </c>
      <c r="D108" s="3207">
        <v>12580</v>
      </c>
      <c r="E108" s="3207">
        <v>15730</v>
      </c>
      <c r="F108" s="3207"/>
      <c r="G108" s="3220">
        <v>8310</v>
      </c>
    </row>
    <row r="109" spans="1:7" s="3196" customFormat="1" ht="14.25" customHeight="1">
      <c r="A109" s="3207" t="s">
        <v>303</v>
      </c>
      <c r="B109" s="3207" t="s">
        <v>282</v>
      </c>
      <c r="C109" s="3207">
        <v>13130</v>
      </c>
      <c r="D109" s="3207">
        <v>13070</v>
      </c>
      <c r="E109" s="3207">
        <v>15000</v>
      </c>
      <c r="F109" s="3207"/>
      <c r="G109" s="3220">
        <v>8630</v>
      </c>
    </row>
    <row r="110" spans="1:7" s="3196" customFormat="1" ht="14.25" customHeight="1">
      <c r="A110" s="3207" t="s">
        <v>303</v>
      </c>
      <c r="B110" s="3207" t="s">
        <v>284</v>
      </c>
      <c r="C110" s="3207">
        <v>13560</v>
      </c>
      <c r="D110" s="3207">
        <v>13490</v>
      </c>
      <c r="E110" s="3207">
        <v>16300</v>
      </c>
      <c r="F110" s="3207"/>
      <c r="G110" s="3220">
        <v>8920</v>
      </c>
    </row>
    <row r="111" spans="1:7" s="3196" customFormat="1" ht="14.25" customHeight="1">
      <c r="A111" s="3207" t="s">
        <v>303</v>
      </c>
      <c r="B111" s="3207" t="s">
        <v>287</v>
      </c>
      <c r="C111" s="3207">
        <v>12440</v>
      </c>
      <c r="D111" s="3207">
        <v>12380</v>
      </c>
      <c r="E111" s="3207">
        <v>17850</v>
      </c>
      <c r="F111" s="3207"/>
      <c r="G111" s="3220">
        <v>8180</v>
      </c>
    </row>
    <row r="112" spans="1:7" s="3196" customFormat="1" ht="14.25" customHeight="1">
      <c r="A112" s="3207" t="s">
        <v>303</v>
      </c>
      <c r="B112" s="3207" t="s">
        <v>291</v>
      </c>
      <c r="C112" s="3207">
        <v>13260</v>
      </c>
      <c r="D112" s="3207">
        <v>13180</v>
      </c>
      <c r="E112" s="3207">
        <v>19740</v>
      </c>
      <c r="F112" s="3207"/>
      <c r="G112" s="3220">
        <v>8710</v>
      </c>
    </row>
    <row r="113" spans="1:7" s="3196" customFormat="1" ht="14.25" customHeight="1">
      <c r="A113" s="3207" t="s">
        <v>303</v>
      </c>
      <c r="B113" s="3207" t="s">
        <v>2927</v>
      </c>
      <c r="C113" s="3207">
        <v>15520</v>
      </c>
      <c r="D113" s="3207">
        <v>15450</v>
      </c>
      <c r="E113" s="3207"/>
      <c r="F113" s="3207"/>
      <c r="G113" s="3220">
        <v>10210</v>
      </c>
    </row>
    <row r="114" spans="1:7" s="3196" customFormat="1" ht="14.25" customHeight="1">
      <c r="A114" s="3207" t="s">
        <v>303</v>
      </c>
      <c r="B114" s="3207" t="s">
        <v>2934</v>
      </c>
      <c r="C114" s="3207">
        <v>13110</v>
      </c>
      <c r="D114" s="3207">
        <v>13050</v>
      </c>
      <c r="E114" s="3207"/>
      <c r="F114" s="3207"/>
      <c r="G114" s="3220">
        <v>8620</v>
      </c>
    </row>
    <row r="115" spans="1:7" s="3196" customFormat="1" ht="14.25" customHeight="1">
      <c r="A115" s="3207" t="s">
        <v>303</v>
      </c>
      <c r="B115" s="3207" t="s">
        <v>2940</v>
      </c>
      <c r="C115" s="3207">
        <v>12460</v>
      </c>
      <c r="D115" s="3207">
        <v>12390</v>
      </c>
      <c r="E115" s="3207"/>
      <c r="F115" s="3207"/>
      <c r="G115" s="3220">
        <v>8190</v>
      </c>
    </row>
    <row r="116" spans="1:7" s="3196" customFormat="1" ht="14.25" customHeight="1">
      <c r="A116" s="3207" t="s">
        <v>303</v>
      </c>
      <c r="B116" s="3207" t="s">
        <v>2947</v>
      </c>
      <c r="C116" s="3207">
        <v>13580</v>
      </c>
      <c r="D116" s="3207">
        <v>13520</v>
      </c>
      <c r="E116" s="3207"/>
      <c r="F116" s="3207"/>
      <c r="G116" s="3220">
        <v>8930</v>
      </c>
    </row>
    <row r="117" spans="1:7" s="3196" customFormat="1" ht="14.25" customHeight="1">
      <c r="A117" s="3207" t="s">
        <v>303</v>
      </c>
      <c r="B117" s="3207" t="s">
        <v>2954</v>
      </c>
      <c r="C117" s="3207">
        <v>17120</v>
      </c>
      <c r="D117" s="3207">
        <v>17040</v>
      </c>
      <c r="E117" s="3207"/>
      <c r="F117" s="3207"/>
      <c r="G117" s="3220">
        <v>11260</v>
      </c>
    </row>
    <row r="118" spans="1:7" s="3196" customFormat="1" ht="14.25" customHeight="1">
      <c r="A118" s="3207" t="s">
        <v>303</v>
      </c>
      <c r="B118" s="3207" t="s">
        <v>2959</v>
      </c>
      <c r="C118" s="3207">
        <v>14860</v>
      </c>
      <c r="D118" s="3207">
        <v>14790</v>
      </c>
      <c r="E118" s="3207"/>
      <c r="F118" s="3207"/>
      <c r="G118" s="3220">
        <v>9780</v>
      </c>
    </row>
    <row r="119" spans="1:7" s="3196" customFormat="1" ht="14.25" customHeight="1">
      <c r="A119" s="3207" t="s">
        <v>303</v>
      </c>
      <c r="B119" s="3207" t="s">
        <v>2963</v>
      </c>
      <c r="C119" s="3207">
        <v>16470</v>
      </c>
      <c r="D119" s="3207">
        <v>16400</v>
      </c>
      <c r="E119" s="3207"/>
      <c r="F119" s="3207"/>
      <c r="G119" s="3220">
        <v>10840</v>
      </c>
    </row>
    <row r="120" spans="1:7" s="3196" customFormat="1" ht="14.25" customHeight="1">
      <c r="A120" s="3207" t="s">
        <v>303</v>
      </c>
      <c r="B120" s="3207" t="s">
        <v>3049</v>
      </c>
      <c r="C120" s="3207"/>
      <c r="D120" s="3207"/>
      <c r="E120" s="3207"/>
      <c r="F120" s="3207">
        <v>4160</v>
      </c>
      <c r="G120" s="3220"/>
    </row>
    <row r="121" spans="1:7" s="3196" customFormat="1" ht="14.25" customHeight="1">
      <c r="A121" s="3207" t="s">
        <v>303</v>
      </c>
      <c r="B121" s="3207" t="s">
        <v>3050</v>
      </c>
      <c r="C121" s="3207"/>
      <c r="D121" s="3207"/>
      <c r="E121" s="3207"/>
      <c r="F121" s="3207">
        <v>3880</v>
      </c>
      <c r="G121" s="3220"/>
    </row>
    <row r="122" spans="1:7" s="3196" customFormat="1" ht="14.25" customHeight="1">
      <c r="A122" s="3207" t="s">
        <v>303</v>
      </c>
      <c r="B122" s="3207" t="s">
        <v>3051</v>
      </c>
      <c r="C122" s="3207">
        <v>13750</v>
      </c>
      <c r="D122" s="3207">
        <v>13680</v>
      </c>
      <c r="E122" s="3207">
        <v>16460</v>
      </c>
      <c r="F122" s="3207">
        <v>2880</v>
      </c>
      <c r="G122" s="3220">
        <v>9040</v>
      </c>
    </row>
    <row r="123" spans="1:7" s="3196" customFormat="1" ht="14.25" customHeight="1">
      <c r="A123" s="3207" t="s">
        <v>303</v>
      </c>
      <c r="B123" s="3207" t="s">
        <v>2982</v>
      </c>
      <c r="C123" s="3207">
        <v>13590</v>
      </c>
      <c r="D123" s="3207">
        <v>13520</v>
      </c>
      <c r="E123" s="3207">
        <v>16290</v>
      </c>
      <c r="F123" s="3207">
        <v>2790</v>
      </c>
      <c r="G123" s="3220">
        <v>8930</v>
      </c>
    </row>
    <row r="124" spans="1:7" s="3196" customFormat="1" ht="14.25" customHeight="1">
      <c r="A124" s="3207" t="s">
        <v>303</v>
      </c>
      <c r="B124" s="3207" t="s">
        <v>2987</v>
      </c>
      <c r="C124" s="3207">
        <v>13400</v>
      </c>
      <c r="D124" s="3207">
        <v>13320</v>
      </c>
      <c r="E124" s="3207">
        <v>16100</v>
      </c>
      <c r="F124" s="3207">
        <v>2320</v>
      </c>
      <c r="G124" s="3220">
        <v>8800</v>
      </c>
    </row>
    <row r="125" spans="1:7" s="3196" customFormat="1" ht="14.25" customHeight="1">
      <c r="A125" s="3207" t="s">
        <v>303</v>
      </c>
      <c r="B125" s="3207" t="s">
        <v>2992</v>
      </c>
      <c r="C125" s="3207">
        <v>12860</v>
      </c>
      <c r="D125" s="3207">
        <v>12790</v>
      </c>
      <c r="E125" s="3207">
        <v>15370</v>
      </c>
      <c r="F125" s="3207">
        <v>2280</v>
      </c>
      <c r="G125" s="3220">
        <v>8450</v>
      </c>
    </row>
    <row r="126" spans="1:7" s="3196" customFormat="1" ht="14.25" customHeight="1" thickBot="1">
      <c r="A126" s="3221" t="s">
        <v>303</v>
      </c>
      <c r="B126" s="3214" t="s">
        <v>2997</v>
      </c>
      <c r="C126" s="3214">
        <v>12960</v>
      </c>
      <c r="D126" s="3214">
        <v>12890</v>
      </c>
      <c r="E126" s="3214">
        <v>15530</v>
      </c>
      <c r="F126" s="3214">
        <v>2910</v>
      </c>
      <c r="G126" s="3222">
        <v>8520</v>
      </c>
    </row>
    <row r="127" spans="1:7" s="3196" customFormat="1" ht="14.25" customHeight="1">
      <c r="A127" s="3212" t="s">
        <v>29</v>
      </c>
      <c r="B127" s="3203" t="s">
        <v>3052</v>
      </c>
      <c r="C127" s="3207">
        <v>12280</v>
      </c>
      <c r="D127" s="3207">
        <v>12250</v>
      </c>
      <c r="E127" s="3207">
        <v>15130</v>
      </c>
      <c r="F127" s="3207">
        <v>2710</v>
      </c>
      <c r="G127" s="3207">
        <v>7870</v>
      </c>
    </row>
    <row r="128" spans="1:7" s="3196" customFormat="1" ht="14.25" customHeight="1">
      <c r="A128" s="3207" t="s">
        <v>29</v>
      </c>
      <c r="B128" s="3207" t="s">
        <v>132</v>
      </c>
      <c r="C128" s="3207">
        <v>13180</v>
      </c>
      <c r="D128" s="3207">
        <v>13150</v>
      </c>
      <c r="E128" s="3207">
        <v>16190</v>
      </c>
      <c r="F128" s="3207">
        <v>2820</v>
      </c>
      <c r="G128" s="3207">
        <v>8460</v>
      </c>
    </row>
    <row r="129" spans="1:7" s="3196" customFormat="1" ht="14.25" customHeight="1">
      <c r="A129" s="3207" t="s">
        <v>29</v>
      </c>
      <c r="B129" s="3207" t="s">
        <v>141</v>
      </c>
      <c r="C129" s="3207">
        <v>10950</v>
      </c>
      <c r="D129" s="3207">
        <v>10920</v>
      </c>
      <c r="E129" s="3207">
        <v>13820</v>
      </c>
      <c r="F129" s="3207">
        <v>2500</v>
      </c>
      <c r="G129" s="3207">
        <v>7020</v>
      </c>
    </row>
    <row r="130" spans="1:7" s="3196" customFormat="1" ht="14.25" customHeight="1">
      <c r="A130" s="3207" t="s">
        <v>29</v>
      </c>
      <c r="B130" s="3207" t="s">
        <v>150</v>
      </c>
      <c r="C130" s="3207">
        <v>10910</v>
      </c>
      <c r="D130" s="3207">
        <v>10860</v>
      </c>
      <c r="E130" s="3207">
        <v>13730</v>
      </c>
      <c r="F130" s="3207">
        <v>2760</v>
      </c>
      <c r="G130" s="3207">
        <v>6990</v>
      </c>
    </row>
    <row r="131" spans="1:7" s="3196" customFormat="1" ht="14.25" customHeight="1">
      <c r="A131" s="3207" t="s">
        <v>29</v>
      </c>
      <c r="B131" s="3207" t="s">
        <v>159</v>
      </c>
      <c r="C131" s="3207">
        <v>12910</v>
      </c>
      <c r="D131" s="3207">
        <v>12870</v>
      </c>
      <c r="E131" s="3207">
        <v>15720</v>
      </c>
      <c r="F131" s="3207">
        <v>2750</v>
      </c>
      <c r="G131" s="3207">
        <v>8280</v>
      </c>
    </row>
    <row r="132" spans="1:7" s="3196" customFormat="1" ht="14.25" customHeight="1">
      <c r="A132" s="3207" t="s">
        <v>29</v>
      </c>
      <c r="B132" s="3207" t="s">
        <v>166</v>
      </c>
      <c r="C132" s="3207">
        <v>11910</v>
      </c>
      <c r="D132" s="3207">
        <v>11860</v>
      </c>
      <c r="E132" s="3207">
        <v>14730</v>
      </c>
      <c r="F132" s="3207">
        <v>2360</v>
      </c>
      <c r="G132" s="3207">
        <v>7630</v>
      </c>
    </row>
    <row r="133" spans="1:7" s="3196" customFormat="1" ht="14.25" customHeight="1">
      <c r="A133" s="3207" t="s">
        <v>29</v>
      </c>
      <c r="B133" s="3207" t="s">
        <v>172</v>
      </c>
      <c r="C133" s="3207">
        <v>12270</v>
      </c>
      <c r="D133" s="3207">
        <v>12210</v>
      </c>
      <c r="E133" s="3207">
        <v>15010</v>
      </c>
      <c r="F133" s="3207">
        <v>2580</v>
      </c>
      <c r="G133" s="3207">
        <v>7860</v>
      </c>
    </row>
    <row r="134" spans="1:7" s="3196" customFormat="1" ht="14.25" customHeight="1">
      <c r="A134" s="3207" t="s">
        <v>29</v>
      </c>
      <c r="B134" s="3207" t="s">
        <v>179</v>
      </c>
      <c r="C134" s="3207">
        <v>10800</v>
      </c>
      <c r="D134" s="3207">
        <v>10780</v>
      </c>
      <c r="E134" s="3207">
        <v>13640</v>
      </c>
      <c r="F134" s="3207">
        <v>2110</v>
      </c>
      <c r="G134" s="3207">
        <v>6930</v>
      </c>
    </row>
    <row r="135" spans="1:7" s="3196" customFormat="1" ht="14.25" customHeight="1">
      <c r="A135" s="3207" t="s">
        <v>29</v>
      </c>
      <c r="B135" s="3207" t="s">
        <v>189</v>
      </c>
      <c r="C135" s="3207">
        <v>10430</v>
      </c>
      <c r="D135" s="3207">
        <v>10390</v>
      </c>
      <c r="E135" s="3207">
        <v>13140</v>
      </c>
      <c r="F135" s="3207">
        <v>2240</v>
      </c>
      <c r="G135" s="3207">
        <v>6680</v>
      </c>
    </row>
    <row r="136" spans="1:7" s="3196" customFormat="1" ht="14.25" customHeight="1">
      <c r="A136" s="3207" t="s">
        <v>29</v>
      </c>
      <c r="B136" s="3207" t="s">
        <v>198</v>
      </c>
      <c r="C136" s="3207">
        <v>11930</v>
      </c>
      <c r="D136" s="3207">
        <v>11880</v>
      </c>
      <c r="E136" s="3207">
        <v>14770</v>
      </c>
      <c r="F136" s="3207">
        <v>1970</v>
      </c>
      <c r="G136" s="3207">
        <v>7640</v>
      </c>
    </row>
    <row r="137" spans="1:7" s="3196" customFormat="1" ht="14.25" customHeight="1">
      <c r="A137" s="3207" t="s">
        <v>29</v>
      </c>
      <c r="B137" s="3207" t="s">
        <v>205</v>
      </c>
      <c r="C137" s="3207">
        <v>10470</v>
      </c>
      <c r="D137" s="3207">
        <v>10430</v>
      </c>
      <c r="E137" s="3207">
        <v>13190</v>
      </c>
      <c r="F137" s="3207">
        <v>1990</v>
      </c>
      <c r="G137" s="3207">
        <v>6710</v>
      </c>
    </row>
    <row r="138" spans="1:7" s="3196" customFormat="1" ht="14.25" customHeight="1">
      <c r="A138" s="3207" t="s">
        <v>29</v>
      </c>
      <c r="B138" s="3207" t="s">
        <v>212</v>
      </c>
      <c r="C138" s="3207">
        <v>10410</v>
      </c>
      <c r="D138" s="3207">
        <v>10380</v>
      </c>
      <c r="E138" s="3207">
        <v>13130</v>
      </c>
      <c r="F138" s="3207">
        <v>2030</v>
      </c>
      <c r="G138" s="3207">
        <v>6680</v>
      </c>
    </row>
    <row r="139" spans="1:7" s="3196" customFormat="1" ht="14.25" customHeight="1">
      <c r="A139" s="3207" t="s">
        <v>29</v>
      </c>
      <c r="B139" s="3207" t="s">
        <v>218</v>
      </c>
      <c r="C139" s="3207">
        <v>9460</v>
      </c>
      <c r="D139" s="3207">
        <v>9410</v>
      </c>
      <c r="E139" s="3207">
        <v>12050</v>
      </c>
      <c r="F139" s="3207">
        <v>2140</v>
      </c>
      <c r="G139" s="3207">
        <v>6050</v>
      </c>
    </row>
    <row r="140" spans="1:7" s="3196" customFormat="1" ht="14.25" customHeight="1">
      <c r="A140" s="3207" t="s">
        <v>29</v>
      </c>
      <c r="B140" s="3207" t="s">
        <v>226</v>
      </c>
      <c r="C140" s="3207">
        <v>11030</v>
      </c>
      <c r="D140" s="3207">
        <v>10980</v>
      </c>
      <c r="E140" s="3207">
        <v>13880</v>
      </c>
      <c r="F140" s="3207">
        <v>2210</v>
      </c>
      <c r="G140" s="3207">
        <v>7060</v>
      </c>
    </row>
    <row r="141" spans="1:7" s="3196" customFormat="1" ht="14.25" customHeight="1">
      <c r="A141" s="3207" t="s">
        <v>29</v>
      </c>
      <c r="B141" s="3207" t="s">
        <v>234</v>
      </c>
      <c r="C141" s="3207">
        <v>11200</v>
      </c>
      <c r="D141" s="3207">
        <v>11150</v>
      </c>
      <c r="E141" s="3207">
        <v>14100</v>
      </c>
      <c r="F141" s="3207">
        <v>2470</v>
      </c>
      <c r="G141" s="3207">
        <v>7170</v>
      </c>
    </row>
    <row r="142" spans="1:7" s="3196" customFormat="1" ht="14.25" customHeight="1">
      <c r="A142" s="3207" t="s">
        <v>29</v>
      </c>
      <c r="B142" s="3207" t="s">
        <v>239</v>
      </c>
      <c r="C142" s="3207">
        <v>10780</v>
      </c>
      <c r="D142" s="3207">
        <v>10730</v>
      </c>
      <c r="E142" s="3207">
        <v>13540</v>
      </c>
      <c r="F142" s="3207">
        <v>2280</v>
      </c>
      <c r="G142" s="3207">
        <v>6900</v>
      </c>
    </row>
    <row r="143" spans="1:7" s="3196" customFormat="1" ht="14.25" customHeight="1">
      <c r="A143" s="3207" t="s">
        <v>29</v>
      </c>
      <c r="B143" s="3207" t="s">
        <v>248</v>
      </c>
      <c r="C143" s="3207">
        <v>11550</v>
      </c>
      <c r="D143" s="3207">
        <v>11490</v>
      </c>
      <c r="E143" s="3207">
        <v>14480</v>
      </c>
      <c r="F143" s="3207">
        <v>2070</v>
      </c>
      <c r="G143" s="3207">
        <v>7390</v>
      </c>
    </row>
    <row r="144" spans="1:7" s="3196" customFormat="1" ht="14.25" customHeight="1">
      <c r="A144" s="3207" t="s">
        <v>29</v>
      </c>
      <c r="B144" s="3207" t="s">
        <v>255</v>
      </c>
      <c r="C144" s="3207">
        <v>10720</v>
      </c>
      <c r="D144" s="3207">
        <v>10680</v>
      </c>
      <c r="E144" s="3207">
        <v>13480</v>
      </c>
      <c r="F144" s="3207">
        <v>2440</v>
      </c>
      <c r="G144" s="3207">
        <v>6870</v>
      </c>
    </row>
    <row r="145" spans="1:7" s="3196" customFormat="1" ht="14.25" customHeight="1">
      <c r="A145" s="3207" t="s">
        <v>29</v>
      </c>
      <c r="B145" s="3207" t="s">
        <v>263</v>
      </c>
      <c r="C145" s="3207">
        <v>10340</v>
      </c>
      <c r="D145" s="3207">
        <v>10290</v>
      </c>
      <c r="E145" s="3207">
        <v>12880</v>
      </c>
      <c r="F145" s="3207">
        <v>2650</v>
      </c>
      <c r="G145" s="3207">
        <v>6620</v>
      </c>
    </row>
    <row r="146" spans="1:7" s="3196" customFormat="1" ht="14.25" customHeight="1">
      <c r="A146" s="3207" t="s">
        <v>29</v>
      </c>
      <c r="B146" s="3207" t="s">
        <v>270</v>
      </c>
      <c r="C146" s="3207">
        <v>11890</v>
      </c>
      <c r="D146" s="3207">
        <v>11830</v>
      </c>
      <c r="E146" s="3207">
        <v>14670</v>
      </c>
      <c r="F146" s="3207"/>
      <c r="G146" s="3207">
        <v>7610</v>
      </c>
    </row>
    <row r="147" spans="1:7" s="3196" customFormat="1" ht="14.25" customHeight="1">
      <c r="A147" s="3207" t="s">
        <v>29</v>
      </c>
      <c r="B147" s="3207" t="s">
        <v>274</v>
      </c>
      <c r="C147" s="3207">
        <v>12650</v>
      </c>
      <c r="D147" s="3207">
        <v>12600</v>
      </c>
      <c r="E147" s="3207">
        <v>15440</v>
      </c>
      <c r="F147" s="3207"/>
      <c r="G147" s="3207">
        <v>8110</v>
      </c>
    </row>
    <row r="148" spans="1:7" s="3196" customFormat="1" ht="14.25" customHeight="1">
      <c r="A148" s="3207" t="s">
        <v>29</v>
      </c>
      <c r="B148" s="3207" t="s">
        <v>3053</v>
      </c>
      <c r="C148" s="3207">
        <v>10370</v>
      </c>
      <c r="D148" s="3207">
        <v>10310</v>
      </c>
      <c r="E148" s="3207">
        <v>12970</v>
      </c>
      <c r="F148" s="3207"/>
      <c r="G148" s="3207">
        <v>6630</v>
      </c>
    </row>
    <row r="149" spans="1:7" s="3196" customFormat="1" ht="14.25" customHeight="1">
      <c r="A149" s="3207" t="s">
        <v>29</v>
      </c>
      <c r="B149" s="3207" t="s">
        <v>3054</v>
      </c>
      <c r="C149" s="3207">
        <v>11600</v>
      </c>
      <c r="D149" s="3207">
        <v>11560</v>
      </c>
      <c r="E149" s="3207">
        <v>14540</v>
      </c>
      <c r="F149" s="3207">
        <v>2390</v>
      </c>
      <c r="G149" s="3207">
        <v>7430</v>
      </c>
    </row>
    <row r="150" spans="1:7" s="3196" customFormat="1" ht="14.25" customHeight="1">
      <c r="A150" s="3207" t="s">
        <v>29</v>
      </c>
      <c r="B150" s="3207" t="s">
        <v>292</v>
      </c>
      <c r="C150" s="3207">
        <v>9950</v>
      </c>
      <c r="D150" s="3207">
        <v>9890</v>
      </c>
      <c r="E150" s="3207">
        <v>12590</v>
      </c>
      <c r="F150" s="3207">
        <v>1970</v>
      </c>
      <c r="G150" s="3207">
        <v>6360</v>
      </c>
    </row>
    <row r="151" spans="1:7" s="3196" customFormat="1" ht="14.25" customHeight="1">
      <c r="A151" s="3207" t="s">
        <v>29</v>
      </c>
      <c r="B151" s="3207" t="s">
        <v>294</v>
      </c>
      <c r="C151" s="3207">
        <v>10700</v>
      </c>
      <c r="D151" s="3207">
        <v>10650</v>
      </c>
      <c r="E151" s="3207">
        <v>13420</v>
      </c>
      <c r="F151" s="3207">
        <v>2020</v>
      </c>
      <c r="G151" s="3207">
        <v>6850</v>
      </c>
    </row>
    <row r="152" spans="1:7" s="3196" customFormat="1" ht="14.25" customHeight="1">
      <c r="A152" s="3207" t="s">
        <v>29</v>
      </c>
      <c r="B152" s="3207" t="s">
        <v>297</v>
      </c>
      <c r="C152" s="3207">
        <v>10310</v>
      </c>
      <c r="D152" s="3207">
        <v>10260</v>
      </c>
      <c r="E152" s="3207">
        <v>12820</v>
      </c>
      <c r="F152" s="3207">
        <v>1980</v>
      </c>
      <c r="G152" s="3207">
        <v>6600</v>
      </c>
    </row>
    <row r="153" spans="1:7" s="3196" customFormat="1" ht="14.25" customHeight="1">
      <c r="A153" s="3207" t="s">
        <v>29</v>
      </c>
      <c r="B153" s="3207" t="s">
        <v>2928</v>
      </c>
      <c r="C153" s="3207">
        <v>10880</v>
      </c>
      <c r="D153" s="3207">
        <v>10820</v>
      </c>
      <c r="E153" s="3207">
        <v>13660</v>
      </c>
      <c r="F153" s="3207">
        <v>2260</v>
      </c>
      <c r="G153" s="3207">
        <v>6970</v>
      </c>
    </row>
    <row r="154" spans="1:7" s="3196" customFormat="1" ht="14.25" customHeight="1">
      <c r="A154" s="3207" t="s">
        <v>29</v>
      </c>
      <c r="B154" s="3207" t="s">
        <v>3055</v>
      </c>
      <c r="C154" s="3207">
        <v>11220</v>
      </c>
      <c r="D154" s="3207">
        <v>11160</v>
      </c>
      <c r="E154" s="3207">
        <v>14130</v>
      </c>
      <c r="F154" s="3207">
        <v>2230</v>
      </c>
      <c r="G154" s="3207">
        <v>7180</v>
      </c>
    </row>
    <row r="155" spans="1:7" s="3196" customFormat="1" ht="14.25" customHeight="1">
      <c r="A155" s="3207" t="s">
        <v>29</v>
      </c>
      <c r="B155" s="3207" t="s">
        <v>2941</v>
      </c>
      <c r="C155" s="3207">
        <v>10430</v>
      </c>
      <c r="D155" s="3207">
        <v>10380</v>
      </c>
      <c r="E155" s="3207">
        <v>13140</v>
      </c>
      <c r="F155" s="3207">
        <v>2080</v>
      </c>
      <c r="G155" s="3207">
        <v>6650</v>
      </c>
    </row>
    <row r="156" spans="1:7" s="3196" customFormat="1" ht="14.25" customHeight="1">
      <c r="A156" s="3207" t="s">
        <v>29</v>
      </c>
      <c r="B156" s="3207" t="s">
        <v>3056</v>
      </c>
      <c r="C156" s="3207">
        <v>10440</v>
      </c>
      <c r="D156" s="3207">
        <v>10400</v>
      </c>
      <c r="E156" s="3207">
        <v>13150</v>
      </c>
      <c r="F156" s="3207">
        <v>2490</v>
      </c>
      <c r="G156" s="3207">
        <v>6690</v>
      </c>
    </row>
    <row r="157" spans="1:7" s="3196" customFormat="1" ht="14.25" customHeight="1">
      <c r="A157" s="3207" t="s">
        <v>29</v>
      </c>
      <c r="B157" s="3207" t="s">
        <v>300</v>
      </c>
      <c r="C157" s="3207">
        <v>10970</v>
      </c>
      <c r="D157" s="3207">
        <v>10920</v>
      </c>
      <c r="E157" s="3207">
        <v>13840</v>
      </c>
      <c r="F157" s="3207">
        <v>2420</v>
      </c>
      <c r="G157" s="3207">
        <v>7020</v>
      </c>
    </row>
    <row r="158" spans="1:7" s="3196" customFormat="1" ht="14.25" customHeight="1">
      <c r="A158" s="3207" t="s">
        <v>29</v>
      </c>
      <c r="B158" s="3207" t="s">
        <v>301</v>
      </c>
      <c r="C158" s="3207">
        <v>9590</v>
      </c>
      <c r="D158" s="3207">
        <v>9540</v>
      </c>
      <c r="E158" s="3207">
        <v>12210</v>
      </c>
      <c r="F158" s="3207">
        <v>2100</v>
      </c>
      <c r="G158" s="3207">
        <v>6130</v>
      </c>
    </row>
    <row r="159" spans="1:7" s="3196" customFormat="1" ht="14.25" customHeight="1">
      <c r="A159" s="3207" t="s">
        <v>29</v>
      </c>
      <c r="B159" s="3207" t="s">
        <v>302</v>
      </c>
      <c r="C159" s="3207">
        <v>11190</v>
      </c>
      <c r="D159" s="3207">
        <v>11140</v>
      </c>
      <c r="E159" s="3207">
        <v>14090</v>
      </c>
      <c r="F159" s="3207">
        <v>2470</v>
      </c>
      <c r="G159" s="3207">
        <v>7170</v>
      </c>
    </row>
    <row r="160" spans="1:7" s="3196" customFormat="1" ht="14.25" customHeight="1">
      <c r="A160" s="3207" t="s">
        <v>29</v>
      </c>
      <c r="B160" s="3207" t="s">
        <v>3057</v>
      </c>
      <c r="C160" s="3207">
        <v>11180</v>
      </c>
      <c r="D160" s="3207">
        <v>11140</v>
      </c>
      <c r="E160" s="3207">
        <v>14050</v>
      </c>
      <c r="F160" s="3207">
        <v>2270</v>
      </c>
      <c r="G160" s="3207">
        <v>7170</v>
      </c>
    </row>
    <row r="161" spans="1:7" s="3196" customFormat="1" ht="14.25" customHeight="1">
      <c r="A161" s="3207" t="s">
        <v>29</v>
      </c>
      <c r="B161" s="3207" t="s">
        <v>2973</v>
      </c>
      <c r="C161" s="3207">
        <v>11160</v>
      </c>
      <c r="D161" s="3207">
        <v>11120</v>
      </c>
      <c r="E161" s="3207">
        <v>14020</v>
      </c>
      <c r="F161" s="3207">
        <v>2150</v>
      </c>
      <c r="G161" s="3207">
        <v>7160</v>
      </c>
    </row>
    <row r="162" spans="1:7" s="3196" customFormat="1" ht="14.25" customHeight="1">
      <c r="A162" s="3207" t="s">
        <v>29</v>
      </c>
      <c r="B162" s="3207" t="s">
        <v>2978</v>
      </c>
      <c r="C162" s="3207">
        <v>9620</v>
      </c>
      <c r="D162" s="3207">
        <v>9570</v>
      </c>
      <c r="E162" s="3207">
        <v>12320</v>
      </c>
      <c r="F162" s="3207">
        <v>2010</v>
      </c>
      <c r="G162" s="3207">
        <v>6160</v>
      </c>
    </row>
    <row r="163" spans="1:7" s="3196" customFormat="1" ht="14.25" customHeight="1">
      <c r="A163" s="3207" t="s">
        <v>29</v>
      </c>
      <c r="B163" s="3207" t="s">
        <v>2983</v>
      </c>
      <c r="C163" s="3207">
        <v>9320</v>
      </c>
      <c r="D163" s="3207">
        <v>9270</v>
      </c>
      <c r="E163" s="3207">
        <v>11790</v>
      </c>
      <c r="F163" s="3207">
        <v>1920</v>
      </c>
      <c r="G163" s="3207">
        <v>5960</v>
      </c>
    </row>
    <row r="164" spans="1:7" s="3196" customFormat="1" ht="14.25" customHeight="1">
      <c r="A164" s="3207" t="s">
        <v>29</v>
      </c>
      <c r="B164" s="3207" t="s">
        <v>2988</v>
      </c>
      <c r="C164" s="3207"/>
      <c r="D164" s="3207"/>
      <c r="E164" s="3207"/>
      <c r="F164" s="3207">
        <v>1980</v>
      </c>
      <c r="G164" s="3207"/>
    </row>
    <row r="165" spans="1:7" s="3196" customFormat="1" ht="14.25" customHeight="1">
      <c r="A165" s="3207" t="s">
        <v>29</v>
      </c>
      <c r="B165" s="3207" t="s">
        <v>3058</v>
      </c>
      <c r="C165" s="3207">
        <v>11060</v>
      </c>
      <c r="D165" s="3207">
        <v>11030</v>
      </c>
      <c r="E165" s="3207">
        <v>13850</v>
      </c>
      <c r="F165" s="3207">
        <v>2170</v>
      </c>
      <c r="G165" s="3207">
        <v>7090</v>
      </c>
    </row>
    <row r="166" spans="1:7" s="3196" customFormat="1" ht="14.25" customHeight="1">
      <c r="A166" s="3207" t="s">
        <v>29</v>
      </c>
      <c r="B166" s="3207" t="s">
        <v>2998</v>
      </c>
      <c r="C166" s="3207">
        <v>11050</v>
      </c>
      <c r="D166" s="3207">
        <v>11010</v>
      </c>
      <c r="E166" s="3207">
        <v>13920</v>
      </c>
      <c r="F166" s="3207">
        <v>2140</v>
      </c>
      <c r="G166" s="3207">
        <v>7080</v>
      </c>
    </row>
    <row r="167" spans="1:7" s="3196" customFormat="1" ht="14.25" customHeight="1">
      <c r="A167" s="3207" t="s">
        <v>29</v>
      </c>
      <c r="B167" s="3207" t="s">
        <v>3002</v>
      </c>
      <c r="C167" s="3207">
        <v>10930</v>
      </c>
      <c r="D167" s="3207">
        <v>10890</v>
      </c>
      <c r="E167" s="3207">
        <v>13790</v>
      </c>
      <c r="F167" s="3207">
        <v>2010</v>
      </c>
      <c r="G167" s="3207">
        <v>7000</v>
      </c>
    </row>
    <row r="168" spans="1:7" s="3196" customFormat="1" ht="14.25" customHeight="1">
      <c r="A168" s="3207" t="s">
        <v>29</v>
      </c>
      <c r="B168" s="3207" t="s">
        <v>3007</v>
      </c>
      <c r="C168" s="3207">
        <v>9420</v>
      </c>
      <c r="D168" s="3207">
        <v>9380</v>
      </c>
      <c r="E168" s="3207">
        <v>11970</v>
      </c>
      <c r="F168" s="3207"/>
      <c r="G168" s="3207">
        <v>6040</v>
      </c>
    </row>
    <row r="169" spans="1:7" s="3196" customFormat="1" ht="14.25" customHeight="1">
      <c r="A169" s="3207" t="s">
        <v>29</v>
      </c>
      <c r="B169" s="3207" t="s">
        <v>3059</v>
      </c>
      <c r="C169" s="3207"/>
      <c r="D169" s="3207"/>
      <c r="E169" s="3207"/>
      <c r="F169" s="3207">
        <v>2880</v>
      </c>
      <c r="G169" s="3207"/>
    </row>
    <row r="170" spans="1:7" s="3196" customFormat="1" ht="14.25" customHeight="1">
      <c r="A170" s="3207" t="s">
        <v>29</v>
      </c>
      <c r="B170" s="3207" t="s">
        <v>3015</v>
      </c>
      <c r="C170" s="3207"/>
      <c r="D170" s="3207"/>
      <c r="E170" s="3207"/>
      <c r="F170" s="3207">
        <v>2880</v>
      </c>
      <c r="G170" s="3207"/>
    </row>
    <row r="171" spans="1:7" s="3196" customFormat="1" ht="14.25" customHeight="1">
      <c r="A171" s="3207" t="s">
        <v>29</v>
      </c>
      <c r="B171" s="3207" t="s">
        <v>3018</v>
      </c>
      <c r="C171" s="3207"/>
      <c r="D171" s="3207"/>
      <c r="E171" s="3207"/>
      <c r="F171" s="3207">
        <v>2880</v>
      </c>
      <c r="G171" s="3207"/>
    </row>
    <row r="172" spans="1:7" s="3196" customFormat="1" ht="14.25" customHeight="1">
      <c r="A172" s="3207" t="s">
        <v>29</v>
      </c>
      <c r="B172" s="3207" t="s">
        <v>3020</v>
      </c>
      <c r="C172" s="3207"/>
      <c r="D172" s="3207"/>
      <c r="E172" s="3207"/>
      <c r="F172" s="3207">
        <v>2880</v>
      </c>
      <c r="G172" s="3207"/>
    </row>
    <row r="173" spans="1:7" s="3196" customFormat="1" ht="14.25" customHeight="1">
      <c r="A173" s="3207" t="s">
        <v>29</v>
      </c>
      <c r="B173" s="3207" t="s">
        <v>3022</v>
      </c>
      <c r="C173" s="3207"/>
      <c r="D173" s="3207"/>
      <c r="E173" s="3207"/>
      <c r="F173" s="3207">
        <v>2150</v>
      </c>
      <c r="G173" s="3207"/>
    </row>
    <row r="174" spans="1:7" s="3196" customFormat="1" ht="14.25" customHeight="1">
      <c r="A174" s="3207" t="s">
        <v>29</v>
      </c>
      <c r="B174" s="3207" t="s">
        <v>3024</v>
      </c>
      <c r="C174" s="3207"/>
      <c r="D174" s="3207"/>
      <c r="E174" s="3207"/>
      <c r="F174" s="3207">
        <v>2030</v>
      </c>
      <c r="G174" s="3207"/>
    </row>
    <row r="175" spans="1:7" s="3196" customFormat="1" ht="14.25" customHeight="1">
      <c r="A175" s="3207" t="s">
        <v>29</v>
      </c>
      <c r="B175" s="3207" t="s">
        <v>3026</v>
      </c>
      <c r="C175" s="3207"/>
      <c r="D175" s="3207"/>
      <c r="E175" s="3207"/>
      <c r="F175" s="3207">
        <v>2780</v>
      </c>
      <c r="G175" s="3207"/>
    </row>
    <row r="176" spans="1:7" s="3196" customFormat="1" ht="14.25" customHeight="1">
      <c r="A176" s="3207" t="s">
        <v>29</v>
      </c>
      <c r="B176" s="3207" t="s">
        <v>3028</v>
      </c>
      <c r="C176" s="3207"/>
      <c r="D176" s="3207"/>
      <c r="E176" s="3207"/>
      <c r="F176" s="3207">
        <v>2780</v>
      </c>
      <c r="G176" s="3207"/>
    </row>
    <row r="177" spans="1:7" s="3196" customFormat="1" ht="14.25" customHeight="1">
      <c r="A177" s="3207" t="s">
        <v>29</v>
      </c>
      <c r="B177" s="3207" t="s">
        <v>3060</v>
      </c>
      <c r="C177" s="3207"/>
      <c r="D177" s="3207"/>
      <c r="E177" s="3207"/>
      <c r="F177" s="3207">
        <v>2780</v>
      </c>
      <c r="G177" s="3207"/>
    </row>
    <row r="178" spans="1:7" s="3196" customFormat="1" ht="14.25" customHeight="1">
      <c r="A178" s="3207" t="s">
        <v>29</v>
      </c>
      <c r="B178" s="3207" t="s">
        <v>3061</v>
      </c>
      <c r="C178" s="3207"/>
      <c r="D178" s="3207"/>
      <c r="E178" s="3207"/>
      <c r="F178" s="3207">
        <v>2060</v>
      </c>
      <c r="G178" s="3207"/>
    </row>
    <row r="179" spans="1:7" s="3196" customFormat="1" ht="14.25" customHeight="1">
      <c r="A179" s="3207" t="s">
        <v>29</v>
      </c>
      <c r="B179" s="3207" t="s">
        <v>3062</v>
      </c>
      <c r="C179" s="3207"/>
      <c r="D179" s="3207"/>
      <c r="E179" s="3207"/>
      <c r="F179" s="3207">
        <v>2120</v>
      </c>
      <c r="G179" s="3207"/>
    </row>
    <row r="180" spans="1:7" s="3196" customFormat="1" ht="14.25" customHeight="1">
      <c r="A180" s="3207" t="s">
        <v>29</v>
      </c>
      <c r="B180" s="3207" t="s">
        <v>3034</v>
      </c>
      <c r="C180" s="3207"/>
      <c r="D180" s="3207"/>
      <c r="E180" s="3207"/>
      <c r="F180" s="3207">
        <v>2340</v>
      </c>
      <c r="G180" s="3207"/>
    </row>
    <row r="181" spans="1:7" s="3196" customFormat="1" ht="14.25" customHeight="1">
      <c r="A181" s="3207" t="s">
        <v>29</v>
      </c>
      <c r="B181" s="3207" t="s">
        <v>3035</v>
      </c>
      <c r="C181" s="3207"/>
      <c r="D181" s="3207"/>
      <c r="E181" s="3207"/>
      <c r="F181" s="3207">
        <v>2340</v>
      </c>
      <c r="G181" s="3207"/>
    </row>
    <row r="182" spans="1:7" s="3196" customFormat="1" ht="14.25" customHeight="1">
      <c r="A182" s="3207" t="s">
        <v>29</v>
      </c>
      <c r="B182" s="3207" t="s">
        <v>3036</v>
      </c>
      <c r="C182" s="3207"/>
      <c r="D182" s="3207"/>
      <c r="E182" s="3207"/>
      <c r="F182" s="3207">
        <v>2340</v>
      </c>
      <c r="G182" s="3207"/>
    </row>
    <row r="183" spans="1:7" s="3196" customFormat="1" ht="14.25" customHeight="1">
      <c r="A183" s="3207" t="s">
        <v>29</v>
      </c>
      <c r="B183" s="3207" t="s">
        <v>3037</v>
      </c>
      <c r="C183" s="3207"/>
      <c r="D183" s="3207"/>
      <c r="E183" s="3207"/>
      <c r="F183" s="3207">
        <v>2340</v>
      </c>
      <c r="G183" s="3207"/>
    </row>
    <row r="184" spans="1:7" s="3196" customFormat="1" ht="14.25" customHeight="1">
      <c r="A184" s="3207" t="s">
        <v>29</v>
      </c>
      <c r="B184" s="3207" t="s">
        <v>3038</v>
      </c>
      <c r="C184" s="3207"/>
      <c r="D184" s="3207"/>
      <c r="E184" s="3207"/>
      <c r="F184" s="3207">
        <v>2340</v>
      </c>
      <c r="G184" s="3207"/>
    </row>
    <row r="185" spans="1:7" s="3196" customFormat="1" ht="14.25" customHeight="1">
      <c r="A185" s="3207" t="s">
        <v>29</v>
      </c>
      <c r="B185" s="3207" t="s">
        <v>3039</v>
      </c>
      <c r="C185" s="3207"/>
      <c r="D185" s="3207"/>
      <c r="E185" s="3207"/>
      <c r="F185" s="3207">
        <v>2530</v>
      </c>
      <c r="G185" s="3207"/>
    </row>
    <row r="186" spans="1:7" s="3196" customFormat="1" ht="14.25" customHeight="1">
      <c r="A186" s="3207" t="s">
        <v>29</v>
      </c>
      <c r="B186" s="3207" t="s">
        <v>3040</v>
      </c>
      <c r="C186" s="3207"/>
      <c r="D186" s="3207"/>
      <c r="E186" s="3207"/>
      <c r="F186" s="3207">
        <v>2550</v>
      </c>
      <c r="G186" s="3207"/>
    </row>
    <row r="187" spans="1:7" s="3196" customFormat="1" ht="14.25" customHeight="1">
      <c r="A187" s="3207" t="s">
        <v>29</v>
      </c>
      <c r="B187" s="3207" t="s">
        <v>3041</v>
      </c>
      <c r="C187" s="3207"/>
      <c r="D187" s="3207"/>
      <c r="E187" s="3207"/>
      <c r="F187" s="3207">
        <v>2070</v>
      </c>
      <c r="G187" s="3207"/>
    </row>
    <row r="188" spans="1:7" s="3196" customFormat="1" ht="14.25" customHeight="1">
      <c r="A188" s="3207" t="s">
        <v>29</v>
      </c>
      <c r="B188" s="3207" t="s">
        <v>3042</v>
      </c>
      <c r="C188" s="3207"/>
      <c r="D188" s="3207"/>
      <c r="E188" s="3207"/>
      <c r="F188" s="3207">
        <v>2340</v>
      </c>
      <c r="G188" s="3207"/>
    </row>
    <row r="189" spans="1:7" s="3196" customFormat="1" ht="14.25" customHeight="1" thickBot="1">
      <c r="A189" s="3215" t="s">
        <v>29</v>
      </c>
      <c r="B189" s="3218" t="s">
        <v>3043</v>
      </c>
      <c r="C189" s="3218"/>
      <c r="D189" s="3218"/>
      <c r="E189" s="3218"/>
      <c r="F189" s="3218">
        <v>2050</v>
      </c>
      <c r="G189" s="3218"/>
    </row>
    <row r="190" spans="1:7" s="3196" customFormat="1" ht="14.25" customHeight="1">
      <c r="A190" s="3212" t="s">
        <v>304</v>
      </c>
      <c r="B190" s="3203" t="s">
        <v>3063</v>
      </c>
      <c r="C190" s="3203">
        <v>8830</v>
      </c>
      <c r="D190" s="3203">
        <v>8790</v>
      </c>
      <c r="E190" s="3203">
        <v>11630</v>
      </c>
      <c r="F190" s="3203">
        <v>1790</v>
      </c>
      <c r="G190" s="3219">
        <v>5550</v>
      </c>
    </row>
    <row r="191" spans="1:7" s="3196" customFormat="1" ht="14.25" customHeight="1">
      <c r="A191" s="3207" t="s">
        <v>304</v>
      </c>
      <c r="B191" s="3207" t="s">
        <v>133</v>
      </c>
      <c r="C191" s="3207">
        <v>9780</v>
      </c>
      <c r="D191" s="3207">
        <v>9710</v>
      </c>
      <c r="E191" s="3207">
        <v>12550</v>
      </c>
      <c r="F191" s="3207">
        <v>1980</v>
      </c>
      <c r="G191" s="3220">
        <v>6130</v>
      </c>
    </row>
    <row r="192" spans="1:7" s="3196" customFormat="1" ht="14.25" customHeight="1">
      <c r="A192" s="3207" t="s">
        <v>304</v>
      </c>
      <c r="B192" s="3207" t="s">
        <v>142</v>
      </c>
      <c r="C192" s="3207">
        <v>8180</v>
      </c>
      <c r="D192" s="3207">
        <v>8140</v>
      </c>
      <c r="E192" s="3207">
        <v>10870</v>
      </c>
      <c r="F192" s="3207">
        <v>1690</v>
      </c>
      <c r="G192" s="3220">
        <v>5140</v>
      </c>
    </row>
    <row r="193" spans="1:7" s="3196" customFormat="1" ht="14.25" customHeight="1">
      <c r="A193" s="3207" t="s">
        <v>304</v>
      </c>
      <c r="B193" s="3207" t="s">
        <v>151</v>
      </c>
      <c r="C193" s="3207">
        <v>8440</v>
      </c>
      <c r="D193" s="3207">
        <v>8390</v>
      </c>
      <c r="E193" s="3207">
        <v>11210</v>
      </c>
      <c r="F193" s="3207">
        <v>1600</v>
      </c>
      <c r="G193" s="3220">
        <v>5300</v>
      </c>
    </row>
    <row r="194" spans="1:7" s="3196" customFormat="1" ht="14.25" customHeight="1">
      <c r="A194" s="3207" t="s">
        <v>304</v>
      </c>
      <c r="B194" s="3207" t="s">
        <v>160</v>
      </c>
      <c r="C194" s="3207">
        <v>8780</v>
      </c>
      <c r="D194" s="3207">
        <v>8730</v>
      </c>
      <c r="E194" s="3207">
        <v>11550</v>
      </c>
      <c r="F194" s="3207">
        <v>1660</v>
      </c>
      <c r="G194" s="3220">
        <v>5520</v>
      </c>
    </row>
    <row r="195" spans="1:7" s="3196" customFormat="1" ht="14.25" customHeight="1">
      <c r="A195" s="3207" t="s">
        <v>304</v>
      </c>
      <c r="B195" s="3207" t="s">
        <v>167</v>
      </c>
      <c r="C195" s="3207">
        <v>8720</v>
      </c>
      <c r="D195" s="3207">
        <v>8670</v>
      </c>
      <c r="E195" s="3207">
        <v>11450</v>
      </c>
      <c r="F195" s="3207">
        <v>1720</v>
      </c>
      <c r="G195" s="3220">
        <v>5480</v>
      </c>
    </row>
    <row r="196" spans="1:7" s="3196" customFormat="1" ht="14.25" customHeight="1">
      <c r="A196" s="3207" t="s">
        <v>304</v>
      </c>
      <c r="B196" s="3207" t="s">
        <v>173</v>
      </c>
      <c r="C196" s="3207">
        <v>8460</v>
      </c>
      <c r="D196" s="3207">
        <v>8410</v>
      </c>
      <c r="E196" s="3207">
        <v>11230</v>
      </c>
      <c r="F196" s="3207">
        <v>1730</v>
      </c>
      <c r="G196" s="3220">
        <v>5310</v>
      </c>
    </row>
    <row r="197" spans="1:7" s="3196" customFormat="1" ht="14.25" customHeight="1">
      <c r="A197" s="3207" t="s">
        <v>304</v>
      </c>
      <c r="B197" s="3207" t="s">
        <v>180</v>
      </c>
      <c r="C197" s="3207">
        <v>8790</v>
      </c>
      <c r="D197" s="3207">
        <v>8730</v>
      </c>
      <c r="E197" s="3207">
        <v>11560</v>
      </c>
      <c r="F197" s="3207">
        <v>1750</v>
      </c>
      <c r="G197" s="3220">
        <v>5520</v>
      </c>
    </row>
    <row r="198" spans="1:7" s="3196" customFormat="1" ht="14.25" customHeight="1">
      <c r="A198" s="3207" t="s">
        <v>304</v>
      </c>
      <c r="B198" s="3207" t="s">
        <v>190</v>
      </c>
      <c r="C198" s="3207">
        <v>8720</v>
      </c>
      <c r="D198" s="3207">
        <v>8680</v>
      </c>
      <c r="E198" s="3207">
        <v>11470</v>
      </c>
      <c r="F198" s="3207"/>
      <c r="G198" s="3220">
        <v>5480</v>
      </c>
    </row>
    <row r="199" spans="1:7" s="3196" customFormat="1" ht="14.25" customHeight="1">
      <c r="A199" s="3207" t="s">
        <v>304</v>
      </c>
      <c r="B199" s="3207" t="s">
        <v>3064</v>
      </c>
      <c r="C199" s="3207">
        <v>8690</v>
      </c>
      <c r="D199" s="3207">
        <v>8630</v>
      </c>
      <c r="E199" s="3207">
        <v>11350</v>
      </c>
      <c r="F199" s="3207">
        <v>1600</v>
      </c>
      <c r="G199" s="3220">
        <v>5450</v>
      </c>
    </row>
    <row r="200" spans="1:7" s="3196" customFormat="1" ht="14.25" customHeight="1">
      <c r="A200" s="3207" t="s">
        <v>304</v>
      </c>
      <c r="B200" s="3207" t="s">
        <v>2875</v>
      </c>
      <c r="C200" s="3207"/>
      <c r="D200" s="3207"/>
      <c r="E200" s="3207"/>
      <c r="F200" s="3207">
        <v>1510</v>
      </c>
      <c r="G200" s="3220"/>
    </row>
    <row r="201" spans="1:7" s="3196" customFormat="1" ht="14.25" customHeight="1">
      <c r="A201" s="3207" t="s">
        <v>304</v>
      </c>
      <c r="B201" s="3207" t="s">
        <v>3065</v>
      </c>
      <c r="C201" s="3207">
        <v>8440</v>
      </c>
      <c r="D201" s="3207">
        <v>8390</v>
      </c>
      <c r="E201" s="3207">
        <v>10930</v>
      </c>
      <c r="F201" s="3207">
        <v>1500</v>
      </c>
      <c r="G201" s="3220">
        <v>5300</v>
      </c>
    </row>
    <row r="202" spans="1:7" s="3196" customFormat="1" ht="14.25" customHeight="1">
      <c r="A202" s="3207" t="s">
        <v>304</v>
      </c>
      <c r="B202" s="3207" t="s">
        <v>240</v>
      </c>
      <c r="C202" s="3207">
        <v>8530</v>
      </c>
      <c r="D202" s="3207">
        <v>8490</v>
      </c>
      <c r="E202" s="3207">
        <v>11160</v>
      </c>
      <c r="F202" s="3207">
        <v>1580</v>
      </c>
      <c r="G202" s="3220">
        <v>5360</v>
      </c>
    </row>
    <row r="203" spans="1:7" s="3196" customFormat="1" ht="14.25" customHeight="1">
      <c r="A203" s="3207" t="s">
        <v>304</v>
      </c>
      <c r="B203" s="3207" t="s">
        <v>3066</v>
      </c>
      <c r="C203" s="3207">
        <v>8130</v>
      </c>
      <c r="D203" s="3207">
        <v>8070</v>
      </c>
      <c r="E203" s="3207">
        <v>10820</v>
      </c>
      <c r="F203" s="3207">
        <v>1690</v>
      </c>
      <c r="G203" s="3220">
        <v>5100</v>
      </c>
    </row>
    <row r="204" spans="1:7" s="3196" customFormat="1" ht="14.25" customHeight="1">
      <c r="A204" s="3207" t="s">
        <v>304</v>
      </c>
      <c r="B204" s="3207" t="s">
        <v>2886</v>
      </c>
      <c r="C204" s="3207">
        <v>8350</v>
      </c>
      <c r="D204" s="3207">
        <v>8290</v>
      </c>
      <c r="E204" s="3207">
        <v>11080</v>
      </c>
      <c r="F204" s="3207">
        <v>1450</v>
      </c>
      <c r="G204" s="3220">
        <v>5240</v>
      </c>
    </row>
    <row r="205" spans="1:7" s="3196" customFormat="1" ht="14.25" customHeight="1">
      <c r="A205" s="3207" t="s">
        <v>304</v>
      </c>
      <c r="B205" s="3207" t="s">
        <v>2888</v>
      </c>
      <c r="C205" s="3207">
        <v>7190</v>
      </c>
      <c r="D205" s="3207">
        <v>7130</v>
      </c>
      <c r="E205" s="3207">
        <v>9490</v>
      </c>
      <c r="F205" s="3207">
        <v>1470</v>
      </c>
      <c r="G205" s="3220">
        <v>4510</v>
      </c>
    </row>
    <row r="206" spans="1:7" s="3196" customFormat="1" ht="14.25" customHeight="1">
      <c r="A206" s="3207" t="s">
        <v>304</v>
      </c>
      <c r="B206" s="3207" t="s">
        <v>2891</v>
      </c>
      <c r="C206" s="3207">
        <v>7000</v>
      </c>
      <c r="D206" s="3207">
        <v>6950</v>
      </c>
      <c r="E206" s="3207">
        <v>9170</v>
      </c>
      <c r="F206" s="3207">
        <v>1400</v>
      </c>
      <c r="G206" s="3220">
        <v>4380</v>
      </c>
    </row>
    <row r="207" spans="1:7" s="3196" customFormat="1" ht="14.25" customHeight="1">
      <c r="A207" s="3207" t="s">
        <v>304</v>
      </c>
      <c r="B207" s="3207" t="s">
        <v>2893</v>
      </c>
      <c r="C207" s="3207">
        <v>6950</v>
      </c>
      <c r="D207" s="3207">
        <v>6900</v>
      </c>
      <c r="E207" s="3207">
        <v>9110</v>
      </c>
      <c r="F207" s="3207">
        <v>1790</v>
      </c>
      <c r="G207" s="3220">
        <v>4360</v>
      </c>
    </row>
    <row r="208" spans="1:7" s="3196" customFormat="1" ht="14.25" customHeight="1">
      <c r="A208" s="3207" t="s">
        <v>304</v>
      </c>
      <c r="B208" s="3207" t="s">
        <v>3067</v>
      </c>
      <c r="C208" s="3207">
        <v>9470</v>
      </c>
      <c r="D208" s="3207">
        <v>9410</v>
      </c>
      <c r="E208" s="3207">
        <v>12330</v>
      </c>
      <c r="F208" s="3207">
        <v>1770</v>
      </c>
      <c r="G208" s="3220">
        <v>5940</v>
      </c>
    </row>
    <row r="209" spans="1:7" s="3196" customFormat="1" ht="14.25" customHeight="1">
      <c r="A209" s="3207" t="s">
        <v>304</v>
      </c>
      <c r="B209" s="3207" t="s">
        <v>264</v>
      </c>
      <c r="C209" s="3207">
        <v>8740</v>
      </c>
      <c r="D209" s="3207">
        <v>8700</v>
      </c>
      <c r="E209" s="3207">
        <v>11500</v>
      </c>
      <c r="F209" s="3207">
        <v>1730</v>
      </c>
      <c r="G209" s="3220">
        <v>5490</v>
      </c>
    </row>
    <row r="210" spans="1:7" s="3196" customFormat="1" ht="14.25" customHeight="1">
      <c r="A210" s="3207" t="s">
        <v>304</v>
      </c>
      <c r="B210" s="3207" t="s">
        <v>2903</v>
      </c>
      <c r="C210" s="3207">
        <v>8710</v>
      </c>
      <c r="D210" s="3207">
        <v>8660</v>
      </c>
      <c r="E210" s="3207">
        <v>11440</v>
      </c>
      <c r="F210" s="3207">
        <v>1740</v>
      </c>
      <c r="G210" s="3220">
        <v>5470</v>
      </c>
    </row>
    <row r="211" spans="1:7" s="3196" customFormat="1" ht="14.25" customHeight="1">
      <c r="A211" s="3207" t="s">
        <v>304</v>
      </c>
      <c r="B211" s="3207" t="s">
        <v>3068</v>
      </c>
      <c r="C211" s="3207">
        <v>9480</v>
      </c>
      <c r="D211" s="3207">
        <v>9430</v>
      </c>
      <c r="E211" s="3207">
        <v>12360</v>
      </c>
      <c r="F211" s="3207">
        <v>1820</v>
      </c>
      <c r="G211" s="3220">
        <v>5950</v>
      </c>
    </row>
    <row r="212" spans="1:7" s="3196" customFormat="1" ht="14.25" customHeight="1">
      <c r="A212" s="3207" t="s">
        <v>304</v>
      </c>
      <c r="B212" s="3207" t="s">
        <v>285</v>
      </c>
      <c r="C212" s="3207">
        <v>9070</v>
      </c>
      <c r="D212" s="3207">
        <v>9020</v>
      </c>
      <c r="E212" s="3207">
        <v>11720</v>
      </c>
      <c r="F212" s="3207">
        <v>1850</v>
      </c>
      <c r="G212" s="3220">
        <v>5700</v>
      </c>
    </row>
    <row r="213" spans="1:7" s="3196" customFormat="1" ht="14.25" customHeight="1">
      <c r="A213" s="3207" t="s">
        <v>304</v>
      </c>
      <c r="B213" s="3207" t="s">
        <v>288</v>
      </c>
      <c r="C213" s="3207">
        <v>9030</v>
      </c>
      <c r="D213" s="3207">
        <v>8980</v>
      </c>
      <c r="E213" s="3207">
        <v>11670</v>
      </c>
      <c r="F213" s="3207">
        <v>1690</v>
      </c>
      <c r="G213" s="3220">
        <v>5670</v>
      </c>
    </row>
    <row r="214" spans="1:7" s="3196" customFormat="1" ht="14.25" customHeight="1">
      <c r="A214" s="3207" t="s">
        <v>304</v>
      </c>
      <c r="B214" s="3207" t="s">
        <v>3069</v>
      </c>
      <c r="C214" s="3207">
        <v>8090</v>
      </c>
      <c r="D214" s="3207">
        <v>8030</v>
      </c>
      <c r="E214" s="3207">
        <v>10780</v>
      </c>
      <c r="F214" s="3207">
        <v>1570</v>
      </c>
      <c r="G214" s="3220">
        <v>5070</v>
      </c>
    </row>
    <row r="215" spans="1:7" s="3196" customFormat="1" ht="14.25" customHeight="1">
      <c r="A215" s="3207" t="s">
        <v>304</v>
      </c>
      <c r="B215" s="3207" t="s">
        <v>3070</v>
      </c>
      <c r="C215" s="3207">
        <v>7950</v>
      </c>
      <c r="D215" s="3207">
        <v>7900</v>
      </c>
      <c r="E215" s="3207">
        <v>10560</v>
      </c>
      <c r="F215" s="3207">
        <v>1630</v>
      </c>
      <c r="G215" s="3220">
        <v>4990</v>
      </c>
    </row>
    <row r="216" spans="1:7" s="3196" customFormat="1" ht="14.25" customHeight="1">
      <c r="A216" s="3207" t="s">
        <v>304</v>
      </c>
      <c r="B216" s="3207" t="s">
        <v>3071</v>
      </c>
      <c r="C216" s="3207">
        <v>8490</v>
      </c>
      <c r="D216" s="3207">
        <v>8440</v>
      </c>
      <c r="E216" s="3207">
        <v>11260</v>
      </c>
      <c r="F216" s="3207">
        <v>1690</v>
      </c>
      <c r="G216" s="3220">
        <v>5330</v>
      </c>
    </row>
    <row r="217" spans="1:7" s="3196" customFormat="1" ht="14.25" customHeight="1">
      <c r="A217" s="3207" t="s">
        <v>304</v>
      </c>
      <c r="B217" s="3207" t="s">
        <v>2936</v>
      </c>
      <c r="C217" s="3207">
        <v>8200</v>
      </c>
      <c r="D217" s="3207">
        <v>8150</v>
      </c>
      <c r="E217" s="3207">
        <v>10910</v>
      </c>
      <c r="F217" s="3207">
        <v>1670</v>
      </c>
      <c r="G217" s="3220">
        <v>5150</v>
      </c>
    </row>
    <row r="218" spans="1:7" s="3196" customFormat="1" ht="14.25" customHeight="1">
      <c r="A218" s="3207" t="s">
        <v>304</v>
      </c>
      <c r="B218" s="3207" t="s">
        <v>3072</v>
      </c>
      <c r="C218" s="3207"/>
      <c r="D218" s="3207"/>
      <c r="E218" s="3207"/>
      <c r="F218" s="3207">
        <v>2040</v>
      </c>
      <c r="G218" s="3220"/>
    </row>
    <row r="219" spans="1:7" s="3196" customFormat="1" ht="14.25" customHeight="1">
      <c r="A219" s="3207" t="s">
        <v>304</v>
      </c>
      <c r="B219" s="3207" t="s">
        <v>3073</v>
      </c>
      <c r="C219" s="3207"/>
      <c r="D219" s="3207"/>
      <c r="E219" s="3207"/>
      <c r="F219" s="3207">
        <v>2040</v>
      </c>
      <c r="G219" s="3220"/>
    </row>
    <row r="220" spans="1:7" s="3196" customFormat="1" ht="14.25" customHeight="1">
      <c r="A220" s="3207" t="s">
        <v>304</v>
      </c>
      <c r="B220" s="3207" t="s">
        <v>3074</v>
      </c>
      <c r="C220" s="3207"/>
      <c r="D220" s="3207"/>
      <c r="E220" s="3207"/>
      <c r="F220" s="3207">
        <v>2040</v>
      </c>
      <c r="G220" s="3220"/>
    </row>
    <row r="221" spans="1:7" s="3196" customFormat="1" ht="14.25" customHeight="1">
      <c r="A221" s="3207" t="s">
        <v>304</v>
      </c>
      <c r="B221" s="3207" t="s">
        <v>3075</v>
      </c>
      <c r="C221" s="3207"/>
      <c r="D221" s="3207"/>
      <c r="E221" s="3207"/>
      <c r="F221" s="3207">
        <v>2040</v>
      </c>
      <c r="G221" s="3220"/>
    </row>
    <row r="222" spans="1:7" s="3196" customFormat="1" ht="14.25" customHeight="1">
      <c r="A222" s="3207" t="s">
        <v>304</v>
      </c>
      <c r="B222" s="3207" t="s">
        <v>3076</v>
      </c>
      <c r="C222" s="3207"/>
      <c r="D222" s="3207"/>
      <c r="E222" s="3207"/>
      <c r="F222" s="3207">
        <v>2040</v>
      </c>
      <c r="G222" s="3220"/>
    </row>
    <row r="223" spans="1:7" s="3196" customFormat="1" ht="14.25" customHeight="1">
      <c r="A223" s="3207" t="s">
        <v>304</v>
      </c>
      <c r="B223" s="3207" t="s">
        <v>3077</v>
      </c>
      <c r="C223" s="3207"/>
      <c r="D223" s="3207"/>
      <c r="E223" s="3207"/>
      <c r="F223" s="3207">
        <v>1930</v>
      </c>
      <c r="G223" s="3220"/>
    </row>
    <row r="224" spans="1:7" s="3196" customFormat="1" ht="14.25" customHeight="1">
      <c r="A224" s="3207" t="s">
        <v>304</v>
      </c>
      <c r="B224" s="3207" t="s">
        <v>3078</v>
      </c>
      <c r="C224" s="3207"/>
      <c r="D224" s="3207"/>
      <c r="E224" s="3207"/>
      <c r="F224" s="3207">
        <v>1930</v>
      </c>
      <c r="G224" s="3220"/>
    </row>
    <row r="225" spans="1:7" s="3196" customFormat="1" ht="14.25" customHeight="1">
      <c r="A225" s="3207" t="s">
        <v>304</v>
      </c>
      <c r="B225" s="3207" t="s">
        <v>3079</v>
      </c>
      <c r="C225" s="3207"/>
      <c r="D225" s="3207"/>
      <c r="E225" s="3207"/>
      <c r="F225" s="3207">
        <v>1930</v>
      </c>
      <c r="G225" s="3220"/>
    </row>
    <row r="226" spans="1:7" s="3196" customFormat="1" ht="14.25" customHeight="1">
      <c r="A226" s="3207" t="s">
        <v>304</v>
      </c>
      <c r="B226" s="3207" t="s">
        <v>3080</v>
      </c>
      <c r="C226" s="3207"/>
      <c r="D226" s="3207"/>
      <c r="E226" s="3207"/>
      <c r="F226" s="3207">
        <v>1700</v>
      </c>
      <c r="G226" s="3220"/>
    </row>
    <row r="227" spans="1:7" s="3196" customFormat="1" ht="14.25" customHeight="1">
      <c r="A227" s="3207" t="s">
        <v>304</v>
      </c>
      <c r="B227" s="3207" t="s">
        <v>3081</v>
      </c>
      <c r="C227" s="3207"/>
      <c r="D227" s="3207"/>
      <c r="E227" s="3207"/>
      <c r="F227" s="3207">
        <v>1520</v>
      </c>
      <c r="G227" s="3220"/>
    </row>
    <row r="228" spans="1:7" s="3196" customFormat="1" ht="14.25" customHeight="1">
      <c r="A228" s="3207" t="s">
        <v>304</v>
      </c>
      <c r="B228" s="3207" t="s">
        <v>3082</v>
      </c>
      <c r="C228" s="3207"/>
      <c r="D228" s="3207"/>
      <c r="E228" s="3207"/>
      <c r="F228" s="3207">
        <v>1520</v>
      </c>
      <c r="G228" s="3220"/>
    </row>
    <row r="229" spans="1:7" s="3196" customFormat="1" ht="14.25" customHeight="1">
      <c r="A229" s="3207" t="s">
        <v>304</v>
      </c>
      <c r="B229" s="3207" t="s">
        <v>2999</v>
      </c>
      <c r="C229" s="3207"/>
      <c r="D229" s="3207"/>
      <c r="E229" s="3207"/>
      <c r="F229" s="3207">
        <v>1520</v>
      </c>
      <c r="G229" s="3220"/>
    </row>
    <row r="230" spans="1:7" s="3196" customFormat="1" ht="14.25" customHeight="1">
      <c r="A230" s="3207" t="s">
        <v>304</v>
      </c>
      <c r="B230" s="3207" t="s">
        <v>3083</v>
      </c>
      <c r="C230" s="3207"/>
      <c r="D230" s="3207"/>
      <c r="E230" s="3207"/>
      <c r="F230" s="3207">
        <v>1820</v>
      </c>
      <c r="G230" s="3220"/>
    </row>
    <row r="231" spans="1:7" s="3196" customFormat="1" ht="14.25" customHeight="1">
      <c r="A231" s="3207" t="s">
        <v>304</v>
      </c>
      <c r="B231" s="3207" t="s">
        <v>3084</v>
      </c>
      <c r="C231" s="3207"/>
      <c r="D231" s="3207"/>
      <c r="E231" s="3207"/>
      <c r="F231" s="3207">
        <v>1760</v>
      </c>
      <c r="G231" s="3220"/>
    </row>
    <row r="232" spans="1:7" s="3196" customFormat="1" ht="14.25" customHeight="1">
      <c r="A232" s="3207" t="s">
        <v>304</v>
      </c>
      <c r="B232" s="3207" t="s">
        <v>3085</v>
      </c>
      <c r="C232" s="3207"/>
      <c r="D232" s="3207"/>
      <c r="E232" s="3207"/>
      <c r="F232" s="3207">
        <v>1840</v>
      </c>
      <c r="G232" s="3220"/>
    </row>
    <row r="233" spans="1:7" s="3196" customFormat="1" ht="14.25" customHeight="1" thickBot="1">
      <c r="A233" s="3221" t="s">
        <v>304</v>
      </c>
      <c r="B233" s="3214" t="s">
        <v>3016</v>
      </c>
      <c r="C233" s="3214"/>
      <c r="D233" s="3214"/>
      <c r="E233" s="3214"/>
      <c r="F233" s="3214">
        <v>1770</v>
      </c>
      <c r="G233" s="3222"/>
    </row>
    <row r="234" spans="1:7" s="3196" customFormat="1" ht="14.25" customHeight="1">
      <c r="A234" s="3212" t="s">
        <v>305</v>
      </c>
      <c r="B234" s="3203" t="s">
        <v>3086</v>
      </c>
      <c r="C234" s="3207">
        <v>6980</v>
      </c>
      <c r="D234" s="3207">
        <v>6970</v>
      </c>
      <c r="E234" s="3207">
        <v>8720</v>
      </c>
      <c r="F234" s="3207">
        <v>1350</v>
      </c>
      <c r="G234" s="3207">
        <v>4280</v>
      </c>
    </row>
    <row r="235" spans="1:7" s="3196" customFormat="1" ht="14.25" customHeight="1">
      <c r="A235" s="3207" t="s">
        <v>305</v>
      </c>
      <c r="B235" s="3207" t="s">
        <v>134</v>
      </c>
      <c r="C235" s="3207">
        <v>7620</v>
      </c>
      <c r="D235" s="3207">
        <v>7580</v>
      </c>
      <c r="E235" s="3207">
        <v>9360</v>
      </c>
      <c r="F235" s="3207">
        <v>1490</v>
      </c>
      <c r="G235" s="3207">
        <v>4650</v>
      </c>
    </row>
    <row r="236" spans="1:7" s="3196" customFormat="1" ht="14.25" customHeight="1">
      <c r="A236" s="3207" t="s">
        <v>305</v>
      </c>
      <c r="B236" s="3207" t="s">
        <v>143</v>
      </c>
      <c r="C236" s="3207">
        <v>6650</v>
      </c>
      <c r="D236" s="3207">
        <v>6630</v>
      </c>
      <c r="E236" s="3207">
        <v>8330</v>
      </c>
      <c r="F236" s="3207">
        <v>1250</v>
      </c>
      <c r="G236" s="3207">
        <v>4070</v>
      </c>
    </row>
    <row r="237" spans="1:7" s="3196" customFormat="1" ht="14.25" customHeight="1">
      <c r="A237" s="3207" t="s">
        <v>305</v>
      </c>
      <c r="B237" s="3207" t="s">
        <v>152</v>
      </c>
      <c r="C237" s="3207">
        <v>5850</v>
      </c>
      <c r="D237" s="3207">
        <v>5820</v>
      </c>
      <c r="E237" s="3207">
        <v>7260</v>
      </c>
      <c r="F237" s="3207">
        <v>1140</v>
      </c>
      <c r="G237" s="3207">
        <v>3570</v>
      </c>
    </row>
    <row r="238" spans="1:7" s="3196" customFormat="1" ht="14.25" customHeight="1">
      <c r="A238" s="3207" t="s">
        <v>305</v>
      </c>
      <c r="B238" s="3207" t="s">
        <v>2857</v>
      </c>
      <c r="C238" s="3207">
        <v>6920</v>
      </c>
      <c r="D238" s="3207">
        <v>6890</v>
      </c>
      <c r="E238" s="3207">
        <v>8640</v>
      </c>
      <c r="F238" s="3207">
        <v>1310</v>
      </c>
      <c r="G238" s="3207">
        <v>4230</v>
      </c>
    </row>
    <row r="239" spans="1:7" s="3196" customFormat="1" ht="14.25" customHeight="1">
      <c r="A239" s="3207" t="s">
        <v>305</v>
      </c>
      <c r="B239" s="3207" t="s">
        <v>3087</v>
      </c>
      <c r="C239" s="3207">
        <v>6780</v>
      </c>
      <c r="D239" s="3207">
        <v>6750</v>
      </c>
      <c r="E239" s="3207">
        <v>8440</v>
      </c>
      <c r="F239" s="3207">
        <v>1160</v>
      </c>
      <c r="G239" s="3207">
        <v>4140</v>
      </c>
    </row>
    <row r="240" spans="1:7" s="3196" customFormat="1" ht="14.25" customHeight="1">
      <c r="A240" s="3207" t="s">
        <v>305</v>
      </c>
      <c r="B240" s="3207" t="s">
        <v>3088</v>
      </c>
      <c r="C240" s="3207">
        <v>5420</v>
      </c>
      <c r="D240" s="3207">
        <v>5380</v>
      </c>
      <c r="E240" s="3207">
        <v>6640</v>
      </c>
      <c r="F240" s="3207">
        <v>1020</v>
      </c>
      <c r="G240" s="3207">
        <v>3300</v>
      </c>
    </row>
    <row r="241" spans="1:7" s="3196" customFormat="1" ht="14.25" customHeight="1">
      <c r="A241" s="3207" t="s">
        <v>305</v>
      </c>
      <c r="B241" s="3207" t="s">
        <v>3089</v>
      </c>
      <c r="C241" s="3207">
        <v>6660</v>
      </c>
      <c r="D241" s="3207">
        <v>6640</v>
      </c>
      <c r="E241" s="3207">
        <v>8340</v>
      </c>
      <c r="F241" s="3207">
        <v>1130</v>
      </c>
      <c r="G241" s="3207">
        <v>4080</v>
      </c>
    </row>
    <row r="242" spans="1:7" s="3196" customFormat="1" ht="14.25" customHeight="1">
      <c r="A242" s="3207" t="s">
        <v>305</v>
      </c>
      <c r="B242" s="3207" t="s">
        <v>181</v>
      </c>
      <c r="C242" s="3207">
        <v>6580</v>
      </c>
      <c r="D242" s="3207">
        <v>6550</v>
      </c>
      <c r="E242" s="3207">
        <v>8090</v>
      </c>
      <c r="F242" s="3207">
        <v>1240</v>
      </c>
      <c r="G242" s="3207">
        <v>4020</v>
      </c>
    </row>
    <row r="243" spans="1:7" s="3196" customFormat="1" ht="14.25" customHeight="1">
      <c r="A243" s="3207" t="s">
        <v>305</v>
      </c>
      <c r="B243" s="3207" t="s">
        <v>191</v>
      </c>
      <c r="C243" s="3207">
        <v>6000</v>
      </c>
      <c r="D243" s="3207">
        <v>5970</v>
      </c>
      <c r="E243" s="3207">
        <v>7370</v>
      </c>
      <c r="F243" s="3207">
        <v>1070</v>
      </c>
      <c r="G243" s="3207">
        <v>3670</v>
      </c>
    </row>
    <row r="244" spans="1:7" s="3196" customFormat="1" ht="14.25" customHeight="1">
      <c r="A244" s="3207" t="s">
        <v>305</v>
      </c>
      <c r="B244" s="3207" t="s">
        <v>3090</v>
      </c>
      <c r="C244" s="3207">
        <v>5840</v>
      </c>
      <c r="D244" s="3207">
        <v>5810</v>
      </c>
      <c r="E244" s="3207">
        <v>7240</v>
      </c>
      <c r="F244" s="3207">
        <v>1100</v>
      </c>
      <c r="G244" s="3207">
        <v>3560</v>
      </c>
    </row>
    <row r="245" spans="1:7" s="3196" customFormat="1" ht="14.25" customHeight="1">
      <c r="A245" s="3207" t="s">
        <v>305</v>
      </c>
      <c r="B245" s="3207" t="s">
        <v>206</v>
      </c>
      <c r="C245" s="3207">
        <v>6040</v>
      </c>
      <c r="D245" s="3207">
        <v>6000</v>
      </c>
      <c r="E245" s="3207">
        <v>7420</v>
      </c>
      <c r="F245" s="3207">
        <v>1140</v>
      </c>
      <c r="G245" s="3207">
        <v>3690</v>
      </c>
    </row>
    <row r="246" spans="1:7" s="3196" customFormat="1" ht="14.25" customHeight="1">
      <c r="A246" s="3207" t="s">
        <v>305</v>
      </c>
      <c r="B246" s="3207" t="s">
        <v>213</v>
      </c>
      <c r="C246" s="3207">
        <v>5890</v>
      </c>
      <c r="D246" s="3207">
        <v>5860</v>
      </c>
      <c r="E246" s="3207">
        <v>7300</v>
      </c>
      <c r="F246" s="3207">
        <v>1110</v>
      </c>
      <c r="G246" s="3207">
        <v>3590</v>
      </c>
    </row>
    <row r="247" spans="1:7" s="3196" customFormat="1" ht="14.25" customHeight="1">
      <c r="A247" s="3207" t="s">
        <v>305</v>
      </c>
      <c r="B247" s="3207" t="s">
        <v>3091</v>
      </c>
      <c r="C247" s="3207">
        <v>6480</v>
      </c>
      <c r="D247" s="3207">
        <v>6450</v>
      </c>
      <c r="E247" s="3207">
        <v>8010</v>
      </c>
      <c r="F247" s="3207">
        <v>1170</v>
      </c>
      <c r="G247" s="3207">
        <v>3960</v>
      </c>
    </row>
    <row r="248" spans="1:7" s="3196" customFormat="1" ht="14.25" customHeight="1">
      <c r="A248" s="3207" t="s">
        <v>305</v>
      </c>
      <c r="B248" s="3207" t="s">
        <v>227</v>
      </c>
      <c r="C248" s="3207">
        <v>6860</v>
      </c>
      <c r="D248" s="3207">
        <v>6840</v>
      </c>
      <c r="E248" s="3207">
        <v>8520</v>
      </c>
      <c r="F248" s="3207">
        <v>1240</v>
      </c>
      <c r="G248" s="3207">
        <v>4200</v>
      </c>
    </row>
    <row r="249" spans="1:7" s="3196" customFormat="1" ht="14.25" customHeight="1">
      <c r="A249" s="3207" t="s">
        <v>305</v>
      </c>
      <c r="B249" s="3207" t="s">
        <v>3092</v>
      </c>
      <c r="C249" s="3207">
        <v>7180</v>
      </c>
      <c r="D249" s="3207">
        <v>7140</v>
      </c>
      <c r="E249" s="3207">
        <v>8900</v>
      </c>
      <c r="F249" s="3207">
        <v>1350</v>
      </c>
      <c r="G249" s="3207">
        <v>4380</v>
      </c>
    </row>
    <row r="250" spans="1:7" s="3196" customFormat="1" ht="14.25" customHeight="1">
      <c r="A250" s="3207" t="s">
        <v>305</v>
      </c>
      <c r="B250" s="3207" t="s">
        <v>241</v>
      </c>
      <c r="C250" s="3207">
        <v>6880</v>
      </c>
      <c r="D250" s="3207">
        <v>6860</v>
      </c>
      <c r="E250" s="3207">
        <v>8550</v>
      </c>
      <c r="F250" s="3207">
        <v>1220</v>
      </c>
      <c r="G250" s="3207">
        <v>4210</v>
      </c>
    </row>
    <row r="251" spans="1:7" s="3196" customFormat="1" ht="14.25" customHeight="1">
      <c r="A251" s="3207" t="s">
        <v>305</v>
      </c>
      <c r="B251" s="3207" t="s">
        <v>249</v>
      </c>
      <c r="C251" s="3207"/>
      <c r="D251" s="3207"/>
      <c r="E251" s="3207"/>
      <c r="F251" s="3207">
        <v>1100</v>
      </c>
      <c r="G251" s="3207"/>
    </row>
    <row r="252" spans="1:7" s="3196" customFormat="1" ht="14.25" customHeight="1">
      <c r="A252" s="3207" t="s">
        <v>305</v>
      </c>
      <c r="B252" s="3207" t="s">
        <v>3093</v>
      </c>
      <c r="C252" s="3207">
        <v>7240</v>
      </c>
      <c r="D252" s="3207">
        <v>7200</v>
      </c>
      <c r="E252" s="3207">
        <v>9040</v>
      </c>
      <c r="F252" s="3207">
        <v>1380</v>
      </c>
      <c r="G252" s="3207">
        <v>4420</v>
      </c>
    </row>
    <row r="253" spans="1:7" s="3196" customFormat="1" ht="14.25" customHeight="1">
      <c r="A253" s="3207" t="s">
        <v>305</v>
      </c>
      <c r="B253" s="3207" t="s">
        <v>283</v>
      </c>
      <c r="C253" s="3207">
        <v>6670</v>
      </c>
      <c r="D253" s="3207">
        <v>6650</v>
      </c>
      <c r="E253" s="3207">
        <v>8350</v>
      </c>
      <c r="F253" s="3207">
        <v>1260</v>
      </c>
      <c r="G253" s="3207">
        <v>4080</v>
      </c>
    </row>
    <row r="254" spans="1:7" s="3196" customFormat="1" ht="14.25" customHeight="1">
      <c r="A254" s="3207" t="s">
        <v>305</v>
      </c>
      <c r="B254" s="3207" t="s">
        <v>286</v>
      </c>
      <c r="C254" s="3207">
        <v>7630</v>
      </c>
      <c r="D254" s="3207">
        <v>7590</v>
      </c>
      <c r="E254" s="3207">
        <v>9380</v>
      </c>
      <c r="F254" s="3207">
        <v>1320</v>
      </c>
      <c r="G254" s="3207">
        <v>4660</v>
      </c>
    </row>
    <row r="255" spans="1:7" s="3196" customFormat="1" ht="14.25" customHeight="1">
      <c r="A255" s="3207" t="s">
        <v>305</v>
      </c>
      <c r="B255" s="3207" t="s">
        <v>289</v>
      </c>
      <c r="C255" s="3207">
        <v>6940</v>
      </c>
      <c r="D255" s="3207">
        <v>6890</v>
      </c>
      <c r="E255" s="3207">
        <v>8650</v>
      </c>
      <c r="F255" s="3207">
        <v>1210</v>
      </c>
      <c r="G255" s="3207">
        <v>4230</v>
      </c>
    </row>
    <row r="256" spans="1:7" s="3196" customFormat="1" ht="14.25" customHeight="1">
      <c r="A256" s="3207" t="s">
        <v>305</v>
      </c>
      <c r="B256" s="3207" t="s">
        <v>3094</v>
      </c>
      <c r="C256" s="3207">
        <v>7520</v>
      </c>
      <c r="D256" s="3207">
        <v>7490</v>
      </c>
      <c r="E256" s="3207">
        <v>9240</v>
      </c>
      <c r="F256" s="3207">
        <v>1270</v>
      </c>
      <c r="G256" s="3207">
        <v>4590</v>
      </c>
    </row>
    <row r="257" spans="1:7" s="3196" customFormat="1" ht="14.25" customHeight="1">
      <c r="A257" s="3207" t="s">
        <v>305</v>
      </c>
      <c r="B257" s="3207" t="s">
        <v>275</v>
      </c>
      <c r="C257" s="3207">
        <v>6280</v>
      </c>
      <c r="D257" s="3207">
        <v>6230</v>
      </c>
      <c r="E257" s="3207">
        <v>7740</v>
      </c>
      <c r="F257" s="3207">
        <v>1080</v>
      </c>
      <c r="G257" s="3207">
        <v>3830</v>
      </c>
    </row>
    <row r="258" spans="1:7" s="3196" customFormat="1" ht="14.25" customHeight="1">
      <c r="A258" s="3207" t="s">
        <v>305</v>
      </c>
      <c r="B258" s="3207" t="s">
        <v>2919</v>
      </c>
      <c r="C258" s="3207">
        <v>6190</v>
      </c>
      <c r="D258" s="3207">
        <v>6160</v>
      </c>
      <c r="E258" s="3207">
        <v>7680</v>
      </c>
      <c r="F258" s="3207">
        <v>1170</v>
      </c>
      <c r="G258" s="3207">
        <v>3780</v>
      </c>
    </row>
    <row r="259" spans="1:7" s="3196" customFormat="1" ht="14.25" customHeight="1">
      <c r="A259" s="3207" t="s">
        <v>305</v>
      </c>
      <c r="B259" s="3207" t="s">
        <v>3095</v>
      </c>
      <c r="C259" s="3207">
        <v>7610</v>
      </c>
      <c r="D259" s="3207">
        <v>7570</v>
      </c>
      <c r="E259" s="3207">
        <v>9350</v>
      </c>
      <c r="F259" s="3207">
        <v>1350</v>
      </c>
      <c r="G259" s="3207">
        <v>4650</v>
      </c>
    </row>
    <row r="260" spans="1:7" s="3196" customFormat="1" ht="14.25" customHeight="1">
      <c r="A260" s="3207" t="s">
        <v>305</v>
      </c>
      <c r="B260" s="3207" t="s">
        <v>3096</v>
      </c>
      <c r="C260" s="3207">
        <v>6920</v>
      </c>
      <c r="D260" s="3207">
        <v>6880</v>
      </c>
      <c r="E260" s="3207">
        <v>8380</v>
      </c>
      <c r="F260" s="3207">
        <v>1160</v>
      </c>
      <c r="G260" s="3207">
        <v>4220</v>
      </c>
    </row>
    <row r="261" spans="1:7" s="3196" customFormat="1" ht="14.25" customHeight="1">
      <c r="A261" s="3207" t="s">
        <v>305</v>
      </c>
      <c r="B261" s="3207" t="s">
        <v>3097</v>
      </c>
      <c r="C261" s="3207">
        <v>6850</v>
      </c>
      <c r="D261" s="3207">
        <v>6810</v>
      </c>
      <c r="E261" s="3207">
        <v>8290</v>
      </c>
      <c r="F261" s="3207">
        <v>1130</v>
      </c>
      <c r="G261" s="3207">
        <v>4180</v>
      </c>
    </row>
    <row r="262" spans="1:7" s="3196" customFormat="1" ht="14.25" customHeight="1">
      <c r="A262" s="3207" t="s">
        <v>305</v>
      </c>
      <c r="B262" s="3207" t="s">
        <v>3098</v>
      </c>
      <c r="C262" s="3207">
        <v>5860</v>
      </c>
      <c r="D262" s="3207">
        <v>5820</v>
      </c>
      <c r="E262" s="3207">
        <v>7640</v>
      </c>
      <c r="F262" s="3207">
        <v>1070</v>
      </c>
      <c r="G262" s="3207">
        <v>3570</v>
      </c>
    </row>
    <row r="263" spans="1:7" s="3196" customFormat="1" ht="14.25" customHeight="1">
      <c r="A263" s="3207" t="s">
        <v>305</v>
      </c>
      <c r="B263" s="3207" t="s">
        <v>3099</v>
      </c>
      <c r="C263" s="3207">
        <v>5870</v>
      </c>
      <c r="D263" s="3207">
        <v>5840</v>
      </c>
      <c r="E263" s="3207">
        <v>7270</v>
      </c>
      <c r="F263" s="3207">
        <v>1190</v>
      </c>
      <c r="G263" s="3207">
        <v>3580</v>
      </c>
    </row>
    <row r="264" spans="1:7" s="3196" customFormat="1" ht="14.25" customHeight="1">
      <c r="A264" s="3207" t="s">
        <v>305</v>
      </c>
      <c r="B264" s="3207" t="s">
        <v>299</v>
      </c>
      <c r="C264" s="3207">
        <v>6190</v>
      </c>
      <c r="D264" s="3207">
        <v>6150</v>
      </c>
      <c r="E264" s="3207">
        <v>7660</v>
      </c>
      <c r="F264" s="3207">
        <v>1160</v>
      </c>
      <c r="G264" s="3207">
        <v>3770</v>
      </c>
    </row>
    <row r="265" spans="1:7" s="3196" customFormat="1" ht="14.25" customHeight="1">
      <c r="A265" s="3207" t="s">
        <v>305</v>
      </c>
      <c r="B265" s="3207" t="s">
        <v>3100</v>
      </c>
      <c r="C265" s="3207"/>
      <c r="D265" s="3207"/>
      <c r="E265" s="3207"/>
      <c r="F265" s="3207">
        <v>1500</v>
      </c>
      <c r="G265" s="3207"/>
    </row>
    <row r="266" spans="1:7" s="3196" customFormat="1" ht="14.25" customHeight="1">
      <c r="A266" s="3207" t="s">
        <v>305</v>
      </c>
      <c r="B266" s="3207" t="s">
        <v>3101</v>
      </c>
      <c r="C266" s="3207"/>
      <c r="D266" s="3207"/>
      <c r="E266" s="3207"/>
      <c r="F266" s="3207">
        <v>1500</v>
      </c>
      <c r="G266" s="3207"/>
    </row>
    <row r="267" spans="1:7" s="3196" customFormat="1" ht="14.25" customHeight="1">
      <c r="A267" s="3207" t="s">
        <v>305</v>
      </c>
      <c r="B267" s="3207" t="s">
        <v>3102</v>
      </c>
      <c r="C267" s="3207"/>
      <c r="D267" s="3207"/>
      <c r="E267" s="3207"/>
      <c r="F267" s="3207">
        <v>1500</v>
      </c>
      <c r="G267" s="3207"/>
    </row>
    <row r="268" spans="1:7" s="3196" customFormat="1" ht="14.25" customHeight="1">
      <c r="A268" s="3207" t="s">
        <v>305</v>
      </c>
      <c r="B268" s="3207" t="s">
        <v>3103</v>
      </c>
      <c r="C268" s="3207"/>
      <c r="D268" s="3207"/>
      <c r="E268" s="3207"/>
      <c r="F268" s="3207">
        <v>1290</v>
      </c>
      <c r="G268" s="3207"/>
    </row>
    <row r="269" spans="1:7" s="3196" customFormat="1" ht="14.25" customHeight="1">
      <c r="A269" s="3207" t="s">
        <v>305</v>
      </c>
      <c r="B269" s="3207" t="s">
        <v>3104</v>
      </c>
      <c r="C269" s="3207"/>
      <c r="D269" s="3207"/>
      <c r="E269" s="3207"/>
      <c r="F269" s="3207">
        <v>1150</v>
      </c>
      <c r="G269" s="3207"/>
    </row>
    <row r="270" spans="1:7" s="3196" customFormat="1" ht="14.25" customHeight="1">
      <c r="A270" s="3207" t="s">
        <v>305</v>
      </c>
      <c r="B270" s="3207" t="s">
        <v>3105</v>
      </c>
      <c r="C270" s="3207"/>
      <c r="D270" s="3207"/>
      <c r="E270" s="3207"/>
      <c r="F270" s="3207">
        <v>1380</v>
      </c>
      <c r="G270" s="3207"/>
    </row>
    <row r="271" spans="1:7" s="3196" customFormat="1" ht="14.25" customHeight="1">
      <c r="A271" s="3207" t="s">
        <v>305</v>
      </c>
      <c r="B271" s="3207" t="s">
        <v>3106</v>
      </c>
      <c r="C271" s="3207"/>
      <c r="D271" s="3207"/>
      <c r="E271" s="3207"/>
      <c r="F271" s="3207">
        <v>1460</v>
      </c>
      <c r="G271" s="3207"/>
    </row>
    <row r="272" spans="1:7" s="3196" customFormat="1" ht="14.25" customHeight="1">
      <c r="A272" s="3207" t="s">
        <v>305</v>
      </c>
      <c r="B272" s="3207" t="s">
        <v>3107</v>
      </c>
      <c r="C272" s="3207"/>
      <c r="D272" s="3207"/>
      <c r="E272" s="3207"/>
      <c r="F272" s="3207">
        <v>1460</v>
      </c>
      <c r="G272" s="3207"/>
    </row>
    <row r="273" spans="1:7" s="3196" customFormat="1" ht="14.25" customHeight="1">
      <c r="A273" s="3207" t="s">
        <v>305</v>
      </c>
      <c r="B273" s="3207" t="s">
        <v>3000</v>
      </c>
      <c r="C273" s="3207"/>
      <c r="D273" s="3207"/>
      <c r="E273" s="3207"/>
      <c r="F273" s="3207">
        <v>1490</v>
      </c>
      <c r="G273" s="3207"/>
    </row>
    <row r="274" spans="1:7" s="3196" customFormat="1" ht="14.25" customHeight="1">
      <c r="A274" s="3207" t="s">
        <v>305</v>
      </c>
      <c r="B274" s="3207" t="s">
        <v>3108</v>
      </c>
      <c r="C274" s="3207"/>
      <c r="D274" s="3207"/>
      <c r="E274" s="3207"/>
      <c r="F274" s="3207">
        <v>1490</v>
      </c>
      <c r="G274" s="3207"/>
    </row>
    <row r="275" spans="1:7" s="3196" customFormat="1" ht="14.25" customHeight="1">
      <c r="A275" s="3207" t="s">
        <v>305</v>
      </c>
      <c r="B275" s="3207" t="s">
        <v>3109</v>
      </c>
      <c r="C275" s="3207"/>
      <c r="D275" s="3207"/>
      <c r="E275" s="3207"/>
      <c r="F275" s="3207">
        <v>1220</v>
      </c>
      <c r="G275" s="3207"/>
    </row>
    <row r="276" spans="1:7" s="3196" customFormat="1" ht="14.25" customHeight="1" thickBot="1">
      <c r="A276" s="3215" t="s">
        <v>305</v>
      </c>
      <c r="B276" s="3217" t="s">
        <v>3110</v>
      </c>
      <c r="C276" s="3218"/>
      <c r="D276" s="3218"/>
      <c r="E276" s="3218"/>
      <c r="F276" s="3218">
        <v>1380</v>
      </c>
      <c r="G276" s="3218"/>
    </row>
    <row r="277" spans="1:7" s="3196" customFormat="1" ht="14.25" customHeight="1">
      <c r="A277" s="3212" t="s">
        <v>306</v>
      </c>
      <c r="B277" s="3203" t="s">
        <v>3111</v>
      </c>
      <c r="C277" s="3203">
        <v>5790</v>
      </c>
      <c r="D277" s="3203">
        <v>5740</v>
      </c>
      <c r="E277" s="3203">
        <v>6730</v>
      </c>
      <c r="F277" s="3203">
        <v>1110</v>
      </c>
      <c r="G277" s="3219">
        <v>3460</v>
      </c>
    </row>
    <row r="278" spans="1:7" s="3196" customFormat="1" ht="14.25" customHeight="1">
      <c r="A278" s="3207" t="s">
        <v>306</v>
      </c>
      <c r="B278" s="3207" t="s">
        <v>135</v>
      </c>
      <c r="C278" s="3207">
        <v>5740</v>
      </c>
      <c r="D278" s="3207">
        <v>5670</v>
      </c>
      <c r="E278" s="3207">
        <v>6680</v>
      </c>
      <c r="F278" s="3207">
        <v>1070</v>
      </c>
      <c r="G278" s="3220">
        <v>3420</v>
      </c>
    </row>
    <row r="279" spans="1:7" s="3196" customFormat="1" ht="14.25" customHeight="1">
      <c r="A279" s="3207" t="s">
        <v>306</v>
      </c>
      <c r="B279" s="3207" t="s">
        <v>3112</v>
      </c>
      <c r="C279" s="3207">
        <v>4760</v>
      </c>
      <c r="D279" s="3207">
        <v>4720</v>
      </c>
      <c r="E279" s="3207">
        <v>5540</v>
      </c>
      <c r="F279" s="3207">
        <v>810</v>
      </c>
      <c r="G279" s="3220">
        <v>2850</v>
      </c>
    </row>
    <row r="280" spans="1:7" s="3196" customFormat="1" ht="14.25" customHeight="1">
      <c r="A280" s="3207" t="s">
        <v>306</v>
      </c>
      <c r="B280" s="3207" t="s">
        <v>3113</v>
      </c>
      <c r="C280" s="3207">
        <v>4010</v>
      </c>
      <c r="D280" s="3207">
        <v>3950</v>
      </c>
      <c r="E280" s="3207">
        <v>4710</v>
      </c>
      <c r="F280" s="3207">
        <v>800</v>
      </c>
      <c r="G280" s="3220">
        <v>2390</v>
      </c>
    </row>
    <row r="281" spans="1:7" s="3196" customFormat="1" ht="14.25" customHeight="1">
      <c r="A281" s="3207" t="s">
        <v>306</v>
      </c>
      <c r="B281" s="3207" t="s">
        <v>3114</v>
      </c>
      <c r="C281" s="3207">
        <v>4480</v>
      </c>
      <c r="D281" s="3207">
        <v>4420</v>
      </c>
      <c r="E281" s="3207">
        <v>5230</v>
      </c>
      <c r="F281" s="3207">
        <v>870</v>
      </c>
      <c r="G281" s="3220">
        <v>2660</v>
      </c>
    </row>
    <row r="282" spans="1:7" s="3196" customFormat="1" ht="14.25" customHeight="1">
      <c r="A282" s="3207" t="s">
        <v>306</v>
      </c>
      <c r="B282" s="3207" t="s">
        <v>3115</v>
      </c>
      <c r="C282" s="3207">
        <v>5360</v>
      </c>
      <c r="D282" s="3207">
        <v>5300</v>
      </c>
      <c r="E282" s="3207">
        <v>6190</v>
      </c>
      <c r="F282" s="3207">
        <v>950</v>
      </c>
      <c r="G282" s="3220">
        <v>3190</v>
      </c>
    </row>
    <row r="283" spans="1:7" s="3196" customFormat="1" ht="14.25" customHeight="1">
      <c r="A283" s="3207" t="s">
        <v>306</v>
      </c>
      <c r="B283" s="3207" t="s">
        <v>174</v>
      </c>
      <c r="C283" s="3207">
        <v>4950</v>
      </c>
      <c r="D283" s="3207">
        <v>4900</v>
      </c>
      <c r="E283" s="3207">
        <v>5720</v>
      </c>
      <c r="F283" s="3207">
        <v>920</v>
      </c>
      <c r="G283" s="3220">
        <v>2950</v>
      </c>
    </row>
    <row r="284" spans="1:7" s="3196" customFormat="1" ht="14.25" customHeight="1">
      <c r="A284" s="3207" t="s">
        <v>306</v>
      </c>
      <c r="B284" s="3207" t="s">
        <v>182</v>
      </c>
      <c r="C284" s="3207">
        <v>5610</v>
      </c>
      <c r="D284" s="3207">
        <v>5560</v>
      </c>
      <c r="E284" s="3207">
        <v>6520</v>
      </c>
      <c r="F284" s="3207">
        <v>1030</v>
      </c>
      <c r="G284" s="3220">
        <v>3360</v>
      </c>
    </row>
    <row r="285" spans="1:7" s="3196" customFormat="1" ht="14.25" customHeight="1">
      <c r="A285" s="3207" t="s">
        <v>306</v>
      </c>
      <c r="B285" s="3207" t="s">
        <v>192</v>
      </c>
      <c r="C285" s="3207">
        <v>5340</v>
      </c>
      <c r="D285" s="3207">
        <v>5290</v>
      </c>
      <c r="E285" s="3207">
        <v>6170</v>
      </c>
      <c r="F285" s="3207">
        <v>1080</v>
      </c>
      <c r="G285" s="3220">
        <v>3180</v>
      </c>
    </row>
    <row r="286" spans="1:7" s="3196" customFormat="1" ht="14.25" customHeight="1">
      <c r="A286" s="3207" t="s">
        <v>306</v>
      </c>
      <c r="B286" s="3207" t="s">
        <v>199</v>
      </c>
      <c r="C286" s="3207">
        <v>4890</v>
      </c>
      <c r="D286" s="3207">
        <v>4840</v>
      </c>
      <c r="E286" s="3207">
        <v>5640</v>
      </c>
      <c r="F286" s="3207">
        <v>960</v>
      </c>
      <c r="G286" s="3220">
        <v>2910</v>
      </c>
    </row>
    <row r="287" spans="1:7" s="3196" customFormat="1" ht="14.25" customHeight="1">
      <c r="A287" s="3207" t="s">
        <v>306</v>
      </c>
      <c r="B287" s="3207" t="s">
        <v>3116</v>
      </c>
      <c r="C287" s="3207">
        <v>4960</v>
      </c>
      <c r="D287" s="3207">
        <v>4920</v>
      </c>
      <c r="E287" s="3207">
        <v>5730</v>
      </c>
      <c r="F287" s="3207">
        <v>930</v>
      </c>
      <c r="G287" s="3220">
        <v>2960</v>
      </c>
    </row>
    <row r="288" spans="1:7" s="3196" customFormat="1" ht="14.25" customHeight="1">
      <c r="A288" s="3207" t="s">
        <v>306</v>
      </c>
      <c r="B288" s="3207" t="s">
        <v>219</v>
      </c>
      <c r="C288" s="3207">
        <v>4350</v>
      </c>
      <c r="D288" s="3207">
        <v>4300</v>
      </c>
      <c r="E288" s="3207">
        <v>4900</v>
      </c>
      <c r="F288" s="3207">
        <v>820</v>
      </c>
      <c r="G288" s="3220">
        <v>2590</v>
      </c>
    </row>
    <row r="289" spans="1:7" s="3196" customFormat="1" ht="14.25" customHeight="1">
      <c r="A289" s="3207" t="s">
        <v>306</v>
      </c>
      <c r="B289" s="3207" t="s">
        <v>3117</v>
      </c>
      <c r="C289" s="3207">
        <v>5230</v>
      </c>
      <c r="D289" s="3207">
        <v>5170</v>
      </c>
      <c r="E289" s="3207">
        <v>6060</v>
      </c>
      <c r="F289" s="3207">
        <v>900</v>
      </c>
      <c r="G289" s="3220">
        <v>3120</v>
      </c>
    </row>
    <row r="290" spans="1:7" s="3196" customFormat="1" ht="14.25" customHeight="1">
      <c r="A290" s="3207" t="s">
        <v>306</v>
      </c>
      <c r="B290" s="3207" t="s">
        <v>242</v>
      </c>
      <c r="C290" s="3207">
        <v>5550</v>
      </c>
      <c r="D290" s="3207">
        <v>5500</v>
      </c>
      <c r="E290" s="3207">
        <v>6440</v>
      </c>
      <c r="F290" s="3207">
        <v>960</v>
      </c>
      <c r="G290" s="3220">
        <v>3320</v>
      </c>
    </row>
    <row r="291" spans="1:7" s="3196" customFormat="1" ht="14.25" customHeight="1">
      <c r="A291" s="3207" t="s">
        <v>306</v>
      </c>
      <c r="B291" s="3207" t="s">
        <v>250</v>
      </c>
      <c r="C291" s="3207">
        <v>5440</v>
      </c>
      <c r="D291" s="3207">
        <v>5400</v>
      </c>
      <c r="E291" s="3207">
        <v>6320</v>
      </c>
      <c r="F291" s="3207">
        <v>930</v>
      </c>
      <c r="G291" s="3220">
        <v>3250</v>
      </c>
    </row>
    <row r="292" spans="1:7" s="3196" customFormat="1" ht="14.25" customHeight="1">
      <c r="A292" s="3207" t="s">
        <v>306</v>
      </c>
      <c r="B292" s="3207" t="s">
        <v>256</v>
      </c>
      <c r="C292" s="3207">
        <v>5400</v>
      </c>
      <c r="D292" s="3207">
        <v>5360</v>
      </c>
      <c r="E292" s="3207">
        <v>6270</v>
      </c>
      <c r="F292" s="3207">
        <v>1040</v>
      </c>
      <c r="G292" s="3220">
        <v>3230</v>
      </c>
    </row>
    <row r="293" spans="1:7" s="3196" customFormat="1" ht="14.25" customHeight="1">
      <c r="A293" s="3207" t="s">
        <v>306</v>
      </c>
      <c r="B293" s="3207" t="s">
        <v>2892</v>
      </c>
      <c r="C293" s="3207">
        <v>5320</v>
      </c>
      <c r="D293" s="3207">
        <v>5270</v>
      </c>
      <c r="E293" s="3207">
        <v>6160</v>
      </c>
      <c r="F293" s="3207">
        <v>990</v>
      </c>
      <c r="G293" s="3220">
        <v>3170</v>
      </c>
    </row>
    <row r="294" spans="1:7" s="3196" customFormat="1" ht="14.25" customHeight="1">
      <c r="A294" s="3207" t="s">
        <v>306</v>
      </c>
      <c r="B294" s="3207" t="s">
        <v>3118</v>
      </c>
      <c r="C294" s="3207">
        <v>5260</v>
      </c>
      <c r="D294" s="3207">
        <v>5210</v>
      </c>
      <c r="E294" s="3207">
        <v>6100</v>
      </c>
      <c r="F294" s="3207">
        <v>950</v>
      </c>
      <c r="G294" s="3220">
        <v>3150</v>
      </c>
    </row>
    <row r="295" spans="1:7" s="3196" customFormat="1" ht="14.25" customHeight="1">
      <c r="A295" s="3207" t="s">
        <v>306</v>
      </c>
      <c r="B295" s="3207" t="s">
        <v>290</v>
      </c>
      <c r="C295" s="3207">
        <v>5610</v>
      </c>
      <c r="D295" s="3207">
        <v>5570</v>
      </c>
      <c r="E295" s="3207">
        <v>6530</v>
      </c>
      <c r="F295" s="3207">
        <v>960</v>
      </c>
      <c r="G295" s="3220">
        <v>3360</v>
      </c>
    </row>
    <row r="296" spans="1:7" s="3196" customFormat="1" ht="14.25" customHeight="1">
      <c r="A296" s="3207" t="s">
        <v>306</v>
      </c>
      <c r="B296" s="3207" t="s">
        <v>293</v>
      </c>
      <c r="C296" s="3207">
        <v>5540</v>
      </c>
      <c r="D296" s="3207">
        <v>5490</v>
      </c>
      <c r="E296" s="3207">
        <v>6430</v>
      </c>
      <c r="F296" s="3207">
        <v>980</v>
      </c>
      <c r="G296" s="3220">
        <v>3310</v>
      </c>
    </row>
    <row r="297" spans="1:7" s="3196" customFormat="1" ht="14.25" customHeight="1">
      <c r="A297" s="3207" t="s">
        <v>306</v>
      </c>
      <c r="B297" s="3207" t="s">
        <v>295</v>
      </c>
      <c r="C297" s="3207">
        <v>5480</v>
      </c>
      <c r="D297" s="3207">
        <v>5420</v>
      </c>
      <c r="E297" s="3207">
        <v>6370</v>
      </c>
      <c r="F297" s="3207">
        <v>990</v>
      </c>
      <c r="G297" s="3220">
        <v>3270</v>
      </c>
    </row>
    <row r="298" spans="1:7" s="3196" customFormat="1" ht="14.25" customHeight="1">
      <c r="A298" s="3207" t="s">
        <v>306</v>
      </c>
      <c r="B298" s="3207" t="s">
        <v>298</v>
      </c>
      <c r="C298" s="3207">
        <v>5090</v>
      </c>
      <c r="D298" s="3207">
        <v>5050</v>
      </c>
      <c r="E298" s="3207">
        <v>5910</v>
      </c>
      <c r="F298" s="3207">
        <v>900</v>
      </c>
      <c r="G298" s="3220">
        <v>3040</v>
      </c>
    </row>
    <row r="299" spans="1:7" s="3196" customFormat="1" ht="14.25" customHeight="1">
      <c r="A299" s="3207" t="s">
        <v>306</v>
      </c>
      <c r="B299" s="3216" t="s">
        <v>2911</v>
      </c>
      <c r="C299" s="3207">
        <v>5430</v>
      </c>
      <c r="D299" s="3207">
        <v>5380</v>
      </c>
      <c r="E299" s="3207">
        <v>6280</v>
      </c>
      <c r="F299" s="3207">
        <v>1000</v>
      </c>
      <c r="G299" s="3220">
        <v>3240</v>
      </c>
    </row>
    <row r="300" spans="1:7" s="3196" customFormat="1" ht="14.25" customHeight="1">
      <c r="A300" s="3207" t="s">
        <v>306</v>
      </c>
      <c r="B300" s="3216" t="s">
        <v>271</v>
      </c>
      <c r="C300" s="3207">
        <v>4740</v>
      </c>
      <c r="D300" s="3207">
        <v>4680</v>
      </c>
      <c r="E300" s="3207">
        <v>5450</v>
      </c>
      <c r="F300" s="3207">
        <v>900</v>
      </c>
      <c r="G300" s="3220">
        <v>2830</v>
      </c>
    </row>
    <row r="301" spans="1:7" s="3196" customFormat="1" ht="14.25" customHeight="1">
      <c r="A301" s="3207" t="s">
        <v>306</v>
      </c>
      <c r="B301" s="3216" t="s">
        <v>276</v>
      </c>
      <c r="C301" s="3207">
        <v>4870</v>
      </c>
      <c r="D301" s="3207">
        <v>4810</v>
      </c>
      <c r="E301" s="3207">
        <v>5560</v>
      </c>
      <c r="F301" s="3207">
        <v>990</v>
      </c>
      <c r="G301" s="3220">
        <v>2910</v>
      </c>
    </row>
    <row r="302" spans="1:7" s="3196" customFormat="1" ht="14.25" customHeight="1">
      <c r="A302" s="3207" t="s">
        <v>306</v>
      </c>
      <c r="B302" s="3207" t="s">
        <v>3119</v>
      </c>
      <c r="C302" s="3207">
        <v>5520</v>
      </c>
      <c r="D302" s="3207">
        <v>5470</v>
      </c>
      <c r="E302" s="3207">
        <v>6410</v>
      </c>
      <c r="F302" s="3207">
        <v>950</v>
      </c>
      <c r="G302" s="3220">
        <v>3300</v>
      </c>
    </row>
    <row r="303" spans="1:7" s="3196" customFormat="1" ht="14.25" customHeight="1">
      <c r="A303" s="3207" t="s">
        <v>306</v>
      </c>
      <c r="B303" s="3207" t="s">
        <v>2931</v>
      </c>
      <c r="C303" s="3207">
        <v>5630</v>
      </c>
      <c r="D303" s="3207">
        <v>5590</v>
      </c>
      <c r="E303" s="3207">
        <v>6550</v>
      </c>
      <c r="F303" s="3207">
        <v>1010</v>
      </c>
      <c r="G303" s="3220">
        <v>3370</v>
      </c>
    </row>
    <row r="304" spans="1:7" s="3196" customFormat="1" ht="14.25" customHeight="1">
      <c r="A304" s="3207" t="s">
        <v>306</v>
      </c>
      <c r="B304" s="3207" t="s">
        <v>2938</v>
      </c>
      <c r="C304" s="3207">
        <v>5680</v>
      </c>
      <c r="D304" s="3207">
        <v>5620</v>
      </c>
      <c r="E304" s="3207">
        <v>6620</v>
      </c>
      <c r="F304" s="3207">
        <v>1050</v>
      </c>
      <c r="G304" s="3220">
        <v>3390</v>
      </c>
    </row>
    <row r="305" spans="1:7" s="3196" customFormat="1" ht="14.25" customHeight="1">
      <c r="A305" s="3207" t="s">
        <v>306</v>
      </c>
      <c r="B305" s="3207" t="s">
        <v>2944</v>
      </c>
      <c r="C305" s="3207">
        <v>5590</v>
      </c>
      <c r="D305" s="3207">
        <v>5530</v>
      </c>
      <c r="E305" s="3207">
        <v>6460</v>
      </c>
      <c r="F305" s="3207">
        <v>900</v>
      </c>
      <c r="G305" s="3220">
        <v>3340</v>
      </c>
    </row>
    <row r="306" spans="1:7" s="3196" customFormat="1" ht="14.25" customHeight="1">
      <c r="A306" s="3207" t="s">
        <v>306</v>
      </c>
      <c r="B306" s="3207" t="s">
        <v>3120</v>
      </c>
      <c r="C306" s="3207">
        <v>5560</v>
      </c>
      <c r="D306" s="3207">
        <v>5510</v>
      </c>
      <c r="E306" s="3207">
        <v>6440</v>
      </c>
      <c r="F306" s="3207">
        <v>900</v>
      </c>
      <c r="G306" s="3220">
        <v>3320</v>
      </c>
    </row>
    <row r="307" spans="1:7" s="3196" customFormat="1" ht="14.25" customHeight="1">
      <c r="A307" s="3207" t="s">
        <v>306</v>
      </c>
      <c r="B307" s="3207" t="s">
        <v>2956</v>
      </c>
      <c r="C307" s="3207">
        <v>5650</v>
      </c>
      <c r="D307" s="3207">
        <v>5600</v>
      </c>
      <c r="E307" s="3207">
        <v>6590</v>
      </c>
      <c r="F307" s="3207">
        <v>930</v>
      </c>
      <c r="G307" s="3220">
        <v>3380</v>
      </c>
    </row>
    <row r="308" spans="1:7" s="3196" customFormat="1" ht="14.25" customHeight="1">
      <c r="A308" s="3207" t="s">
        <v>306</v>
      </c>
      <c r="B308" s="3207" t="s">
        <v>3121</v>
      </c>
      <c r="C308" s="3207">
        <v>5620</v>
      </c>
      <c r="D308" s="3207">
        <v>5580</v>
      </c>
      <c r="E308" s="3207">
        <v>6540</v>
      </c>
      <c r="F308" s="3207">
        <v>910</v>
      </c>
      <c r="G308" s="3220">
        <v>3370</v>
      </c>
    </row>
    <row r="309" spans="1:7" s="3196" customFormat="1" ht="14.25" customHeight="1">
      <c r="A309" s="3207" t="s">
        <v>306</v>
      </c>
      <c r="B309" s="3207" t="s">
        <v>3122</v>
      </c>
      <c r="C309" s="3207">
        <v>5060</v>
      </c>
      <c r="D309" s="3207">
        <v>5020</v>
      </c>
      <c r="E309" s="3207">
        <v>6370</v>
      </c>
      <c r="F309" s="3207">
        <v>800</v>
      </c>
      <c r="G309" s="3220">
        <v>3020</v>
      </c>
    </row>
    <row r="310" spans="1:7" s="3196" customFormat="1" ht="14.25" customHeight="1">
      <c r="A310" s="3207" t="s">
        <v>306</v>
      </c>
      <c r="B310" s="3207" t="s">
        <v>2971</v>
      </c>
      <c r="C310" s="3207">
        <v>5150</v>
      </c>
      <c r="D310" s="3207">
        <v>5110</v>
      </c>
      <c r="E310" s="3207">
        <v>6500</v>
      </c>
      <c r="F310" s="3207">
        <v>880</v>
      </c>
      <c r="G310" s="3220">
        <v>3080</v>
      </c>
    </row>
    <row r="311" spans="1:7" s="3196" customFormat="1" ht="14.25" customHeight="1">
      <c r="A311" s="3207" t="s">
        <v>306</v>
      </c>
      <c r="B311" s="3207" t="s">
        <v>3123</v>
      </c>
      <c r="C311" s="3207">
        <v>4750</v>
      </c>
      <c r="D311" s="3207">
        <v>4710</v>
      </c>
      <c r="E311" s="3207">
        <v>5510</v>
      </c>
      <c r="F311" s="3207">
        <v>880</v>
      </c>
      <c r="G311" s="3220">
        <v>2840</v>
      </c>
    </row>
    <row r="312" spans="1:7" s="3196" customFormat="1" ht="14.25" customHeight="1">
      <c r="A312" s="3207" t="s">
        <v>306</v>
      </c>
      <c r="B312" s="3207" t="s">
        <v>2981</v>
      </c>
      <c r="C312" s="3207">
        <v>4690</v>
      </c>
      <c r="D312" s="3207">
        <v>4640</v>
      </c>
      <c r="E312" s="3207">
        <v>5420</v>
      </c>
      <c r="F312" s="3207">
        <v>800</v>
      </c>
      <c r="G312" s="3220">
        <v>2800</v>
      </c>
    </row>
    <row r="313" spans="1:7" s="3196" customFormat="1" ht="14.25" customHeight="1">
      <c r="A313" s="3207" t="s">
        <v>306</v>
      </c>
      <c r="B313" s="3207" t="s">
        <v>2986</v>
      </c>
      <c r="C313" s="3207">
        <v>4810</v>
      </c>
      <c r="D313" s="3207">
        <v>4760</v>
      </c>
      <c r="E313" s="3207">
        <v>5550</v>
      </c>
      <c r="F313" s="3207">
        <v>920</v>
      </c>
      <c r="G313" s="3220">
        <v>2870</v>
      </c>
    </row>
    <row r="314" spans="1:7" s="3196" customFormat="1" ht="14.25" customHeight="1">
      <c r="A314" s="3207" t="s">
        <v>306</v>
      </c>
      <c r="B314" s="3207" t="s">
        <v>3124</v>
      </c>
      <c r="C314" s="3207"/>
      <c r="D314" s="3207"/>
      <c r="E314" s="3207"/>
      <c r="F314" s="3207">
        <v>1020</v>
      </c>
      <c r="G314" s="3220"/>
    </row>
    <row r="315" spans="1:7" s="3196" customFormat="1" ht="14.25" customHeight="1">
      <c r="A315" s="3207" t="s">
        <v>306</v>
      </c>
      <c r="B315" s="3207" t="s">
        <v>3125</v>
      </c>
      <c r="C315" s="3207"/>
      <c r="D315" s="3207"/>
      <c r="E315" s="3207"/>
      <c r="F315" s="3207">
        <v>1050</v>
      </c>
      <c r="G315" s="3220"/>
    </row>
    <row r="316" spans="1:7" s="3196" customFormat="1" ht="14.25" customHeight="1">
      <c r="A316" s="3207" t="s">
        <v>306</v>
      </c>
      <c r="B316" s="3207" t="s">
        <v>3001</v>
      </c>
      <c r="C316" s="3207"/>
      <c r="D316" s="3207"/>
      <c r="E316" s="3207"/>
      <c r="F316" s="3207">
        <v>900</v>
      </c>
      <c r="G316" s="3220"/>
    </row>
    <row r="317" spans="1:7" s="3196" customFormat="1" ht="14.25" customHeight="1">
      <c r="A317" s="3207" t="s">
        <v>306</v>
      </c>
      <c r="B317" s="3207" t="s">
        <v>3126</v>
      </c>
      <c r="C317" s="3207"/>
      <c r="D317" s="3207"/>
      <c r="E317" s="3207"/>
      <c r="F317" s="3207">
        <v>920</v>
      </c>
      <c r="G317" s="3220"/>
    </row>
    <row r="318" spans="1:7" s="3196" customFormat="1" ht="14.25" customHeight="1">
      <c r="A318" s="3207" t="s">
        <v>306</v>
      </c>
      <c r="B318" s="3207" t="s">
        <v>3127</v>
      </c>
      <c r="C318" s="3207"/>
      <c r="D318" s="3207"/>
      <c r="E318" s="3207"/>
      <c r="F318" s="3207">
        <v>1080</v>
      </c>
      <c r="G318" s="3220"/>
    </row>
    <row r="319" spans="1:7" s="3196" customFormat="1" ht="14.25" customHeight="1">
      <c r="A319" s="3207" t="s">
        <v>306</v>
      </c>
      <c r="B319" s="3207" t="s">
        <v>3014</v>
      </c>
      <c r="C319" s="3207"/>
      <c r="D319" s="3207"/>
      <c r="E319" s="3207"/>
      <c r="F319" s="3207">
        <v>1020</v>
      </c>
      <c r="G319" s="3220"/>
    </row>
    <row r="320" spans="1:7" s="3196" customFormat="1" ht="14.25" customHeight="1">
      <c r="A320" s="3207" t="s">
        <v>306</v>
      </c>
      <c r="B320" s="3207" t="s">
        <v>3017</v>
      </c>
      <c r="C320" s="3207"/>
      <c r="D320" s="3207"/>
      <c r="E320" s="3207"/>
      <c r="F320" s="3207">
        <v>1050</v>
      </c>
      <c r="G320" s="3220"/>
    </row>
    <row r="321" spans="1:7" s="3196" customFormat="1" ht="14.25" customHeight="1">
      <c r="A321" s="3207" t="s">
        <v>306</v>
      </c>
      <c r="B321" s="3207" t="s">
        <v>3019</v>
      </c>
      <c r="C321" s="3207"/>
      <c r="D321" s="3207"/>
      <c r="E321" s="3207"/>
      <c r="F321" s="3207">
        <v>960</v>
      </c>
      <c r="G321" s="3220"/>
    </row>
    <row r="322" spans="1:7" s="3196" customFormat="1" ht="14.25" customHeight="1">
      <c r="A322" s="3207" t="s">
        <v>306</v>
      </c>
      <c r="B322" s="3207" t="s">
        <v>3021</v>
      </c>
      <c r="C322" s="3207"/>
      <c r="D322" s="3207"/>
      <c r="E322" s="3207"/>
      <c r="F322" s="3207">
        <v>960</v>
      </c>
      <c r="G322" s="3220"/>
    </row>
    <row r="323" spans="1:7" s="3196" customFormat="1" ht="14.25" customHeight="1">
      <c r="A323" s="3207" t="s">
        <v>306</v>
      </c>
      <c r="B323" s="3207" t="s">
        <v>3023</v>
      </c>
      <c r="C323" s="3207"/>
      <c r="D323" s="3207"/>
      <c r="E323" s="3207"/>
      <c r="F323" s="3207">
        <v>880</v>
      </c>
      <c r="G323" s="3220"/>
    </row>
    <row r="324" spans="1:7" s="3196" customFormat="1" ht="14.25" customHeight="1">
      <c r="A324" s="3207" t="s">
        <v>306</v>
      </c>
      <c r="B324" s="3207" t="s">
        <v>3025</v>
      </c>
      <c r="C324" s="3207"/>
      <c r="D324" s="3207"/>
      <c r="E324" s="3207"/>
      <c r="F324" s="3207">
        <v>930</v>
      </c>
      <c r="G324" s="3220"/>
    </row>
    <row r="325" spans="1:7" s="3196" customFormat="1" ht="14.25" customHeight="1">
      <c r="A325" s="3207" t="s">
        <v>306</v>
      </c>
      <c r="B325" s="3208" t="s">
        <v>3027</v>
      </c>
      <c r="C325" s="3207"/>
      <c r="D325" s="3207"/>
      <c r="E325" s="3207"/>
      <c r="F325" s="3207">
        <v>900</v>
      </c>
      <c r="G325" s="3220"/>
    </row>
    <row r="326" spans="1:7" s="3196" customFormat="1" ht="14.25" customHeight="1" thickBot="1">
      <c r="A326" s="3221" t="s">
        <v>306</v>
      </c>
      <c r="B326" s="3214" t="s">
        <v>3029</v>
      </c>
      <c r="C326" s="3214"/>
      <c r="D326" s="3214"/>
      <c r="E326" s="3214"/>
      <c r="F326" s="3214">
        <v>790</v>
      </c>
      <c r="G326" s="3222"/>
    </row>
    <row r="327" spans="1:7" s="3196" customFormat="1" ht="14.25" customHeight="1">
      <c r="A327" s="3212" t="s">
        <v>307</v>
      </c>
      <c r="B327" s="3203" t="s">
        <v>3128</v>
      </c>
      <c r="C327" s="3207">
        <v>3750</v>
      </c>
      <c r="D327" s="3207">
        <v>3710</v>
      </c>
      <c r="E327" s="3207">
        <v>4080</v>
      </c>
      <c r="F327" s="3207">
        <v>860</v>
      </c>
      <c r="G327" s="3207">
        <v>2210</v>
      </c>
    </row>
    <row r="328" spans="1:7" s="3196" customFormat="1" ht="14.25" customHeight="1">
      <c r="A328" s="3207" t="s">
        <v>307</v>
      </c>
      <c r="B328" s="3207" t="s">
        <v>136</v>
      </c>
      <c r="C328" s="3207">
        <v>3330</v>
      </c>
      <c r="D328" s="3207">
        <v>3290</v>
      </c>
      <c r="E328" s="3207">
        <v>3610</v>
      </c>
      <c r="F328" s="3207">
        <v>850</v>
      </c>
      <c r="G328" s="3207">
        <v>1960</v>
      </c>
    </row>
    <row r="329" spans="1:7" s="3196" customFormat="1" ht="14.25" customHeight="1">
      <c r="A329" s="3207" t="s">
        <v>307</v>
      </c>
      <c r="B329" s="3207" t="s">
        <v>3129</v>
      </c>
      <c r="C329" s="3207">
        <v>2730</v>
      </c>
      <c r="D329" s="3207">
        <v>2690</v>
      </c>
      <c r="E329" s="3207">
        <v>3100</v>
      </c>
      <c r="F329" s="3207">
        <v>660</v>
      </c>
      <c r="G329" s="3207">
        <v>1610</v>
      </c>
    </row>
    <row r="330" spans="1:7" s="3196" customFormat="1" ht="14.25" customHeight="1">
      <c r="A330" s="3207" t="s">
        <v>307</v>
      </c>
      <c r="B330" s="3207" t="s">
        <v>3130</v>
      </c>
      <c r="C330" s="3207">
        <v>3270</v>
      </c>
      <c r="D330" s="3207">
        <v>3240</v>
      </c>
      <c r="E330" s="3207">
        <v>3560</v>
      </c>
      <c r="F330" s="3207">
        <v>680</v>
      </c>
      <c r="G330" s="3207">
        <v>1940</v>
      </c>
    </row>
    <row r="331" spans="1:7" s="3196" customFormat="1" ht="14.25" customHeight="1">
      <c r="A331" s="3207" t="s">
        <v>307</v>
      </c>
      <c r="B331" s="3207" t="s">
        <v>161</v>
      </c>
      <c r="C331" s="3207">
        <v>3770</v>
      </c>
      <c r="D331" s="3207">
        <v>3740</v>
      </c>
      <c r="E331" s="3207">
        <v>4110</v>
      </c>
      <c r="F331" s="3207">
        <v>730</v>
      </c>
      <c r="G331" s="3207">
        <v>2230</v>
      </c>
    </row>
    <row r="332" spans="1:7" s="3196" customFormat="1" ht="14.25" customHeight="1">
      <c r="A332" s="3207" t="s">
        <v>307</v>
      </c>
      <c r="B332" s="3207" t="s">
        <v>2863</v>
      </c>
      <c r="C332" s="3207">
        <v>3520</v>
      </c>
      <c r="D332" s="3207">
        <v>3480</v>
      </c>
      <c r="E332" s="3207">
        <v>3830</v>
      </c>
      <c r="F332" s="3207">
        <v>720</v>
      </c>
      <c r="G332" s="3207">
        <v>2090</v>
      </c>
    </row>
    <row r="333" spans="1:7" s="3196" customFormat="1" ht="14.25" customHeight="1">
      <c r="A333" s="3207" t="s">
        <v>307</v>
      </c>
      <c r="B333" s="3207" t="s">
        <v>3131</v>
      </c>
      <c r="C333" s="3207">
        <v>3840</v>
      </c>
      <c r="D333" s="3207">
        <v>3800</v>
      </c>
      <c r="E333" s="3207">
        <v>4200</v>
      </c>
      <c r="F333" s="3207">
        <v>760</v>
      </c>
      <c r="G333" s="3207">
        <v>2270</v>
      </c>
    </row>
    <row r="334" spans="1:7" s="3196" customFormat="1" ht="14.25" customHeight="1">
      <c r="A334" s="3207" t="s">
        <v>307</v>
      </c>
      <c r="B334" s="3207" t="s">
        <v>183</v>
      </c>
      <c r="C334" s="3207">
        <v>3960</v>
      </c>
      <c r="D334" s="3207">
        <v>3910</v>
      </c>
      <c r="E334" s="3207">
        <v>4340</v>
      </c>
      <c r="F334" s="3207">
        <v>780</v>
      </c>
      <c r="G334" s="3207">
        <v>2340</v>
      </c>
    </row>
    <row r="335" spans="1:7" s="3196" customFormat="1" ht="14.25" customHeight="1">
      <c r="A335" s="3207" t="s">
        <v>307</v>
      </c>
      <c r="B335" s="3207" t="s">
        <v>193</v>
      </c>
      <c r="C335" s="3207">
        <v>3710</v>
      </c>
      <c r="D335" s="3207">
        <v>3670</v>
      </c>
      <c r="E335" s="3207">
        <v>4030</v>
      </c>
      <c r="F335" s="3207">
        <v>750</v>
      </c>
      <c r="G335" s="3207">
        <v>2200</v>
      </c>
    </row>
    <row r="336" spans="1:7" s="3196" customFormat="1" ht="14.25" customHeight="1">
      <c r="A336" s="3207" t="s">
        <v>307</v>
      </c>
      <c r="B336" s="3207" t="s">
        <v>2873</v>
      </c>
      <c r="C336" s="3207">
        <v>3570</v>
      </c>
      <c r="D336" s="3207">
        <v>3530</v>
      </c>
      <c r="E336" s="3207">
        <v>3880</v>
      </c>
      <c r="F336" s="3207">
        <v>770</v>
      </c>
      <c r="G336" s="3207">
        <v>2110</v>
      </c>
    </row>
    <row r="337" spans="1:10" s="3196" customFormat="1" ht="14.25" customHeight="1">
      <c r="A337" s="3207" t="s">
        <v>307</v>
      </c>
      <c r="B337" s="3207" t="s">
        <v>3132</v>
      </c>
      <c r="C337" s="3207">
        <v>3780</v>
      </c>
      <c r="D337" s="3207">
        <v>3750</v>
      </c>
      <c r="E337" s="3207">
        <v>4130</v>
      </c>
      <c r="F337" s="3207">
        <v>750</v>
      </c>
      <c r="G337" s="3207">
        <v>2240</v>
      </c>
    </row>
    <row r="338" spans="1:10" s="3196" customFormat="1" ht="14.25" customHeight="1">
      <c r="A338" s="3207" t="s">
        <v>307</v>
      </c>
      <c r="B338" s="3207" t="s">
        <v>220</v>
      </c>
      <c r="C338" s="3207">
        <v>3600</v>
      </c>
      <c r="D338" s="3207">
        <v>3570</v>
      </c>
      <c r="E338" s="3207">
        <v>3920</v>
      </c>
      <c r="F338" s="3207">
        <v>790</v>
      </c>
      <c r="G338" s="3207">
        <v>2140</v>
      </c>
    </row>
    <row r="339" spans="1:10" s="3196" customFormat="1" ht="14.25" customHeight="1">
      <c r="A339" s="3207" t="s">
        <v>307</v>
      </c>
      <c r="B339" s="3207" t="s">
        <v>228</v>
      </c>
      <c r="C339" s="3207">
        <v>3540</v>
      </c>
      <c r="D339" s="3207">
        <v>3500</v>
      </c>
      <c r="E339" s="3207">
        <v>3850</v>
      </c>
      <c r="F339" s="3207">
        <v>780</v>
      </c>
      <c r="G339" s="3207">
        <v>2100</v>
      </c>
    </row>
    <row r="340" spans="1:10" s="3196" customFormat="1" ht="14.25" customHeight="1">
      <c r="A340" s="3207" t="s">
        <v>307</v>
      </c>
      <c r="B340" s="3207" t="s">
        <v>3133</v>
      </c>
      <c r="C340" s="3207">
        <v>3850</v>
      </c>
      <c r="D340" s="3207">
        <v>3810</v>
      </c>
      <c r="E340" s="3207">
        <v>4210</v>
      </c>
      <c r="F340" s="3207">
        <v>750</v>
      </c>
      <c r="G340" s="3207">
        <v>2280</v>
      </c>
    </row>
    <row r="341" spans="1:10" s="3196" customFormat="1" ht="14.25" customHeight="1">
      <c r="A341" s="3207" t="s">
        <v>307</v>
      </c>
      <c r="B341" s="3207" t="s">
        <v>207</v>
      </c>
      <c r="C341" s="3207">
        <v>3780</v>
      </c>
      <c r="D341" s="3207">
        <v>3750</v>
      </c>
      <c r="E341" s="3207">
        <v>4140</v>
      </c>
      <c r="F341" s="3207">
        <v>720</v>
      </c>
      <c r="G341" s="3207">
        <v>2240</v>
      </c>
    </row>
    <row r="342" spans="1:10" s="3196" customFormat="1" ht="14.25" customHeight="1">
      <c r="A342" s="3207" t="s">
        <v>307</v>
      </c>
      <c r="B342" s="3207" t="s">
        <v>3134</v>
      </c>
      <c r="C342" s="3207">
        <v>3670</v>
      </c>
      <c r="D342" s="3207">
        <v>3620</v>
      </c>
      <c r="E342" s="3207">
        <v>3990</v>
      </c>
      <c r="F342" s="3207">
        <v>760</v>
      </c>
      <c r="G342" s="3207">
        <v>2170</v>
      </c>
    </row>
    <row r="343" spans="1:10" s="3196" customFormat="1" ht="14.25" customHeight="1">
      <c r="A343" s="3207" t="s">
        <v>307</v>
      </c>
      <c r="B343" s="3207" t="s">
        <v>257</v>
      </c>
      <c r="C343" s="3207">
        <v>3760</v>
      </c>
      <c r="D343" s="3207">
        <v>3720</v>
      </c>
      <c r="E343" s="3207">
        <v>4090</v>
      </c>
      <c r="F343" s="3207">
        <v>780</v>
      </c>
      <c r="G343" s="3207">
        <v>2220</v>
      </c>
    </row>
    <row r="344" spans="1:10" s="3196" customFormat="1" ht="14.25" customHeight="1">
      <c r="A344" s="3207" t="s">
        <v>307</v>
      </c>
      <c r="B344" s="3207" t="s">
        <v>265</v>
      </c>
      <c r="C344" s="3207">
        <v>3680</v>
      </c>
      <c r="D344" s="3207">
        <v>3640</v>
      </c>
      <c r="E344" s="3207">
        <v>4010</v>
      </c>
      <c r="F344" s="3207">
        <v>750</v>
      </c>
      <c r="G344" s="3207">
        <v>2180</v>
      </c>
    </row>
    <row r="345" spans="1:10">
      <c r="A345" s="3207" t="s">
        <v>307</v>
      </c>
      <c r="B345" s="3207" t="s">
        <v>2898</v>
      </c>
      <c r="C345" s="3207">
        <v>3190</v>
      </c>
      <c r="D345" s="3207">
        <v>3140</v>
      </c>
      <c r="E345" s="3207">
        <v>3450</v>
      </c>
      <c r="F345" s="3207">
        <v>720</v>
      </c>
      <c r="G345" s="3207">
        <v>1880</v>
      </c>
      <c r="J345" s="3196"/>
    </row>
    <row r="346" spans="1:10">
      <c r="A346" s="3207" t="s">
        <v>307</v>
      </c>
      <c r="B346" s="3207" t="s">
        <v>3135</v>
      </c>
      <c r="C346" s="3207">
        <v>3630</v>
      </c>
      <c r="D346" s="3207">
        <v>3590</v>
      </c>
      <c r="E346" s="3207">
        <v>3940</v>
      </c>
      <c r="F346" s="3207">
        <v>730</v>
      </c>
      <c r="G346" s="3207">
        <v>2150</v>
      </c>
      <c r="J346" s="3196"/>
    </row>
    <row r="347" spans="1:10">
      <c r="A347" s="3207" t="s">
        <v>307</v>
      </c>
      <c r="B347" s="3207" t="s">
        <v>243</v>
      </c>
      <c r="C347" s="3207">
        <v>3860</v>
      </c>
      <c r="D347" s="3207">
        <v>3820</v>
      </c>
      <c r="E347" s="3207">
        <v>4220</v>
      </c>
      <c r="F347" s="3207">
        <v>750</v>
      </c>
      <c r="G347" s="3207">
        <v>2280</v>
      </c>
      <c r="J347" s="3196"/>
    </row>
    <row r="348" spans="1:10">
      <c r="A348" s="3207" t="s">
        <v>307</v>
      </c>
      <c r="B348" s="3207" t="s">
        <v>2907</v>
      </c>
      <c r="C348" s="3207">
        <v>4000</v>
      </c>
      <c r="D348" s="3207">
        <v>3950</v>
      </c>
      <c r="E348" s="3207">
        <v>4430</v>
      </c>
      <c r="F348" s="3207">
        <v>760</v>
      </c>
      <c r="G348" s="3207">
        <v>2360</v>
      </c>
      <c r="J348" s="3196"/>
    </row>
    <row r="349" spans="1:10">
      <c r="A349" s="3207" t="s">
        <v>307</v>
      </c>
      <c r="B349" s="3207" t="s">
        <v>2912</v>
      </c>
      <c r="C349" s="3207">
        <v>3820</v>
      </c>
      <c r="D349" s="3207">
        <v>3780</v>
      </c>
      <c r="E349" s="3207">
        <v>4170</v>
      </c>
      <c r="F349" s="3207">
        <v>710</v>
      </c>
      <c r="G349" s="3207">
        <v>2260</v>
      </c>
      <c r="J349" s="3196"/>
    </row>
    <row r="350" spans="1:10">
      <c r="A350" s="3207" t="s">
        <v>307</v>
      </c>
      <c r="B350" s="3207" t="s">
        <v>3136</v>
      </c>
      <c r="C350" s="3207">
        <v>3760</v>
      </c>
      <c r="D350" s="3207">
        <v>3730</v>
      </c>
      <c r="E350" s="3207">
        <v>4100</v>
      </c>
      <c r="F350" s="3207">
        <v>800</v>
      </c>
      <c r="G350" s="3207">
        <v>2230</v>
      </c>
      <c r="J350" s="3196"/>
    </row>
    <row r="351" spans="1:10">
      <c r="A351" s="3207" t="s">
        <v>307</v>
      </c>
      <c r="B351" s="3207" t="s">
        <v>2920</v>
      </c>
      <c r="C351" s="3207">
        <v>3610</v>
      </c>
      <c r="D351" s="3207">
        <v>3580</v>
      </c>
      <c r="E351" s="3207">
        <v>3930</v>
      </c>
      <c r="F351" s="3207">
        <v>700</v>
      </c>
      <c r="G351" s="3207">
        <v>2140</v>
      </c>
      <c r="J351" s="3196"/>
    </row>
    <row r="352" spans="1:10">
      <c r="A352" s="3207" t="s">
        <v>307</v>
      </c>
      <c r="B352" s="3207" t="s">
        <v>2925</v>
      </c>
      <c r="C352" s="3207">
        <v>3670</v>
      </c>
      <c r="D352" s="3207">
        <v>3630</v>
      </c>
      <c r="E352" s="3207">
        <v>4000</v>
      </c>
      <c r="F352" s="3207">
        <v>750</v>
      </c>
      <c r="G352" s="3207">
        <v>2180</v>
      </c>
    </row>
    <row r="353" spans="1:7" s="3200" customFormat="1">
      <c r="A353" s="3207" t="s">
        <v>307</v>
      </c>
      <c r="B353" s="3207" t="s">
        <v>3137</v>
      </c>
      <c r="C353" s="3207">
        <v>3190</v>
      </c>
      <c r="D353" s="3207">
        <v>3150</v>
      </c>
      <c r="E353" s="3207">
        <v>3640</v>
      </c>
      <c r="F353" s="3207">
        <v>630</v>
      </c>
      <c r="G353" s="3207">
        <v>1890</v>
      </c>
    </row>
    <row r="354" spans="1:7" s="3200" customFormat="1">
      <c r="A354" s="3207" t="s">
        <v>307</v>
      </c>
      <c r="B354" s="3207" t="s">
        <v>280</v>
      </c>
      <c r="C354" s="3207">
        <v>3450</v>
      </c>
      <c r="D354" s="3207">
        <v>3420</v>
      </c>
      <c r="E354" s="3207">
        <v>3960</v>
      </c>
      <c r="F354" s="3207">
        <v>660</v>
      </c>
      <c r="G354" s="3207">
        <v>2050</v>
      </c>
    </row>
    <row r="355" spans="1:7" s="3200" customFormat="1">
      <c r="A355" s="3207" t="s">
        <v>307</v>
      </c>
      <c r="B355" s="3207" t="s">
        <v>2945</v>
      </c>
      <c r="C355" s="3207">
        <v>3650</v>
      </c>
      <c r="D355" s="3207">
        <v>3610</v>
      </c>
      <c r="E355" s="3207">
        <v>4200</v>
      </c>
      <c r="F355" s="3207">
        <v>640</v>
      </c>
      <c r="G355" s="3207">
        <v>2160</v>
      </c>
    </row>
    <row r="356" spans="1:7" s="3200" customFormat="1">
      <c r="A356" s="3207" t="s">
        <v>307</v>
      </c>
      <c r="B356" s="3207" t="s">
        <v>2952</v>
      </c>
      <c r="C356" s="3207">
        <v>3260</v>
      </c>
      <c r="D356" s="3207">
        <v>3230</v>
      </c>
      <c r="E356" s="3207">
        <v>3740</v>
      </c>
      <c r="F356" s="3207">
        <v>600</v>
      </c>
      <c r="G356" s="3207">
        <v>1930</v>
      </c>
    </row>
    <row r="357" spans="1:7" s="3200" customFormat="1" ht="12" thickBot="1">
      <c r="A357" s="3215" t="s">
        <v>307</v>
      </c>
      <c r="B357" s="3218" t="s">
        <v>3138</v>
      </c>
      <c r="C357" s="3218">
        <v>3690</v>
      </c>
      <c r="D357" s="3218">
        <v>3650</v>
      </c>
      <c r="E357" s="3218">
        <v>4020</v>
      </c>
      <c r="F357" s="3218">
        <v>700</v>
      </c>
      <c r="G357" s="3218">
        <v>2190</v>
      </c>
    </row>
    <row r="358" spans="1:7" s="3200" customFormat="1">
      <c r="A358" s="3212" t="s">
        <v>3139</v>
      </c>
      <c r="B358" s="3203" t="s">
        <v>3140</v>
      </c>
      <c r="C358" s="3203">
        <v>2080</v>
      </c>
      <c r="D358" s="3203">
        <v>2040</v>
      </c>
      <c r="E358" s="3203">
        <v>2010</v>
      </c>
      <c r="F358" s="3203">
        <v>530</v>
      </c>
      <c r="G358" s="3219">
        <v>1230</v>
      </c>
    </row>
    <row r="359" spans="1:7" s="3200" customFormat="1">
      <c r="A359" s="3207" t="s">
        <v>3139</v>
      </c>
      <c r="B359" s="3207" t="s">
        <v>3141</v>
      </c>
      <c r="C359" s="3207">
        <v>1850</v>
      </c>
      <c r="D359" s="3207">
        <v>1820</v>
      </c>
      <c r="E359" s="3207">
        <v>1780</v>
      </c>
      <c r="F359" s="3207">
        <v>520</v>
      </c>
      <c r="G359" s="3220">
        <v>1100</v>
      </c>
    </row>
    <row r="360" spans="1:7" s="3200" customFormat="1">
      <c r="A360" s="3207" t="s">
        <v>3139</v>
      </c>
      <c r="B360" s="3207" t="s">
        <v>3142</v>
      </c>
      <c r="C360" s="3207">
        <v>2020</v>
      </c>
      <c r="D360" s="3207">
        <v>1990</v>
      </c>
      <c r="E360" s="3207">
        <v>1950</v>
      </c>
      <c r="F360" s="3207">
        <v>500</v>
      </c>
      <c r="G360" s="3220">
        <v>1200</v>
      </c>
    </row>
    <row r="361" spans="1:7" s="3200" customFormat="1">
      <c r="A361" s="3207" t="s">
        <v>3139</v>
      </c>
      <c r="B361" s="3207" t="s">
        <v>153</v>
      </c>
      <c r="C361" s="3207">
        <v>2260</v>
      </c>
      <c r="D361" s="3207">
        <v>2220</v>
      </c>
      <c r="E361" s="3207">
        <v>2180</v>
      </c>
      <c r="F361" s="3207">
        <v>580</v>
      </c>
      <c r="G361" s="3220">
        <v>1340</v>
      </c>
    </row>
    <row r="362" spans="1:7" s="3200" customFormat="1">
      <c r="A362" s="3207" t="s">
        <v>3139</v>
      </c>
      <c r="B362" s="3207" t="s">
        <v>3143</v>
      </c>
      <c r="C362" s="3207">
        <v>2650</v>
      </c>
      <c r="D362" s="3207">
        <v>2610</v>
      </c>
      <c r="E362" s="3207">
        <v>2570</v>
      </c>
      <c r="F362" s="3207">
        <v>630</v>
      </c>
      <c r="G362" s="3220">
        <v>1570</v>
      </c>
    </row>
    <row r="363" spans="1:7" s="3200" customFormat="1">
      <c r="A363" s="3207" t="s">
        <v>3139</v>
      </c>
      <c r="B363" s="3207" t="s">
        <v>2864</v>
      </c>
      <c r="C363" s="3207">
        <v>2390</v>
      </c>
      <c r="D363" s="3207">
        <v>2360</v>
      </c>
      <c r="E363" s="3207">
        <v>2320</v>
      </c>
      <c r="F363" s="3207">
        <v>600</v>
      </c>
      <c r="G363" s="3220">
        <v>1420</v>
      </c>
    </row>
    <row r="364" spans="1:7" s="3200" customFormat="1">
      <c r="A364" s="3207" t="s">
        <v>3139</v>
      </c>
      <c r="B364" s="3207" t="s">
        <v>3144</v>
      </c>
      <c r="C364" s="3207">
        <v>2050</v>
      </c>
      <c r="D364" s="3207">
        <v>2030</v>
      </c>
      <c r="E364" s="3207">
        <v>1990</v>
      </c>
      <c r="F364" s="3207">
        <v>550</v>
      </c>
      <c r="G364" s="3220">
        <v>1220</v>
      </c>
    </row>
    <row r="365" spans="1:7" s="3200" customFormat="1">
      <c r="A365" s="3207" t="s">
        <v>3139</v>
      </c>
      <c r="B365" s="3207" t="s">
        <v>200</v>
      </c>
      <c r="C365" s="3207">
        <v>2140</v>
      </c>
      <c r="D365" s="3207">
        <v>2100</v>
      </c>
      <c r="E365" s="3207">
        <v>2060</v>
      </c>
      <c r="F365" s="3207">
        <v>540</v>
      </c>
      <c r="G365" s="3220">
        <v>1270</v>
      </c>
    </row>
    <row r="366" spans="1:7" s="3200" customFormat="1">
      <c r="A366" s="3207" t="s">
        <v>3139</v>
      </c>
      <c r="B366" s="3207" t="s">
        <v>2871</v>
      </c>
      <c r="C366" s="3207">
        <v>2410</v>
      </c>
      <c r="D366" s="3207">
        <v>2370</v>
      </c>
      <c r="E366" s="3207">
        <v>2330</v>
      </c>
      <c r="F366" s="3207">
        <v>570</v>
      </c>
      <c r="G366" s="3220">
        <v>1440</v>
      </c>
    </row>
    <row r="367" spans="1:7" s="3200" customFormat="1">
      <c r="A367" s="3207" t="s">
        <v>3139</v>
      </c>
      <c r="B367" s="3207" t="s">
        <v>3145</v>
      </c>
      <c r="C367" s="3207">
        <v>2300</v>
      </c>
      <c r="D367" s="3207">
        <v>2260</v>
      </c>
      <c r="E367" s="3207">
        <v>2220</v>
      </c>
      <c r="F367" s="3207">
        <v>560</v>
      </c>
      <c r="G367" s="3220">
        <v>1370</v>
      </c>
    </row>
    <row r="368" spans="1:7" s="3200" customFormat="1">
      <c r="A368" s="3207" t="s">
        <v>3139</v>
      </c>
      <c r="B368" s="3207" t="s">
        <v>3146</v>
      </c>
      <c r="C368" s="3207">
        <v>2430</v>
      </c>
      <c r="D368" s="3207">
        <v>2390</v>
      </c>
      <c r="E368" s="3207">
        <v>2350</v>
      </c>
      <c r="F368" s="3207">
        <v>570</v>
      </c>
      <c r="G368" s="3220">
        <v>1450</v>
      </c>
    </row>
    <row r="369" spans="1:7" s="3200" customFormat="1">
      <c r="A369" s="3207" t="s">
        <v>3139</v>
      </c>
      <c r="B369" s="3207" t="s">
        <v>214</v>
      </c>
      <c r="C369" s="3207">
        <v>2320</v>
      </c>
      <c r="D369" s="3207">
        <v>2290</v>
      </c>
      <c r="E369" s="3207">
        <v>2250</v>
      </c>
      <c r="F369" s="3207">
        <v>550</v>
      </c>
      <c r="G369" s="3220">
        <v>1380</v>
      </c>
    </row>
    <row r="370" spans="1:7" s="3200" customFormat="1">
      <c r="A370" s="3207" t="s">
        <v>3139</v>
      </c>
      <c r="B370" s="3207" t="s">
        <v>221</v>
      </c>
      <c r="C370" s="3207">
        <v>2190</v>
      </c>
      <c r="D370" s="3207">
        <v>2170</v>
      </c>
      <c r="E370" s="3207">
        <v>2130</v>
      </c>
      <c r="F370" s="3207">
        <v>530</v>
      </c>
      <c r="G370" s="3220">
        <v>1310</v>
      </c>
    </row>
    <row r="371" spans="1:7" s="3200" customFormat="1">
      <c r="A371" s="3207" t="s">
        <v>3139</v>
      </c>
      <c r="B371" s="3207" t="s">
        <v>229</v>
      </c>
      <c r="C371" s="3207">
        <v>2460</v>
      </c>
      <c r="D371" s="3207">
        <v>2420</v>
      </c>
      <c r="E371" s="3207">
        <v>2370</v>
      </c>
      <c r="F371" s="3207">
        <v>560</v>
      </c>
      <c r="G371" s="3220">
        <v>1470</v>
      </c>
    </row>
    <row r="372" spans="1:7" s="3200" customFormat="1">
      <c r="A372" s="3207" t="s">
        <v>3139</v>
      </c>
      <c r="B372" s="3207" t="s">
        <v>3147</v>
      </c>
      <c r="C372" s="3207">
        <v>2250</v>
      </c>
      <c r="D372" s="3207">
        <v>2210</v>
      </c>
      <c r="E372" s="3207">
        <v>2180</v>
      </c>
      <c r="F372" s="3207">
        <v>550</v>
      </c>
      <c r="G372" s="3220">
        <v>1340</v>
      </c>
    </row>
    <row r="373" spans="1:7" s="3200" customFormat="1">
      <c r="A373" s="3207" t="s">
        <v>3139</v>
      </c>
      <c r="B373" s="3207" t="s">
        <v>258</v>
      </c>
      <c r="C373" s="3207">
        <v>2210</v>
      </c>
      <c r="D373" s="3207">
        <v>2190</v>
      </c>
      <c r="E373" s="3207">
        <v>2150</v>
      </c>
      <c r="F373" s="3207">
        <v>530</v>
      </c>
      <c r="G373" s="3220">
        <v>1320</v>
      </c>
    </row>
    <row r="374" spans="1:7" s="3200" customFormat="1">
      <c r="A374" s="3207" t="s">
        <v>3139</v>
      </c>
      <c r="B374" s="3207" t="s">
        <v>266</v>
      </c>
      <c r="C374" s="3207">
        <v>2320</v>
      </c>
      <c r="D374" s="3207">
        <v>2280</v>
      </c>
      <c r="E374" s="3207">
        <v>2230</v>
      </c>
      <c r="F374" s="3207">
        <v>580</v>
      </c>
      <c r="G374" s="3220">
        <v>1380</v>
      </c>
    </row>
    <row r="375" spans="1:7" s="3200" customFormat="1">
      <c r="A375" s="3207" t="s">
        <v>3139</v>
      </c>
      <c r="B375" s="3207" t="s">
        <v>3148</v>
      </c>
      <c r="C375" s="3207">
        <v>2090</v>
      </c>
      <c r="D375" s="3207">
        <v>2050</v>
      </c>
      <c r="E375" s="3207">
        <v>2020</v>
      </c>
      <c r="F375" s="3207">
        <v>520</v>
      </c>
      <c r="G375" s="3220">
        <v>1240</v>
      </c>
    </row>
    <row r="376" spans="1:7" s="3200" customFormat="1">
      <c r="A376" s="3207" t="s">
        <v>3139</v>
      </c>
      <c r="B376" s="3207" t="s">
        <v>277</v>
      </c>
      <c r="C376" s="3207">
        <v>2010</v>
      </c>
      <c r="D376" s="3207">
        <v>1980</v>
      </c>
      <c r="E376" s="3207">
        <v>1940</v>
      </c>
      <c r="F376" s="3207">
        <v>540</v>
      </c>
      <c r="G376" s="3220">
        <v>1190</v>
      </c>
    </row>
    <row r="377" spans="1:7" s="3200" customFormat="1" ht="12" thickBot="1">
      <c r="A377" s="3215" t="s">
        <v>3139</v>
      </c>
      <c r="B377" s="3218" t="s">
        <v>2901</v>
      </c>
      <c r="C377" s="3218">
        <v>1930</v>
      </c>
      <c r="D377" s="3218">
        <v>1890</v>
      </c>
      <c r="E377" s="3218">
        <v>1860</v>
      </c>
      <c r="F377" s="3218">
        <v>530</v>
      </c>
      <c r="G377" s="3223">
        <v>1150</v>
      </c>
    </row>
    <row r="378" spans="1:7" s="3200" customFormat="1">
      <c r="A378" s="3224" t="s">
        <v>3149</v>
      </c>
      <c r="B378" s="3203" t="s">
        <v>3150</v>
      </c>
      <c r="C378" s="3203">
        <v>1520</v>
      </c>
      <c r="D378" s="3203">
        <v>1490</v>
      </c>
      <c r="E378" s="3203">
        <v>1460</v>
      </c>
      <c r="F378" s="3203">
        <v>460</v>
      </c>
      <c r="G378" s="3219">
        <v>940</v>
      </c>
    </row>
    <row r="379" spans="1:7" s="3200" customFormat="1">
      <c r="A379" s="3225" t="s">
        <v>3149</v>
      </c>
      <c r="B379" s="3207" t="s">
        <v>3151</v>
      </c>
      <c r="C379" s="3207">
        <v>1500</v>
      </c>
      <c r="D379" s="3207">
        <v>1470</v>
      </c>
      <c r="E379" s="3207">
        <v>1430</v>
      </c>
      <c r="F379" s="3207">
        <v>460</v>
      </c>
      <c r="G379" s="3220">
        <v>920</v>
      </c>
    </row>
    <row r="380" spans="1:7" s="3200" customFormat="1">
      <c r="A380" s="3225" t="s">
        <v>3149</v>
      </c>
      <c r="B380" s="3207" t="s">
        <v>3152</v>
      </c>
      <c r="C380" s="3207">
        <v>1620</v>
      </c>
      <c r="D380" s="3207">
        <v>1590</v>
      </c>
      <c r="E380" s="3207">
        <v>1560</v>
      </c>
      <c r="F380" s="3207">
        <v>480</v>
      </c>
      <c r="G380" s="3220">
        <v>1000</v>
      </c>
    </row>
    <row r="381" spans="1:7" s="3200" customFormat="1">
      <c r="A381" s="3225" t="s">
        <v>3149</v>
      </c>
      <c r="B381" s="3207" t="s">
        <v>3153</v>
      </c>
      <c r="C381" s="3207">
        <v>1460</v>
      </c>
      <c r="D381" s="3207">
        <v>1430</v>
      </c>
      <c r="E381" s="3207">
        <v>1390</v>
      </c>
      <c r="F381" s="3207">
        <v>450</v>
      </c>
      <c r="G381" s="3220">
        <v>900</v>
      </c>
    </row>
    <row r="382" spans="1:7" s="3200" customFormat="1">
      <c r="A382" s="3225" t="s">
        <v>3149</v>
      </c>
      <c r="B382" s="3207" t="s">
        <v>3154</v>
      </c>
      <c r="C382" s="3207">
        <v>1310</v>
      </c>
      <c r="D382" s="3207">
        <v>1280</v>
      </c>
      <c r="E382" s="3207">
        <v>1250</v>
      </c>
      <c r="F382" s="3207">
        <v>440</v>
      </c>
      <c r="G382" s="3220">
        <v>800</v>
      </c>
    </row>
    <row r="383" spans="1:7" s="3200" customFormat="1">
      <c r="A383" s="3225" t="s">
        <v>3149</v>
      </c>
      <c r="B383" s="3207" t="s">
        <v>3155</v>
      </c>
      <c r="C383" s="3207">
        <v>1260</v>
      </c>
      <c r="D383" s="3207">
        <v>1230</v>
      </c>
      <c r="E383" s="3207">
        <v>1200</v>
      </c>
      <c r="F383" s="3207">
        <v>420</v>
      </c>
      <c r="G383" s="3220">
        <v>770</v>
      </c>
    </row>
    <row r="384" spans="1:7" s="3200" customFormat="1" ht="12" thickBot="1">
      <c r="A384" s="3226" t="s">
        <v>3149</v>
      </c>
      <c r="B384" s="3214" t="s">
        <v>3156</v>
      </c>
      <c r="C384" s="3214">
        <v>1170</v>
      </c>
      <c r="D384" s="3214">
        <v>1140</v>
      </c>
      <c r="E384" s="3214">
        <v>1120</v>
      </c>
      <c r="F384" s="3214">
        <v>400</v>
      </c>
      <c r="G384" s="3222">
        <v>710</v>
      </c>
    </row>
  </sheetData>
  <sheetProtection password="CEE9" sheet="1" objects="1" scenarios="1" formatCells="0" formatColumns="0" formatRows="0"/>
  <mergeCells count="2">
    <mergeCell ref="A3:A4"/>
    <mergeCell ref="A1:G1"/>
  </mergeCells>
  <phoneticPr fontId="76" type="noConversion"/>
  <pageMargins left="0.7" right="0.7" top="0.75" bottom="0.75" header="0.3" footer="0.3"/>
  <pageSetup paperSize="9" orientation="portrait" r:id="rId1"/>
</worksheet>
</file>

<file path=xl/worksheets/sheet4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G384"/>
  <sheetViews>
    <sheetView workbookViewId="0">
      <selection sqref="A1:XFD1048576"/>
    </sheetView>
  </sheetViews>
  <sheetFormatPr defaultColWidth="8.875" defaultRowHeight="13.5"/>
  <cols>
    <col min="1" max="1" width="12.625" style="3263" customWidth="1"/>
    <col min="2" max="2" width="20" style="3263" customWidth="1"/>
    <col min="3" max="7" width="8.875" style="3227"/>
    <col min="8" max="16384" width="8.875" style="3228"/>
  </cols>
  <sheetData>
    <row r="1" spans="1:7">
      <c r="A1" s="3815" t="s">
        <v>3157</v>
      </c>
      <c r="B1" s="3815"/>
    </row>
    <row r="2" spans="1:7" ht="14.25" thickBot="1">
      <c r="A2" s="3229"/>
      <c r="B2" s="3229"/>
    </row>
    <row r="3" spans="1:7" ht="14.25" thickBot="1">
      <c r="A3" s="3229"/>
      <c r="B3" s="3229"/>
      <c r="C3" s="3230" t="s">
        <v>2787</v>
      </c>
      <c r="D3" s="3230" t="s">
        <v>2843</v>
      </c>
      <c r="E3" s="3230" t="s">
        <v>2789</v>
      </c>
      <c r="F3" s="3230" t="s">
        <v>2844</v>
      </c>
      <c r="G3" s="3230" t="s">
        <v>2607</v>
      </c>
    </row>
    <row r="4" spans="1:7" ht="14.25" thickBot="1">
      <c r="A4" s="3231" t="s">
        <v>2842</v>
      </c>
      <c r="B4" s="3232" t="s">
        <v>2848</v>
      </c>
      <c r="C4" s="3230"/>
      <c r="D4" s="3230"/>
      <c r="E4" s="3230"/>
      <c r="F4" s="3230"/>
      <c r="G4" s="3230"/>
    </row>
    <row r="5" spans="1:7">
      <c r="A5" s="3233" t="s">
        <v>2816</v>
      </c>
      <c r="B5" s="3234" t="s">
        <v>2830</v>
      </c>
      <c r="C5" s="3235">
        <v>9.8000000000000004E-2</v>
      </c>
      <c r="D5" s="3235">
        <v>8.6999999999999994E-2</v>
      </c>
      <c r="E5" s="3235">
        <v>8.6999999999999994E-2</v>
      </c>
      <c r="F5" s="3235">
        <v>9.8000000000000004E-2</v>
      </c>
      <c r="G5" s="3236">
        <v>9.5000000000000001E-2</v>
      </c>
    </row>
    <row r="6" spans="1:7">
      <c r="A6" s="3237" t="s">
        <v>144</v>
      </c>
      <c r="B6" s="3238" t="s">
        <v>2845</v>
      </c>
      <c r="C6" s="3239">
        <v>9.8000000000000004E-2</v>
      </c>
      <c r="D6" s="3239">
        <v>9.8000000000000004E-2</v>
      </c>
      <c r="E6" s="3239">
        <v>9.8000000000000004E-2</v>
      </c>
      <c r="F6" s="3239">
        <v>0.1</v>
      </c>
      <c r="G6" s="3240">
        <v>9.9000000000000005E-2</v>
      </c>
    </row>
    <row r="7" spans="1:7">
      <c r="A7" s="3237" t="s">
        <v>144</v>
      </c>
      <c r="B7" s="3238" t="s">
        <v>137</v>
      </c>
      <c r="C7" s="3239">
        <v>9.7000000000000003E-2</v>
      </c>
      <c r="D7" s="3239">
        <v>9.7000000000000003E-2</v>
      </c>
      <c r="E7" s="3239">
        <v>9.6000000000000002E-2</v>
      </c>
      <c r="F7" s="3239">
        <v>0.1</v>
      </c>
      <c r="G7" s="3240">
        <v>9.8000000000000004E-2</v>
      </c>
    </row>
    <row r="8" spans="1:7">
      <c r="A8" s="3237" t="s">
        <v>144</v>
      </c>
      <c r="B8" s="3238" t="s">
        <v>145</v>
      </c>
      <c r="C8" s="3239">
        <v>8.1000000000000003E-2</v>
      </c>
      <c r="D8" s="3239">
        <v>8.2000000000000003E-2</v>
      </c>
      <c r="E8" s="3239">
        <v>7.0000000000000007E-2</v>
      </c>
      <c r="F8" s="3239">
        <v>9.6000000000000002E-2</v>
      </c>
      <c r="G8" s="3240">
        <v>8.8999999999999996E-2</v>
      </c>
    </row>
    <row r="9" spans="1:7" ht="14.25" thickBot="1">
      <c r="A9" s="3241" t="s">
        <v>144</v>
      </c>
      <c r="B9" s="3242" t="s">
        <v>154</v>
      </c>
      <c r="C9" s="3243">
        <v>0.1</v>
      </c>
      <c r="D9" s="3243">
        <v>0.1</v>
      </c>
      <c r="E9" s="3243">
        <v>0.1</v>
      </c>
      <c r="F9" s="3244"/>
      <c r="G9" s="3245">
        <v>0.1</v>
      </c>
    </row>
    <row r="10" spans="1:7">
      <c r="A10" s="3233" t="s">
        <v>184</v>
      </c>
      <c r="B10" s="3234" t="s">
        <v>2831</v>
      </c>
      <c r="C10" s="3235">
        <v>6.7000000000000004E-2</v>
      </c>
      <c r="D10" s="3235">
        <v>7.9000000000000001E-2</v>
      </c>
      <c r="E10" s="3235">
        <v>7.9000000000000001E-2</v>
      </c>
      <c r="F10" s="3235">
        <v>0.1</v>
      </c>
      <c r="G10" s="3236">
        <v>9.0999999999999998E-2</v>
      </c>
    </row>
    <row r="11" spans="1:7">
      <c r="A11" s="3237" t="s">
        <v>184</v>
      </c>
      <c r="B11" s="3238" t="s">
        <v>128</v>
      </c>
      <c r="C11" s="3239">
        <v>0.05</v>
      </c>
      <c r="D11" s="3239">
        <v>5.2999999999999999E-2</v>
      </c>
      <c r="E11" s="3239">
        <v>6.3E-2</v>
      </c>
      <c r="F11" s="3239">
        <v>0.1</v>
      </c>
      <c r="G11" s="3240">
        <v>7.1999999999999995E-2</v>
      </c>
    </row>
    <row r="12" spans="1:7">
      <c r="A12" s="3237" t="s">
        <v>184</v>
      </c>
      <c r="B12" s="3238" t="s">
        <v>111</v>
      </c>
      <c r="C12" s="3239">
        <v>5.2999999999999999E-2</v>
      </c>
      <c r="D12" s="3239">
        <v>0.09</v>
      </c>
      <c r="E12" s="3239">
        <v>7.1999999999999995E-2</v>
      </c>
      <c r="F12" s="3239">
        <v>0.1</v>
      </c>
      <c r="G12" s="3240">
        <v>9.7000000000000003E-2</v>
      </c>
    </row>
    <row r="13" spans="1:7">
      <c r="A13" s="3237" t="s">
        <v>184</v>
      </c>
      <c r="B13" s="3238" t="s">
        <v>146</v>
      </c>
      <c r="C13" s="3239">
        <v>9.7000000000000003E-2</v>
      </c>
      <c r="D13" s="3239">
        <v>9.1999999999999998E-2</v>
      </c>
      <c r="E13" s="3239">
        <v>9.5000000000000001E-2</v>
      </c>
      <c r="F13" s="3239">
        <v>0.1</v>
      </c>
      <c r="G13" s="3240">
        <v>9.7000000000000003E-2</v>
      </c>
    </row>
    <row r="14" spans="1:7">
      <c r="A14" s="3237" t="s">
        <v>184</v>
      </c>
      <c r="B14" s="3238" t="s">
        <v>155</v>
      </c>
      <c r="C14" s="3239">
        <v>9.7000000000000003E-2</v>
      </c>
      <c r="D14" s="3239">
        <v>9.7000000000000003E-2</v>
      </c>
      <c r="E14" s="3239">
        <v>9.7000000000000003E-2</v>
      </c>
      <c r="F14" s="3239">
        <v>0.1</v>
      </c>
      <c r="G14" s="3240">
        <v>9.8000000000000004E-2</v>
      </c>
    </row>
    <row r="15" spans="1:7">
      <c r="A15" s="3237" t="s">
        <v>184</v>
      </c>
      <c r="B15" s="3238" t="s">
        <v>162</v>
      </c>
      <c r="C15" s="3239">
        <v>9.8000000000000004E-2</v>
      </c>
      <c r="D15" s="3239">
        <v>9.0999999999999998E-2</v>
      </c>
      <c r="E15" s="3239">
        <v>0.06</v>
      </c>
      <c r="F15" s="3239">
        <v>0.1</v>
      </c>
      <c r="G15" s="3240">
        <v>9.7000000000000003E-2</v>
      </c>
    </row>
    <row r="16" spans="1:7">
      <c r="A16" s="3237" t="s">
        <v>184</v>
      </c>
      <c r="B16" s="3238" t="s">
        <v>168</v>
      </c>
      <c r="C16" s="3239">
        <v>9.8000000000000004E-2</v>
      </c>
      <c r="D16" s="3239">
        <v>9.7000000000000003E-2</v>
      </c>
      <c r="E16" s="3239">
        <v>9.5000000000000001E-2</v>
      </c>
      <c r="F16" s="3239">
        <v>0.1</v>
      </c>
      <c r="G16" s="3240">
        <v>9.9000000000000005E-2</v>
      </c>
    </row>
    <row r="17" spans="1:7">
      <c r="A17" s="3237" t="s">
        <v>184</v>
      </c>
      <c r="B17" s="3238" t="s">
        <v>175</v>
      </c>
      <c r="C17" s="3239">
        <v>8.8999999999999996E-2</v>
      </c>
      <c r="D17" s="3239">
        <v>9.1999999999999998E-2</v>
      </c>
      <c r="E17" s="3239">
        <v>6.0999999999999999E-2</v>
      </c>
      <c r="F17" s="3239">
        <v>0.1</v>
      </c>
      <c r="G17" s="3240">
        <v>9.7000000000000003E-2</v>
      </c>
    </row>
    <row r="18" spans="1:7">
      <c r="A18" s="3237" t="s">
        <v>184</v>
      </c>
      <c r="B18" s="3238" t="s">
        <v>185</v>
      </c>
      <c r="C18" s="3239">
        <v>9.8000000000000004E-2</v>
      </c>
      <c r="D18" s="3239">
        <v>9.8000000000000004E-2</v>
      </c>
      <c r="E18" s="3239">
        <v>9.8000000000000004E-2</v>
      </c>
      <c r="F18" s="3246"/>
      <c r="G18" s="3240">
        <v>9.9000000000000005E-2</v>
      </c>
    </row>
    <row r="19" spans="1:7">
      <c r="A19" s="3237" t="s">
        <v>184</v>
      </c>
      <c r="B19" s="3238" t="s">
        <v>194</v>
      </c>
      <c r="C19" s="3239">
        <v>9.9000000000000005E-2</v>
      </c>
      <c r="D19" s="3239">
        <v>7.3999999999999996E-2</v>
      </c>
      <c r="E19" s="3239">
        <v>8.1000000000000003E-2</v>
      </c>
      <c r="F19" s="3246"/>
      <c r="G19" s="3240">
        <v>9.2999999999999999E-2</v>
      </c>
    </row>
    <row r="20" spans="1:7">
      <c r="A20" s="3237" t="s">
        <v>184</v>
      </c>
      <c r="B20" s="3238" t="s">
        <v>201</v>
      </c>
      <c r="C20" s="3239">
        <v>0.1</v>
      </c>
      <c r="D20" s="3239">
        <v>8.8999999999999996E-2</v>
      </c>
      <c r="E20" s="3239">
        <v>8.8999999999999996E-2</v>
      </c>
      <c r="F20" s="3246"/>
      <c r="G20" s="3240">
        <v>9.5000000000000001E-2</v>
      </c>
    </row>
    <row r="21" spans="1:7">
      <c r="A21" s="3237" t="s">
        <v>184</v>
      </c>
      <c r="B21" s="3238" t="s">
        <v>208</v>
      </c>
      <c r="C21" s="3239">
        <v>0.1</v>
      </c>
      <c r="D21" s="3239">
        <v>9.0999999999999998E-2</v>
      </c>
      <c r="E21" s="3239">
        <v>8.2000000000000003E-2</v>
      </c>
      <c r="F21" s="3246"/>
      <c r="G21" s="3240">
        <v>9.7000000000000003E-2</v>
      </c>
    </row>
    <row r="22" spans="1:7">
      <c r="A22" s="3237" t="s">
        <v>184</v>
      </c>
      <c r="B22" s="3238" t="s">
        <v>2881</v>
      </c>
      <c r="C22" s="3239">
        <v>9.5000000000000001E-2</v>
      </c>
      <c r="D22" s="3239">
        <v>9.9000000000000005E-2</v>
      </c>
      <c r="E22" s="3239">
        <v>9.8000000000000004E-2</v>
      </c>
      <c r="F22" s="3246"/>
      <c r="G22" s="3240">
        <v>0.1</v>
      </c>
    </row>
    <row r="23" spans="1:7">
      <c r="A23" s="3237" t="s">
        <v>184</v>
      </c>
      <c r="B23" s="3238" t="s">
        <v>222</v>
      </c>
      <c r="C23" s="3239">
        <v>9.9000000000000005E-2</v>
      </c>
      <c r="D23" s="3239">
        <v>0.1</v>
      </c>
      <c r="E23" s="3239">
        <v>0.1</v>
      </c>
      <c r="F23" s="3246"/>
      <c r="G23" s="3240">
        <v>0.1</v>
      </c>
    </row>
    <row r="24" spans="1:7">
      <c r="A24" s="3237" t="s">
        <v>184</v>
      </c>
      <c r="B24" s="3238" t="s">
        <v>230</v>
      </c>
      <c r="C24" s="3239">
        <v>9.5000000000000001E-2</v>
      </c>
      <c r="D24" s="3239">
        <v>0.1</v>
      </c>
      <c r="E24" s="3239">
        <v>9.8000000000000004E-2</v>
      </c>
      <c r="F24" s="3246"/>
      <c r="G24" s="3240">
        <v>0.1</v>
      </c>
    </row>
    <row r="25" spans="1:7">
      <c r="A25" s="3237" t="s">
        <v>184</v>
      </c>
      <c r="B25" s="3238" t="s">
        <v>235</v>
      </c>
      <c r="C25" s="3239">
        <v>0.05</v>
      </c>
      <c r="D25" s="3239">
        <v>9.6000000000000002E-2</v>
      </c>
      <c r="E25" s="3239">
        <v>9.6000000000000002E-2</v>
      </c>
      <c r="F25" s="3246"/>
      <c r="G25" s="3240">
        <v>9.6000000000000002E-2</v>
      </c>
    </row>
    <row r="26" spans="1:7">
      <c r="A26" s="3237" t="s">
        <v>184</v>
      </c>
      <c r="B26" s="3238" t="s">
        <v>244</v>
      </c>
      <c r="C26" s="3239">
        <v>6.3E-2</v>
      </c>
      <c r="D26" s="3239">
        <v>9.9000000000000005E-2</v>
      </c>
      <c r="E26" s="3239">
        <v>9.8000000000000004E-2</v>
      </c>
      <c r="F26" s="3246"/>
      <c r="G26" s="3240">
        <v>0.1</v>
      </c>
    </row>
    <row r="27" spans="1:7">
      <c r="A27" s="3237" t="s">
        <v>184</v>
      </c>
      <c r="B27" s="3238" t="s">
        <v>251</v>
      </c>
      <c r="C27" s="3239">
        <v>5.1999999999999998E-2</v>
      </c>
      <c r="D27" s="3239">
        <v>9.5000000000000001E-2</v>
      </c>
      <c r="E27" s="3239">
        <v>6.4000000000000001E-2</v>
      </c>
      <c r="F27" s="3246"/>
      <c r="G27" s="3240">
        <v>9.7000000000000003E-2</v>
      </c>
    </row>
    <row r="28" spans="1:7">
      <c r="A28" s="3237" t="s">
        <v>184</v>
      </c>
      <c r="B28" s="3238" t="s">
        <v>259</v>
      </c>
      <c r="C28" s="3246"/>
      <c r="D28" s="3239">
        <v>6.3E-2</v>
      </c>
      <c r="E28" s="3239">
        <v>5.1999999999999998E-2</v>
      </c>
      <c r="F28" s="3246"/>
      <c r="G28" s="3240">
        <v>6.3E-2</v>
      </c>
    </row>
    <row r="29" spans="1:7" ht="14.25" thickBot="1">
      <c r="A29" s="3241" t="s">
        <v>184</v>
      </c>
      <c r="B29" s="3242" t="s">
        <v>2899</v>
      </c>
      <c r="C29" s="3247"/>
      <c r="D29" s="3243">
        <v>5.1999999999999998E-2</v>
      </c>
      <c r="E29" s="3243">
        <v>7.0000000000000007E-2</v>
      </c>
      <c r="F29" s="3247"/>
      <c r="G29" s="3245">
        <v>7.0999999999999994E-2</v>
      </c>
    </row>
    <row r="30" spans="1:7">
      <c r="A30" s="3248" t="s">
        <v>296</v>
      </c>
      <c r="B30" s="3234" t="s">
        <v>2832</v>
      </c>
      <c r="C30" s="3235">
        <v>6.6000000000000003E-2</v>
      </c>
      <c r="D30" s="3235">
        <v>6.6000000000000003E-2</v>
      </c>
      <c r="E30" s="3235">
        <v>5.7000000000000002E-2</v>
      </c>
      <c r="F30" s="3235">
        <v>0.1</v>
      </c>
      <c r="G30" s="3236">
        <v>6.8000000000000005E-2</v>
      </c>
    </row>
    <row r="31" spans="1:7">
      <c r="A31" s="3249" t="s">
        <v>296</v>
      </c>
      <c r="B31" s="3238" t="s">
        <v>129</v>
      </c>
      <c r="C31" s="3239">
        <v>5.5E-2</v>
      </c>
      <c r="D31" s="3239">
        <v>8.2000000000000003E-2</v>
      </c>
      <c r="E31" s="3239">
        <v>6.4000000000000001E-2</v>
      </c>
      <c r="F31" s="3239">
        <v>0.1</v>
      </c>
      <c r="G31" s="3240">
        <v>9.5000000000000001E-2</v>
      </c>
    </row>
    <row r="32" spans="1:7">
      <c r="A32" s="3249" t="s">
        <v>296</v>
      </c>
      <c r="B32" s="3238" t="s">
        <v>138</v>
      </c>
      <c r="C32" s="3239">
        <v>8.2000000000000003E-2</v>
      </c>
      <c r="D32" s="3239">
        <v>8.6999999999999994E-2</v>
      </c>
      <c r="E32" s="3239">
        <v>9.5000000000000001E-2</v>
      </c>
      <c r="F32" s="3239">
        <v>0.1</v>
      </c>
      <c r="G32" s="3240">
        <v>9.6000000000000002E-2</v>
      </c>
    </row>
    <row r="33" spans="1:7">
      <c r="A33" s="3249" t="s">
        <v>296</v>
      </c>
      <c r="B33" s="3238" t="s">
        <v>147</v>
      </c>
      <c r="C33" s="3239">
        <v>9.9000000000000005E-2</v>
      </c>
      <c r="D33" s="3239">
        <v>9.1999999999999998E-2</v>
      </c>
      <c r="E33" s="3239">
        <v>8.6999999999999994E-2</v>
      </c>
      <c r="F33" s="3239">
        <v>0.1</v>
      </c>
      <c r="G33" s="3240">
        <v>9.7000000000000003E-2</v>
      </c>
    </row>
    <row r="34" spans="1:7">
      <c r="A34" s="3249" t="s">
        <v>296</v>
      </c>
      <c r="B34" s="3238" t="s">
        <v>156</v>
      </c>
      <c r="C34" s="3239">
        <v>8.4000000000000005E-2</v>
      </c>
      <c r="D34" s="3239">
        <v>9.7000000000000003E-2</v>
      </c>
      <c r="E34" s="3239">
        <v>7.0999999999999994E-2</v>
      </c>
      <c r="F34" s="3239">
        <v>0.1</v>
      </c>
      <c r="G34" s="3240">
        <v>9.8000000000000004E-2</v>
      </c>
    </row>
    <row r="35" spans="1:7">
      <c r="A35" s="3249" t="s">
        <v>296</v>
      </c>
      <c r="B35" s="3238" t="s">
        <v>163</v>
      </c>
      <c r="C35" s="3239">
        <v>8.3000000000000004E-2</v>
      </c>
      <c r="D35" s="3239">
        <v>9.7000000000000003E-2</v>
      </c>
      <c r="E35" s="3239">
        <v>6.0999999999999999E-2</v>
      </c>
      <c r="F35" s="3239">
        <v>0.1</v>
      </c>
      <c r="G35" s="3240">
        <v>9.9000000000000005E-2</v>
      </c>
    </row>
    <row r="36" spans="1:7">
      <c r="A36" s="3249" t="s">
        <v>296</v>
      </c>
      <c r="B36" s="3238" t="s">
        <v>169</v>
      </c>
      <c r="C36" s="3239">
        <v>9.7000000000000003E-2</v>
      </c>
      <c r="D36" s="3239">
        <v>9.7000000000000003E-2</v>
      </c>
      <c r="E36" s="3239">
        <v>7.8E-2</v>
      </c>
      <c r="F36" s="3239">
        <v>0.1</v>
      </c>
      <c r="G36" s="3240">
        <v>9.9000000000000005E-2</v>
      </c>
    </row>
    <row r="37" spans="1:7">
      <c r="A37" s="3249" t="s">
        <v>296</v>
      </c>
      <c r="B37" s="3238" t="s">
        <v>176</v>
      </c>
      <c r="C37" s="3239">
        <v>9.7000000000000003E-2</v>
      </c>
      <c r="D37" s="3239">
        <v>9.5000000000000001E-2</v>
      </c>
      <c r="E37" s="3239">
        <v>7.8E-2</v>
      </c>
      <c r="F37" s="3239">
        <v>0.1</v>
      </c>
      <c r="G37" s="3240">
        <v>9.7000000000000003E-2</v>
      </c>
    </row>
    <row r="38" spans="1:7">
      <c r="A38" s="3249" t="s">
        <v>296</v>
      </c>
      <c r="B38" s="3238" t="s">
        <v>186</v>
      </c>
      <c r="C38" s="3239">
        <v>9.7000000000000003E-2</v>
      </c>
      <c r="D38" s="3239">
        <v>7.6999999999999999E-2</v>
      </c>
      <c r="E38" s="3239">
        <v>7.0000000000000007E-2</v>
      </c>
      <c r="F38" s="3239">
        <v>0.1</v>
      </c>
      <c r="G38" s="3240">
        <v>7.6999999999999999E-2</v>
      </c>
    </row>
    <row r="39" spans="1:7">
      <c r="A39" s="3249" t="s">
        <v>296</v>
      </c>
      <c r="B39" s="3238" t="s">
        <v>195</v>
      </c>
      <c r="C39" s="3239">
        <v>9.5000000000000001E-2</v>
      </c>
      <c r="D39" s="3239">
        <v>7.6999999999999999E-2</v>
      </c>
      <c r="E39" s="3239">
        <v>6.6000000000000003E-2</v>
      </c>
      <c r="F39" s="3239">
        <v>0.1</v>
      </c>
      <c r="G39" s="3240">
        <v>8.5999999999999993E-2</v>
      </c>
    </row>
    <row r="40" spans="1:7">
      <c r="A40" s="3249" t="s">
        <v>296</v>
      </c>
      <c r="B40" s="3238" t="s">
        <v>202</v>
      </c>
      <c r="C40" s="3239">
        <v>7.6999999999999999E-2</v>
      </c>
      <c r="D40" s="3239">
        <v>7.8E-2</v>
      </c>
      <c r="E40" s="3239">
        <v>8.2000000000000003E-2</v>
      </c>
      <c r="F40" s="3250"/>
      <c r="G40" s="3240">
        <v>7.8E-2</v>
      </c>
    </row>
    <row r="41" spans="1:7">
      <c r="A41" s="3249" t="s">
        <v>296</v>
      </c>
      <c r="B41" s="3238" t="s">
        <v>209</v>
      </c>
      <c r="C41" s="3239">
        <v>7.8E-2</v>
      </c>
      <c r="D41" s="3239">
        <v>7.8E-2</v>
      </c>
      <c r="E41" s="3239">
        <v>8.2000000000000003E-2</v>
      </c>
      <c r="F41" s="3250"/>
      <c r="G41" s="3240">
        <v>8.5999999999999993E-2</v>
      </c>
    </row>
    <row r="42" spans="1:7">
      <c r="A42" s="3249" t="s">
        <v>296</v>
      </c>
      <c r="B42" s="3238" t="s">
        <v>215</v>
      </c>
      <c r="C42" s="3239">
        <v>7.8E-2</v>
      </c>
      <c r="D42" s="3239">
        <v>9.6000000000000002E-2</v>
      </c>
      <c r="E42" s="3239">
        <v>7.1999999999999995E-2</v>
      </c>
      <c r="F42" s="3250"/>
      <c r="G42" s="3240">
        <v>9.8000000000000004E-2</v>
      </c>
    </row>
    <row r="43" spans="1:7">
      <c r="A43" s="3249" t="s">
        <v>2818</v>
      </c>
      <c r="B43" s="3238" t="s">
        <v>223</v>
      </c>
      <c r="C43" s="3239">
        <v>7.8E-2</v>
      </c>
      <c r="D43" s="3239">
        <v>9.9000000000000005E-2</v>
      </c>
      <c r="E43" s="3239">
        <v>9.6000000000000002E-2</v>
      </c>
      <c r="F43" s="3250"/>
      <c r="G43" s="3240">
        <v>0.1</v>
      </c>
    </row>
    <row r="44" spans="1:7">
      <c r="A44" s="3249" t="s">
        <v>296</v>
      </c>
      <c r="B44" s="3238" t="s">
        <v>231</v>
      </c>
      <c r="C44" s="3239">
        <v>9.6000000000000002E-2</v>
      </c>
      <c r="D44" s="3239">
        <v>0.1</v>
      </c>
      <c r="E44" s="3239">
        <v>9.8000000000000004E-2</v>
      </c>
      <c r="F44" s="3250"/>
      <c r="G44" s="3240">
        <v>0.1</v>
      </c>
    </row>
    <row r="45" spans="1:7">
      <c r="A45" s="3249" t="s">
        <v>296</v>
      </c>
      <c r="B45" s="3238" t="s">
        <v>236</v>
      </c>
      <c r="C45" s="3239">
        <v>9.9000000000000005E-2</v>
      </c>
      <c r="D45" s="3239">
        <v>9.8000000000000004E-2</v>
      </c>
      <c r="E45" s="3239">
        <v>9.5000000000000001E-2</v>
      </c>
      <c r="F45" s="3250"/>
      <c r="G45" s="3240">
        <v>9.8000000000000004E-2</v>
      </c>
    </row>
    <row r="46" spans="1:7">
      <c r="A46" s="3249" t="s">
        <v>296</v>
      </c>
      <c r="B46" s="3238" t="s">
        <v>245</v>
      </c>
      <c r="C46" s="3239">
        <v>0.1</v>
      </c>
      <c r="D46" s="3239">
        <v>9.9000000000000005E-2</v>
      </c>
      <c r="E46" s="3239">
        <v>9.6000000000000002E-2</v>
      </c>
      <c r="F46" s="3250"/>
      <c r="G46" s="3240">
        <v>0.1</v>
      </c>
    </row>
    <row r="47" spans="1:7">
      <c r="A47" s="3249" t="s">
        <v>296</v>
      </c>
      <c r="B47" s="3238" t="s">
        <v>252</v>
      </c>
      <c r="C47" s="3239">
        <v>9.8000000000000004E-2</v>
      </c>
      <c r="D47" s="3239">
        <v>8.6999999999999994E-2</v>
      </c>
      <c r="E47" s="3239">
        <v>5.8999999999999997E-2</v>
      </c>
      <c r="F47" s="3250"/>
      <c r="G47" s="3240">
        <v>9.6000000000000002E-2</v>
      </c>
    </row>
    <row r="48" spans="1:7">
      <c r="A48" s="3249" t="s">
        <v>296</v>
      </c>
      <c r="B48" s="3238" t="s">
        <v>260</v>
      </c>
      <c r="C48" s="3239">
        <v>9.9000000000000005E-2</v>
      </c>
      <c r="D48" s="3239">
        <v>9.8000000000000004E-2</v>
      </c>
      <c r="E48" s="3239">
        <v>9.5000000000000001E-2</v>
      </c>
      <c r="F48" s="3250"/>
      <c r="G48" s="3240">
        <v>9.8000000000000004E-2</v>
      </c>
    </row>
    <row r="49" spans="1:7">
      <c r="A49" s="3249" t="s">
        <v>296</v>
      </c>
      <c r="B49" s="3238" t="s">
        <v>267</v>
      </c>
      <c r="C49" s="3239">
        <v>8.7999999999999995E-2</v>
      </c>
      <c r="D49" s="3239">
        <v>9.9000000000000005E-2</v>
      </c>
      <c r="E49" s="3239">
        <v>7.0000000000000007E-2</v>
      </c>
      <c r="F49" s="3250"/>
      <c r="G49" s="3240">
        <v>0.1</v>
      </c>
    </row>
    <row r="50" spans="1:7">
      <c r="A50" s="3249" t="s">
        <v>296</v>
      </c>
      <c r="B50" s="3238" t="s">
        <v>2902</v>
      </c>
      <c r="C50" s="3239">
        <v>9.8000000000000004E-2</v>
      </c>
      <c r="D50" s="3239">
        <v>7.2999999999999995E-2</v>
      </c>
      <c r="E50" s="3239">
        <v>7.0999999999999994E-2</v>
      </c>
      <c r="F50" s="3250"/>
      <c r="G50" s="3240">
        <v>7.2999999999999995E-2</v>
      </c>
    </row>
    <row r="51" spans="1:7">
      <c r="A51" s="3249" t="s">
        <v>296</v>
      </c>
      <c r="B51" s="3238" t="s">
        <v>2904</v>
      </c>
      <c r="C51" s="3239">
        <v>9.9000000000000005E-2</v>
      </c>
      <c r="D51" s="3239">
        <v>8.5000000000000006E-2</v>
      </c>
      <c r="E51" s="3239">
        <v>6.3E-2</v>
      </c>
      <c r="F51" s="3250"/>
      <c r="G51" s="3240">
        <v>9.6000000000000002E-2</v>
      </c>
    </row>
    <row r="52" spans="1:7">
      <c r="A52" s="3249" t="s">
        <v>296</v>
      </c>
      <c r="B52" s="3238" t="s">
        <v>2908</v>
      </c>
      <c r="C52" s="3239">
        <v>7.3999999999999996E-2</v>
      </c>
      <c r="D52" s="3239">
        <v>9.6000000000000002E-2</v>
      </c>
      <c r="E52" s="3239">
        <v>0.05</v>
      </c>
      <c r="F52" s="3250"/>
      <c r="G52" s="3240">
        <v>9.8000000000000004E-2</v>
      </c>
    </row>
    <row r="53" spans="1:7">
      <c r="A53" s="3249" t="s">
        <v>296</v>
      </c>
      <c r="B53" s="3238" t="s">
        <v>2913</v>
      </c>
      <c r="C53" s="3239">
        <v>8.5999999999999993E-2</v>
      </c>
      <c r="D53" s="3250"/>
      <c r="E53" s="3239">
        <v>9.1999999999999998E-2</v>
      </c>
      <c r="F53" s="3250"/>
      <c r="G53" s="3251"/>
    </row>
    <row r="54" spans="1:7" ht="14.25" thickBot="1">
      <c r="A54" s="3252" t="s">
        <v>296</v>
      </c>
      <c r="B54" s="3242" t="s">
        <v>2916</v>
      </c>
      <c r="C54" s="3243">
        <v>9.6000000000000002E-2</v>
      </c>
      <c r="D54" s="3244"/>
      <c r="E54" s="3253"/>
      <c r="F54" s="3244"/>
      <c r="G54" s="3254"/>
    </row>
    <row r="55" spans="1:7">
      <c r="A55" s="3248" t="s">
        <v>110</v>
      </c>
      <c r="B55" s="3234" t="s">
        <v>2833</v>
      </c>
      <c r="C55" s="3235">
        <v>9.6000000000000002E-2</v>
      </c>
      <c r="D55" s="3235">
        <v>8.4000000000000005E-2</v>
      </c>
      <c r="E55" s="3235">
        <v>9.1999999999999998E-2</v>
      </c>
      <c r="F55" s="3235">
        <v>0.1</v>
      </c>
      <c r="G55" s="3236">
        <v>9.5000000000000001E-2</v>
      </c>
    </row>
    <row r="56" spans="1:7">
      <c r="A56" s="3249" t="s">
        <v>110</v>
      </c>
      <c r="B56" s="3238" t="s">
        <v>130</v>
      </c>
      <c r="C56" s="3239">
        <v>8.4000000000000005E-2</v>
      </c>
      <c r="D56" s="3239">
        <v>9.1999999999999998E-2</v>
      </c>
      <c r="E56" s="3239">
        <v>9.5000000000000001E-2</v>
      </c>
      <c r="F56" s="3239">
        <v>9.1999999999999998E-2</v>
      </c>
      <c r="G56" s="3240">
        <v>9.6000000000000002E-2</v>
      </c>
    </row>
    <row r="57" spans="1:7">
      <c r="A57" s="3249" t="s">
        <v>110</v>
      </c>
      <c r="B57" s="3238" t="s">
        <v>139</v>
      </c>
      <c r="C57" s="3239">
        <v>9.9000000000000005E-2</v>
      </c>
      <c r="D57" s="3239">
        <v>9.6000000000000002E-2</v>
      </c>
      <c r="E57" s="3239">
        <v>9.1999999999999998E-2</v>
      </c>
      <c r="F57" s="3239">
        <v>0.1</v>
      </c>
      <c r="G57" s="3240">
        <v>9.8000000000000004E-2</v>
      </c>
    </row>
    <row r="58" spans="1:7">
      <c r="A58" s="3249" t="s">
        <v>110</v>
      </c>
      <c r="B58" s="3238" t="s">
        <v>148</v>
      </c>
      <c r="C58" s="3239">
        <v>9.8000000000000004E-2</v>
      </c>
      <c r="D58" s="3239">
        <v>9.5000000000000001E-2</v>
      </c>
      <c r="E58" s="3239">
        <v>5.7000000000000002E-2</v>
      </c>
      <c r="F58" s="3239">
        <v>0.1</v>
      </c>
      <c r="G58" s="3240">
        <v>9.6000000000000002E-2</v>
      </c>
    </row>
    <row r="59" spans="1:7">
      <c r="A59" s="3249" t="s">
        <v>110</v>
      </c>
      <c r="B59" s="3238" t="s">
        <v>157</v>
      </c>
      <c r="C59" s="3239">
        <v>9.5000000000000001E-2</v>
      </c>
      <c r="D59" s="3239">
        <v>0.1</v>
      </c>
      <c r="E59" s="3239">
        <v>7.4999999999999997E-2</v>
      </c>
      <c r="F59" s="3239">
        <v>0.1</v>
      </c>
      <c r="G59" s="3240">
        <v>0.1</v>
      </c>
    </row>
    <row r="60" spans="1:7">
      <c r="A60" s="3249" t="s">
        <v>110</v>
      </c>
      <c r="B60" s="3238" t="s">
        <v>164</v>
      </c>
      <c r="C60" s="3239">
        <v>0.1</v>
      </c>
      <c r="D60" s="3239">
        <v>9.7000000000000003E-2</v>
      </c>
      <c r="E60" s="3239">
        <v>0.1</v>
      </c>
      <c r="F60" s="3239">
        <v>0.1</v>
      </c>
      <c r="G60" s="3240">
        <v>9.7000000000000003E-2</v>
      </c>
    </row>
    <row r="61" spans="1:7">
      <c r="A61" s="3249" t="s">
        <v>110</v>
      </c>
      <c r="B61" s="3238" t="s">
        <v>170</v>
      </c>
      <c r="C61" s="3239">
        <v>9.7000000000000003E-2</v>
      </c>
      <c r="D61" s="3239">
        <v>0.1</v>
      </c>
      <c r="E61" s="3239">
        <v>9.2999999999999999E-2</v>
      </c>
      <c r="F61" s="3239">
        <v>0.1</v>
      </c>
      <c r="G61" s="3240">
        <v>0.1</v>
      </c>
    </row>
    <row r="62" spans="1:7">
      <c r="A62" s="3249" t="s">
        <v>110</v>
      </c>
      <c r="B62" s="3238" t="s">
        <v>177</v>
      </c>
      <c r="C62" s="3239">
        <v>0.1</v>
      </c>
      <c r="D62" s="3239">
        <v>9.7000000000000003E-2</v>
      </c>
      <c r="E62" s="3239">
        <v>8.8999999999999996E-2</v>
      </c>
      <c r="F62" s="3239">
        <v>0.1</v>
      </c>
      <c r="G62" s="3240">
        <v>9.8000000000000004E-2</v>
      </c>
    </row>
    <row r="63" spans="1:7">
      <c r="A63" s="3249" t="s">
        <v>110</v>
      </c>
      <c r="B63" s="3238" t="s">
        <v>187</v>
      </c>
      <c r="C63" s="3239">
        <v>9.7000000000000003E-2</v>
      </c>
      <c r="D63" s="3239">
        <v>9.7000000000000003E-2</v>
      </c>
      <c r="E63" s="3239">
        <v>9.9000000000000005E-2</v>
      </c>
      <c r="F63" s="3239">
        <v>0.1</v>
      </c>
      <c r="G63" s="3240">
        <v>9.7000000000000003E-2</v>
      </c>
    </row>
    <row r="64" spans="1:7">
      <c r="A64" s="3249" t="s">
        <v>110</v>
      </c>
      <c r="B64" s="3238" t="s">
        <v>196</v>
      </c>
      <c r="C64" s="3239">
        <v>9.7000000000000003E-2</v>
      </c>
      <c r="D64" s="3239">
        <v>7.3999999999999996E-2</v>
      </c>
      <c r="E64" s="3239">
        <v>7.8E-2</v>
      </c>
      <c r="F64" s="3239">
        <v>0.1</v>
      </c>
      <c r="G64" s="3240">
        <v>8.8999999999999996E-2</v>
      </c>
    </row>
    <row r="65" spans="1:7">
      <c r="A65" s="3249" t="s">
        <v>110</v>
      </c>
      <c r="B65" s="3238" t="s">
        <v>203</v>
      </c>
      <c r="C65" s="3239">
        <v>7.2999999999999995E-2</v>
      </c>
      <c r="D65" s="3239">
        <v>9.8000000000000004E-2</v>
      </c>
      <c r="E65" s="3239">
        <v>9.5000000000000001E-2</v>
      </c>
      <c r="F65" s="3239">
        <v>0.1</v>
      </c>
      <c r="G65" s="3240">
        <v>9.9000000000000005E-2</v>
      </c>
    </row>
    <row r="66" spans="1:7">
      <c r="A66" s="3249" t="s">
        <v>110</v>
      </c>
      <c r="B66" s="3238" t="s">
        <v>210</v>
      </c>
      <c r="C66" s="3239">
        <v>9.8000000000000004E-2</v>
      </c>
      <c r="D66" s="3239">
        <v>9.5000000000000001E-2</v>
      </c>
      <c r="E66" s="3239">
        <v>0.05</v>
      </c>
      <c r="F66" s="3239">
        <v>0.1</v>
      </c>
      <c r="G66" s="3240">
        <v>9.7000000000000003E-2</v>
      </c>
    </row>
    <row r="67" spans="1:7">
      <c r="A67" s="3249" t="s">
        <v>110</v>
      </c>
      <c r="B67" s="3238" t="s">
        <v>216</v>
      </c>
      <c r="C67" s="3239">
        <v>9.5000000000000001E-2</v>
      </c>
      <c r="D67" s="3239">
        <v>9.7000000000000003E-2</v>
      </c>
      <c r="E67" s="3239">
        <v>9.7000000000000003E-2</v>
      </c>
      <c r="F67" s="3239">
        <v>0.1</v>
      </c>
      <c r="G67" s="3240">
        <v>9.9000000000000005E-2</v>
      </c>
    </row>
    <row r="68" spans="1:7">
      <c r="A68" s="3249" t="s">
        <v>110</v>
      </c>
      <c r="B68" s="3238" t="s">
        <v>224</v>
      </c>
      <c r="C68" s="3239">
        <v>9.7000000000000003E-2</v>
      </c>
      <c r="D68" s="3239">
        <v>6.8000000000000005E-2</v>
      </c>
      <c r="E68" s="3239">
        <v>6.6000000000000003E-2</v>
      </c>
      <c r="F68" s="3239">
        <v>0.1</v>
      </c>
      <c r="G68" s="3240">
        <v>8.4000000000000005E-2</v>
      </c>
    </row>
    <row r="69" spans="1:7">
      <c r="A69" s="3249" t="s">
        <v>110</v>
      </c>
      <c r="B69" s="3238" t="s">
        <v>232</v>
      </c>
      <c r="C69" s="3239">
        <v>6.8000000000000005E-2</v>
      </c>
      <c r="D69" s="3239">
        <v>9.8000000000000004E-2</v>
      </c>
      <c r="E69" s="3239">
        <v>9.5000000000000001E-2</v>
      </c>
      <c r="F69" s="3239">
        <v>0.1</v>
      </c>
      <c r="G69" s="3240">
        <v>0.1</v>
      </c>
    </row>
    <row r="70" spans="1:7">
      <c r="A70" s="3249" t="s">
        <v>110</v>
      </c>
      <c r="B70" s="3238" t="s">
        <v>237</v>
      </c>
      <c r="C70" s="3239">
        <v>9.8000000000000004E-2</v>
      </c>
      <c r="D70" s="3239">
        <v>8.8999999999999996E-2</v>
      </c>
      <c r="E70" s="3239">
        <v>5.8999999999999997E-2</v>
      </c>
      <c r="F70" s="3239">
        <v>0.1</v>
      </c>
      <c r="G70" s="3240">
        <v>9.6000000000000002E-2</v>
      </c>
    </row>
    <row r="71" spans="1:7">
      <c r="A71" s="3249" t="s">
        <v>110</v>
      </c>
      <c r="B71" s="3238" t="s">
        <v>246</v>
      </c>
      <c r="C71" s="3239">
        <v>8.8999999999999996E-2</v>
      </c>
      <c r="D71" s="3239">
        <v>9.9000000000000005E-2</v>
      </c>
      <c r="E71" s="3239">
        <v>9.6000000000000002E-2</v>
      </c>
      <c r="F71" s="3239">
        <v>0.1</v>
      </c>
      <c r="G71" s="3240">
        <v>0.1</v>
      </c>
    </row>
    <row r="72" spans="1:7">
      <c r="A72" s="3249" t="s">
        <v>110</v>
      </c>
      <c r="B72" s="3238" t="s">
        <v>253</v>
      </c>
      <c r="C72" s="3239">
        <v>9.9000000000000005E-2</v>
      </c>
      <c r="D72" s="3239">
        <v>0.1</v>
      </c>
      <c r="E72" s="3239">
        <v>7.0000000000000007E-2</v>
      </c>
      <c r="F72" s="3250"/>
      <c r="G72" s="3240">
        <v>0.1</v>
      </c>
    </row>
    <row r="73" spans="1:7">
      <c r="A73" s="3249" t="s">
        <v>110</v>
      </c>
      <c r="B73" s="3238" t="s">
        <v>261</v>
      </c>
      <c r="C73" s="3239">
        <v>0.1</v>
      </c>
      <c r="D73" s="3239">
        <v>0.1</v>
      </c>
      <c r="E73" s="3239">
        <v>9.6000000000000002E-2</v>
      </c>
      <c r="F73" s="3250"/>
      <c r="G73" s="3240">
        <v>0.1</v>
      </c>
    </row>
    <row r="74" spans="1:7">
      <c r="A74" s="3249" t="s">
        <v>110</v>
      </c>
      <c r="B74" s="3238" t="s">
        <v>268</v>
      </c>
      <c r="C74" s="3239">
        <v>0.1</v>
      </c>
      <c r="D74" s="3239">
        <v>0.1</v>
      </c>
      <c r="E74" s="3239">
        <v>9.8000000000000004E-2</v>
      </c>
      <c r="F74" s="3250"/>
      <c r="G74" s="3240">
        <v>0.1</v>
      </c>
    </row>
    <row r="75" spans="1:7">
      <c r="A75" s="3249" t="s">
        <v>110</v>
      </c>
      <c r="B75" s="3238" t="s">
        <v>272</v>
      </c>
      <c r="C75" s="3239">
        <v>0.1</v>
      </c>
      <c r="D75" s="3239">
        <v>9.9000000000000005E-2</v>
      </c>
      <c r="E75" s="3239">
        <v>9.8000000000000004E-2</v>
      </c>
      <c r="F75" s="3250"/>
      <c r="G75" s="3240">
        <v>0.1</v>
      </c>
    </row>
    <row r="76" spans="1:7">
      <c r="A76" s="3249" t="s">
        <v>110</v>
      </c>
      <c r="B76" s="3238" t="s">
        <v>278</v>
      </c>
      <c r="C76" s="3239">
        <v>9.9000000000000005E-2</v>
      </c>
      <c r="D76" s="3239">
        <v>0.1</v>
      </c>
      <c r="E76" s="3239">
        <v>9.7000000000000003E-2</v>
      </c>
      <c r="F76" s="3250"/>
      <c r="G76" s="3240">
        <v>0.1</v>
      </c>
    </row>
    <row r="77" spans="1:7">
      <c r="A77" s="3249" t="s">
        <v>110</v>
      </c>
      <c r="B77" s="3238" t="s">
        <v>281</v>
      </c>
      <c r="C77" s="3239">
        <v>0.1</v>
      </c>
      <c r="D77" s="3239">
        <v>0.1</v>
      </c>
      <c r="E77" s="3239">
        <v>9.6000000000000002E-2</v>
      </c>
      <c r="F77" s="3250"/>
      <c r="G77" s="3240">
        <v>0.1</v>
      </c>
    </row>
    <row r="78" spans="1:7">
      <c r="A78" s="3249" t="s">
        <v>110</v>
      </c>
      <c r="B78" s="3238" t="s">
        <v>2914</v>
      </c>
      <c r="C78" s="3239">
        <v>0.1</v>
      </c>
      <c r="D78" s="3239">
        <v>8.5000000000000006E-2</v>
      </c>
      <c r="E78" s="3239">
        <v>9.6000000000000002E-2</v>
      </c>
      <c r="F78" s="3250"/>
      <c r="G78" s="3240">
        <v>9.6000000000000002E-2</v>
      </c>
    </row>
    <row r="79" spans="1:7">
      <c r="A79" s="3249" t="s">
        <v>110</v>
      </c>
      <c r="B79" s="3238" t="s">
        <v>2917</v>
      </c>
      <c r="C79" s="3239">
        <v>0.05</v>
      </c>
      <c r="D79" s="3239">
        <v>9.6000000000000002E-2</v>
      </c>
      <c r="E79" s="3239">
        <v>9.5000000000000001E-2</v>
      </c>
      <c r="F79" s="3250"/>
      <c r="G79" s="3240">
        <v>9.8000000000000004E-2</v>
      </c>
    </row>
    <row r="80" spans="1:7">
      <c r="A80" s="3249" t="s">
        <v>110</v>
      </c>
      <c r="B80" s="3238" t="s">
        <v>2921</v>
      </c>
      <c r="C80" s="3239">
        <v>8.5999999999999993E-2</v>
      </c>
      <c r="D80" s="3255"/>
      <c r="E80" s="3239">
        <v>0.1</v>
      </c>
      <c r="F80" s="3250"/>
      <c r="G80" s="3251"/>
    </row>
    <row r="81" spans="1:7">
      <c r="A81" s="3249" t="s">
        <v>110</v>
      </c>
      <c r="B81" s="3238" t="s">
        <v>2926</v>
      </c>
      <c r="C81" s="3239">
        <v>9.6000000000000002E-2</v>
      </c>
      <c r="D81" s="3250"/>
      <c r="E81" s="3239">
        <v>9.8000000000000004E-2</v>
      </c>
      <c r="F81" s="3250"/>
      <c r="G81" s="3251"/>
    </row>
    <row r="82" spans="1:7">
      <c r="A82" s="3249" t="s">
        <v>110</v>
      </c>
      <c r="B82" s="3238" t="s">
        <v>2933</v>
      </c>
      <c r="C82" s="3255"/>
      <c r="D82" s="3250"/>
      <c r="E82" s="3239">
        <v>7.6999999999999999E-2</v>
      </c>
      <c r="F82" s="3250"/>
      <c r="G82" s="3251"/>
    </row>
    <row r="83" spans="1:7">
      <c r="A83" s="3249" t="s">
        <v>110</v>
      </c>
      <c r="B83" s="3238" t="s">
        <v>2939</v>
      </c>
      <c r="C83" s="3250"/>
      <c r="D83" s="3250"/>
      <c r="E83" s="3250"/>
      <c r="F83" s="3239">
        <v>0.1</v>
      </c>
      <c r="G83" s="3256"/>
    </row>
    <row r="84" spans="1:7">
      <c r="A84" s="3249" t="s">
        <v>110</v>
      </c>
      <c r="B84" s="3238" t="s">
        <v>2946</v>
      </c>
      <c r="C84" s="3250"/>
      <c r="D84" s="3250"/>
      <c r="E84" s="3250"/>
      <c r="F84" s="3239">
        <v>0.1</v>
      </c>
      <c r="G84" s="3256"/>
    </row>
    <row r="85" spans="1:7">
      <c r="A85" s="3249" t="s">
        <v>110</v>
      </c>
      <c r="B85" s="3238" t="s">
        <v>2953</v>
      </c>
      <c r="C85" s="3250"/>
      <c r="D85" s="3250"/>
      <c r="E85" s="3250"/>
      <c r="F85" s="3239">
        <v>0.1</v>
      </c>
      <c r="G85" s="3256"/>
    </row>
    <row r="86" spans="1:7" ht="14.25" thickBot="1">
      <c r="A86" s="3252" t="s">
        <v>110</v>
      </c>
      <c r="B86" s="3242" t="s">
        <v>2958</v>
      </c>
      <c r="C86" s="3243">
        <v>9.8000000000000004E-2</v>
      </c>
      <c r="D86" s="3243">
        <v>9.8000000000000004E-2</v>
      </c>
      <c r="E86" s="3243">
        <v>9.6000000000000002E-2</v>
      </c>
      <c r="F86" s="3253"/>
      <c r="G86" s="3245">
        <v>0.1</v>
      </c>
    </row>
    <row r="87" spans="1:7">
      <c r="A87" s="3248" t="s">
        <v>303</v>
      </c>
      <c r="B87" s="3234" t="s">
        <v>2834</v>
      </c>
      <c r="C87" s="3235">
        <v>0.1</v>
      </c>
      <c r="D87" s="3235">
        <v>0.1</v>
      </c>
      <c r="E87" s="3235">
        <v>9.8000000000000004E-2</v>
      </c>
      <c r="F87" s="3235">
        <v>0.1</v>
      </c>
      <c r="G87" s="3236">
        <v>0.1</v>
      </c>
    </row>
    <row r="88" spans="1:7">
      <c r="A88" s="3249" t="s">
        <v>303</v>
      </c>
      <c r="B88" s="3238" t="s">
        <v>131</v>
      </c>
      <c r="C88" s="3239">
        <v>9.0999999999999998E-2</v>
      </c>
      <c r="D88" s="3239">
        <v>9.1999999999999998E-2</v>
      </c>
      <c r="E88" s="3239">
        <v>0.1</v>
      </c>
      <c r="F88" s="3239">
        <v>0.1</v>
      </c>
      <c r="G88" s="3240">
        <v>9.6000000000000002E-2</v>
      </c>
    </row>
    <row r="89" spans="1:7">
      <c r="A89" s="3249" t="s">
        <v>303</v>
      </c>
      <c r="B89" s="3238" t="s">
        <v>140</v>
      </c>
      <c r="C89" s="3239">
        <v>0.1</v>
      </c>
      <c r="D89" s="3239">
        <v>0.1</v>
      </c>
      <c r="E89" s="3239">
        <v>6.7000000000000004E-2</v>
      </c>
      <c r="F89" s="3239">
        <v>9.2999999999999999E-2</v>
      </c>
      <c r="G89" s="3240">
        <v>0.1</v>
      </c>
    </row>
    <row r="90" spans="1:7">
      <c r="A90" s="3249" t="s">
        <v>303</v>
      </c>
      <c r="B90" s="3238" t="s">
        <v>149</v>
      </c>
      <c r="C90" s="3239">
        <v>9.6000000000000002E-2</v>
      </c>
      <c r="D90" s="3239">
        <v>9.6000000000000002E-2</v>
      </c>
      <c r="E90" s="3239">
        <v>0.1</v>
      </c>
      <c r="F90" s="3239">
        <v>0.1</v>
      </c>
      <c r="G90" s="3240">
        <v>9.8000000000000004E-2</v>
      </c>
    </row>
    <row r="91" spans="1:7">
      <c r="A91" s="3249" t="s">
        <v>303</v>
      </c>
      <c r="B91" s="3238" t="s">
        <v>158</v>
      </c>
      <c r="C91" s="3239">
        <v>7.6999999999999999E-2</v>
      </c>
      <c r="D91" s="3239">
        <v>7.6999999999999999E-2</v>
      </c>
      <c r="E91" s="3239">
        <v>9.6000000000000002E-2</v>
      </c>
      <c r="F91" s="3239">
        <v>0.1</v>
      </c>
      <c r="G91" s="3240">
        <v>7.6999999999999999E-2</v>
      </c>
    </row>
    <row r="92" spans="1:7">
      <c r="A92" s="3249" t="s">
        <v>303</v>
      </c>
      <c r="B92" s="3238" t="s">
        <v>165</v>
      </c>
      <c r="C92" s="3239">
        <v>0.1</v>
      </c>
      <c r="D92" s="3239">
        <v>0.1</v>
      </c>
      <c r="E92" s="3239">
        <v>9.1999999999999998E-2</v>
      </c>
      <c r="F92" s="3239">
        <v>0.1</v>
      </c>
      <c r="G92" s="3240">
        <v>0.1</v>
      </c>
    </row>
    <row r="93" spans="1:7">
      <c r="A93" s="3249" t="s">
        <v>303</v>
      </c>
      <c r="B93" s="3238" t="s">
        <v>171</v>
      </c>
      <c r="C93" s="3239">
        <v>9.8000000000000004E-2</v>
      </c>
      <c r="D93" s="3239">
        <v>9.8000000000000004E-2</v>
      </c>
      <c r="E93" s="3239">
        <v>9.6000000000000002E-2</v>
      </c>
      <c r="F93" s="3239">
        <v>0.1</v>
      </c>
      <c r="G93" s="3240">
        <v>9.9000000000000005E-2</v>
      </c>
    </row>
    <row r="94" spans="1:7">
      <c r="A94" s="3249" t="s">
        <v>303</v>
      </c>
      <c r="B94" s="3238" t="s">
        <v>178</v>
      </c>
      <c r="C94" s="3239">
        <v>8.7999999999999995E-2</v>
      </c>
      <c r="D94" s="3239">
        <v>8.7999999999999995E-2</v>
      </c>
      <c r="E94" s="3239">
        <v>9.6000000000000002E-2</v>
      </c>
      <c r="F94" s="3239">
        <v>0.1</v>
      </c>
      <c r="G94" s="3240">
        <v>8.7999999999999995E-2</v>
      </c>
    </row>
    <row r="95" spans="1:7">
      <c r="A95" s="3249" t="s">
        <v>303</v>
      </c>
      <c r="B95" s="3238" t="s">
        <v>188</v>
      </c>
      <c r="C95" s="3239">
        <v>9.6000000000000002E-2</v>
      </c>
      <c r="D95" s="3239">
        <v>9.6000000000000002E-2</v>
      </c>
      <c r="E95" s="3239">
        <v>0.1</v>
      </c>
      <c r="F95" s="3239">
        <v>0.1</v>
      </c>
      <c r="G95" s="3240">
        <v>9.8000000000000004E-2</v>
      </c>
    </row>
    <row r="96" spans="1:7">
      <c r="A96" s="3249" t="s">
        <v>303</v>
      </c>
      <c r="B96" s="3238" t="s">
        <v>197</v>
      </c>
      <c r="C96" s="3239">
        <v>9.7000000000000003E-2</v>
      </c>
      <c r="D96" s="3239">
        <v>9.7000000000000003E-2</v>
      </c>
      <c r="E96" s="3239">
        <v>0.1</v>
      </c>
      <c r="F96" s="3239">
        <v>0.1</v>
      </c>
      <c r="G96" s="3240">
        <v>9.8000000000000004E-2</v>
      </c>
    </row>
    <row r="97" spans="1:7">
      <c r="A97" s="3249" t="s">
        <v>303</v>
      </c>
      <c r="B97" s="3238" t="s">
        <v>204</v>
      </c>
      <c r="C97" s="3239">
        <v>9.6000000000000002E-2</v>
      </c>
      <c r="D97" s="3239">
        <v>9.6000000000000002E-2</v>
      </c>
      <c r="E97" s="3239">
        <v>9.9000000000000005E-2</v>
      </c>
      <c r="F97" s="3239">
        <v>0.1</v>
      </c>
      <c r="G97" s="3240">
        <v>9.8000000000000004E-2</v>
      </c>
    </row>
    <row r="98" spans="1:7">
      <c r="A98" s="3249" t="s">
        <v>303</v>
      </c>
      <c r="B98" s="3238" t="s">
        <v>211</v>
      </c>
      <c r="C98" s="3239">
        <v>9.8000000000000004E-2</v>
      </c>
      <c r="D98" s="3239">
        <v>9.8000000000000004E-2</v>
      </c>
      <c r="E98" s="3239">
        <v>0.1</v>
      </c>
      <c r="F98" s="3239">
        <v>0.1</v>
      </c>
      <c r="G98" s="3240">
        <v>9.9000000000000005E-2</v>
      </c>
    </row>
    <row r="99" spans="1:7">
      <c r="A99" s="3249" t="s">
        <v>303</v>
      </c>
      <c r="B99" s="3238" t="s">
        <v>217</v>
      </c>
      <c r="C99" s="3239">
        <v>9.6000000000000002E-2</v>
      </c>
      <c r="D99" s="3239">
        <v>9.6000000000000002E-2</v>
      </c>
      <c r="E99" s="3239">
        <v>0.1</v>
      </c>
      <c r="F99" s="3239">
        <v>0.1</v>
      </c>
      <c r="G99" s="3240">
        <v>9.7000000000000003E-2</v>
      </c>
    </row>
    <row r="100" spans="1:7">
      <c r="A100" s="3249" t="s">
        <v>303</v>
      </c>
      <c r="B100" s="3238" t="s">
        <v>225</v>
      </c>
      <c r="C100" s="3239">
        <v>0.1</v>
      </c>
      <c r="D100" s="3239">
        <v>0.1</v>
      </c>
      <c r="E100" s="3239">
        <v>9.7000000000000003E-2</v>
      </c>
      <c r="F100" s="3239">
        <v>9.8000000000000004E-2</v>
      </c>
      <c r="G100" s="3240">
        <v>0.1</v>
      </c>
    </row>
    <row r="101" spans="1:7">
      <c r="A101" s="3249" t="s">
        <v>303</v>
      </c>
      <c r="B101" s="3238" t="s">
        <v>233</v>
      </c>
      <c r="C101" s="3239">
        <v>0.1</v>
      </c>
      <c r="D101" s="3239">
        <v>0.1</v>
      </c>
      <c r="E101" s="3239">
        <v>9.5000000000000001E-2</v>
      </c>
      <c r="F101" s="3239">
        <v>0.1</v>
      </c>
      <c r="G101" s="3240">
        <v>0.1</v>
      </c>
    </row>
    <row r="102" spans="1:7">
      <c r="A102" s="3249" t="s">
        <v>303</v>
      </c>
      <c r="B102" s="3238" t="s">
        <v>238</v>
      </c>
      <c r="C102" s="3239">
        <v>0.1</v>
      </c>
      <c r="D102" s="3239">
        <v>0.1</v>
      </c>
      <c r="E102" s="3239">
        <v>9.9000000000000005E-2</v>
      </c>
      <c r="F102" s="3239">
        <v>9.7000000000000003E-2</v>
      </c>
      <c r="G102" s="3240">
        <v>0.1</v>
      </c>
    </row>
    <row r="103" spans="1:7">
      <c r="A103" s="3249" t="s">
        <v>303</v>
      </c>
      <c r="B103" s="3238" t="s">
        <v>247</v>
      </c>
      <c r="C103" s="3239">
        <v>0.1</v>
      </c>
      <c r="D103" s="3239">
        <v>0.1</v>
      </c>
      <c r="E103" s="3239">
        <v>9.8000000000000004E-2</v>
      </c>
      <c r="F103" s="3239">
        <v>0.1</v>
      </c>
      <c r="G103" s="3240">
        <v>0.1</v>
      </c>
    </row>
    <row r="104" spans="1:7">
      <c r="A104" s="3249" t="s">
        <v>303</v>
      </c>
      <c r="B104" s="3238" t="s">
        <v>254</v>
      </c>
      <c r="C104" s="3239">
        <v>0.1</v>
      </c>
      <c r="D104" s="3239">
        <v>0.1</v>
      </c>
      <c r="E104" s="3239">
        <v>9.8000000000000004E-2</v>
      </c>
      <c r="F104" s="3239">
        <v>0.1</v>
      </c>
      <c r="G104" s="3240">
        <v>0.1</v>
      </c>
    </row>
    <row r="105" spans="1:7">
      <c r="A105" s="3249" t="s">
        <v>303</v>
      </c>
      <c r="B105" s="3238" t="s">
        <v>262</v>
      </c>
      <c r="C105" s="3239">
        <v>9.8000000000000004E-2</v>
      </c>
      <c r="D105" s="3239">
        <v>9.8000000000000004E-2</v>
      </c>
      <c r="E105" s="3239">
        <v>9.8000000000000004E-2</v>
      </c>
      <c r="F105" s="3239">
        <v>0.1</v>
      </c>
      <c r="G105" s="3240">
        <v>9.9000000000000005E-2</v>
      </c>
    </row>
    <row r="106" spans="1:7">
      <c r="A106" s="3249" t="s">
        <v>303</v>
      </c>
      <c r="B106" s="3238" t="s">
        <v>269</v>
      </c>
      <c r="C106" s="3239">
        <v>9.7000000000000003E-2</v>
      </c>
      <c r="D106" s="3239">
        <v>9.7000000000000003E-2</v>
      </c>
      <c r="E106" s="3239">
        <v>9.7000000000000003E-2</v>
      </c>
      <c r="F106" s="3239">
        <v>0.1</v>
      </c>
      <c r="G106" s="3240">
        <v>9.9000000000000005E-2</v>
      </c>
    </row>
    <row r="107" spans="1:7">
      <c r="A107" s="3249" t="s">
        <v>303</v>
      </c>
      <c r="B107" s="3238" t="s">
        <v>273</v>
      </c>
      <c r="C107" s="3239">
        <v>0.1</v>
      </c>
      <c r="D107" s="3239">
        <v>0.1</v>
      </c>
      <c r="E107" s="3239">
        <v>8.5999999999999993E-2</v>
      </c>
      <c r="F107" s="3239">
        <v>0.09</v>
      </c>
      <c r="G107" s="3240">
        <v>0.1</v>
      </c>
    </row>
    <row r="108" spans="1:7">
      <c r="A108" s="3249" t="s">
        <v>303</v>
      </c>
      <c r="B108" s="3238" t="s">
        <v>279</v>
      </c>
      <c r="C108" s="3239">
        <v>0.1</v>
      </c>
      <c r="D108" s="3239">
        <v>0.1</v>
      </c>
      <c r="E108" s="3239">
        <v>9.6000000000000002E-2</v>
      </c>
      <c r="F108" s="3250"/>
      <c r="G108" s="3240">
        <v>0.1</v>
      </c>
    </row>
    <row r="109" spans="1:7">
      <c r="A109" s="3249" t="s">
        <v>303</v>
      </c>
      <c r="B109" s="3238" t="s">
        <v>282</v>
      </c>
      <c r="C109" s="3239">
        <v>0.1</v>
      </c>
      <c r="D109" s="3239">
        <v>0.1</v>
      </c>
      <c r="E109" s="3239">
        <v>0.1</v>
      </c>
      <c r="F109" s="3250"/>
      <c r="G109" s="3240">
        <v>0.1</v>
      </c>
    </row>
    <row r="110" spans="1:7">
      <c r="A110" s="3249" t="s">
        <v>303</v>
      </c>
      <c r="B110" s="3238" t="s">
        <v>284</v>
      </c>
      <c r="C110" s="3239">
        <v>0.1</v>
      </c>
      <c r="D110" s="3239">
        <v>0.1</v>
      </c>
      <c r="E110" s="3239">
        <v>0.1</v>
      </c>
      <c r="F110" s="3250"/>
      <c r="G110" s="3240">
        <v>0.1</v>
      </c>
    </row>
    <row r="111" spans="1:7">
      <c r="A111" s="3249" t="s">
        <v>303</v>
      </c>
      <c r="B111" s="3238" t="s">
        <v>287</v>
      </c>
      <c r="C111" s="3239">
        <v>0.1</v>
      </c>
      <c r="D111" s="3239">
        <v>0.1</v>
      </c>
      <c r="E111" s="3239">
        <v>9.5000000000000001E-2</v>
      </c>
      <c r="F111" s="3250"/>
      <c r="G111" s="3240">
        <v>0.1</v>
      </c>
    </row>
    <row r="112" spans="1:7">
      <c r="A112" s="3249" t="s">
        <v>303</v>
      </c>
      <c r="B112" s="3238" t="s">
        <v>291</v>
      </c>
      <c r="C112" s="3239">
        <v>9.7000000000000003E-2</v>
      </c>
      <c r="D112" s="3239">
        <v>9.7000000000000003E-2</v>
      </c>
      <c r="E112" s="3239">
        <v>0.05</v>
      </c>
      <c r="F112" s="3250"/>
      <c r="G112" s="3240">
        <v>9.8000000000000004E-2</v>
      </c>
    </row>
    <row r="113" spans="1:7">
      <c r="A113" s="3249" t="s">
        <v>303</v>
      </c>
      <c r="B113" s="3238" t="s">
        <v>2927</v>
      </c>
      <c r="C113" s="3239">
        <v>0.1</v>
      </c>
      <c r="D113" s="3239">
        <v>0.1</v>
      </c>
      <c r="E113" s="3250"/>
      <c r="F113" s="3250"/>
      <c r="G113" s="3240">
        <v>0.1</v>
      </c>
    </row>
    <row r="114" spans="1:7">
      <c r="A114" s="3249" t="s">
        <v>303</v>
      </c>
      <c r="B114" s="3238" t="s">
        <v>2934</v>
      </c>
      <c r="C114" s="3239">
        <v>9.7000000000000003E-2</v>
      </c>
      <c r="D114" s="3239">
        <v>9.7000000000000003E-2</v>
      </c>
      <c r="E114" s="3250"/>
      <c r="F114" s="3250"/>
      <c r="G114" s="3240">
        <v>9.9000000000000005E-2</v>
      </c>
    </row>
    <row r="115" spans="1:7">
      <c r="A115" s="3249" t="s">
        <v>303</v>
      </c>
      <c r="B115" s="3238" t="s">
        <v>2940</v>
      </c>
      <c r="C115" s="3239">
        <v>0.1</v>
      </c>
      <c r="D115" s="3239">
        <v>0.1</v>
      </c>
      <c r="E115" s="3250"/>
      <c r="F115" s="3250"/>
      <c r="G115" s="3240">
        <v>0.1</v>
      </c>
    </row>
    <row r="116" spans="1:7">
      <c r="A116" s="3249" t="s">
        <v>303</v>
      </c>
      <c r="B116" s="3238" t="s">
        <v>2947</v>
      </c>
      <c r="C116" s="3239">
        <v>0.1</v>
      </c>
      <c r="D116" s="3239">
        <v>0.1</v>
      </c>
      <c r="E116" s="3250"/>
      <c r="F116" s="3250"/>
      <c r="G116" s="3240">
        <v>0.1</v>
      </c>
    </row>
    <row r="117" spans="1:7">
      <c r="A117" s="3249" t="s">
        <v>303</v>
      </c>
      <c r="B117" s="3238" t="s">
        <v>2954</v>
      </c>
      <c r="C117" s="3239">
        <v>9.7000000000000003E-2</v>
      </c>
      <c r="D117" s="3239">
        <v>9.7000000000000003E-2</v>
      </c>
      <c r="E117" s="3250"/>
      <c r="F117" s="3250"/>
      <c r="G117" s="3240">
        <v>9.7000000000000003E-2</v>
      </c>
    </row>
    <row r="118" spans="1:7">
      <c r="A118" s="3249" t="s">
        <v>303</v>
      </c>
      <c r="B118" s="3238" t="s">
        <v>2959</v>
      </c>
      <c r="C118" s="3239">
        <v>0.1</v>
      </c>
      <c r="D118" s="3239">
        <v>0.1</v>
      </c>
      <c r="E118" s="3250"/>
      <c r="F118" s="3250"/>
      <c r="G118" s="3240">
        <v>0.1</v>
      </c>
    </row>
    <row r="119" spans="1:7">
      <c r="A119" s="3249" t="s">
        <v>303</v>
      </c>
      <c r="B119" s="3238" t="s">
        <v>2963</v>
      </c>
      <c r="C119" s="3239">
        <v>5.0999999999999997E-2</v>
      </c>
      <c r="D119" s="3239">
        <v>5.1999999999999998E-2</v>
      </c>
      <c r="E119" s="3250"/>
      <c r="F119" s="3255"/>
      <c r="G119" s="3240">
        <v>0.06</v>
      </c>
    </row>
    <row r="120" spans="1:7">
      <c r="A120" s="3249" t="s">
        <v>303</v>
      </c>
      <c r="B120" s="3238" t="s">
        <v>2967</v>
      </c>
      <c r="C120" s="3250"/>
      <c r="D120" s="3250"/>
      <c r="E120" s="3250"/>
      <c r="F120" s="3239">
        <v>0.1</v>
      </c>
      <c r="G120" s="3256"/>
    </row>
    <row r="121" spans="1:7">
      <c r="A121" s="3249" t="s">
        <v>303</v>
      </c>
      <c r="B121" s="3238" t="s">
        <v>2972</v>
      </c>
      <c r="C121" s="3250"/>
      <c r="D121" s="3250"/>
      <c r="E121" s="3250"/>
      <c r="F121" s="3239">
        <v>0.1</v>
      </c>
      <c r="G121" s="3256"/>
    </row>
    <row r="122" spans="1:7">
      <c r="A122" s="3249" t="s">
        <v>303</v>
      </c>
      <c r="B122" s="3238" t="s">
        <v>2977</v>
      </c>
      <c r="C122" s="3239">
        <v>0.1</v>
      </c>
      <c r="D122" s="3239">
        <v>0.1</v>
      </c>
      <c r="E122" s="3239">
        <v>9.8000000000000004E-2</v>
      </c>
      <c r="F122" s="3239">
        <v>0.1</v>
      </c>
      <c r="G122" s="3240">
        <v>0.1</v>
      </c>
    </row>
    <row r="123" spans="1:7">
      <c r="A123" s="3249" t="s">
        <v>303</v>
      </c>
      <c r="B123" s="3238" t="s">
        <v>2982</v>
      </c>
      <c r="C123" s="3239">
        <v>0.1</v>
      </c>
      <c r="D123" s="3239">
        <v>0.1</v>
      </c>
      <c r="E123" s="3239">
        <v>9.8000000000000004E-2</v>
      </c>
      <c r="F123" s="3239">
        <v>0.1</v>
      </c>
      <c r="G123" s="3240">
        <v>0.1</v>
      </c>
    </row>
    <row r="124" spans="1:7">
      <c r="A124" s="3249" t="s">
        <v>303</v>
      </c>
      <c r="B124" s="3238" t="s">
        <v>2987</v>
      </c>
      <c r="C124" s="3239">
        <v>0.1</v>
      </c>
      <c r="D124" s="3239">
        <v>0.1</v>
      </c>
      <c r="E124" s="3239">
        <v>9.8000000000000004E-2</v>
      </c>
      <c r="F124" s="3255"/>
      <c r="G124" s="3240">
        <v>0.1</v>
      </c>
    </row>
    <row r="125" spans="1:7">
      <c r="A125" s="3249" t="s">
        <v>303</v>
      </c>
      <c r="B125" s="3238" t="s">
        <v>2992</v>
      </c>
      <c r="C125" s="3239">
        <v>9.8000000000000004E-2</v>
      </c>
      <c r="D125" s="3239">
        <v>9.8000000000000004E-2</v>
      </c>
      <c r="E125" s="3239">
        <v>9.6000000000000002E-2</v>
      </c>
      <c r="F125" s="3255"/>
      <c r="G125" s="3240">
        <v>0.1</v>
      </c>
    </row>
    <row r="126" spans="1:7" ht="14.25" thickBot="1">
      <c r="A126" s="3252" t="s">
        <v>303</v>
      </c>
      <c r="B126" s="3242" t="s">
        <v>3158</v>
      </c>
      <c r="C126" s="3243">
        <v>0.1</v>
      </c>
      <c r="D126" s="3243">
        <v>0.1</v>
      </c>
      <c r="E126" s="3243">
        <v>9.8000000000000004E-2</v>
      </c>
      <c r="F126" s="3243">
        <v>0.1</v>
      </c>
      <c r="G126" s="3245">
        <v>0.1</v>
      </c>
    </row>
    <row r="127" spans="1:7">
      <c r="A127" s="3248" t="s">
        <v>29</v>
      </c>
      <c r="B127" s="3234" t="s">
        <v>2835</v>
      </c>
      <c r="C127" s="3235">
        <v>0.121</v>
      </c>
      <c r="D127" s="3235">
        <v>0.121</v>
      </c>
      <c r="E127" s="3235">
        <v>0.107</v>
      </c>
      <c r="F127" s="3235">
        <v>0.13</v>
      </c>
      <c r="G127" s="3236">
        <v>0.122</v>
      </c>
    </row>
    <row r="128" spans="1:7">
      <c r="A128" s="3249" t="s">
        <v>29</v>
      </c>
      <c r="B128" s="3238" t="s">
        <v>132</v>
      </c>
      <c r="C128" s="3239">
        <v>0.11600000000000001</v>
      </c>
      <c r="D128" s="3239">
        <v>0.11700000000000001</v>
      </c>
      <c r="E128" s="3239">
        <v>0.104</v>
      </c>
      <c r="F128" s="3239">
        <v>0.13</v>
      </c>
      <c r="G128" s="3240">
        <v>0.11700000000000001</v>
      </c>
    </row>
    <row r="129" spans="1:7">
      <c r="A129" s="3249" t="s">
        <v>29</v>
      </c>
      <c r="B129" s="3238" t="s">
        <v>141</v>
      </c>
      <c r="C129" s="3239">
        <v>0.107</v>
      </c>
      <c r="D129" s="3239">
        <v>0.108</v>
      </c>
      <c r="E129" s="3239">
        <v>0.1</v>
      </c>
      <c r="F129" s="3239">
        <v>0.13</v>
      </c>
      <c r="G129" s="3240">
        <v>0.11700000000000001</v>
      </c>
    </row>
    <row r="130" spans="1:7">
      <c r="A130" s="3249" t="s">
        <v>29</v>
      </c>
      <c r="B130" s="3238" t="s">
        <v>150</v>
      </c>
      <c r="C130" s="3239">
        <v>0.13</v>
      </c>
      <c r="D130" s="3239">
        <v>0.13</v>
      </c>
      <c r="E130" s="3239">
        <v>0.126</v>
      </c>
      <c r="F130" s="3239">
        <v>0.13</v>
      </c>
      <c r="G130" s="3240">
        <v>0.13</v>
      </c>
    </row>
    <row r="131" spans="1:7">
      <c r="A131" s="3249" t="s">
        <v>29</v>
      </c>
      <c r="B131" s="3238" t="s">
        <v>159</v>
      </c>
      <c r="C131" s="3239">
        <v>0.13</v>
      </c>
      <c r="D131" s="3239">
        <v>0.13</v>
      </c>
      <c r="E131" s="3239">
        <v>0.13</v>
      </c>
      <c r="F131" s="3239">
        <v>0.13</v>
      </c>
      <c r="G131" s="3240">
        <v>0.13</v>
      </c>
    </row>
    <row r="132" spans="1:7">
      <c r="A132" s="3249" t="s">
        <v>29</v>
      </c>
      <c r="B132" s="3238" t="s">
        <v>166</v>
      </c>
      <c r="C132" s="3239">
        <v>0.13</v>
      </c>
      <c r="D132" s="3239">
        <v>0.13</v>
      </c>
      <c r="E132" s="3239">
        <v>0.126</v>
      </c>
      <c r="F132" s="3239">
        <v>0.13</v>
      </c>
      <c r="G132" s="3240">
        <v>0.13</v>
      </c>
    </row>
    <row r="133" spans="1:7">
      <c r="A133" s="3249" t="s">
        <v>29</v>
      </c>
      <c r="B133" s="3238" t="s">
        <v>172</v>
      </c>
      <c r="C133" s="3239">
        <v>0.111</v>
      </c>
      <c r="D133" s="3239">
        <v>0.111</v>
      </c>
      <c r="E133" s="3239">
        <v>0.10199999999999999</v>
      </c>
      <c r="F133" s="3239">
        <v>0.13</v>
      </c>
      <c r="G133" s="3240">
        <v>0.121</v>
      </c>
    </row>
    <row r="134" spans="1:7">
      <c r="A134" s="3249" t="s">
        <v>29</v>
      </c>
      <c r="B134" s="3238" t="s">
        <v>179</v>
      </c>
      <c r="C134" s="3239">
        <v>0.121</v>
      </c>
      <c r="D134" s="3239">
        <v>0.121</v>
      </c>
      <c r="E134" s="3239">
        <v>0.1</v>
      </c>
      <c r="F134" s="3239">
        <v>0.13</v>
      </c>
      <c r="G134" s="3240">
        <v>0.123</v>
      </c>
    </row>
    <row r="135" spans="1:7">
      <c r="A135" s="3249" t="s">
        <v>29</v>
      </c>
      <c r="B135" s="3238" t="s">
        <v>189</v>
      </c>
      <c r="C135" s="3239">
        <v>0.105</v>
      </c>
      <c r="D135" s="3239">
        <v>0.106</v>
      </c>
      <c r="E135" s="3239">
        <v>0.1</v>
      </c>
      <c r="F135" s="3239">
        <v>0.13</v>
      </c>
      <c r="G135" s="3240">
        <v>0.115</v>
      </c>
    </row>
    <row r="136" spans="1:7">
      <c r="A136" s="3249" t="s">
        <v>29</v>
      </c>
      <c r="B136" s="3238" t="s">
        <v>198</v>
      </c>
      <c r="C136" s="3239">
        <v>0.127</v>
      </c>
      <c r="D136" s="3239">
        <v>0.127</v>
      </c>
      <c r="E136" s="3239">
        <v>0.121</v>
      </c>
      <c r="F136" s="3239">
        <v>0.123</v>
      </c>
      <c r="G136" s="3240">
        <v>0.129</v>
      </c>
    </row>
    <row r="137" spans="1:7">
      <c r="A137" s="3249" t="s">
        <v>29</v>
      </c>
      <c r="B137" s="3238" t="s">
        <v>205</v>
      </c>
      <c r="C137" s="3239">
        <v>0.13</v>
      </c>
      <c r="D137" s="3239">
        <v>0.13</v>
      </c>
      <c r="E137" s="3239">
        <v>0.129</v>
      </c>
      <c r="F137" s="3239">
        <v>0.13</v>
      </c>
      <c r="G137" s="3240">
        <v>0.13</v>
      </c>
    </row>
    <row r="138" spans="1:7">
      <c r="A138" s="3249" t="s">
        <v>29</v>
      </c>
      <c r="B138" s="3238" t="s">
        <v>212</v>
      </c>
      <c r="C138" s="3239">
        <v>0.13</v>
      </c>
      <c r="D138" s="3239">
        <v>0.13</v>
      </c>
      <c r="E138" s="3239">
        <v>0.125</v>
      </c>
      <c r="F138" s="3239">
        <v>0.13</v>
      </c>
      <c r="G138" s="3240">
        <v>0.13</v>
      </c>
    </row>
    <row r="139" spans="1:7">
      <c r="A139" s="3249" t="s">
        <v>29</v>
      </c>
      <c r="B139" s="3238" t="s">
        <v>218</v>
      </c>
      <c r="C139" s="3239">
        <v>0.13</v>
      </c>
      <c r="D139" s="3239">
        <v>0.13</v>
      </c>
      <c r="E139" s="3239">
        <v>0.126</v>
      </c>
      <c r="F139" s="3239">
        <v>0.13</v>
      </c>
      <c r="G139" s="3240">
        <v>0.13</v>
      </c>
    </row>
    <row r="140" spans="1:7">
      <c r="A140" s="3249" t="s">
        <v>29</v>
      </c>
      <c r="B140" s="3238" t="s">
        <v>226</v>
      </c>
      <c r="C140" s="3239">
        <v>0.1</v>
      </c>
      <c r="D140" s="3239">
        <v>0.1</v>
      </c>
      <c r="E140" s="3239">
        <v>0.1</v>
      </c>
      <c r="F140" s="3239">
        <v>0.123</v>
      </c>
      <c r="G140" s="3240">
        <v>0.107</v>
      </c>
    </row>
    <row r="141" spans="1:7">
      <c r="A141" s="3249" t="s">
        <v>29</v>
      </c>
      <c r="B141" s="3238" t="s">
        <v>234</v>
      </c>
      <c r="C141" s="3239">
        <v>0.127</v>
      </c>
      <c r="D141" s="3239">
        <v>0.127</v>
      </c>
      <c r="E141" s="3239">
        <v>0.122</v>
      </c>
      <c r="F141" s="3239">
        <v>0.1</v>
      </c>
      <c r="G141" s="3240">
        <v>0.129</v>
      </c>
    </row>
    <row r="142" spans="1:7">
      <c r="A142" s="3249" t="s">
        <v>29</v>
      </c>
      <c r="B142" s="3238" t="s">
        <v>239</v>
      </c>
      <c r="C142" s="3239">
        <v>0.121</v>
      </c>
      <c r="D142" s="3239">
        <v>0.122</v>
      </c>
      <c r="E142" s="3239">
        <v>0.1</v>
      </c>
      <c r="F142" s="3239">
        <v>0.123</v>
      </c>
      <c r="G142" s="3240">
        <v>0.123</v>
      </c>
    </row>
    <row r="143" spans="1:7">
      <c r="A143" s="3249" t="s">
        <v>29</v>
      </c>
      <c r="B143" s="3238" t="s">
        <v>248</v>
      </c>
      <c r="C143" s="3239">
        <v>0.1</v>
      </c>
      <c r="D143" s="3239">
        <v>0.1</v>
      </c>
      <c r="E143" s="3239">
        <v>0.1</v>
      </c>
      <c r="F143" s="3239">
        <v>0.13</v>
      </c>
      <c r="G143" s="3240">
        <v>0.1</v>
      </c>
    </row>
    <row r="144" spans="1:7">
      <c r="A144" s="3249" t="s">
        <v>29</v>
      </c>
      <c r="B144" s="3238" t="s">
        <v>255</v>
      </c>
      <c r="C144" s="3239">
        <v>0.106</v>
      </c>
      <c r="D144" s="3239">
        <v>0.105</v>
      </c>
      <c r="E144" s="3239">
        <v>0.1</v>
      </c>
      <c r="F144" s="3239">
        <v>0.13</v>
      </c>
      <c r="G144" s="3240">
        <v>0.11799999999999999</v>
      </c>
    </row>
    <row r="145" spans="1:7">
      <c r="A145" s="3249" t="s">
        <v>29</v>
      </c>
      <c r="B145" s="3238" t="s">
        <v>263</v>
      </c>
      <c r="C145" s="3239">
        <v>0.123</v>
      </c>
      <c r="D145" s="3239">
        <v>0.123</v>
      </c>
      <c r="E145" s="3239">
        <v>0.11700000000000001</v>
      </c>
      <c r="F145" s="3239">
        <v>0.13</v>
      </c>
      <c r="G145" s="3240">
        <v>0.126</v>
      </c>
    </row>
    <row r="146" spans="1:7">
      <c r="A146" s="3249" t="s">
        <v>29</v>
      </c>
      <c r="B146" s="3238" t="s">
        <v>270</v>
      </c>
      <c r="C146" s="3239">
        <v>0.127</v>
      </c>
      <c r="D146" s="3239">
        <v>0.127</v>
      </c>
      <c r="E146" s="3239">
        <v>0.12</v>
      </c>
      <c r="F146" s="3250"/>
      <c r="G146" s="3240">
        <v>0.129</v>
      </c>
    </row>
    <row r="147" spans="1:7">
      <c r="A147" s="3249" t="s">
        <v>29</v>
      </c>
      <c r="B147" s="3238" t="s">
        <v>274</v>
      </c>
      <c r="C147" s="3239">
        <v>0.13</v>
      </c>
      <c r="D147" s="3239">
        <v>0.13</v>
      </c>
      <c r="E147" s="3239">
        <v>0.126</v>
      </c>
      <c r="F147" s="3250"/>
      <c r="G147" s="3240">
        <v>0.13</v>
      </c>
    </row>
    <row r="148" spans="1:7">
      <c r="A148" s="3249" t="s">
        <v>29</v>
      </c>
      <c r="B148" s="3238" t="s">
        <v>2905</v>
      </c>
      <c r="C148" s="3239">
        <v>0.13</v>
      </c>
      <c r="D148" s="3239">
        <v>0.13</v>
      </c>
      <c r="E148" s="3239">
        <v>0.13</v>
      </c>
      <c r="F148" s="3250"/>
      <c r="G148" s="3240">
        <v>0.13</v>
      </c>
    </row>
    <row r="149" spans="1:7">
      <c r="A149" s="3249" t="s">
        <v>29</v>
      </c>
      <c r="B149" s="3238" t="s">
        <v>2909</v>
      </c>
      <c r="C149" s="3239">
        <v>0.13</v>
      </c>
      <c r="D149" s="3239">
        <v>0.13</v>
      </c>
      <c r="E149" s="3239">
        <v>0.13</v>
      </c>
      <c r="F149" s="3239">
        <v>0.13</v>
      </c>
      <c r="G149" s="3240">
        <v>0.13</v>
      </c>
    </row>
    <row r="150" spans="1:7">
      <c r="A150" s="3249" t="s">
        <v>29</v>
      </c>
      <c r="B150" s="3238" t="s">
        <v>292</v>
      </c>
      <c r="C150" s="3239">
        <v>0.13</v>
      </c>
      <c r="D150" s="3239">
        <v>0.13</v>
      </c>
      <c r="E150" s="3239">
        <v>0.127</v>
      </c>
      <c r="F150" s="3239">
        <v>0.13</v>
      </c>
      <c r="G150" s="3240">
        <v>0.13</v>
      </c>
    </row>
    <row r="151" spans="1:7">
      <c r="A151" s="3249" t="s">
        <v>29</v>
      </c>
      <c r="B151" s="3238" t="s">
        <v>294</v>
      </c>
      <c r="C151" s="3239">
        <v>0.13</v>
      </c>
      <c r="D151" s="3239">
        <v>0.13</v>
      </c>
      <c r="E151" s="3239">
        <v>0.13</v>
      </c>
      <c r="F151" s="3239">
        <v>0.13</v>
      </c>
      <c r="G151" s="3240">
        <v>0.13</v>
      </c>
    </row>
    <row r="152" spans="1:7">
      <c r="A152" s="3249" t="s">
        <v>29</v>
      </c>
      <c r="B152" s="3238" t="s">
        <v>297</v>
      </c>
      <c r="C152" s="3239">
        <v>0.13</v>
      </c>
      <c r="D152" s="3239">
        <v>0.13</v>
      </c>
      <c r="E152" s="3239">
        <v>0.13</v>
      </c>
      <c r="F152" s="3239">
        <v>0.13</v>
      </c>
      <c r="G152" s="3240">
        <v>0.13</v>
      </c>
    </row>
    <row r="153" spans="1:7">
      <c r="A153" s="3249" t="s">
        <v>29</v>
      </c>
      <c r="B153" s="3238" t="s">
        <v>2928</v>
      </c>
      <c r="C153" s="3239">
        <v>0.13</v>
      </c>
      <c r="D153" s="3239">
        <v>0.13</v>
      </c>
      <c r="E153" s="3239">
        <v>0.13</v>
      </c>
      <c r="F153" s="3239">
        <v>0.13</v>
      </c>
      <c r="G153" s="3240">
        <v>0.13</v>
      </c>
    </row>
    <row r="154" spans="1:7">
      <c r="A154" s="3249" t="s">
        <v>29</v>
      </c>
      <c r="B154" s="3238" t="s">
        <v>2935</v>
      </c>
      <c r="C154" s="3239">
        <v>0.121</v>
      </c>
      <c r="D154" s="3239">
        <v>0.121</v>
      </c>
      <c r="E154" s="3239">
        <v>0.105</v>
      </c>
      <c r="F154" s="3239">
        <v>0.121</v>
      </c>
      <c r="G154" s="3240">
        <v>0.123</v>
      </c>
    </row>
    <row r="155" spans="1:7">
      <c r="A155" s="3249" t="s">
        <v>29</v>
      </c>
      <c r="B155" s="3238" t="s">
        <v>2941</v>
      </c>
      <c r="C155" s="3239">
        <v>0.1</v>
      </c>
      <c r="D155" s="3239">
        <v>0.1</v>
      </c>
      <c r="E155" s="3239">
        <v>0.1</v>
      </c>
      <c r="F155" s="3239">
        <v>0.1</v>
      </c>
      <c r="G155" s="3240">
        <v>0.1</v>
      </c>
    </row>
    <row r="156" spans="1:7">
      <c r="A156" s="3249" t="s">
        <v>29</v>
      </c>
      <c r="B156" s="3238" t="s">
        <v>2948</v>
      </c>
      <c r="C156" s="3239">
        <v>0.13</v>
      </c>
      <c r="D156" s="3239">
        <v>0.13</v>
      </c>
      <c r="E156" s="3239">
        <v>0.13</v>
      </c>
      <c r="F156" s="3239">
        <v>0.13</v>
      </c>
      <c r="G156" s="3240">
        <v>0.13</v>
      </c>
    </row>
    <row r="157" spans="1:7">
      <c r="A157" s="3249" t="s">
        <v>29</v>
      </c>
      <c r="B157" s="3238" t="s">
        <v>300</v>
      </c>
      <c r="C157" s="3239">
        <v>0.13</v>
      </c>
      <c r="D157" s="3239">
        <v>0.13</v>
      </c>
      <c r="E157" s="3239">
        <v>0.125</v>
      </c>
      <c r="F157" s="3239">
        <v>0.13</v>
      </c>
      <c r="G157" s="3240">
        <v>0.13</v>
      </c>
    </row>
    <row r="158" spans="1:7">
      <c r="A158" s="3249" t="s">
        <v>29</v>
      </c>
      <c r="B158" s="3238" t="s">
        <v>301</v>
      </c>
      <c r="C158" s="3239">
        <v>0.124</v>
      </c>
      <c r="D158" s="3239">
        <v>0.124</v>
      </c>
      <c r="E158" s="3239">
        <v>0.11700000000000001</v>
      </c>
      <c r="F158" s="3239">
        <v>0.121</v>
      </c>
      <c r="G158" s="3240">
        <v>0.124</v>
      </c>
    </row>
    <row r="159" spans="1:7">
      <c r="A159" s="3249" t="s">
        <v>29</v>
      </c>
      <c r="B159" s="3238" t="s">
        <v>302</v>
      </c>
      <c r="C159" s="3239">
        <v>0.127</v>
      </c>
      <c r="D159" s="3239">
        <v>0.127</v>
      </c>
      <c r="E159" s="3239">
        <v>0.122</v>
      </c>
      <c r="F159" s="3239">
        <v>0.13</v>
      </c>
      <c r="G159" s="3240">
        <v>0.129</v>
      </c>
    </row>
    <row r="160" spans="1:7">
      <c r="A160" s="3249" t="s">
        <v>29</v>
      </c>
      <c r="B160" s="3238" t="s">
        <v>2968</v>
      </c>
      <c r="C160" s="3239">
        <v>0.13</v>
      </c>
      <c r="D160" s="3239">
        <v>0.13</v>
      </c>
      <c r="E160" s="3239">
        <v>0.124</v>
      </c>
      <c r="F160" s="3239">
        <v>0.126</v>
      </c>
      <c r="G160" s="3240">
        <v>0.13</v>
      </c>
    </row>
    <row r="161" spans="1:7">
      <c r="A161" s="3249" t="s">
        <v>29</v>
      </c>
      <c r="B161" s="3238" t="s">
        <v>2973</v>
      </c>
      <c r="C161" s="3239">
        <v>0.13</v>
      </c>
      <c r="D161" s="3239">
        <v>0.13</v>
      </c>
      <c r="E161" s="3239">
        <v>0.124</v>
      </c>
      <c r="F161" s="3239">
        <v>0.127</v>
      </c>
      <c r="G161" s="3240">
        <v>0.13</v>
      </c>
    </row>
    <row r="162" spans="1:7">
      <c r="A162" s="3249" t="s">
        <v>29</v>
      </c>
      <c r="B162" s="3238" t="s">
        <v>2978</v>
      </c>
      <c r="C162" s="3239">
        <v>0.1</v>
      </c>
      <c r="D162" s="3239">
        <v>0.1</v>
      </c>
      <c r="E162" s="3239">
        <v>0.1</v>
      </c>
      <c r="F162" s="3239">
        <v>0.121</v>
      </c>
      <c r="G162" s="3240">
        <v>0.105</v>
      </c>
    </row>
    <row r="163" spans="1:7">
      <c r="A163" s="3249" t="s">
        <v>29</v>
      </c>
      <c r="B163" s="3238" t="s">
        <v>2983</v>
      </c>
      <c r="C163" s="3239">
        <v>0.1</v>
      </c>
      <c r="D163" s="3239">
        <v>0.1</v>
      </c>
      <c r="E163" s="3239">
        <v>0.1</v>
      </c>
      <c r="F163" s="3239">
        <v>0.1</v>
      </c>
      <c r="G163" s="3240">
        <v>0.1</v>
      </c>
    </row>
    <row r="164" spans="1:7">
      <c r="A164" s="3249" t="s">
        <v>29</v>
      </c>
      <c r="B164" s="3238" t="s">
        <v>2988</v>
      </c>
      <c r="C164" s="3255"/>
      <c r="D164" s="3255"/>
      <c r="E164" s="3255"/>
      <c r="F164" s="3239">
        <v>0.1</v>
      </c>
      <c r="G164" s="3251"/>
    </row>
    <row r="165" spans="1:7">
      <c r="A165" s="3249" t="s">
        <v>29</v>
      </c>
      <c r="B165" s="3238" t="s">
        <v>3159</v>
      </c>
      <c r="C165" s="3239">
        <v>0.126</v>
      </c>
      <c r="D165" s="3239">
        <v>0.126</v>
      </c>
      <c r="E165" s="3239">
        <v>0.11899999999999999</v>
      </c>
      <c r="F165" s="3239">
        <v>0.13</v>
      </c>
      <c r="G165" s="3240">
        <v>0.128</v>
      </c>
    </row>
    <row r="166" spans="1:7">
      <c r="A166" s="3249" t="s">
        <v>29</v>
      </c>
      <c r="B166" s="3238" t="s">
        <v>2998</v>
      </c>
      <c r="C166" s="3239">
        <v>0.129</v>
      </c>
      <c r="D166" s="3239">
        <v>0.129</v>
      </c>
      <c r="E166" s="3239">
        <v>0.123</v>
      </c>
      <c r="F166" s="3239">
        <v>0.128</v>
      </c>
      <c r="G166" s="3240">
        <v>0.13</v>
      </c>
    </row>
    <row r="167" spans="1:7">
      <c r="A167" s="3249" t="s">
        <v>29</v>
      </c>
      <c r="B167" s="3238" t="s">
        <v>3002</v>
      </c>
      <c r="C167" s="3239">
        <v>0.125</v>
      </c>
      <c r="D167" s="3239">
        <v>0.125</v>
      </c>
      <c r="E167" s="3239">
        <v>0.11700000000000001</v>
      </c>
      <c r="F167" s="3239">
        <v>0.13</v>
      </c>
      <c r="G167" s="3240">
        <v>0.126</v>
      </c>
    </row>
    <row r="168" spans="1:7">
      <c r="A168" s="3249" t="s">
        <v>29</v>
      </c>
      <c r="B168" s="3238" t="s">
        <v>3007</v>
      </c>
      <c r="C168" s="3239">
        <v>0.128</v>
      </c>
      <c r="D168" s="3239">
        <v>0.128</v>
      </c>
      <c r="E168" s="3239">
        <v>0.123</v>
      </c>
      <c r="F168" s="3250"/>
      <c r="G168" s="3240">
        <v>0.13</v>
      </c>
    </row>
    <row r="169" spans="1:7">
      <c r="A169" s="3249" t="s">
        <v>29</v>
      </c>
      <c r="B169" s="3238" t="s">
        <v>3160</v>
      </c>
      <c r="C169" s="3255"/>
      <c r="D169" s="3255"/>
      <c r="E169" s="3255"/>
      <c r="F169" s="3239">
        <v>0.05</v>
      </c>
      <c r="G169" s="3251"/>
    </row>
    <row r="170" spans="1:7">
      <c r="A170" s="3249" t="s">
        <v>29</v>
      </c>
      <c r="B170" s="3238" t="s">
        <v>3161</v>
      </c>
      <c r="C170" s="3255"/>
      <c r="D170" s="3255"/>
      <c r="E170" s="3255"/>
      <c r="F170" s="3239">
        <v>0.05</v>
      </c>
      <c r="G170" s="3251"/>
    </row>
    <row r="171" spans="1:7">
      <c r="A171" s="3249" t="s">
        <v>29</v>
      </c>
      <c r="B171" s="3238" t="s">
        <v>3162</v>
      </c>
      <c r="C171" s="3255"/>
      <c r="D171" s="3255"/>
      <c r="E171" s="3255"/>
      <c r="F171" s="3239">
        <v>0.05</v>
      </c>
      <c r="G171" s="3256"/>
    </row>
    <row r="172" spans="1:7">
      <c r="A172" s="3249" t="s">
        <v>29</v>
      </c>
      <c r="B172" s="3238" t="s">
        <v>3163</v>
      </c>
      <c r="C172" s="3255"/>
      <c r="D172" s="3255"/>
      <c r="E172" s="3255"/>
      <c r="F172" s="3239">
        <v>0.05</v>
      </c>
      <c r="G172" s="3256"/>
    </row>
    <row r="173" spans="1:7">
      <c r="A173" s="3249" t="s">
        <v>29</v>
      </c>
      <c r="B173" s="3238" t="s">
        <v>3164</v>
      </c>
      <c r="C173" s="3255"/>
      <c r="D173" s="3255"/>
      <c r="E173" s="3255"/>
      <c r="F173" s="3239">
        <v>0.05</v>
      </c>
      <c r="G173" s="3251"/>
    </row>
    <row r="174" spans="1:7">
      <c r="A174" s="3249" t="s">
        <v>29</v>
      </c>
      <c r="B174" s="3238" t="s">
        <v>3165</v>
      </c>
      <c r="C174" s="3255"/>
      <c r="D174" s="3255"/>
      <c r="E174" s="3255"/>
      <c r="F174" s="3239">
        <v>0.05</v>
      </c>
      <c r="G174" s="3251"/>
    </row>
    <row r="175" spans="1:7">
      <c r="A175" s="3249" t="s">
        <v>29</v>
      </c>
      <c r="B175" s="3238" t="s">
        <v>3166</v>
      </c>
      <c r="C175" s="3255"/>
      <c r="D175" s="3255"/>
      <c r="E175" s="3255"/>
      <c r="F175" s="3239">
        <v>0.05</v>
      </c>
      <c r="G175" s="3251"/>
    </row>
    <row r="176" spans="1:7">
      <c r="A176" s="3249" t="s">
        <v>29</v>
      </c>
      <c r="B176" s="3238" t="s">
        <v>3167</v>
      </c>
      <c r="C176" s="3255"/>
      <c r="D176" s="3255"/>
      <c r="E176" s="3255"/>
      <c r="F176" s="3239">
        <v>0.05</v>
      </c>
      <c r="G176" s="3251"/>
    </row>
    <row r="177" spans="1:7">
      <c r="A177" s="3249" t="s">
        <v>29</v>
      </c>
      <c r="B177" s="3238" t="s">
        <v>3168</v>
      </c>
      <c r="C177" s="3250"/>
      <c r="D177" s="3250"/>
      <c r="E177" s="3250"/>
      <c r="F177" s="3239">
        <v>0.05</v>
      </c>
      <c r="G177" s="3256"/>
    </row>
    <row r="178" spans="1:7">
      <c r="A178" s="3249" t="s">
        <v>29</v>
      </c>
      <c r="B178" s="3238" t="s">
        <v>3169</v>
      </c>
      <c r="C178" s="3250"/>
      <c r="D178" s="3250"/>
      <c r="E178" s="3250"/>
      <c r="F178" s="3239">
        <v>0.05</v>
      </c>
      <c r="G178" s="3256"/>
    </row>
    <row r="179" spans="1:7">
      <c r="A179" s="3249" t="s">
        <v>29</v>
      </c>
      <c r="B179" s="3238" t="s">
        <v>3170</v>
      </c>
      <c r="C179" s="3250"/>
      <c r="D179" s="3250"/>
      <c r="E179" s="3250"/>
      <c r="F179" s="3239">
        <v>0.05</v>
      </c>
      <c r="G179" s="3256"/>
    </row>
    <row r="180" spans="1:7">
      <c r="A180" s="3249" t="s">
        <v>29</v>
      </c>
      <c r="B180" s="3238" t="s">
        <v>3171</v>
      </c>
      <c r="C180" s="3250"/>
      <c r="D180" s="3250"/>
      <c r="E180" s="3250"/>
      <c r="F180" s="3239">
        <v>0.05</v>
      </c>
      <c r="G180" s="3256"/>
    </row>
    <row r="181" spans="1:7">
      <c r="A181" s="3249" t="s">
        <v>29</v>
      </c>
      <c r="B181" s="3238" t="s">
        <v>3172</v>
      </c>
      <c r="C181" s="3250"/>
      <c r="D181" s="3250"/>
      <c r="E181" s="3250"/>
      <c r="F181" s="3239">
        <v>0.05</v>
      </c>
      <c r="G181" s="3256"/>
    </row>
    <row r="182" spans="1:7">
      <c r="A182" s="3249" t="s">
        <v>29</v>
      </c>
      <c r="B182" s="3238" t="s">
        <v>3173</v>
      </c>
      <c r="C182" s="3250"/>
      <c r="D182" s="3250"/>
      <c r="E182" s="3250"/>
      <c r="F182" s="3239">
        <v>0.05</v>
      </c>
      <c r="G182" s="3256"/>
    </row>
    <row r="183" spans="1:7">
      <c r="A183" s="3249" t="s">
        <v>29</v>
      </c>
      <c r="B183" s="3238" t="s">
        <v>3174</v>
      </c>
      <c r="C183" s="3250"/>
      <c r="D183" s="3250"/>
      <c r="E183" s="3250"/>
      <c r="F183" s="3239">
        <v>0.05</v>
      </c>
      <c r="G183" s="3256"/>
    </row>
    <row r="184" spans="1:7">
      <c r="A184" s="3249" t="s">
        <v>29</v>
      </c>
      <c r="B184" s="3238" t="s">
        <v>3175</v>
      </c>
      <c r="C184" s="3250"/>
      <c r="D184" s="3250"/>
      <c r="E184" s="3250"/>
      <c r="F184" s="3239">
        <v>0.05</v>
      </c>
      <c r="G184" s="3256"/>
    </row>
    <row r="185" spans="1:7">
      <c r="A185" s="3249" t="s">
        <v>29</v>
      </c>
      <c r="B185" s="3238" t="s">
        <v>3176</v>
      </c>
      <c r="C185" s="3250"/>
      <c r="D185" s="3250"/>
      <c r="E185" s="3250"/>
      <c r="F185" s="3239">
        <v>0.05</v>
      </c>
      <c r="G185" s="3256"/>
    </row>
    <row r="186" spans="1:7">
      <c r="A186" s="3249" t="s">
        <v>29</v>
      </c>
      <c r="B186" s="3238" t="s">
        <v>3177</v>
      </c>
      <c r="C186" s="3250"/>
      <c r="D186" s="3250"/>
      <c r="E186" s="3250"/>
      <c r="F186" s="3239">
        <v>0.05</v>
      </c>
      <c r="G186" s="3256"/>
    </row>
    <row r="187" spans="1:7">
      <c r="A187" s="3249" t="s">
        <v>29</v>
      </c>
      <c r="B187" s="3238" t="s">
        <v>3178</v>
      </c>
      <c r="C187" s="3250"/>
      <c r="D187" s="3250"/>
      <c r="E187" s="3250"/>
      <c r="F187" s="3239">
        <v>0.05</v>
      </c>
      <c r="G187" s="3256"/>
    </row>
    <row r="188" spans="1:7">
      <c r="A188" s="3249" t="s">
        <v>29</v>
      </c>
      <c r="B188" s="3238" t="s">
        <v>3179</v>
      </c>
      <c r="C188" s="3250"/>
      <c r="D188" s="3250"/>
      <c r="E188" s="3250"/>
      <c r="F188" s="3239">
        <v>0.05</v>
      </c>
      <c r="G188" s="3256"/>
    </row>
    <row r="189" spans="1:7" ht="14.25" thickBot="1">
      <c r="A189" s="3252" t="s">
        <v>29</v>
      </c>
      <c r="B189" s="3242" t="s">
        <v>3180</v>
      </c>
      <c r="C189" s="3244"/>
      <c r="D189" s="3244"/>
      <c r="E189" s="3244"/>
      <c r="F189" s="3243">
        <v>0.05</v>
      </c>
      <c r="G189" s="3257"/>
    </row>
    <row r="190" spans="1:7">
      <c r="A190" s="3248" t="s">
        <v>304</v>
      </c>
      <c r="B190" s="3234" t="s">
        <v>2836</v>
      </c>
      <c r="C190" s="3235">
        <v>0.124</v>
      </c>
      <c r="D190" s="3235">
        <v>0.124</v>
      </c>
      <c r="E190" s="3235">
        <v>0.129</v>
      </c>
      <c r="F190" s="3235">
        <v>0.13</v>
      </c>
      <c r="G190" s="3236">
        <v>0.127</v>
      </c>
    </row>
    <row r="191" spans="1:7">
      <c r="A191" s="3249" t="s">
        <v>304</v>
      </c>
      <c r="B191" s="3238" t="s">
        <v>133</v>
      </c>
      <c r="C191" s="3239">
        <v>0.13</v>
      </c>
      <c r="D191" s="3239">
        <v>0.13</v>
      </c>
      <c r="E191" s="3239">
        <v>0.13</v>
      </c>
      <c r="F191" s="3239">
        <v>0.13</v>
      </c>
      <c r="G191" s="3240">
        <v>0.13</v>
      </c>
    </row>
    <row r="192" spans="1:7">
      <c r="A192" s="3249" t="s">
        <v>304</v>
      </c>
      <c r="B192" s="3238" t="s">
        <v>142</v>
      </c>
      <c r="C192" s="3239">
        <v>0.13</v>
      </c>
      <c r="D192" s="3239">
        <v>0.13</v>
      </c>
      <c r="E192" s="3239">
        <v>0.13</v>
      </c>
      <c r="F192" s="3239">
        <v>0.13</v>
      </c>
      <c r="G192" s="3240">
        <v>0.13</v>
      </c>
    </row>
    <row r="193" spans="1:7">
      <c r="A193" s="3249" t="s">
        <v>304</v>
      </c>
      <c r="B193" s="3238" t="s">
        <v>151</v>
      </c>
      <c r="C193" s="3239">
        <v>0.13</v>
      </c>
      <c r="D193" s="3239">
        <v>0.13</v>
      </c>
      <c r="E193" s="3239">
        <v>0.13</v>
      </c>
      <c r="F193" s="3239">
        <v>0.13</v>
      </c>
      <c r="G193" s="3240">
        <v>0.13</v>
      </c>
    </row>
    <row r="194" spans="1:7">
      <c r="A194" s="3249" t="s">
        <v>304</v>
      </c>
      <c r="B194" s="3238" t="s">
        <v>160</v>
      </c>
      <c r="C194" s="3239">
        <v>0.123</v>
      </c>
      <c r="D194" s="3239">
        <v>0.123</v>
      </c>
      <c r="E194" s="3239">
        <v>0.128</v>
      </c>
      <c r="F194" s="3239">
        <v>0.13</v>
      </c>
      <c r="G194" s="3240">
        <v>0.126</v>
      </c>
    </row>
    <row r="195" spans="1:7">
      <c r="A195" s="3249" t="s">
        <v>304</v>
      </c>
      <c r="B195" s="3238" t="s">
        <v>167</v>
      </c>
      <c r="C195" s="3239">
        <v>0.127</v>
      </c>
      <c r="D195" s="3239">
        <v>0.127</v>
      </c>
      <c r="E195" s="3239">
        <v>0.121</v>
      </c>
      <c r="F195" s="3239">
        <v>0.129</v>
      </c>
      <c r="G195" s="3240">
        <v>0.129</v>
      </c>
    </row>
    <row r="196" spans="1:7">
      <c r="A196" s="3249" t="s">
        <v>304</v>
      </c>
      <c r="B196" s="3238" t="s">
        <v>173</v>
      </c>
      <c r="C196" s="3239">
        <v>0.127</v>
      </c>
      <c r="D196" s="3239">
        <v>0.128</v>
      </c>
      <c r="E196" s="3239">
        <v>0.122</v>
      </c>
      <c r="F196" s="3239">
        <v>0.13</v>
      </c>
      <c r="G196" s="3240">
        <v>0.129</v>
      </c>
    </row>
    <row r="197" spans="1:7">
      <c r="A197" s="3249" t="s">
        <v>304</v>
      </c>
      <c r="B197" s="3238" t="s">
        <v>180</v>
      </c>
      <c r="C197" s="3239">
        <v>0.126</v>
      </c>
      <c r="D197" s="3239">
        <v>0.126</v>
      </c>
      <c r="E197" s="3239">
        <v>0.11899999999999999</v>
      </c>
      <c r="F197" s="3239">
        <v>0.13</v>
      </c>
      <c r="G197" s="3240">
        <v>0.128</v>
      </c>
    </row>
    <row r="198" spans="1:7">
      <c r="A198" s="3249" t="s">
        <v>304</v>
      </c>
      <c r="B198" s="3238" t="s">
        <v>190</v>
      </c>
      <c r="C198" s="3239">
        <v>0.13</v>
      </c>
      <c r="D198" s="3239">
        <v>0.13</v>
      </c>
      <c r="E198" s="3239">
        <v>0.126</v>
      </c>
      <c r="F198" s="3255"/>
      <c r="G198" s="3240">
        <v>0.13</v>
      </c>
    </row>
    <row r="199" spans="1:7">
      <c r="A199" s="3249" t="s">
        <v>304</v>
      </c>
      <c r="B199" s="3238" t="s">
        <v>2872</v>
      </c>
      <c r="C199" s="3239">
        <v>0.13</v>
      </c>
      <c r="D199" s="3239">
        <v>0.13</v>
      </c>
      <c r="E199" s="3239">
        <v>0.13</v>
      </c>
      <c r="F199" s="3239">
        <v>0.13</v>
      </c>
      <c r="G199" s="3240">
        <v>0.13</v>
      </c>
    </row>
    <row r="200" spans="1:7">
      <c r="A200" s="3249" t="s">
        <v>304</v>
      </c>
      <c r="B200" s="3238" t="s">
        <v>2875</v>
      </c>
      <c r="C200" s="3255"/>
      <c r="D200" s="3255"/>
      <c r="E200" s="3255"/>
      <c r="F200" s="3239">
        <v>0.13</v>
      </c>
      <c r="G200" s="3251"/>
    </row>
    <row r="201" spans="1:7">
      <c r="A201" s="3249" t="s">
        <v>304</v>
      </c>
      <c r="B201" s="3238" t="s">
        <v>2880</v>
      </c>
      <c r="C201" s="3239">
        <v>0.13</v>
      </c>
      <c r="D201" s="3239">
        <v>0.13</v>
      </c>
      <c r="E201" s="3239">
        <v>0.13</v>
      </c>
      <c r="F201" s="3239">
        <v>0.129</v>
      </c>
      <c r="G201" s="3240">
        <v>0.13</v>
      </c>
    </row>
    <row r="202" spans="1:7">
      <c r="A202" s="3249" t="s">
        <v>304</v>
      </c>
      <c r="B202" s="3238" t="s">
        <v>240</v>
      </c>
      <c r="C202" s="3239">
        <v>0.13</v>
      </c>
      <c r="D202" s="3239">
        <v>0.13</v>
      </c>
      <c r="E202" s="3239">
        <v>0.13</v>
      </c>
      <c r="F202" s="3239">
        <v>0.13</v>
      </c>
      <c r="G202" s="3240">
        <v>0.13</v>
      </c>
    </row>
    <row r="203" spans="1:7">
      <c r="A203" s="3249" t="s">
        <v>304</v>
      </c>
      <c r="B203" s="3238" t="s">
        <v>2883</v>
      </c>
      <c r="C203" s="3239">
        <v>0.129</v>
      </c>
      <c r="D203" s="3239">
        <v>0.129</v>
      </c>
      <c r="E203" s="3239">
        <v>0.13</v>
      </c>
      <c r="F203" s="3239">
        <v>0.13</v>
      </c>
      <c r="G203" s="3240">
        <v>0.13</v>
      </c>
    </row>
    <row r="204" spans="1:7">
      <c r="A204" s="3249" t="s">
        <v>304</v>
      </c>
      <c r="B204" s="3238" t="s">
        <v>2886</v>
      </c>
      <c r="C204" s="3239">
        <v>0.129</v>
      </c>
      <c r="D204" s="3239">
        <v>0.129</v>
      </c>
      <c r="E204" s="3239">
        <v>0.123</v>
      </c>
      <c r="F204" s="3239">
        <v>0.13</v>
      </c>
      <c r="G204" s="3240">
        <v>0.13</v>
      </c>
    </row>
    <row r="205" spans="1:7">
      <c r="A205" s="3249" t="s">
        <v>304</v>
      </c>
      <c r="B205" s="3238" t="s">
        <v>2888</v>
      </c>
      <c r="C205" s="3239">
        <v>0.13</v>
      </c>
      <c r="D205" s="3239">
        <v>0.13</v>
      </c>
      <c r="E205" s="3239">
        <v>0.13</v>
      </c>
      <c r="F205" s="3239">
        <v>0.13</v>
      </c>
      <c r="G205" s="3240">
        <v>0.13</v>
      </c>
    </row>
    <row r="206" spans="1:7">
      <c r="A206" s="3249" t="s">
        <v>304</v>
      </c>
      <c r="B206" s="3238" t="s">
        <v>2891</v>
      </c>
      <c r="C206" s="3239">
        <v>0.13</v>
      </c>
      <c r="D206" s="3239">
        <v>0.13</v>
      </c>
      <c r="E206" s="3239">
        <v>0.13</v>
      </c>
      <c r="F206" s="3239">
        <v>0.128</v>
      </c>
      <c r="G206" s="3240">
        <v>0.13</v>
      </c>
    </row>
    <row r="207" spans="1:7">
      <c r="A207" s="3249" t="s">
        <v>304</v>
      </c>
      <c r="B207" s="3238" t="s">
        <v>2893</v>
      </c>
      <c r="C207" s="3239">
        <v>0.13</v>
      </c>
      <c r="D207" s="3239">
        <v>0.13</v>
      </c>
      <c r="E207" s="3239">
        <v>0.13</v>
      </c>
      <c r="F207" s="3239">
        <v>0.13</v>
      </c>
      <c r="G207" s="3240">
        <v>0.13</v>
      </c>
    </row>
    <row r="208" spans="1:7">
      <c r="A208" s="3249" t="s">
        <v>304</v>
      </c>
      <c r="B208" s="3238" t="s">
        <v>2896</v>
      </c>
      <c r="C208" s="3239">
        <v>0.13</v>
      </c>
      <c r="D208" s="3239">
        <v>0.13</v>
      </c>
      <c r="E208" s="3239">
        <v>0.13</v>
      </c>
      <c r="F208" s="3239">
        <v>0.13</v>
      </c>
      <c r="G208" s="3240">
        <v>0.13</v>
      </c>
    </row>
    <row r="209" spans="1:7">
      <c r="A209" s="3249" t="s">
        <v>304</v>
      </c>
      <c r="B209" s="3238" t="s">
        <v>264</v>
      </c>
      <c r="C209" s="3239">
        <v>0.13</v>
      </c>
      <c r="D209" s="3239">
        <v>0.13</v>
      </c>
      <c r="E209" s="3239">
        <v>0.13</v>
      </c>
      <c r="F209" s="3239">
        <v>0.13</v>
      </c>
      <c r="G209" s="3240">
        <v>0.13</v>
      </c>
    </row>
    <row r="210" spans="1:7">
      <c r="A210" s="3249" t="s">
        <v>304</v>
      </c>
      <c r="B210" s="3238" t="s">
        <v>2903</v>
      </c>
      <c r="C210" s="3239">
        <v>0.121</v>
      </c>
      <c r="D210" s="3239">
        <v>0.121</v>
      </c>
      <c r="E210" s="3239">
        <v>0.125</v>
      </c>
      <c r="F210" s="3239">
        <v>0.13</v>
      </c>
      <c r="G210" s="3240">
        <v>0.123</v>
      </c>
    </row>
    <row r="211" spans="1:7">
      <c r="A211" s="3249" t="s">
        <v>304</v>
      </c>
      <c r="B211" s="3238" t="s">
        <v>2906</v>
      </c>
      <c r="C211" s="3239">
        <v>0.123</v>
      </c>
      <c r="D211" s="3239">
        <v>0.123</v>
      </c>
      <c r="E211" s="3239">
        <v>0.127</v>
      </c>
      <c r="F211" s="3239">
        <v>0.115</v>
      </c>
      <c r="G211" s="3240">
        <v>0.126</v>
      </c>
    </row>
    <row r="212" spans="1:7">
      <c r="A212" s="3249" t="s">
        <v>304</v>
      </c>
      <c r="B212" s="3238" t="s">
        <v>285</v>
      </c>
      <c r="C212" s="3239">
        <v>0.126</v>
      </c>
      <c r="D212" s="3239">
        <v>0.126</v>
      </c>
      <c r="E212" s="3239">
        <v>0.13</v>
      </c>
      <c r="F212" s="3239">
        <v>0.13</v>
      </c>
      <c r="G212" s="3240">
        <v>0.129</v>
      </c>
    </row>
    <row r="213" spans="1:7">
      <c r="A213" s="3249" t="s">
        <v>304</v>
      </c>
      <c r="B213" s="3238" t="s">
        <v>288</v>
      </c>
      <c r="C213" s="3239">
        <v>0.129</v>
      </c>
      <c r="D213" s="3239">
        <v>0.13</v>
      </c>
      <c r="E213" s="3239">
        <v>0.127</v>
      </c>
      <c r="F213" s="3239">
        <v>0.13</v>
      </c>
      <c r="G213" s="3240">
        <v>0.13</v>
      </c>
    </row>
    <row r="214" spans="1:7">
      <c r="A214" s="3249" t="s">
        <v>304</v>
      </c>
      <c r="B214" s="3238" t="s">
        <v>2918</v>
      </c>
      <c r="C214" s="3239">
        <v>0.128</v>
      </c>
      <c r="D214" s="3239">
        <v>0.128</v>
      </c>
      <c r="E214" s="3239">
        <v>0.13</v>
      </c>
      <c r="F214" s="3239">
        <v>0.13</v>
      </c>
      <c r="G214" s="3240">
        <v>0.13</v>
      </c>
    </row>
    <row r="215" spans="1:7">
      <c r="A215" s="3249" t="s">
        <v>304</v>
      </c>
      <c r="B215" s="3238" t="s">
        <v>2922</v>
      </c>
      <c r="C215" s="3239">
        <v>0.13</v>
      </c>
      <c r="D215" s="3239">
        <v>0.13</v>
      </c>
      <c r="E215" s="3239">
        <v>0.13</v>
      </c>
      <c r="F215" s="3239">
        <v>0.129</v>
      </c>
      <c r="G215" s="3240">
        <v>0.13</v>
      </c>
    </row>
    <row r="216" spans="1:7">
      <c r="A216" s="3249" t="s">
        <v>304</v>
      </c>
      <c r="B216" s="3238" t="s">
        <v>2929</v>
      </c>
      <c r="C216" s="3239">
        <v>0.13</v>
      </c>
      <c r="D216" s="3239">
        <v>0.13</v>
      </c>
      <c r="E216" s="3239">
        <v>0.13</v>
      </c>
      <c r="F216" s="3239">
        <v>0.13</v>
      </c>
      <c r="G216" s="3240">
        <v>0.13</v>
      </c>
    </row>
    <row r="217" spans="1:7">
      <c r="A217" s="3249" t="s">
        <v>304</v>
      </c>
      <c r="B217" s="3238" t="s">
        <v>2936</v>
      </c>
      <c r="C217" s="3239">
        <v>0.129</v>
      </c>
      <c r="D217" s="3239">
        <v>0.129</v>
      </c>
      <c r="E217" s="3239">
        <v>0.13</v>
      </c>
      <c r="F217" s="3239">
        <v>0.13</v>
      </c>
      <c r="G217" s="3240">
        <v>0.13</v>
      </c>
    </row>
    <row r="218" spans="1:7">
      <c r="A218" s="3249" t="s">
        <v>304</v>
      </c>
      <c r="B218" s="3238" t="s">
        <v>2942</v>
      </c>
      <c r="C218" s="3250"/>
      <c r="D218" s="3250"/>
      <c r="E218" s="3250"/>
      <c r="F218" s="3239">
        <v>0.05</v>
      </c>
      <c r="G218" s="3256"/>
    </row>
    <row r="219" spans="1:7">
      <c r="A219" s="3249" t="s">
        <v>304</v>
      </c>
      <c r="B219" s="3238" t="s">
        <v>2949</v>
      </c>
      <c r="C219" s="3250"/>
      <c r="D219" s="3250"/>
      <c r="E219" s="3250"/>
      <c r="F219" s="3239">
        <v>0.05</v>
      </c>
      <c r="G219" s="3256"/>
    </row>
    <row r="220" spans="1:7">
      <c r="A220" s="3249" t="s">
        <v>304</v>
      </c>
      <c r="B220" s="3238" t="s">
        <v>2955</v>
      </c>
      <c r="C220" s="3250"/>
      <c r="D220" s="3250"/>
      <c r="E220" s="3250"/>
      <c r="F220" s="3239">
        <v>0.05</v>
      </c>
      <c r="G220" s="3256"/>
    </row>
    <row r="221" spans="1:7">
      <c r="A221" s="3249" t="s">
        <v>304</v>
      </c>
      <c r="B221" s="3238" t="s">
        <v>2960</v>
      </c>
      <c r="C221" s="3250"/>
      <c r="D221" s="3250"/>
      <c r="E221" s="3250"/>
      <c r="F221" s="3239">
        <v>0.05</v>
      </c>
      <c r="G221" s="3256"/>
    </row>
    <row r="222" spans="1:7">
      <c r="A222" s="3249" t="s">
        <v>304</v>
      </c>
      <c r="B222" s="3238" t="s">
        <v>2964</v>
      </c>
      <c r="C222" s="3250"/>
      <c r="D222" s="3250"/>
      <c r="E222" s="3250"/>
      <c r="F222" s="3239">
        <v>0.05</v>
      </c>
      <c r="G222" s="3256"/>
    </row>
    <row r="223" spans="1:7">
      <c r="A223" s="3249" t="s">
        <v>304</v>
      </c>
      <c r="B223" s="3238" t="s">
        <v>2969</v>
      </c>
      <c r="C223" s="3250"/>
      <c r="D223" s="3250"/>
      <c r="E223" s="3250"/>
      <c r="F223" s="3239">
        <v>0.05</v>
      </c>
      <c r="G223" s="3256"/>
    </row>
    <row r="224" spans="1:7">
      <c r="A224" s="3249" t="s">
        <v>304</v>
      </c>
      <c r="B224" s="3238" t="s">
        <v>2974</v>
      </c>
      <c r="C224" s="3250"/>
      <c r="D224" s="3250"/>
      <c r="E224" s="3250"/>
      <c r="F224" s="3239">
        <v>0.05</v>
      </c>
      <c r="G224" s="3256"/>
    </row>
    <row r="225" spans="1:7">
      <c r="A225" s="3249" t="s">
        <v>304</v>
      </c>
      <c r="B225" s="3238" t="s">
        <v>2979</v>
      </c>
      <c r="C225" s="3250"/>
      <c r="D225" s="3250"/>
      <c r="E225" s="3250"/>
      <c r="F225" s="3239">
        <v>0.05</v>
      </c>
      <c r="G225" s="3256"/>
    </row>
    <row r="226" spans="1:7">
      <c r="A226" s="3249" t="s">
        <v>304</v>
      </c>
      <c r="B226" s="3238" t="s">
        <v>3181</v>
      </c>
      <c r="C226" s="3250"/>
      <c r="D226" s="3250"/>
      <c r="E226" s="3250"/>
      <c r="F226" s="3239">
        <v>0.05</v>
      </c>
      <c r="G226" s="3256"/>
    </row>
    <row r="227" spans="1:7">
      <c r="A227" s="3249" t="s">
        <v>304</v>
      </c>
      <c r="B227" s="3238" t="s">
        <v>3182</v>
      </c>
      <c r="C227" s="3250"/>
      <c r="D227" s="3250"/>
      <c r="E227" s="3250"/>
      <c r="F227" s="3239">
        <v>0.05</v>
      </c>
      <c r="G227" s="3256"/>
    </row>
    <row r="228" spans="1:7">
      <c r="A228" s="3249" t="s">
        <v>304</v>
      </c>
      <c r="B228" s="3238" t="s">
        <v>3183</v>
      </c>
      <c r="C228" s="3250"/>
      <c r="D228" s="3250"/>
      <c r="E228" s="3250"/>
      <c r="F228" s="3239">
        <v>0.05</v>
      </c>
      <c r="G228" s="3256"/>
    </row>
    <row r="229" spans="1:7">
      <c r="A229" s="3249" t="s">
        <v>304</v>
      </c>
      <c r="B229" s="3238" t="s">
        <v>3184</v>
      </c>
      <c r="C229" s="3250"/>
      <c r="D229" s="3250"/>
      <c r="E229" s="3250"/>
      <c r="F229" s="3239">
        <v>0.05</v>
      </c>
      <c r="G229" s="3256"/>
    </row>
    <row r="230" spans="1:7">
      <c r="A230" s="3249" t="s">
        <v>304</v>
      </c>
      <c r="B230" s="3238" t="s">
        <v>3185</v>
      </c>
      <c r="C230" s="3250"/>
      <c r="D230" s="3250"/>
      <c r="E230" s="3250"/>
      <c r="F230" s="3239">
        <v>0.05</v>
      </c>
      <c r="G230" s="3256"/>
    </row>
    <row r="231" spans="1:7">
      <c r="A231" s="3249" t="s">
        <v>304</v>
      </c>
      <c r="B231" s="3238" t="s">
        <v>3186</v>
      </c>
      <c r="C231" s="3250"/>
      <c r="D231" s="3250"/>
      <c r="E231" s="3250"/>
      <c r="F231" s="3239">
        <v>0.05</v>
      </c>
      <c r="G231" s="3256"/>
    </row>
    <row r="232" spans="1:7">
      <c r="A232" s="3249" t="s">
        <v>304</v>
      </c>
      <c r="B232" s="3238" t="s">
        <v>3187</v>
      </c>
      <c r="C232" s="3250"/>
      <c r="D232" s="3250"/>
      <c r="E232" s="3250"/>
      <c r="F232" s="3239">
        <v>0.05</v>
      </c>
      <c r="G232" s="3256"/>
    </row>
    <row r="233" spans="1:7" ht="14.25" thickBot="1">
      <c r="A233" s="3252" t="s">
        <v>304</v>
      </c>
      <c r="B233" s="3242" t="s">
        <v>3188</v>
      </c>
      <c r="C233" s="3244"/>
      <c r="D233" s="3244"/>
      <c r="E233" s="3244"/>
      <c r="F233" s="3243">
        <v>0.05</v>
      </c>
      <c r="G233" s="3257"/>
    </row>
    <row r="234" spans="1:7">
      <c r="A234" s="3248" t="s">
        <v>305</v>
      </c>
      <c r="B234" s="3234" t="s">
        <v>2837</v>
      </c>
      <c r="C234" s="3235">
        <v>0.13</v>
      </c>
      <c r="D234" s="3235">
        <v>0.128</v>
      </c>
      <c r="E234" s="3235">
        <v>0.14199999999999999</v>
      </c>
      <c r="F234" s="3235">
        <v>0.14699999999999999</v>
      </c>
      <c r="G234" s="3236">
        <v>0.14000000000000001</v>
      </c>
    </row>
    <row r="235" spans="1:7">
      <c r="A235" s="3249" t="s">
        <v>305</v>
      </c>
      <c r="B235" s="3238" t="s">
        <v>134</v>
      </c>
      <c r="C235" s="3239">
        <v>0.13600000000000001</v>
      </c>
      <c r="D235" s="3239">
        <v>0.13800000000000001</v>
      </c>
      <c r="E235" s="3239">
        <v>0.14499999999999999</v>
      </c>
      <c r="F235" s="3239">
        <v>0.14299999999999999</v>
      </c>
      <c r="G235" s="3240">
        <v>0.14099999999999999</v>
      </c>
    </row>
    <row r="236" spans="1:7">
      <c r="A236" s="3249" t="s">
        <v>305</v>
      </c>
      <c r="B236" s="3238" t="s">
        <v>143</v>
      </c>
      <c r="C236" s="3239">
        <v>0.15</v>
      </c>
      <c r="D236" s="3239">
        <v>0.15</v>
      </c>
      <c r="E236" s="3239">
        <v>0.15</v>
      </c>
      <c r="F236" s="3239">
        <v>0.15</v>
      </c>
      <c r="G236" s="3240">
        <v>0.15</v>
      </c>
    </row>
    <row r="237" spans="1:7">
      <c r="A237" s="3249" t="s">
        <v>305</v>
      </c>
      <c r="B237" s="3238" t="s">
        <v>152</v>
      </c>
      <c r="C237" s="3239">
        <v>0.15</v>
      </c>
      <c r="D237" s="3239">
        <v>0.15</v>
      </c>
      <c r="E237" s="3239">
        <v>0.15</v>
      </c>
      <c r="F237" s="3239">
        <v>0.15</v>
      </c>
      <c r="G237" s="3240">
        <v>0.15</v>
      </c>
    </row>
    <row r="238" spans="1:7">
      <c r="A238" s="3249" t="s">
        <v>305</v>
      </c>
      <c r="B238" s="3238" t="s">
        <v>2857</v>
      </c>
      <c r="C238" s="3239">
        <v>0.14899999999999999</v>
      </c>
      <c r="D238" s="3239">
        <v>0.14899999999999999</v>
      </c>
      <c r="E238" s="3239">
        <v>0.15</v>
      </c>
      <c r="F238" s="3239">
        <v>0.15</v>
      </c>
      <c r="G238" s="3240">
        <v>0.15</v>
      </c>
    </row>
    <row r="239" spans="1:7">
      <c r="A239" s="3249" t="s">
        <v>305</v>
      </c>
      <c r="B239" s="3238" t="s">
        <v>2861</v>
      </c>
      <c r="C239" s="3239">
        <v>0.15</v>
      </c>
      <c r="D239" s="3239">
        <v>0.15</v>
      </c>
      <c r="E239" s="3239">
        <v>0.15</v>
      </c>
      <c r="F239" s="3239">
        <v>0.15</v>
      </c>
      <c r="G239" s="3240">
        <v>0.15</v>
      </c>
    </row>
    <row r="240" spans="1:7">
      <c r="A240" s="3249" t="s">
        <v>305</v>
      </c>
      <c r="B240" s="3238" t="s">
        <v>2866</v>
      </c>
      <c r="C240" s="3239">
        <v>0.15</v>
      </c>
      <c r="D240" s="3239">
        <v>0.15</v>
      </c>
      <c r="E240" s="3239">
        <v>0.15</v>
      </c>
      <c r="F240" s="3239">
        <v>0.15</v>
      </c>
      <c r="G240" s="3240">
        <v>0.15</v>
      </c>
    </row>
    <row r="241" spans="1:7">
      <c r="A241" s="3249" t="s">
        <v>305</v>
      </c>
      <c r="B241" s="3238" t="s">
        <v>2870</v>
      </c>
      <c r="C241" s="3239">
        <v>0.14099999999999999</v>
      </c>
      <c r="D241" s="3239">
        <v>0.14199999999999999</v>
      </c>
      <c r="E241" s="3239">
        <v>0.14899999999999999</v>
      </c>
      <c r="F241" s="3239">
        <v>0.15</v>
      </c>
      <c r="G241" s="3240">
        <v>0.14399999999999999</v>
      </c>
    </row>
    <row r="242" spans="1:7">
      <c r="A242" s="3249" t="s">
        <v>305</v>
      </c>
      <c r="B242" s="3238" t="s">
        <v>181</v>
      </c>
      <c r="C242" s="3239">
        <v>0.14099999999999999</v>
      </c>
      <c r="D242" s="3239">
        <v>0.14199999999999999</v>
      </c>
      <c r="E242" s="3239">
        <v>0.14799999999999999</v>
      </c>
      <c r="F242" s="3239">
        <v>0.127</v>
      </c>
      <c r="G242" s="3240">
        <v>0.14399999999999999</v>
      </c>
    </row>
    <row r="243" spans="1:7">
      <c r="A243" s="3249" t="s">
        <v>305</v>
      </c>
      <c r="B243" s="3238" t="s">
        <v>191</v>
      </c>
      <c r="C243" s="3239">
        <v>0.14699999999999999</v>
      </c>
      <c r="D243" s="3239">
        <v>0.14699999999999999</v>
      </c>
      <c r="E243" s="3239">
        <v>0.15</v>
      </c>
      <c r="F243" s="3239">
        <v>0.15</v>
      </c>
      <c r="G243" s="3240">
        <v>0.14899999999999999</v>
      </c>
    </row>
    <row r="244" spans="1:7">
      <c r="A244" s="3249" t="s">
        <v>305</v>
      </c>
      <c r="B244" s="3238" t="s">
        <v>2876</v>
      </c>
      <c r="C244" s="3239">
        <v>0.15</v>
      </c>
      <c r="D244" s="3239">
        <v>0.15</v>
      </c>
      <c r="E244" s="3239">
        <v>0.15</v>
      </c>
      <c r="F244" s="3239">
        <v>0.15</v>
      </c>
      <c r="G244" s="3240">
        <v>0.15</v>
      </c>
    </row>
    <row r="245" spans="1:7">
      <c r="A245" s="3249" t="s">
        <v>305</v>
      </c>
      <c r="B245" s="3238" t="s">
        <v>206</v>
      </c>
      <c r="C245" s="3239">
        <v>0.14199999999999999</v>
      </c>
      <c r="D245" s="3239">
        <v>0.14199999999999999</v>
      </c>
      <c r="E245" s="3239">
        <v>0.15</v>
      </c>
      <c r="F245" s="3239">
        <v>0.15</v>
      </c>
      <c r="G245" s="3240">
        <v>0.14499999999999999</v>
      </c>
    </row>
    <row r="246" spans="1:7">
      <c r="A246" s="3249" t="s">
        <v>305</v>
      </c>
      <c r="B246" s="3238" t="s">
        <v>213</v>
      </c>
      <c r="C246" s="3239">
        <v>0.14199999999999999</v>
      </c>
      <c r="D246" s="3239">
        <v>0.14299999999999999</v>
      </c>
      <c r="E246" s="3239">
        <v>0.15</v>
      </c>
      <c r="F246" s="3239">
        <v>0.14199999999999999</v>
      </c>
      <c r="G246" s="3240">
        <v>0.14399999999999999</v>
      </c>
    </row>
    <row r="247" spans="1:7">
      <c r="A247" s="3249" t="s">
        <v>305</v>
      </c>
      <c r="B247" s="3238" t="s">
        <v>2884</v>
      </c>
      <c r="C247" s="3239">
        <v>0.14899999999999999</v>
      </c>
      <c r="D247" s="3239">
        <v>0.14899999999999999</v>
      </c>
      <c r="E247" s="3239">
        <v>0.15</v>
      </c>
      <c r="F247" s="3239">
        <v>0.15</v>
      </c>
      <c r="G247" s="3240">
        <v>0.15</v>
      </c>
    </row>
    <row r="248" spans="1:7">
      <c r="A248" s="3249" t="s">
        <v>305</v>
      </c>
      <c r="B248" s="3238" t="s">
        <v>227</v>
      </c>
      <c r="C248" s="3239">
        <v>0.14399999999999999</v>
      </c>
      <c r="D248" s="3239">
        <v>0.14399999999999999</v>
      </c>
      <c r="E248" s="3239">
        <v>0.14899999999999999</v>
      </c>
      <c r="F248" s="3239">
        <v>0.14799999999999999</v>
      </c>
      <c r="G248" s="3240">
        <v>0.14599999999999999</v>
      </c>
    </row>
    <row r="249" spans="1:7">
      <c r="A249" s="3249" t="s">
        <v>305</v>
      </c>
      <c r="B249" s="3238" t="s">
        <v>2889</v>
      </c>
      <c r="C249" s="3239">
        <v>0.14000000000000001</v>
      </c>
      <c r="D249" s="3239">
        <v>0.14000000000000001</v>
      </c>
      <c r="E249" s="3239">
        <v>0.14699999999999999</v>
      </c>
      <c r="F249" s="3239">
        <v>0.14899999999999999</v>
      </c>
      <c r="G249" s="3240">
        <v>0.14199999999999999</v>
      </c>
    </row>
    <row r="250" spans="1:7">
      <c r="A250" s="3249" t="s">
        <v>305</v>
      </c>
      <c r="B250" s="3238" t="s">
        <v>241</v>
      </c>
      <c r="C250" s="3239">
        <v>0.14399999999999999</v>
      </c>
      <c r="D250" s="3239">
        <v>0.14299999999999999</v>
      </c>
      <c r="E250" s="3239">
        <v>0.14899999999999999</v>
      </c>
      <c r="F250" s="3239">
        <v>0.15</v>
      </c>
      <c r="G250" s="3240">
        <v>0.14599999999999999</v>
      </c>
    </row>
    <row r="251" spans="1:7">
      <c r="A251" s="3249" t="s">
        <v>305</v>
      </c>
      <c r="B251" s="3238" t="s">
        <v>249</v>
      </c>
      <c r="C251" s="3255"/>
      <c r="D251" s="3250"/>
      <c r="E251" s="3250"/>
      <c r="F251" s="3239">
        <v>0.1</v>
      </c>
      <c r="G251" s="3256"/>
    </row>
    <row r="252" spans="1:7">
      <c r="A252" s="3249" t="s">
        <v>305</v>
      </c>
      <c r="B252" s="3238" t="s">
        <v>2897</v>
      </c>
      <c r="C252" s="3239">
        <v>0.14399999999999999</v>
      </c>
      <c r="D252" s="3239">
        <v>0.14399999999999999</v>
      </c>
      <c r="E252" s="3239">
        <v>0.15</v>
      </c>
      <c r="F252" s="3239">
        <v>0.14899999999999999</v>
      </c>
      <c r="G252" s="3240">
        <v>0.14599999999999999</v>
      </c>
    </row>
    <row r="253" spans="1:7">
      <c r="A253" s="3249" t="s">
        <v>305</v>
      </c>
      <c r="B253" s="3238" t="s">
        <v>283</v>
      </c>
      <c r="C253" s="3239">
        <v>0.14199999999999999</v>
      </c>
      <c r="D253" s="3239">
        <v>0.14199999999999999</v>
      </c>
      <c r="E253" s="3239">
        <v>0.14599999999999999</v>
      </c>
      <c r="F253" s="3239">
        <v>0.14799999999999999</v>
      </c>
      <c r="G253" s="3240">
        <v>0.14499999999999999</v>
      </c>
    </row>
    <row r="254" spans="1:7">
      <c r="A254" s="3249" t="s">
        <v>305</v>
      </c>
      <c r="B254" s="3238" t="s">
        <v>286</v>
      </c>
      <c r="C254" s="3239">
        <v>0.15</v>
      </c>
      <c r="D254" s="3239">
        <v>0.15</v>
      </c>
      <c r="E254" s="3239">
        <v>0.15</v>
      </c>
      <c r="F254" s="3239">
        <v>0.15</v>
      </c>
      <c r="G254" s="3240">
        <v>0.15</v>
      </c>
    </row>
    <row r="255" spans="1:7">
      <c r="A255" s="3249" t="s">
        <v>305</v>
      </c>
      <c r="B255" s="3238" t="s">
        <v>289</v>
      </c>
      <c r="C255" s="3239">
        <v>0.14299999999999999</v>
      </c>
      <c r="D255" s="3239">
        <v>0.14299999999999999</v>
      </c>
      <c r="E255" s="3239">
        <v>0.15</v>
      </c>
      <c r="F255" s="3239">
        <v>0.15</v>
      </c>
      <c r="G255" s="3240">
        <v>0.14499999999999999</v>
      </c>
    </row>
    <row r="256" spans="1:7">
      <c r="A256" s="3249" t="s">
        <v>305</v>
      </c>
      <c r="B256" s="3238" t="s">
        <v>2910</v>
      </c>
      <c r="C256" s="3239">
        <v>0.15</v>
      </c>
      <c r="D256" s="3239">
        <v>0.15</v>
      </c>
      <c r="E256" s="3239">
        <v>0.15</v>
      </c>
      <c r="F256" s="3239">
        <v>0.14599999999999999</v>
      </c>
      <c r="G256" s="3240">
        <v>0.15</v>
      </c>
    </row>
    <row r="257" spans="1:7">
      <c r="A257" s="3249" t="s">
        <v>305</v>
      </c>
      <c r="B257" s="3238" t="s">
        <v>275</v>
      </c>
      <c r="C257" s="3239">
        <v>0.14199999999999999</v>
      </c>
      <c r="D257" s="3239">
        <v>0.14299999999999999</v>
      </c>
      <c r="E257" s="3239">
        <v>0.14799999999999999</v>
      </c>
      <c r="F257" s="3239">
        <v>0.15</v>
      </c>
      <c r="G257" s="3240">
        <v>0.14499999999999999</v>
      </c>
    </row>
    <row r="258" spans="1:7">
      <c r="A258" s="3249" t="s">
        <v>305</v>
      </c>
      <c r="B258" s="3238" t="s">
        <v>2919</v>
      </c>
      <c r="C258" s="3239">
        <v>0.14299999999999999</v>
      </c>
      <c r="D258" s="3239">
        <v>0.14299999999999999</v>
      </c>
      <c r="E258" s="3239">
        <v>0.15</v>
      </c>
      <c r="F258" s="3239">
        <v>0.14799999999999999</v>
      </c>
      <c r="G258" s="3240">
        <v>0.14599999999999999</v>
      </c>
    </row>
    <row r="259" spans="1:7">
      <c r="A259" s="3249" t="s">
        <v>305</v>
      </c>
      <c r="B259" s="3238" t="s">
        <v>2923</v>
      </c>
      <c r="C259" s="3239">
        <v>0.14399999999999999</v>
      </c>
      <c r="D259" s="3239">
        <v>0.14399999999999999</v>
      </c>
      <c r="E259" s="3239">
        <v>0.14899999999999999</v>
      </c>
      <c r="F259" s="3239">
        <v>0.14699999999999999</v>
      </c>
      <c r="G259" s="3240">
        <v>0.14599999999999999</v>
      </c>
    </row>
    <row r="260" spans="1:7">
      <c r="A260" s="3249" t="s">
        <v>305</v>
      </c>
      <c r="B260" s="3238" t="s">
        <v>2930</v>
      </c>
      <c r="C260" s="3239">
        <v>0.109</v>
      </c>
      <c r="D260" s="3239">
        <v>0.111</v>
      </c>
      <c r="E260" s="3239">
        <v>0.13100000000000001</v>
      </c>
      <c r="F260" s="3239">
        <v>0.126</v>
      </c>
      <c r="G260" s="3240">
        <v>0.11899999999999999</v>
      </c>
    </row>
    <row r="261" spans="1:7">
      <c r="A261" s="3249" t="s">
        <v>305</v>
      </c>
      <c r="B261" s="3238" t="s">
        <v>2937</v>
      </c>
      <c r="C261" s="3239">
        <v>0.1</v>
      </c>
      <c r="D261" s="3239">
        <v>0.1</v>
      </c>
      <c r="E261" s="3239">
        <v>0.11799999999999999</v>
      </c>
      <c r="F261" s="3239">
        <v>0.108</v>
      </c>
      <c r="G261" s="3240">
        <v>0.107</v>
      </c>
    </row>
    <row r="262" spans="1:7">
      <c r="A262" s="3249" t="s">
        <v>305</v>
      </c>
      <c r="B262" s="3238" t="s">
        <v>2943</v>
      </c>
      <c r="C262" s="3239">
        <v>0.1</v>
      </c>
      <c r="D262" s="3239">
        <v>0.1</v>
      </c>
      <c r="E262" s="3239">
        <v>0.1</v>
      </c>
      <c r="F262" s="3239">
        <v>0.14099999999999999</v>
      </c>
      <c r="G262" s="3240">
        <v>0.1</v>
      </c>
    </row>
    <row r="263" spans="1:7">
      <c r="A263" s="3249" t="s">
        <v>305</v>
      </c>
      <c r="B263" s="3238" t="s">
        <v>2950</v>
      </c>
      <c r="C263" s="3239">
        <v>0.14799999999999999</v>
      </c>
      <c r="D263" s="3239">
        <v>0.14799999999999999</v>
      </c>
      <c r="E263" s="3239">
        <v>0.15</v>
      </c>
      <c r="F263" s="3239">
        <v>0.14699999999999999</v>
      </c>
      <c r="G263" s="3240">
        <v>0.15</v>
      </c>
    </row>
    <row r="264" spans="1:7">
      <c r="A264" s="3249" t="s">
        <v>305</v>
      </c>
      <c r="B264" s="3238" t="s">
        <v>299</v>
      </c>
      <c r="C264" s="3239">
        <v>0.14299999999999999</v>
      </c>
      <c r="D264" s="3239">
        <v>0.14299999999999999</v>
      </c>
      <c r="E264" s="3239">
        <v>0.15</v>
      </c>
      <c r="F264" s="3239">
        <v>0.14899999999999999</v>
      </c>
      <c r="G264" s="3240">
        <v>0.14599999999999999</v>
      </c>
    </row>
    <row r="265" spans="1:7">
      <c r="A265" s="3249" t="s">
        <v>305</v>
      </c>
      <c r="B265" s="3238" t="s">
        <v>2961</v>
      </c>
      <c r="C265" s="3250"/>
      <c r="D265" s="3250"/>
      <c r="E265" s="3250"/>
      <c r="F265" s="3239">
        <v>0.05</v>
      </c>
      <c r="G265" s="3256"/>
    </row>
    <row r="266" spans="1:7">
      <c r="A266" s="3249" t="s">
        <v>305</v>
      </c>
      <c r="B266" s="3238" t="s">
        <v>2965</v>
      </c>
      <c r="C266" s="3250"/>
      <c r="D266" s="3250"/>
      <c r="E266" s="3250"/>
      <c r="F266" s="3239">
        <v>0.05</v>
      </c>
      <c r="G266" s="3256"/>
    </row>
    <row r="267" spans="1:7">
      <c r="A267" s="3249" t="s">
        <v>305</v>
      </c>
      <c r="B267" s="3238" t="s">
        <v>2970</v>
      </c>
      <c r="C267" s="3250"/>
      <c r="D267" s="3250"/>
      <c r="E267" s="3250"/>
      <c r="F267" s="3239">
        <v>0.05</v>
      </c>
      <c r="G267" s="3256"/>
    </row>
    <row r="268" spans="1:7">
      <c r="A268" s="3249" t="s">
        <v>305</v>
      </c>
      <c r="B268" s="3238" t="s">
        <v>2975</v>
      </c>
      <c r="C268" s="3250"/>
      <c r="D268" s="3250"/>
      <c r="E268" s="3250"/>
      <c r="F268" s="3239">
        <v>0.05</v>
      </c>
      <c r="G268" s="3256"/>
    </row>
    <row r="269" spans="1:7">
      <c r="A269" s="3249" t="s">
        <v>305</v>
      </c>
      <c r="B269" s="3238" t="s">
        <v>2980</v>
      </c>
      <c r="C269" s="3250"/>
      <c r="D269" s="3250"/>
      <c r="E269" s="3250"/>
      <c r="F269" s="3239">
        <v>0.05</v>
      </c>
      <c r="G269" s="3256"/>
    </row>
    <row r="270" spans="1:7">
      <c r="A270" s="3249" t="s">
        <v>305</v>
      </c>
      <c r="B270" s="3238" t="s">
        <v>2985</v>
      </c>
      <c r="C270" s="3250"/>
      <c r="D270" s="3250"/>
      <c r="E270" s="3250"/>
      <c r="F270" s="3239">
        <v>0.05</v>
      </c>
      <c r="G270" s="3256"/>
    </row>
    <row r="271" spans="1:7">
      <c r="A271" s="3249" t="s">
        <v>305</v>
      </c>
      <c r="B271" s="3238" t="s">
        <v>3189</v>
      </c>
      <c r="C271" s="3250"/>
      <c r="D271" s="3250"/>
      <c r="E271" s="3250"/>
      <c r="F271" s="3239">
        <v>0.05</v>
      </c>
      <c r="G271" s="3256"/>
    </row>
    <row r="272" spans="1:7">
      <c r="A272" s="3249" t="s">
        <v>305</v>
      </c>
      <c r="B272" s="3238" t="s">
        <v>3190</v>
      </c>
      <c r="C272" s="3250"/>
      <c r="D272" s="3250"/>
      <c r="E272" s="3250"/>
      <c r="F272" s="3239">
        <v>0.05</v>
      </c>
      <c r="G272" s="3256"/>
    </row>
    <row r="273" spans="1:7">
      <c r="A273" s="3249" t="s">
        <v>305</v>
      </c>
      <c r="B273" s="3238" t="s">
        <v>3191</v>
      </c>
      <c r="C273" s="3250"/>
      <c r="D273" s="3250"/>
      <c r="E273" s="3250"/>
      <c r="F273" s="3239">
        <v>0.05</v>
      </c>
      <c r="G273" s="3256"/>
    </row>
    <row r="274" spans="1:7">
      <c r="A274" s="3249" t="s">
        <v>305</v>
      </c>
      <c r="B274" s="3238" t="s">
        <v>3192</v>
      </c>
      <c r="C274" s="3250"/>
      <c r="D274" s="3250"/>
      <c r="E274" s="3250"/>
      <c r="F274" s="3239">
        <v>0.05</v>
      </c>
      <c r="G274" s="3256"/>
    </row>
    <row r="275" spans="1:7">
      <c r="A275" s="3249" t="s">
        <v>305</v>
      </c>
      <c r="B275" s="3238" t="s">
        <v>3193</v>
      </c>
      <c r="C275" s="3250"/>
      <c r="D275" s="3250"/>
      <c r="E275" s="3250"/>
      <c r="F275" s="3239">
        <v>0.05</v>
      </c>
      <c r="G275" s="3256"/>
    </row>
    <row r="276" spans="1:7" ht="14.25" thickBot="1">
      <c r="A276" s="3252" t="s">
        <v>305</v>
      </c>
      <c r="B276" s="3242" t="s">
        <v>3194</v>
      </c>
      <c r="C276" s="3244"/>
      <c r="D276" s="3244"/>
      <c r="E276" s="3244"/>
      <c r="F276" s="3243">
        <v>0.05</v>
      </c>
      <c r="G276" s="3257"/>
    </row>
    <row r="277" spans="1:7">
      <c r="A277" s="3248" t="s">
        <v>306</v>
      </c>
      <c r="B277" s="3234" t="s">
        <v>2838</v>
      </c>
      <c r="C277" s="3235">
        <v>0.15</v>
      </c>
      <c r="D277" s="3235">
        <v>0.15</v>
      </c>
      <c r="E277" s="3235">
        <v>0.15</v>
      </c>
      <c r="F277" s="3235">
        <v>0.15</v>
      </c>
      <c r="G277" s="3236">
        <v>0.15</v>
      </c>
    </row>
    <row r="278" spans="1:7">
      <c r="A278" s="3249" t="s">
        <v>306</v>
      </c>
      <c r="B278" s="3238" t="s">
        <v>135</v>
      </c>
      <c r="C278" s="3239">
        <v>0.15</v>
      </c>
      <c r="D278" s="3239">
        <v>0.15</v>
      </c>
      <c r="E278" s="3239">
        <v>0.15</v>
      </c>
      <c r="F278" s="3239">
        <v>0.15</v>
      </c>
      <c r="G278" s="3240">
        <v>0.15</v>
      </c>
    </row>
    <row r="279" spans="1:7">
      <c r="A279" s="3249" t="s">
        <v>306</v>
      </c>
      <c r="B279" s="3238" t="s">
        <v>2850</v>
      </c>
      <c r="C279" s="3239">
        <v>0.15</v>
      </c>
      <c r="D279" s="3239">
        <v>0.15</v>
      </c>
      <c r="E279" s="3239">
        <v>0.15</v>
      </c>
      <c r="F279" s="3239">
        <v>0.15</v>
      </c>
      <c r="G279" s="3240">
        <v>0.15</v>
      </c>
    </row>
    <row r="280" spans="1:7">
      <c r="A280" s="3249" t="s">
        <v>306</v>
      </c>
      <c r="B280" s="3238" t="s">
        <v>2854</v>
      </c>
      <c r="C280" s="3239">
        <v>0.15</v>
      </c>
      <c r="D280" s="3239">
        <v>0.15</v>
      </c>
      <c r="E280" s="3239">
        <v>0.15</v>
      </c>
      <c r="F280" s="3239">
        <v>0.15</v>
      </c>
      <c r="G280" s="3240">
        <v>0.15</v>
      </c>
    </row>
    <row r="281" spans="1:7">
      <c r="A281" s="3249" t="s">
        <v>306</v>
      </c>
      <c r="B281" s="3238" t="s">
        <v>2858</v>
      </c>
      <c r="C281" s="3239">
        <v>0.15</v>
      </c>
      <c r="D281" s="3239">
        <v>0.15</v>
      </c>
      <c r="E281" s="3239">
        <v>0.15</v>
      </c>
      <c r="F281" s="3239">
        <v>0.15</v>
      </c>
      <c r="G281" s="3240">
        <v>0.15</v>
      </c>
    </row>
    <row r="282" spans="1:7">
      <c r="A282" s="3249" t="s">
        <v>306</v>
      </c>
      <c r="B282" s="3238" t="s">
        <v>2862</v>
      </c>
      <c r="C282" s="3239">
        <v>0.15</v>
      </c>
      <c r="D282" s="3239">
        <v>0.15</v>
      </c>
      <c r="E282" s="3239">
        <v>0.15</v>
      </c>
      <c r="F282" s="3239">
        <v>0.14499999999999999</v>
      </c>
      <c r="G282" s="3240">
        <v>0.15</v>
      </c>
    </row>
    <row r="283" spans="1:7">
      <c r="A283" s="3249" t="s">
        <v>306</v>
      </c>
      <c r="B283" s="3238" t="s">
        <v>174</v>
      </c>
      <c r="C283" s="3239">
        <v>0.15</v>
      </c>
      <c r="D283" s="3239">
        <v>0.15</v>
      </c>
      <c r="E283" s="3239">
        <v>0.15</v>
      </c>
      <c r="F283" s="3239">
        <v>0.14199999999999999</v>
      </c>
      <c r="G283" s="3240">
        <v>0.15</v>
      </c>
    </row>
    <row r="284" spans="1:7">
      <c r="A284" s="3249" t="s">
        <v>306</v>
      </c>
      <c r="B284" s="3238" t="s">
        <v>182</v>
      </c>
      <c r="C284" s="3239">
        <v>0.15</v>
      </c>
      <c r="D284" s="3239">
        <v>0.15</v>
      </c>
      <c r="E284" s="3239">
        <v>0.15</v>
      </c>
      <c r="F284" s="3239">
        <v>0.15</v>
      </c>
      <c r="G284" s="3240">
        <v>0.15</v>
      </c>
    </row>
    <row r="285" spans="1:7">
      <c r="A285" s="3249" t="s">
        <v>306</v>
      </c>
      <c r="B285" s="3238" t="s">
        <v>192</v>
      </c>
      <c r="C285" s="3239">
        <v>0.15</v>
      </c>
      <c r="D285" s="3239">
        <v>0.15</v>
      </c>
      <c r="E285" s="3239">
        <v>0.15</v>
      </c>
      <c r="F285" s="3239">
        <v>0.15</v>
      </c>
      <c r="G285" s="3240">
        <v>0.15</v>
      </c>
    </row>
    <row r="286" spans="1:7">
      <c r="A286" s="3249" t="s">
        <v>306</v>
      </c>
      <c r="B286" s="3238" t="s">
        <v>199</v>
      </c>
      <c r="C286" s="3239">
        <v>0.14499999999999999</v>
      </c>
      <c r="D286" s="3239">
        <v>0.14499999999999999</v>
      </c>
      <c r="E286" s="3239">
        <v>0.15</v>
      </c>
      <c r="F286" s="3239">
        <v>0.14099999999999999</v>
      </c>
      <c r="G286" s="3240">
        <v>0.14499999999999999</v>
      </c>
    </row>
    <row r="287" spans="1:7">
      <c r="A287" s="3249" t="s">
        <v>306</v>
      </c>
      <c r="B287" s="3238" t="s">
        <v>2877</v>
      </c>
      <c r="C287" s="3239">
        <v>0.11</v>
      </c>
      <c r="D287" s="3239">
        <v>0.111</v>
      </c>
      <c r="E287" s="3239">
        <v>0.14099999999999999</v>
      </c>
      <c r="F287" s="3239">
        <v>0.11</v>
      </c>
      <c r="G287" s="3240">
        <v>0.12</v>
      </c>
    </row>
    <row r="288" spans="1:7">
      <c r="A288" s="3249" t="s">
        <v>306</v>
      </c>
      <c r="B288" s="3238" t="s">
        <v>219</v>
      </c>
      <c r="C288" s="3239">
        <v>0.14199999999999999</v>
      </c>
      <c r="D288" s="3239">
        <v>0.14299999999999999</v>
      </c>
      <c r="E288" s="3239">
        <v>0.15</v>
      </c>
      <c r="F288" s="3239">
        <v>0.14199999999999999</v>
      </c>
      <c r="G288" s="3240">
        <v>0.14399999999999999</v>
      </c>
    </row>
    <row r="289" spans="1:7">
      <c r="A289" s="3249" t="s">
        <v>306</v>
      </c>
      <c r="B289" s="3238" t="s">
        <v>2882</v>
      </c>
      <c r="C289" s="3239">
        <v>0.14299999999999999</v>
      </c>
      <c r="D289" s="3239">
        <v>0.14299999999999999</v>
      </c>
      <c r="E289" s="3239">
        <v>0.14799999999999999</v>
      </c>
      <c r="F289" s="3239">
        <v>0.14399999999999999</v>
      </c>
      <c r="G289" s="3240">
        <v>0.14399999999999999</v>
      </c>
    </row>
    <row r="290" spans="1:7">
      <c r="A290" s="3249" t="s">
        <v>306</v>
      </c>
      <c r="B290" s="3238" t="s">
        <v>242</v>
      </c>
      <c r="C290" s="3239">
        <v>0.14799999999999999</v>
      </c>
      <c r="D290" s="3239">
        <v>0.14899999999999999</v>
      </c>
      <c r="E290" s="3239">
        <v>0.15</v>
      </c>
      <c r="F290" s="3239">
        <v>0.127</v>
      </c>
      <c r="G290" s="3240">
        <v>0.15</v>
      </c>
    </row>
    <row r="291" spans="1:7">
      <c r="A291" s="3249" t="s">
        <v>306</v>
      </c>
      <c r="B291" s="3238" t="s">
        <v>250</v>
      </c>
      <c r="C291" s="3239">
        <v>0.15</v>
      </c>
      <c r="D291" s="3239">
        <v>0.15</v>
      </c>
      <c r="E291" s="3239">
        <v>0.15</v>
      </c>
      <c r="F291" s="3239">
        <v>0.14899999999999999</v>
      </c>
      <c r="G291" s="3240">
        <v>0.15</v>
      </c>
    </row>
    <row r="292" spans="1:7">
      <c r="A292" s="3249" t="s">
        <v>306</v>
      </c>
      <c r="B292" s="3238" t="s">
        <v>256</v>
      </c>
      <c r="C292" s="3239">
        <v>0.15</v>
      </c>
      <c r="D292" s="3239">
        <v>0.15</v>
      </c>
      <c r="E292" s="3239">
        <v>0.15</v>
      </c>
      <c r="F292" s="3239">
        <v>0.14399999999999999</v>
      </c>
      <c r="G292" s="3240">
        <v>0.15</v>
      </c>
    </row>
    <row r="293" spans="1:7">
      <c r="A293" s="3249" t="s">
        <v>306</v>
      </c>
      <c r="B293" s="3238" t="s">
        <v>2892</v>
      </c>
      <c r="C293" s="3239">
        <v>0.15</v>
      </c>
      <c r="D293" s="3239">
        <v>0.15</v>
      </c>
      <c r="E293" s="3239">
        <v>0.15</v>
      </c>
      <c r="F293" s="3239">
        <v>0.14499999999999999</v>
      </c>
      <c r="G293" s="3240">
        <v>0.15</v>
      </c>
    </row>
    <row r="294" spans="1:7">
      <c r="A294" s="3249" t="s">
        <v>306</v>
      </c>
      <c r="B294" s="3238" t="s">
        <v>2894</v>
      </c>
      <c r="C294" s="3239">
        <v>0.15</v>
      </c>
      <c r="D294" s="3239">
        <v>0.15</v>
      </c>
      <c r="E294" s="3239">
        <v>0.15</v>
      </c>
      <c r="F294" s="3239">
        <v>0.14899999999999999</v>
      </c>
      <c r="G294" s="3240">
        <v>0.15</v>
      </c>
    </row>
    <row r="295" spans="1:7">
      <c r="A295" s="3249" t="s">
        <v>306</v>
      </c>
      <c r="B295" s="3238" t="s">
        <v>290</v>
      </c>
      <c r="C295" s="3239">
        <v>0.15</v>
      </c>
      <c r="D295" s="3239">
        <v>0.15</v>
      </c>
      <c r="E295" s="3239">
        <v>0.15</v>
      </c>
      <c r="F295" s="3239">
        <v>0.14799999999999999</v>
      </c>
      <c r="G295" s="3240">
        <v>0.15</v>
      </c>
    </row>
    <row r="296" spans="1:7">
      <c r="A296" s="3249" t="s">
        <v>306</v>
      </c>
      <c r="B296" s="3238" t="s">
        <v>293</v>
      </c>
      <c r="C296" s="3239">
        <v>0.15</v>
      </c>
      <c r="D296" s="3239">
        <v>0.15</v>
      </c>
      <c r="E296" s="3239">
        <v>0.15</v>
      </c>
      <c r="F296" s="3239">
        <v>0.14399999999999999</v>
      </c>
      <c r="G296" s="3240">
        <v>0.15</v>
      </c>
    </row>
    <row r="297" spans="1:7">
      <c r="A297" s="3249" t="s">
        <v>306</v>
      </c>
      <c r="B297" s="3238" t="s">
        <v>295</v>
      </c>
      <c r="C297" s="3239">
        <v>0.15</v>
      </c>
      <c r="D297" s="3239">
        <v>0.15</v>
      </c>
      <c r="E297" s="3239">
        <v>0.15</v>
      </c>
      <c r="F297" s="3239">
        <v>0.14499999999999999</v>
      </c>
      <c r="G297" s="3240">
        <v>0.15</v>
      </c>
    </row>
    <row r="298" spans="1:7">
      <c r="A298" s="3249" t="s">
        <v>306</v>
      </c>
      <c r="B298" s="3238" t="s">
        <v>298</v>
      </c>
      <c r="C298" s="3239">
        <v>0.15</v>
      </c>
      <c r="D298" s="3239">
        <v>0.15</v>
      </c>
      <c r="E298" s="3239">
        <v>0.15</v>
      </c>
      <c r="F298" s="3239">
        <v>0.15</v>
      </c>
      <c r="G298" s="3240">
        <v>0.15</v>
      </c>
    </row>
    <row r="299" spans="1:7">
      <c r="A299" s="3249" t="s">
        <v>306</v>
      </c>
      <c r="B299" s="3258" t="s">
        <v>2911</v>
      </c>
      <c r="C299" s="3239">
        <v>0.15</v>
      </c>
      <c r="D299" s="3239">
        <v>0.15</v>
      </c>
      <c r="E299" s="3239">
        <v>0.15</v>
      </c>
      <c r="F299" s="3239">
        <v>0.14499999999999999</v>
      </c>
      <c r="G299" s="3240">
        <v>0.15</v>
      </c>
    </row>
    <row r="300" spans="1:7">
      <c r="A300" s="3249" t="s">
        <v>306</v>
      </c>
      <c r="B300" s="3258" t="s">
        <v>271</v>
      </c>
      <c r="C300" s="3239">
        <v>0.15</v>
      </c>
      <c r="D300" s="3239">
        <v>0.15</v>
      </c>
      <c r="E300" s="3239">
        <v>0.15</v>
      </c>
      <c r="F300" s="3239">
        <v>0.14599999999999999</v>
      </c>
      <c r="G300" s="3240">
        <v>0.15</v>
      </c>
    </row>
    <row r="301" spans="1:7">
      <c r="A301" s="3249" t="s">
        <v>306</v>
      </c>
      <c r="B301" s="3258" t="s">
        <v>276</v>
      </c>
      <c r="C301" s="3239">
        <v>0.126</v>
      </c>
      <c r="D301" s="3239">
        <v>0.124</v>
      </c>
      <c r="E301" s="3239">
        <v>0.14099999999999999</v>
      </c>
      <c r="F301" s="3239">
        <v>0.14399999999999999</v>
      </c>
      <c r="G301" s="3240">
        <v>0.13</v>
      </c>
    </row>
    <row r="302" spans="1:7">
      <c r="A302" s="3249" t="s">
        <v>306</v>
      </c>
      <c r="B302" s="3238" t="s">
        <v>2924</v>
      </c>
      <c r="C302" s="3239">
        <v>0.15</v>
      </c>
      <c r="D302" s="3239">
        <v>0.15</v>
      </c>
      <c r="E302" s="3239">
        <v>0.15</v>
      </c>
      <c r="F302" s="3239">
        <v>0.14699999999999999</v>
      </c>
      <c r="G302" s="3240">
        <v>0.15</v>
      </c>
    </row>
    <row r="303" spans="1:7">
      <c r="A303" s="3249" t="s">
        <v>306</v>
      </c>
      <c r="B303" s="3238" t="s">
        <v>2931</v>
      </c>
      <c r="C303" s="3239">
        <v>0.15</v>
      </c>
      <c r="D303" s="3239">
        <v>0.15</v>
      </c>
      <c r="E303" s="3239">
        <v>0.15</v>
      </c>
      <c r="F303" s="3239">
        <v>0.14199999999999999</v>
      </c>
      <c r="G303" s="3240">
        <v>0.15</v>
      </c>
    </row>
    <row r="304" spans="1:7">
      <c r="A304" s="3249" t="s">
        <v>306</v>
      </c>
      <c r="B304" s="3238" t="s">
        <v>2938</v>
      </c>
      <c r="C304" s="3239">
        <v>0.15</v>
      </c>
      <c r="D304" s="3239">
        <v>0.15</v>
      </c>
      <c r="E304" s="3239">
        <v>0.15</v>
      </c>
      <c r="F304" s="3239">
        <v>0.14499999999999999</v>
      </c>
      <c r="G304" s="3240">
        <v>0.15</v>
      </c>
    </row>
    <row r="305" spans="1:7">
      <c r="A305" s="3249" t="s">
        <v>306</v>
      </c>
      <c r="B305" s="3238" t="s">
        <v>2944</v>
      </c>
      <c r="C305" s="3239">
        <v>0.15</v>
      </c>
      <c r="D305" s="3239">
        <v>0.15</v>
      </c>
      <c r="E305" s="3239">
        <v>0.15</v>
      </c>
      <c r="F305" s="3239">
        <v>0.111</v>
      </c>
      <c r="G305" s="3240">
        <v>0.15</v>
      </c>
    </row>
    <row r="306" spans="1:7">
      <c r="A306" s="3249" t="s">
        <v>306</v>
      </c>
      <c r="B306" s="3238" t="s">
        <v>2951</v>
      </c>
      <c r="C306" s="3239">
        <v>0.15</v>
      </c>
      <c r="D306" s="3239">
        <v>0.15</v>
      </c>
      <c r="E306" s="3239">
        <v>0.15</v>
      </c>
      <c r="F306" s="3239">
        <v>0.126</v>
      </c>
      <c r="G306" s="3240">
        <v>0.15</v>
      </c>
    </row>
    <row r="307" spans="1:7">
      <c r="A307" s="3249" t="s">
        <v>306</v>
      </c>
      <c r="B307" s="3238" t="s">
        <v>2956</v>
      </c>
      <c r="C307" s="3239">
        <v>0.15</v>
      </c>
      <c r="D307" s="3239">
        <v>0.15</v>
      </c>
      <c r="E307" s="3239">
        <v>0.15</v>
      </c>
      <c r="F307" s="3239">
        <v>0.12</v>
      </c>
      <c r="G307" s="3240">
        <v>0.15</v>
      </c>
    </row>
    <row r="308" spans="1:7">
      <c r="A308" s="3249" t="s">
        <v>306</v>
      </c>
      <c r="B308" s="3238" t="s">
        <v>2962</v>
      </c>
      <c r="C308" s="3239">
        <v>0.15</v>
      </c>
      <c r="D308" s="3239">
        <v>0.15</v>
      </c>
      <c r="E308" s="3239">
        <v>0.15</v>
      </c>
      <c r="F308" s="3239">
        <v>0.13</v>
      </c>
      <c r="G308" s="3240">
        <v>0.15</v>
      </c>
    </row>
    <row r="309" spans="1:7">
      <c r="A309" s="3249" t="s">
        <v>306</v>
      </c>
      <c r="B309" s="3238" t="s">
        <v>2966</v>
      </c>
      <c r="C309" s="3239">
        <v>0.15</v>
      </c>
      <c r="D309" s="3239">
        <v>0.15</v>
      </c>
      <c r="E309" s="3239">
        <v>0.15</v>
      </c>
      <c r="F309" s="3239">
        <v>0.14099999999999999</v>
      </c>
      <c r="G309" s="3240">
        <v>0.15</v>
      </c>
    </row>
    <row r="310" spans="1:7">
      <c r="A310" s="3249" t="s">
        <v>306</v>
      </c>
      <c r="B310" s="3238" t="s">
        <v>2971</v>
      </c>
      <c r="C310" s="3239">
        <v>0.15</v>
      </c>
      <c r="D310" s="3239">
        <v>0.15</v>
      </c>
      <c r="E310" s="3239">
        <v>0.15</v>
      </c>
      <c r="F310" s="3239">
        <v>0.15</v>
      </c>
      <c r="G310" s="3240">
        <v>0.15</v>
      </c>
    </row>
    <row r="311" spans="1:7">
      <c r="A311" s="3249" t="s">
        <v>306</v>
      </c>
      <c r="B311" s="3238" t="s">
        <v>2976</v>
      </c>
      <c r="C311" s="3239">
        <v>0.13200000000000001</v>
      </c>
      <c r="D311" s="3239">
        <v>0.13300000000000001</v>
      </c>
      <c r="E311" s="3239">
        <v>0.14499999999999999</v>
      </c>
      <c r="F311" s="3239">
        <v>0.14199999999999999</v>
      </c>
      <c r="G311" s="3240">
        <v>0.14000000000000001</v>
      </c>
    </row>
    <row r="312" spans="1:7">
      <c r="A312" s="3249" t="s">
        <v>306</v>
      </c>
      <c r="B312" s="3238" t="s">
        <v>2981</v>
      </c>
      <c r="C312" s="3239">
        <v>0.13800000000000001</v>
      </c>
      <c r="D312" s="3239">
        <v>0.14000000000000001</v>
      </c>
      <c r="E312" s="3239">
        <v>0.14599999999999999</v>
      </c>
      <c r="F312" s="3239">
        <v>0.14899999999999999</v>
      </c>
      <c r="G312" s="3240">
        <v>0.14199999999999999</v>
      </c>
    </row>
    <row r="313" spans="1:7">
      <c r="A313" s="3249" t="s">
        <v>306</v>
      </c>
      <c r="B313" s="3238" t="s">
        <v>2986</v>
      </c>
      <c r="C313" s="3239">
        <v>0.125</v>
      </c>
      <c r="D313" s="3239">
        <v>0.127</v>
      </c>
      <c r="E313" s="3239">
        <v>0.14399999999999999</v>
      </c>
      <c r="F313" s="3239">
        <v>0.115</v>
      </c>
      <c r="G313" s="3240">
        <v>0.13600000000000001</v>
      </c>
    </row>
    <row r="314" spans="1:7">
      <c r="A314" s="3249" t="s">
        <v>306</v>
      </c>
      <c r="B314" s="3238" t="s">
        <v>3195</v>
      </c>
      <c r="C314" s="3255"/>
      <c r="D314" s="3255"/>
      <c r="E314" s="3255"/>
      <c r="F314" s="3239">
        <v>0.05</v>
      </c>
      <c r="G314" s="3256"/>
    </row>
    <row r="315" spans="1:7">
      <c r="A315" s="3249" t="s">
        <v>306</v>
      </c>
      <c r="B315" s="3238" t="s">
        <v>3196</v>
      </c>
      <c r="C315" s="3255"/>
      <c r="D315" s="3255"/>
      <c r="E315" s="3255"/>
      <c r="F315" s="3239">
        <v>0.05</v>
      </c>
      <c r="G315" s="3256"/>
    </row>
    <row r="316" spans="1:7">
      <c r="A316" s="3249" t="s">
        <v>306</v>
      </c>
      <c r="B316" s="3238" t="s">
        <v>3197</v>
      </c>
      <c r="C316" s="3250"/>
      <c r="D316" s="3250"/>
      <c r="E316" s="3250"/>
      <c r="F316" s="3239">
        <v>0.05</v>
      </c>
      <c r="G316" s="3256"/>
    </row>
    <row r="317" spans="1:7">
      <c r="A317" s="3249" t="s">
        <v>306</v>
      </c>
      <c r="B317" s="3238" t="s">
        <v>3198</v>
      </c>
      <c r="C317" s="3250"/>
      <c r="D317" s="3250"/>
      <c r="E317" s="3250"/>
      <c r="F317" s="3239">
        <v>0.05</v>
      </c>
      <c r="G317" s="3256"/>
    </row>
    <row r="318" spans="1:7">
      <c r="A318" s="3249" t="s">
        <v>306</v>
      </c>
      <c r="B318" s="3238" t="s">
        <v>3199</v>
      </c>
      <c r="C318" s="3250"/>
      <c r="D318" s="3250"/>
      <c r="E318" s="3250"/>
      <c r="F318" s="3239">
        <v>0.05</v>
      </c>
      <c r="G318" s="3256"/>
    </row>
    <row r="319" spans="1:7">
      <c r="A319" s="3249" t="s">
        <v>306</v>
      </c>
      <c r="B319" s="3238" t="s">
        <v>3200</v>
      </c>
      <c r="C319" s="3250"/>
      <c r="D319" s="3250"/>
      <c r="E319" s="3250"/>
      <c r="F319" s="3239">
        <v>0.05</v>
      </c>
      <c r="G319" s="3256"/>
    </row>
    <row r="320" spans="1:7">
      <c r="A320" s="3249" t="s">
        <v>306</v>
      </c>
      <c r="B320" s="3238" t="s">
        <v>3201</v>
      </c>
      <c r="C320" s="3250"/>
      <c r="D320" s="3250"/>
      <c r="E320" s="3250"/>
      <c r="F320" s="3239">
        <v>0.05</v>
      </c>
      <c r="G320" s="3256"/>
    </row>
    <row r="321" spans="1:7">
      <c r="A321" s="3249" t="s">
        <v>306</v>
      </c>
      <c r="B321" s="3238" t="s">
        <v>3202</v>
      </c>
      <c r="C321" s="3250"/>
      <c r="D321" s="3250"/>
      <c r="E321" s="3250"/>
      <c r="F321" s="3239">
        <v>0.05</v>
      </c>
      <c r="G321" s="3256"/>
    </row>
    <row r="322" spans="1:7">
      <c r="A322" s="3249" t="s">
        <v>306</v>
      </c>
      <c r="B322" s="3238" t="s">
        <v>3203</v>
      </c>
      <c r="C322" s="3250"/>
      <c r="D322" s="3250"/>
      <c r="E322" s="3250"/>
      <c r="F322" s="3239">
        <v>0.05</v>
      </c>
      <c r="G322" s="3256"/>
    </row>
    <row r="323" spans="1:7">
      <c r="A323" s="3249" t="s">
        <v>306</v>
      </c>
      <c r="B323" s="3238" t="s">
        <v>3204</v>
      </c>
      <c r="C323" s="3250"/>
      <c r="D323" s="3250"/>
      <c r="E323" s="3250"/>
      <c r="F323" s="3239">
        <v>0.05</v>
      </c>
      <c r="G323" s="3256"/>
    </row>
    <row r="324" spans="1:7">
      <c r="A324" s="3249" t="s">
        <v>306</v>
      </c>
      <c r="B324" s="3238" t="s">
        <v>3205</v>
      </c>
      <c r="C324" s="3250"/>
      <c r="D324" s="3250"/>
      <c r="E324" s="3250"/>
      <c r="F324" s="3239">
        <v>0.05</v>
      </c>
      <c r="G324" s="3256"/>
    </row>
    <row r="325" spans="1:7">
      <c r="A325" s="3249" t="s">
        <v>306</v>
      </c>
      <c r="B325" s="3238" t="s">
        <v>3206</v>
      </c>
      <c r="C325" s="3250"/>
      <c r="D325" s="3250"/>
      <c r="E325" s="3250"/>
      <c r="F325" s="3239">
        <v>0.05</v>
      </c>
      <c r="G325" s="3256"/>
    </row>
    <row r="326" spans="1:7" ht="14.25" thickBot="1">
      <c r="A326" s="3252" t="s">
        <v>306</v>
      </c>
      <c r="B326" s="3242" t="s">
        <v>3207</v>
      </c>
      <c r="C326" s="3244"/>
      <c r="D326" s="3244"/>
      <c r="E326" s="3244"/>
      <c r="F326" s="3243">
        <v>0.05</v>
      </c>
      <c r="G326" s="3257"/>
    </row>
    <row r="327" spans="1:7">
      <c r="A327" s="3248" t="s">
        <v>307</v>
      </c>
      <c r="B327" s="3234" t="s">
        <v>2839</v>
      </c>
      <c r="C327" s="3235">
        <v>0.15</v>
      </c>
      <c r="D327" s="3235">
        <v>0.15</v>
      </c>
      <c r="E327" s="3235">
        <v>0.15</v>
      </c>
      <c r="F327" s="3235">
        <v>0.15</v>
      </c>
      <c r="G327" s="3236">
        <v>0.15</v>
      </c>
    </row>
    <row r="328" spans="1:7">
      <c r="A328" s="3249" t="s">
        <v>307</v>
      </c>
      <c r="B328" s="3238" t="s">
        <v>136</v>
      </c>
      <c r="C328" s="3239">
        <v>0.15</v>
      </c>
      <c r="D328" s="3239">
        <v>0.15</v>
      </c>
      <c r="E328" s="3239">
        <v>0.15</v>
      </c>
      <c r="F328" s="3239">
        <v>0.126</v>
      </c>
      <c r="G328" s="3240">
        <v>0.15</v>
      </c>
    </row>
    <row r="329" spans="1:7">
      <c r="A329" s="3249" t="s">
        <v>307</v>
      </c>
      <c r="B329" s="3238" t="s">
        <v>2851</v>
      </c>
      <c r="C329" s="3239">
        <v>0.15</v>
      </c>
      <c r="D329" s="3239">
        <v>0.15</v>
      </c>
      <c r="E329" s="3239">
        <v>0.15</v>
      </c>
      <c r="F329" s="3239">
        <v>0.15</v>
      </c>
      <c r="G329" s="3240">
        <v>0.15</v>
      </c>
    </row>
    <row r="330" spans="1:7">
      <c r="A330" s="3249" t="s">
        <v>307</v>
      </c>
      <c r="B330" s="3238" t="s">
        <v>2855</v>
      </c>
      <c r="C330" s="3239">
        <v>0.15</v>
      </c>
      <c r="D330" s="3239">
        <v>0.15</v>
      </c>
      <c r="E330" s="3239">
        <v>0.15</v>
      </c>
      <c r="F330" s="3239">
        <v>0.15</v>
      </c>
      <c r="G330" s="3240">
        <v>0.15</v>
      </c>
    </row>
    <row r="331" spans="1:7">
      <c r="A331" s="3249" t="s">
        <v>307</v>
      </c>
      <c r="B331" s="3238" t="s">
        <v>161</v>
      </c>
      <c r="C331" s="3239">
        <v>0.15</v>
      </c>
      <c r="D331" s="3239">
        <v>0.15</v>
      </c>
      <c r="E331" s="3239">
        <v>0.15</v>
      </c>
      <c r="F331" s="3239">
        <v>0.15</v>
      </c>
      <c r="G331" s="3240">
        <v>0.15</v>
      </c>
    </row>
    <row r="332" spans="1:7">
      <c r="A332" s="3249" t="s">
        <v>307</v>
      </c>
      <c r="B332" s="3238" t="s">
        <v>2863</v>
      </c>
      <c r="C332" s="3239">
        <v>0.15</v>
      </c>
      <c r="D332" s="3239">
        <v>0.15</v>
      </c>
      <c r="E332" s="3239">
        <v>0.15</v>
      </c>
      <c r="F332" s="3239">
        <v>0.15</v>
      </c>
      <c r="G332" s="3240">
        <v>0.15</v>
      </c>
    </row>
    <row r="333" spans="1:7">
      <c r="A333" s="3249" t="s">
        <v>307</v>
      </c>
      <c r="B333" s="3238" t="s">
        <v>2867</v>
      </c>
      <c r="C333" s="3239">
        <v>0.14899999999999999</v>
      </c>
      <c r="D333" s="3239">
        <v>0.14899999999999999</v>
      </c>
      <c r="E333" s="3239">
        <v>0.15</v>
      </c>
      <c r="F333" s="3239">
        <v>0.11600000000000001</v>
      </c>
      <c r="G333" s="3240">
        <v>0.15</v>
      </c>
    </row>
    <row r="334" spans="1:7">
      <c r="A334" s="3249" t="s">
        <v>307</v>
      </c>
      <c r="B334" s="3238" t="s">
        <v>183</v>
      </c>
      <c r="C334" s="3239">
        <v>0.15</v>
      </c>
      <c r="D334" s="3239">
        <v>0.15</v>
      </c>
      <c r="E334" s="3239">
        <v>0.15</v>
      </c>
      <c r="F334" s="3239">
        <v>0.13</v>
      </c>
      <c r="G334" s="3240">
        <v>0.15</v>
      </c>
    </row>
    <row r="335" spans="1:7">
      <c r="A335" s="3249" t="s">
        <v>307</v>
      </c>
      <c r="B335" s="3238" t="s">
        <v>193</v>
      </c>
      <c r="C335" s="3239">
        <v>0.15</v>
      </c>
      <c r="D335" s="3239">
        <v>0.15</v>
      </c>
      <c r="E335" s="3239">
        <v>0.15</v>
      </c>
      <c r="F335" s="3239">
        <v>0.14399999999999999</v>
      </c>
      <c r="G335" s="3240">
        <v>0.15</v>
      </c>
    </row>
    <row r="336" spans="1:7">
      <c r="A336" s="3249" t="s">
        <v>307</v>
      </c>
      <c r="B336" s="3238" t="s">
        <v>2873</v>
      </c>
      <c r="C336" s="3239">
        <v>0.15</v>
      </c>
      <c r="D336" s="3239">
        <v>0.15</v>
      </c>
      <c r="E336" s="3239">
        <v>0.15</v>
      </c>
      <c r="F336" s="3239">
        <v>0.14199999999999999</v>
      </c>
      <c r="G336" s="3240">
        <v>0.15</v>
      </c>
    </row>
    <row r="337" spans="1:7">
      <c r="A337" s="3249" t="s">
        <v>307</v>
      </c>
      <c r="B337" s="3238" t="s">
        <v>2878</v>
      </c>
      <c r="C337" s="3239">
        <v>0.15</v>
      </c>
      <c r="D337" s="3239">
        <v>0.15</v>
      </c>
      <c r="E337" s="3239">
        <v>0.15</v>
      </c>
      <c r="F337" s="3239">
        <v>0.14499999999999999</v>
      </c>
      <c r="G337" s="3240">
        <v>0.15</v>
      </c>
    </row>
    <row r="338" spans="1:7">
      <c r="A338" s="3249" t="s">
        <v>307</v>
      </c>
      <c r="B338" s="3238" t="s">
        <v>220</v>
      </c>
      <c r="C338" s="3239">
        <v>0.15</v>
      </c>
      <c r="D338" s="3239">
        <v>0.15</v>
      </c>
      <c r="E338" s="3239">
        <v>0.15</v>
      </c>
      <c r="F338" s="3239">
        <v>0.15</v>
      </c>
      <c r="G338" s="3240">
        <v>0.15</v>
      </c>
    </row>
    <row r="339" spans="1:7">
      <c r="A339" s="3249" t="s">
        <v>307</v>
      </c>
      <c r="B339" s="3238" t="s">
        <v>228</v>
      </c>
      <c r="C339" s="3239">
        <v>0.15</v>
      </c>
      <c r="D339" s="3239">
        <v>0.15</v>
      </c>
      <c r="E339" s="3239">
        <v>0.15</v>
      </c>
      <c r="F339" s="3239">
        <v>0.14699999999999999</v>
      </c>
      <c r="G339" s="3240">
        <v>0.15</v>
      </c>
    </row>
    <row r="340" spans="1:7">
      <c r="A340" s="3249" t="s">
        <v>307</v>
      </c>
      <c r="B340" s="3238" t="s">
        <v>2885</v>
      </c>
      <c r="C340" s="3239">
        <v>0.14599999999999999</v>
      </c>
      <c r="D340" s="3239">
        <v>0.14599999999999999</v>
      </c>
      <c r="E340" s="3239">
        <v>0.15</v>
      </c>
      <c r="F340" s="3239">
        <v>0.14099999999999999</v>
      </c>
      <c r="G340" s="3240">
        <v>0.14699999999999999</v>
      </c>
    </row>
    <row r="341" spans="1:7">
      <c r="A341" s="3249" t="s">
        <v>307</v>
      </c>
      <c r="B341" s="3238" t="s">
        <v>207</v>
      </c>
      <c r="C341" s="3239">
        <v>0.126</v>
      </c>
      <c r="D341" s="3239">
        <v>0.124</v>
      </c>
      <c r="E341" s="3239">
        <v>0.14099999999999999</v>
      </c>
      <c r="F341" s="3239">
        <v>0.14399999999999999</v>
      </c>
      <c r="G341" s="3240">
        <v>0.13</v>
      </c>
    </row>
    <row r="342" spans="1:7">
      <c r="A342" s="3249" t="s">
        <v>307</v>
      </c>
      <c r="B342" s="3238" t="s">
        <v>2890</v>
      </c>
      <c r="C342" s="3239">
        <v>0.15</v>
      </c>
      <c r="D342" s="3239">
        <v>0.15</v>
      </c>
      <c r="E342" s="3239">
        <v>0.15</v>
      </c>
      <c r="F342" s="3239">
        <v>0.14399999999999999</v>
      </c>
      <c r="G342" s="3240">
        <v>0.15</v>
      </c>
    </row>
    <row r="343" spans="1:7">
      <c r="A343" s="3249" t="s">
        <v>307</v>
      </c>
      <c r="B343" s="3238" t="s">
        <v>257</v>
      </c>
      <c r="C343" s="3239">
        <v>0.15</v>
      </c>
      <c r="D343" s="3239">
        <v>0.15</v>
      </c>
      <c r="E343" s="3239">
        <v>0.15</v>
      </c>
      <c r="F343" s="3239">
        <v>0.128</v>
      </c>
      <c r="G343" s="3240">
        <v>0.15</v>
      </c>
    </row>
    <row r="344" spans="1:7">
      <c r="A344" s="3249" t="s">
        <v>307</v>
      </c>
      <c r="B344" s="3238" t="s">
        <v>265</v>
      </c>
      <c r="C344" s="3239">
        <v>0.15</v>
      </c>
      <c r="D344" s="3239">
        <v>0.15</v>
      </c>
      <c r="E344" s="3239">
        <v>0.15</v>
      </c>
      <c r="F344" s="3239">
        <v>0.14799999999999999</v>
      </c>
      <c r="G344" s="3240">
        <v>0.15</v>
      </c>
    </row>
    <row r="345" spans="1:7">
      <c r="A345" s="3249" t="s">
        <v>307</v>
      </c>
      <c r="B345" s="3238" t="s">
        <v>2898</v>
      </c>
      <c r="C345" s="3239">
        <v>0.15</v>
      </c>
      <c r="D345" s="3239">
        <v>0.15</v>
      </c>
      <c r="E345" s="3239">
        <v>0.15</v>
      </c>
      <c r="F345" s="3239">
        <v>0.13800000000000001</v>
      </c>
      <c r="G345" s="3240">
        <v>0.15</v>
      </c>
    </row>
    <row r="346" spans="1:7">
      <c r="A346" s="3249" t="s">
        <v>307</v>
      </c>
      <c r="B346" s="3238" t="s">
        <v>2900</v>
      </c>
      <c r="C346" s="3239">
        <v>0.15</v>
      </c>
      <c r="D346" s="3239">
        <v>0.15</v>
      </c>
      <c r="E346" s="3239">
        <v>0.15</v>
      </c>
      <c r="F346" s="3239">
        <v>0.14399999999999999</v>
      </c>
      <c r="G346" s="3240">
        <v>0.15</v>
      </c>
    </row>
    <row r="347" spans="1:7">
      <c r="A347" s="3249" t="s">
        <v>307</v>
      </c>
      <c r="B347" s="3238" t="s">
        <v>243</v>
      </c>
      <c r="C347" s="3239">
        <v>0.15</v>
      </c>
      <c r="D347" s="3239">
        <v>0.15</v>
      </c>
      <c r="E347" s="3239">
        <v>0.15</v>
      </c>
      <c r="F347" s="3239">
        <v>0.14599999999999999</v>
      </c>
      <c r="G347" s="3240">
        <v>0.15</v>
      </c>
    </row>
    <row r="348" spans="1:7">
      <c r="A348" s="3249" t="s">
        <v>307</v>
      </c>
      <c r="B348" s="3238" t="s">
        <v>2907</v>
      </c>
      <c r="C348" s="3239">
        <v>0.15</v>
      </c>
      <c r="D348" s="3239">
        <v>0.15</v>
      </c>
      <c r="E348" s="3239">
        <v>0.15</v>
      </c>
      <c r="F348" s="3239">
        <v>0.14399999999999999</v>
      </c>
      <c r="G348" s="3240">
        <v>0.15</v>
      </c>
    </row>
    <row r="349" spans="1:7">
      <c r="A349" s="3249" t="s">
        <v>307</v>
      </c>
      <c r="B349" s="3238" t="s">
        <v>2912</v>
      </c>
      <c r="C349" s="3239">
        <v>0.15</v>
      </c>
      <c r="D349" s="3239">
        <v>0.15</v>
      </c>
      <c r="E349" s="3239">
        <v>0.15</v>
      </c>
      <c r="F349" s="3239">
        <v>0.15</v>
      </c>
      <c r="G349" s="3240">
        <v>0.15</v>
      </c>
    </row>
    <row r="350" spans="1:7">
      <c r="A350" s="3249" t="s">
        <v>307</v>
      </c>
      <c r="B350" s="3238" t="s">
        <v>2915</v>
      </c>
      <c r="C350" s="3239">
        <v>0.15</v>
      </c>
      <c r="D350" s="3239">
        <v>0.15</v>
      </c>
      <c r="E350" s="3239">
        <v>0.15</v>
      </c>
      <c r="F350" s="3239">
        <v>0.14699999999999999</v>
      </c>
      <c r="G350" s="3240">
        <v>0.15</v>
      </c>
    </row>
    <row r="351" spans="1:7">
      <c r="A351" s="3249" t="s">
        <v>307</v>
      </c>
      <c r="B351" s="3238" t="s">
        <v>2920</v>
      </c>
      <c r="C351" s="3239">
        <v>0.15</v>
      </c>
      <c r="D351" s="3239">
        <v>0.15</v>
      </c>
      <c r="E351" s="3239">
        <v>0.15</v>
      </c>
      <c r="F351" s="3239">
        <v>0.13</v>
      </c>
      <c r="G351" s="3240">
        <v>0.15</v>
      </c>
    </row>
    <row r="352" spans="1:7">
      <c r="A352" s="3249" t="s">
        <v>307</v>
      </c>
      <c r="B352" s="3238" t="s">
        <v>2925</v>
      </c>
      <c r="C352" s="3239">
        <v>0.15</v>
      </c>
      <c r="D352" s="3239">
        <v>0.15</v>
      </c>
      <c r="E352" s="3239">
        <v>0.15</v>
      </c>
      <c r="F352" s="3239">
        <v>0.14599999999999999</v>
      </c>
      <c r="G352" s="3240">
        <v>0.15</v>
      </c>
    </row>
    <row r="353" spans="1:7">
      <c r="A353" s="3249" t="s">
        <v>307</v>
      </c>
      <c r="B353" s="3238" t="s">
        <v>2932</v>
      </c>
      <c r="C353" s="3239">
        <v>0.15</v>
      </c>
      <c r="D353" s="3239">
        <v>0.15</v>
      </c>
      <c r="E353" s="3239">
        <v>0.15</v>
      </c>
      <c r="F353" s="3239">
        <v>0.14499999999999999</v>
      </c>
      <c r="G353" s="3240">
        <v>0.15</v>
      </c>
    </row>
    <row r="354" spans="1:7">
      <c r="A354" s="3249" t="s">
        <v>307</v>
      </c>
      <c r="B354" s="3238" t="s">
        <v>280</v>
      </c>
      <c r="C354" s="3239">
        <v>0.15</v>
      </c>
      <c r="D354" s="3239">
        <v>0.15</v>
      </c>
      <c r="E354" s="3239">
        <v>0.15</v>
      </c>
      <c r="F354" s="3239">
        <v>0.14099999999999999</v>
      </c>
      <c r="G354" s="3240">
        <v>0.15</v>
      </c>
    </row>
    <row r="355" spans="1:7">
      <c r="A355" s="3249" t="s">
        <v>307</v>
      </c>
      <c r="B355" s="3238" t="s">
        <v>2945</v>
      </c>
      <c r="C355" s="3239">
        <v>0.15</v>
      </c>
      <c r="D355" s="3239">
        <v>0.15</v>
      </c>
      <c r="E355" s="3239">
        <v>0.15</v>
      </c>
      <c r="F355" s="3239">
        <v>0.15</v>
      </c>
      <c r="G355" s="3240">
        <v>0.15</v>
      </c>
    </row>
    <row r="356" spans="1:7">
      <c r="A356" s="3249" t="s">
        <v>307</v>
      </c>
      <c r="B356" s="3238" t="s">
        <v>2952</v>
      </c>
      <c r="C356" s="3239">
        <v>0.15</v>
      </c>
      <c r="D356" s="3239">
        <v>0.15</v>
      </c>
      <c r="E356" s="3239">
        <v>0.15</v>
      </c>
      <c r="F356" s="3239">
        <v>0.15</v>
      </c>
      <c r="G356" s="3240">
        <v>0.15</v>
      </c>
    </row>
    <row r="357" spans="1:7" ht="14.25" thickBot="1">
      <c r="A357" s="3252" t="s">
        <v>307</v>
      </c>
      <c r="B357" s="3242" t="s">
        <v>2957</v>
      </c>
      <c r="C357" s="3243">
        <v>0.126</v>
      </c>
      <c r="D357" s="3243">
        <v>0.127</v>
      </c>
      <c r="E357" s="3243">
        <v>0.14299999999999999</v>
      </c>
      <c r="F357" s="3243">
        <v>0.125</v>
      </c>
      <c r="G357" s="3245">
        <v>0.129</v>
      </c>
    </row>
    <row r="358" spans="1:7">
      <c r="A358" s="3248" t="s">
        <v>2826</v>
      </c>
      <c r="B358" s="3234" t="s">
        <v>2840</v>
      </c>
      <c r="C358" s="3235">
        <v>0.15</v>
      </c>
      <c r="D358" s="3235">
        <v>0.15</v>
      </c>
      <c r="E358" s="3235">
        <v>0.15</v>
      </c>
      <c r="F358" s="3235">
        <v>0.15</v>
      </c>
      <c r="G358" s="3236">
        <v>0.15</v>
      </c>
    </row>
    <row r="359" spans="1:7">
      <c r="A359" s="3249" t="s">
        <v>2826</v>
      </c>
      <c r="B359" s="3238" t="s">
        <v>2846</v>
      </c>
      <c r="C359" s="3239">
        <v>0.1</v>
      </c>
      <c r="D359" s="3239">
        <v>0.1</v>
      </c>
      <c r="E359" s="3239">
        <v>0.1</v>
      </c>
      <c r="F359" s="3239">
        <v>0.1</v>
      </c>
      <c r="G359" s="3240">
        <v>0.1</v>
      </c>
    </row>
    <row r="360" spans="1:7">
      <c r="A360" s="3249" t="s">
        <v>2826</v>
      </c>
      <c r="B360" s="3238" t="s">
        <v>2852</v>
      </c>
      <c r="C360" s="3239">
        <v>0.15</v>
      </c>
      <c r="D360" s="3239">
        <v>0.15</v>
      </c>
      <c r="E360" s="3239">
        <v>0.15</v>
      </c>
      <c r="F360" s="3239">
        <v>0.14899999999999999</v>
      </c>
      <c r="G360" s="3240">
        <v>0.15</v>
      </c>
    </row>
    <row r="361" spans="1:7">
      <c r="A361" s="3249" t="s">
        <v>2826</v>
      </c>
      <c r="B361" s="3238" t="s">
        <v>153</v>
      </c>
      <c r="C361" s="3239">
        <v>0.15</v>
      </c>
      <c r="D361" s="3239">
        <v>0.15</v>
      </c>
      <c r="E361" s="3239">
        <v>0.15</v>
      </c>
      <c r="F361" s="3239">
        <v>0.115</v>
      </c>
      <c r="G361" s="3240">
        <v>0.15</v>
      </c>
    </row>
    <row r="362" spans="1:7">
      <c r="A362" s="3249" t="s">
        <v>2826</v>
      </c>
      <c r="B362" s="3238" t="s">
        <v>2859</v>
      </c>
      <c r="C362" s="3239">
        <v>0.15</v>
      </c>
      <c r="D362" s="3239">
        <v>0.15</v>
      </c>
      <c r="E362" s="3239">
        <v>0.15</v>
      </c>
      <c r="F362" s="3239">
        <v>0.106</v>
      </c>
      <c r="G362" s="3240">
        <v>0.15</v>
      </c>
    </row>
    <row r="363" spans="1:7">
      <c r="A363" s="3249" t="s">
        <v>2826</v>
      </c>
      <c r="B363" s="3238" t="s">
        <v>2864</v>
      </c>
      <c r="C363" s="3239">
        <v>0.15</v>
      </c>
      <c r="D363" s="3239">
        <v>0.15</v>
      </c>
      <c r="E363" s="3239">
        <v>0.15</v>
      </c>
      <c r="F363" s="3239">
        <v>0.14699999999999999</v>
      </c>
      <c r="G363" s="3240">
        <v>0.15</v>
      </c>
    </row>
    <row r="364" spans="1:7">
      <c r="A364" s="3249" t="s">
        <v>2826</v>
      </c>
      <c r="B364" s="3238" t="s">
        <v>2868</v>
      </c>
      <c r="C364" s="3239">
        <v>0.15</v>
      </c>
      <c r="D364" s="3239">
        <v>0.15</v>
      </c>
      <c r="E364" s="3239">
        <v>0.15</v>
      </c>
      <c r="F364" s="3239">
        <v>0.14799999999999999</v>
      </c>
      <c r="G364" s="3240">
        <v>0.15</v>
      </c>
    </row>
    <row r="365" spans="1:7">
      <c r="A365" s="3249" t="s">
        <v>2826</v>
      </c>
      <c r="B365" s="3238" t="s">
        <v>200</v>
      </c>
      <c r="C365" s="3239">
        <v>0.15</v>
      </c>
      <c r="D365" s="3239">
        <v>0.15</v>
      </c>
      <c r="E365" s="3239">
        <v>0.15</v>
      </c>
      <c r="F365" s="3239">
        <v>0.15</v>
      </c>
      <c r="G365" s="3240">
        <v>0.15</v>
      </c>
    </row>
    <row r="366" spans="1:7">
      <c r="A366" s="3249" t="s">
        <v>2826</v>
      </c>
      <c r="B366" s="3238" t="s">
        <v>2871</v>
      </c>
      <c r="C366" s="3239">
        <v>0.15</v>
      </c>
      <c r="D366" s="3239">
        <v>0.15</v>
      </c>
      <c r="E366" s="3239">
        <v>0.15</v>
      </c>
      <c r="F366" s="3239">
        <v>0.15</v>
      </c>
      <c r="G366" s="3240">
        <v>0.15</v>
      </c>
    </row>
    <row r="367" spans="1:7">
      <c r="A367" s="3249" t="s">
        <v>2826</v>
      </c>
      <c r="B367" s="3238" t="s">
        <v>2874</v>
      </c>
      <c r="C367" s="3239">
        <v>0.15</v>
      </c>
      <c r="D367" s="3239">
        <v>0.15</v>
      </c>
      <c r="E367" s="3239">
        <v>0.15</v>
      </c>
      <c r="F367" s="3239">
        <v>0.14699999999999999</v>
      </c>
      <c r="G367" s="3240">
        <v>0.15</v>
      </c>
    </row>
    <row r="368" spans="1:7">
      <c r="A368" s="3249" t="s">
        <v>2826</v>
      </c>
      <c r="B368" s="3238" t="s">
        <v>2879</v>
      </c>
      <c r="C368" s="3239">
        <v>0.15</v>
      </c>
      <c r="D368" s="3239">
        <v>0.15</v>
      </c>
      <c r="E368" s="3239">
        <v>0.15</v>
      </c>
      <c r="F368" s="3239">
        <v>0.13600000000000001</v>
      </c>
      <c r="G368" s="3240">
        <v>0.15</v>
      </c>
    </row>
    <row r="369" spans="1:7">
      <c r="A369" s="3249" t="s">
        <v>2826</v>
      </c>
      <c r="B369" s="3238" t="s">
        <v>214</v>
      </c>
      <c r="C369" s="3239">
        <v>0.15</v>
      </c>
      <c r="D369" s="3239">
        <v>0.15</v>
      </c>
      <c r="E369" s="3239">
        <v>0.15</v>
      </c>
      <c r="F369" s="3239">
        <v>0.14399999999999999</v>
      </c>
      <c r="G369" s="3240">
        <v>0.15</v>
      </c>
    </row>
    <row r="370" spans="1:7">
      <c r="A370" s="3249" t="s">
        <v>2826</v>
      </c>
      <c r="B370" s="3238" t="s">
        <v>221</v>
      </c>
      <c r="C370" s="3239">
        <v>0.15</v>
      </c>
      <c r="D370" s="3239">
        <v>0.15</v>
      </c>
      <c r="E370" s="3239">
        <v>0.15</v>
      </c>
      <c r="F370" s="3239">
        <v>0.14599999999999999</v>
      </c>
      <c r="G370" s="3240">
        <v>0.15</v>
      </c>
    </row>
    <row r="371" spans="1:7">
      <c r="A371" s="3249" t="s">
        <v>2826</v>
      </c>
      <c r="B371" s="3238" t="s">
        <v>229</v>
      </c>
      <c r="C371" s="3239">
        <v>0.15</v>
      </c>
      <c r="D371" s="3239">
        <v>0.15</v>
      </c>
      <c r="E371" s="3239">
        <v>0.15</v>
      </c>
      <c r="F371" s="3239">
        <v>0.12</v>
      </c>
      <c r="G371" s="3240">
        <v>0.15</v>
      </c>
    </row>
    <row r="372" spans="1:7">
      <c r="A372" s="3249" t="s">
        <v>2826</v>
      </c>
      <c r="B372" s="3238" t="s">
        <v>2887</v>
      </c>
      <c r="C372" s="3239">
        <v>0.15</v>
      </c>
      <c r="D372" s="3239">
        <v>0.15</v>
      </c>
      <c r="E372" s="3239">
        <v>0.15</v>
      </c>
      <c r="F372" s="3239">
        <v>0.14299999999999999</v>
      </c>
      <c r="G372" s="3240">
        <v>0.15</v>
      </c>
    </row>
    <row r="373" spans="1:7">
      <c r="A373" s="3249" t="s">
        <v>2826</v>
      </c>
      <c r="B373" s="3238" t="s">
        <v>258</v>
      </c>
      <c r="C373" s="3239">
        <v>0.15</v>
      </c>
      <c r="D373" s="3239">
        <v>0.15</v>
      </c>
      <c r="E373" s="3239">
        <v>0.15</v>
      </c>
      <c r="F373" s="3239">
        <v>0.14599999999999999</v>
      </c>
      <c r="G373" s="3240">
        <v>0.15</v>
      </c>
    </row>
    <row r="374" spans="1:7">
      <c r="A374" s="3249" t="s">
        <v>2826</v>
      </c>
      <c r="B374" s="3238" t="s">
        <v>266</v>
      </c>
      <c r="C374" s="3239">
        <v>0.15</v>
      </c>
      <c r="D374" s="3239">
        <v>0.15</v>
      </c>
      <c r="E374" s="3239">
        <v>0.15</v>
      </c>
      <c r="F374" s="3239">
        <v>0.14399999999999999</v>
      </c>
      <c r="G374" s="3240">
        <v>0.15</v>
      </c>
    </row>
    <row r="375" spans="1:7">
      <c r="A375" s="3249" t="s">
        <v>2826</v>
      </c>
      <c r="B375" s="3238" t="s">
        <v>2895</v>
      </c>
      <c r="C375" s="3239">
        <v>0.15</v>
      </c>
      <c r="D375" s="3239">
        <v>0.15</v>
      </c>
      <c r="E375" s="3239">
        <v>0.15</v>
      </c>
      <c r="F375" s="3239">
        <v>0.13</v>
      </c>
      <c r="G375" s="3240">
        <v>0.15</v>
      </c>
    </row>
    <row r="376" spans="1:7">
      <c r="A376" s="3249" t="s">
        <v>2826</v>
      </c>
      <c r="B376" s="3238" t="s">
        <v>277</v>
      </c>
      <c r="C376" s="3239">
        <v>0.15</v>
      </c>
      <c r="D376" s="3239">
        <v>0.15</v>
      </c>
      <c r="E376" s="3239">
        <v>0.15</v>
      </c>
      <c r="F376" s="3239">
        <v>0.14199999999999999</v>
      </c>
      <c r="G376" s="3240">
        <v>0.15</v>
      </c>
    </row>
    <row r="377" spans="1:7" ht="14.25" thickBot="1">
      <c r="A377" s="3252" t="s">
        <v>2826</v>
      </c>
      <c r="B377" s="3242" t="s">
        <v>2901</v>
      </c>
      <c r="C377" s="3243">
        <v>0.15</v>
      </c>
      <c r="D377" s="3243">
        <v>0.15</v>
      </c>
      <c r="E377" s="3243">
        <v>0.15</v>
      </c>
      <c r="F377" s="3243">
        <v>0.14000000000000001</v>
      </c>
      <c r="G377" s="3245">
        <v>0.15</v>
      </c>
    </row>
    <row r="378" spans="1:7">
      <c r="A378" s="3248" t="s">
        <v>2827</v>
      </c>
      <c r="B378" s="3234" t="s">
        <v>2841</v>
      </c>
      <c r="C378" s="3235">
        <v>0.15</v>
      </c>
      <c r="D378" s="3235">
        <v>0.15</v>
      </c>
      <c r="E378" s="3235">
        <v>0.15</v>
      </c>
      <c r="F378" s="3235">
        <v>0.107</v>
      </c>
      <c r="G378" s="3236">
        <v>0.15</v>
      </c>
    </row>
    <row r="379" spans="1:7">
      <c r="A379" s="3249" t="s">
        <v>2827</v>
      </c>
      <c r="B379" s="3238" t="s">
        <v>2847</v>
      </c>
      <c r="C379" s="3239">
        <v>0.15</v>
      </c>
      <c r="D379" s="3239">
        <v>0.15</v>
      </c>
      <c r="E379" s="3239">
        <v>0.15</v>
      </c>
      <c r="F379" s="3239">
        <v>0.115</v>
      </c>
      <c r="G379" s="3240">
        <v>0.14899999999999999</v>
      </c>
    </row>
    <row r="380" spans="1:7">
      <c r="A380" s="3249" t="s">
        <v>2827</v>
      </c>
      <c r="B380" s="3238" t="s">
        <v>2853</v>
      </c>
      <c r="C380" s="3239">
        <v>0.15</v>
      </c>
      <c r="D380" s="3239">
        <v>0.15</v>
      </c>
      <c r="E380" s="3239">
        <v>0.15</v>
      </c>
      <c r="F380" s="3239">
        <v>0.1</v>
      </c>
      <c r="G380" s="3240">
        <v>0.14799999999999999</v>
      </c>
    </row>
    <row r="381" spans="1:7">
      <c r="A381" s="3249" t="s">
        <v>2827</v>
      </c>
      <c r="B381" s="3238" t="s">
        <v>2856</v>
      </c>
      <c r="C381" s="3239">
        <v>0.15</v>
      </c>
      <c r="D381" s="3239">
        <v>0.15</v>
      </c>
      <c r="E381" s="3239">
        <v>0.15</v>
      </c>
      <c r="F381" s="3239">
        <v>0.126</v>
      </c>
      <c r="G381" s="3240">
        <v>0.15</v>
      </c>
    </row>
    <row r="382" spans="1:7">
      <c r="A382" s="3249" t="s">
        <v>2827</v>
      </c>
      <c r="B382" s="3238" t="s">
        <v>2860</v>
      </c>
      <c r="C382" s="3239">
        <v>0.15</v>
      </c>
      <c r="D382" s="3239">
        <v>0.15</v>
      </c>
      <c r="E382" s="3239">
        <v>0.15</v>
      </c>
      <c r="F382" s="3239">
        <v>0.15</v>
      </c>
      <c r="G382" s="3240">
        <v>0.15</v>
      </c>
    </row>
    <row r="383" spans="1:7">
      <c r="A383" s="3249" t="s">
        <v>2827</v>
      </c>
      <c r="B383" s="3238" t="s">
        <v>2865</v>
      </c>
      <c r="C383" s="3239">
        <v>0.15</v>
      </c>
      <c r="D383" s="3239">
        <v>0.15</v>
      </c>
      <c r="E383" s="3239">
        <v>0.15</v>
      </c>
      <c r="F383" s="3239">
        <v>0.14699999999999999</v>
      </c>
      <c r="G383" s="3240">
        <v>0.15</v>
      </c>
    </row>
    <row r="384" spans="1:7" ht="14.25" thickBot="1">
      <c r="A384" s="3259" t="s">
        <v>2827</v>
      </c>
      <c r="B384" s="3260" t="s">
        <v>2869</v>
      </c>
      <c r="C384" s="3261">
        <v>0.15</v>
      </c>
      <c r="D384" s="3261">
        <v>0.15</v>
      </c>
      <c r="E384" s="3261">
        <v>0.15</v>
      </c>
      <c r="F384" s="3261">
        <v>0.15</v>
      </c>
      <c r="G384" s="3262">
        <v>0.15</v>
      </c>
    </row>
  </sheetData>
  <sheetProtection password="CEE9" sheet="1" objects="1" scenarios="1"/>
  <mergeCells count="1">
    <mergeCell ref="A1:B1"/>
  </mergeCells>
  <phoneticPr fontId="93" type="noConversion"/>
  <pageMargins left="0.7" right="0.7" top="0.75" bottom="0.75" header="0.3" footer="0.3"/>
</worksheet>
</file>

<file path=xl/worksheets/sheet4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F17"/>
  <sheetViews>
    <sheetView workbookViewId="0">
      <selection sqref="A1:XFD1048576"/>
    </sheetView>
  </sheetViews>
  <sheetFormatPr defaultColWidth="13.25" defaultRowHeight="13.5"/>
  <cols>
    <col min="1" max="16384" width="13.25" style="3264"/>
  </cols>
  <sheetData>
    <row r="1" spans="1:6">
      <c r="A1" s="3816" t="s">
        <v>3208</v>
      </c>
      <c r="B1" s="3816"/>
      <c r="C1" s="3816"/>
      <c r="D1" s="3816"/>
      <c r="E1" s="3816"/>
      <c r="F1" s="3817"/>
    </row>
    <row r="2" spans="1:6">
      <c r="A2" s="3265" t="s">
        <v>3209</v>
      </c>
      <c r="B2" s="3266"/>
      <c r="C2" s="3266"/>
      <c r="D2" s="3266"/>
      <c r="E2" s="3266"/>
      <c r="F2" s="3266"/>
    </row>
    <row r="3" spans="1:6">
      <c r="A3" s="3265" t="s">
        <v>3210</v>
      </c>
      <c r="B3" s="3266"/>
      <c r="C3" s="3266"/>
      <c r="D3" s="3266"/>
      <c r="E3" s="3266"/>
      <c r="F3" s="3267" t="s">
        <v>3211</v>
      </c>
    </row>
    <row r="4" spans="1:6">
      <c r="A4" s="3268" t="s">
        <v>672</v>
      </c>
      <c r="B4" s="3268" t="s">
        <v>673</v>
      </c>
      <c r="C4" s="3268" t="s">
        <v>21</v>
      </c>
      <c r="D4" s="3268" t="s">
        <v>674</v>
      </c>
      <c r="E4" s="3268" t="s">
        <v>3</v>
      </c>
      <c r="F4" s="3268" t="s">
        <v>3212</v>
      </c>
    </row>
    <row r="5" spans="1:6">
      <c r="A5" s="3269" t="s">
        <v>675</v>
      </c>
      <c r="B5" s="3268"/>
      <c r="C5" s="3268"/>
      <c r="D5" s="3268"/>
      <c r="E5" s="3268"/>
      <c r="F5" s="3270"/>
    </row>
    <row r="6" spans="1:6">
      <c r="A6" s="3269" t="s">
        <v>144</v>
      </c>
      <c r="B6" s="3271">
        <v>35380</v>
      </c>
      <c r="C6" s="3271">
        <v>35180</v>
      </c>
      <c r="D6" s="3271">
        <v>35030</v>
      </c>
      <c r="E6" s="3271">
        <v>13780</v>
      </c>
      <c r="F6" s="3271">
        <v>25980</v>
      </c>
    </row>
    <row r="7" spans="1:6">
      <c r="A7" s="3269" t="s">
        <v>184</v>
      </c>
      <c r="B7" s="3271">
        <v>29960</v>
      </c>
      <c r="C7" s="3271">
        <v>29800</v>
      </c>
      <c r="D7" s="3271">
        <v>29690</v>
      </c>
      <c r="E7" s="3271">
        <v>10100</v>
      </c>
      <c r="F7" s="3271">
        <v>21690</v>
      </c>
    </row>
    <row r="8" spans="1:6">
      <c r="A8" s="3269" t="s">
        <v>296</v>
      </c>
      <c r="B8" s="3271">
        <v>24480</v>
      </c>
      <c r="C8" s="3271">
        <v>24380</v>
      </c>
      <c r="D8" s="3271">
        <v>25590</v>
      </c>
      <c r="E8" s="3271">
        <v>7010</v>
      </c>
      <c r="F8" s="3271">
        <v>17060</v>
      </c>
    </row>
    <row r="9" spans="1:6">
      <c r="A9" s="3269" t="s">
        <v>110</v>
      </c>
      <c r="B9" s="3271">
        <v>19370</v>
      </c>
      <c r="C9" s="3271">
        <v>19290</v>
      </c>
      <c r="D9" s="3271">
        <v>21280</v>
      </c>
      <c r="E9" s="3271">
        <v>4910</v>
      </c>
      <c r="F9" s="3271">
        <v>13090</v>
      </c>
    </row>
    <row r="10" spans="1:6">
      <c r="A10" s="3269" t="s">
        <v>303</v>
      </c>
      <c r="B10" s="3271">
        <v>15050</v>
      </c>
      <c r="C10" s="3271">
        <v>14980</v>
      </c>
      <c r="D10" s="3271">
        <v>17300</v>
      </c>
      <c r="E10" s="3271">
        <v>3450</v>
      </c>
      <c r="F10" s="3271">
        <v>9900</v>
      </c>
    </row>
    <row r="11" spans="1:6">
      <c r="A11" s="3269" t="s">
        <v>29</v>
      </c>
      <c r="B11" s="3271">
        <v>11550</v>
      </c>
      <c r="C11" s="3271">
        <v>11490</v>
      </c>
      <c r="D11" s="3271">
        <v>13850</v>
      </c>
      <c r="E11" s="3271">
        <v>2400</v>
      </c>
      <c r="F11" s="3271">
        <v>7390</v>
      </c>
    </row>
    <row r="12" spans="1:6">
      <c r="A12" s="3269" t="s">
        <v>304</v>
      </c>
      <c r="B12" s="3271">
        <v>8630</v>
      </c>
      <c r="C12" s="3271">
        <v>8580</v>
      </c>
      <c r="D12" s="3271">
        <v>10740</v>
      </c>
      <c r="E12" s="3271">
        <v>1720</v>
      </c>
      <c r="F12" s="3271">
        <v>5420</v>
      </c>
    </row>
    <row r="13" spans="1:6">
      <c r="A13" s="3269" t="s">
        <v>305</v>
      </c>
      <c r="B13" s="3271">
        <v>6620</v>
      </c>
      <c r="C13" s="3271">
        <v>6580</v>
      </c>
      <c r="D13" s="3271">
        <v>7830</v>
      </c>
      <c r="E13" s="3271">
        <v>1260</v>
      </c>
      <c r="F13" s="3271">
        <v>4040</v>
      </c>
    </row>
    <row r="14" spans="1:6">
      <c r="A14" s="3269" t="s">
        <v>306</v>
      </c>
      <c r="B14" s="3271">
        <v>4900</v>
      </c>
      <c r="C14" s="3271">
        <v>4860</v>
      </c>
      <c r="D14" s="3271">
        <v>5540</v>
      </c>
      <c r="E14" s="3271">
        <v>950</v>
      </c>
      <c r="F14" s="3271">
        <v>2930</v>
      </c>
    </row>
    <row r="15" spans="1:6">
      <c r="A15" s="3269" t="s">
        <v>307</v>
      </c>
      <c r="B15" s="3271">
        <v>3380</v>
      </c>
      <c r="C15" s="3271">
        <v>3340</v>
      </c>
      <c r="D15" s="3271">
        <v>3630</v>
      </c>
      <c r="E15" s="3271">
        <v>730</v>
      </c>
      <c r="F15" s="3271">
        <v>1990</v>
      </c>
    </row>
    <row r="16" spans="1:6">
      <c r="A16" s="3269" t="s">
        <v>369</v>
      </c>
      <c r="B16" s="3271">
        <v>2230</v>
      </c>
      <c r="C16" s="3271">
        <v>2200</v>
      </c>
      <c r="D16" s="3271">
        <v>2180</v>
      </c>
      <c r="E16" s="3271">
        <v>570</v>
      </c>
      <c r="F16" s="3271">
        <v>1330</v>
      </c>
    </row>
    <row r="17" spans="1:6">
      <c r="A17" s="3269" t="s">
        <v>370</v>
      </c>
      <c r="B17" s="3271">
        <v>1390</v>
      </c>
      <c r="C17" s="3271">
        <v>1360</v>
      </c>
      <c r="D17" s="3271">
        <v>1340</v>
      </c>
      <c r="E17" s="3271">
        <v>450</v>
      </c>
      <c r="F17" s="3271">
        <v>860</v>
      </c>
    </row>
  </sheetData>
  <sheetProtection password="CEE9" sheet="1" objects="1" scenarios="1"/>
  <mergeCells count="1">
    <mergeCell ref="A1:F1"/>
  </mergeCells>
  <phoneticPr fontId="133" type="noConversion"/>
  <pageMargins left="0.7" right="0.7" top="0.75" bottom="0.75" header="0.3" footer="0.3"/>
  <pageSetup paperSize="9" orientation="portrait" r:id="rId1"/>
</worksheet>
</file>

<file path=xl/worksheets/sheet4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D42"/>
  <sheetViews>
    <sheetView topLeftCell="A22" zoomScale="80" zoomScaleNormal="80" workbookViewId="0">
      <selection activeCell="H29" sqref="H29"/>
    </sheetView>
  </sheetViews>
  <sheetFormatPr defaultRowHeight="13.5"/>
  <cols>
    <col min="1" max="1" width="13.875" customWidth="1"/>
    <col min="11" max="17" width="0" hidden="1" customWidth="1"/>
    <col min="25" max="30" width="0" hidden="1" customWidth="1"/>
  </cols>
  <sheetData>
    <row r="1" spans="1:30">
      <c r="A1" s="3195">
        <f>基准地价修正!G23</f>
        <v>45400</v>
      </c>
      <c r="B1" s="3184" t="s">
        <v>3346</v>
      </c>
      <c r="C1" s="3185"/>
      <c r="D1" s="3185"/>
      <c r="E1" s="3185"/>
      <c r="F1" s="3185"/>
      <c r="G1" s="3185"/>
      <c r="H1" s="3185"/>
      <c r="I1" s="3185"/>
      <c r="J1" s="3139"/>
      <c r="K1" s="3185" t="s">
        <v>454</v>
      </c>
      <c r="L1" s="3185"/>
      <c r="M1" s="3185"/>
      <c r="N1" s="3185"/>
      <c r="O1" s="3185"/>
      <c r="P1" s="3185"/>
      <c r="Q1" s="3139"/>
      <c r="R1" s="3818" t="s">
        <v>456</v>
      </c>
      <c r="S1" s="3819"/>
      <c r="T1" s="3819"/>
      <c r="U1" s="3819"/>
      <c r="V1" s="3819"/>
      <c r="W1" s="3819"/>
      <c r="X1" s="3139"/>
      <c r="Y1" s="3818" t="s">
        <v>457</v>
      </c>
      <c r="Z1" s="3819"/>
      <c r="AA1" s="3819"/>
      <c r="AB1" s="3819"/>
      <c r="AC1" s="3819"/>
      <c r="AD1" s="3819"/>
    </row>
    <row r="2" spans="1:30" s="3117" customFormat="1" ht="14.25" thickBot="1">
      <c r="B2" s="3118"/>
      <c r="C2" s="3119"/>
      <c r="D2" s="3120" t="s">
        <v>2786</v>
      </c>
      <c r="E2" s="3121" t="s">
        <v>2787</v>
      </c>
      <c r="F2" s="3121" t="s">
        <v>2788</v>
      </c>
      <c r="G2" s="3121" t="s">
        <v>2789</v>
      </c>
      <c r="H2" s="3121" t="s">
        <v>2790</v>
      </c>
      <c r="I2" s="3121" t="s">
        <v>2607</v>
      </c>
      <c r="J2" s="3122"/>
      <c r="K2" s="3120" t="s">
        <v>2786</v>
      </c>
      <c r="L2" s="3121" t="s">
        <v>2787</v>
      </c>
      <c r="M2" s="3121" t="s">
        <v>2788</v>
      </c>
      <c r="N2" s="3121" t="s">
        <v>2789</v>
      </c>
      <c r="O2" s="3121" t="s">
        <v>2791</v>
      </c>
      <c r="P2" s="3121" t="s">
        <v>2607</v>
      </c>
      <c r="Q2" s="3122"/>
      <c r="R2" s="3120" t="s">
        <v>2786</v>
      </c>
      <c r="S2" s="3121" t="s">
        <v>2787</v>
      </c>
      <c r="T2" s="3121" t="s">
        <v>2788</v>
      </c>
      <c r="U2" s="3121" t="s">
        <v>2792</v>
      </c>
      <c r="V2" s="3121" t="s">
        <v>2793</v>
      </c>
      <c r="W2" s="3121" t="s">
        <v>2607</v>
      </c>
      <c r="X2" s="3122"/>
      <c r="Y2" s="3120" t="s">
        <v>2786</v>
      </c>
      <c r="Z2" s="3121" t="s">
        <v>2787</v>
      </c>
      <c r="AA2" s="3121" t="s">
        <v>2788</v>
      </c>
      <c r="AB2" s="3121" t="s">
        <v>2794</v>
      </c>
      <c r="AC2" s="3121" t="s">
        <v>2793</v>
      </c>
      <c r="AD2" s="3121" t="s">
        <v>2607</v>
      </c>
    </row>
    <row r="3" spans="1:30" s="3135" customFormat="1" ht="12.75">
      <c r="A3" s="3123" t="s">
        <v>2795</v>
      </c>
      <c r="B3" s="3124"/>
      <c r="C3" s="3125"/>
      <c r="D3" s="3125">
        <f>ROUND(AVERAGEIF(D4:D18,"&lt;&gt;0"),2)</f>
        <v>0.73</v>
      </c>
      <c r="E3" s="3125">
        <f t="shared" ref="E3:H3" si="0">ROUND(AVERAGEIF(E4:E18,"&lt;&gt;0"),2)</f>
        <v>0.4</v>
      </c>
      <c r="F3" s="3125">
        <f t="shared" si="0"/>
        <v>0.2</v>
      </c>
      <c r="G3" s="3125">
        <f t="shared" si="0"/>
        <v>0.78</v>
      </c>
      <c r="H3" s="3125">
        <f t="shared" si="0"/>
        <v>0.63</v>
      </c>
      <c r="I3" s="3125">
        <f>F3</f>
        <v>0.2</v>
      </c>
      <c r="J3" s="3126"/>
      <c r="K3" s="3127">
        <f>ROUND(AVERAGEIF(K4:K18,"&lt;&gt;0"),4)</f>
        <v>7.3000000000000001E-3</v>
      </c>
      <c r="L3" s="3128">
        <f t="shared" ref="L3:O3" si="1">ROUND(AVERAGEIF(L4:L18,"&lt;&gt;0"),4)</f>
        <v>4.0000000000000001E-3</v>
      </c>
      <c r="M3" s="3128">
        <f t="shared" si="1"/>
        <v>2E-3</v>
      </c>
      <c r="N3" s="3128">
        <f t="shared" si="1"/>
        <v>7.7999999999999996E-3</v>
      </c>
      <c r="O3" s="3128">
        <f t="shared" si="1"/>
        <v>6.3E-3</v>
      </c>
      <c r="P3" s="3128">
        <f>M3</f>
        <v>2E-3</v>
      </c>
      <c r="Q3" s="3126"/>
      <c r="R3" s="3129">
        <f>ROUND(SUMPRODUCT(PRODUCT(1+K4:K18)),4)</f>
        <v>1.0908</v>
      </c>
      <c r="S3" s="3130">
        <f t="shared" ref="S3:V3" si="2">ROUND(SUMPRODUCT(PRODUCT(1+L4:L18)),4)</f>
        <v>1.0488</v>
      </c>
      <c r="T3" s="3130">
        <f t="shared" si="2"/>
        <v>1.024</v>
      </c>
      <c r="U3" s="3130">
        <f t="shared" si="2"/>
        <v>1.0980000000000001</v>
      </c>
      <c r="V3" s="3130">
        <f t="shared" si="2"/>
        <v>1.0779000000000001</v>
      </c>
      <c r="W3" s="3129">
        <f>T3</f>
        <v>1.024</v>
      </c>
      <c r="X3" s="3126"/>
      <c r="Y3" s="3131">
        <f>ROUND(AVERAGEIF(Y5:Y18,"&lt;&gt;0"),4)</f>
        <v>8.6999999999999994E-3</v>
      </c>
      <c r="Z3" s="3132">
        <f t="shared" ref="Z3:AC3" si="3">ROUND(AVERAGEIF(Z5:Z18,"&lt;&gt;0"),4)</f>
        <v>3.5000000000000001E-3</v>
      </c>
      <c r="AA3" s="3133">
        <f t="shared" si="3"/>
        <v>8.9999999999999998E-4</v>
      </c>
      <c r="AB3" s="3131">
        <f t="shared" si="3"/>
        <v>9.4999999999999998E-3</v>
      </c>
      <c r="AC3" s="3134">
        <f t="shared" si="3"/>
        <v>6.1000000000000004E-3</v>
      </c>
      <c r="AD3" s="3131">
        <f>AA3</f>
        <v>8.9999999999999998E-4</v>
      </c>
    </row>
    <row r="4" spans="1:30" s="3136" customFormat="1" ht="12.75">
      <c r="B4" s="3137"/>
      <c r="C4" s="3138"/>
      <c r="D4" s="3138"/>
      <c r="E4" s="3138"/>
      <c r="F4" s="3138"/>
      <c r="G4" s="3138"/>
      <c r="H4" s="3138"/>
      <c r="I4" s="3138"/>
      <c r="J4" s="3139"/>
      <c r="K4" s="3140"/>
      <c r="L4" s="3141"/>
      <c r="M4" s="3141"/>
      <c r="N4" s="3141"/>
      <c r="O4" s="3141"/>
      <c r="P4" s="3141"/>
      <c r="Q4" s="3139"/>
      <c r="R4" s="3142"/>
      <c r="S4" s="3143"/>
      <c r="T4" s="3144"/>
      <c r="U4" s="3142"/>
      <c r="V4" s="3145"/>
      <c r="W4" s="3142"/>
      <c r="X4" s="3139"/>
      <c r="Y4" s="3146"/>
      <c r="Z4" s="3147"/>
      <c r="AA4" s="3148"/>
      <c r="AB4" s="3146"/>
      <c r="AC4" s="3149"/>
      <c r="AD4" s="3146"/>
    </row>
    <row r="5" spans="1:30" s="3159" customFormat="1" ht="12.75">
      <c r="A5" s="2204" t="s">
        <v>3349</v>
      </c>
      <c r="B5" s="3151">
        <v>2024</v>
      </c>
      <c r="C5" s="3152">
        <v>2</v>
      </c>
      <c r="D5" s="3153">
        <v>0</v>
      </c>
      <c r="E5" s="3153">
        <v>0</v>
      </c>
      <c r="F5" s="3153">
        <v>0</v>
      </c>
      <c r="G5" s="3153">
        <v>0</v>
      </c>
      <c r="H5" s="3153">
        <v>0</v>
      </c>
      <c r="I5" s="3154">
        <f t="shared" ref="I5:I18" si="4">F5</f>
        <v>0</v>
      </c>
      <c r="J5" s="3155"/>
      <c r="K5" s="3156">
        <f t="shared" ref="K5:O18" si="5">D5/100</f>
        <v>0</v>
      </c>
      <c r="L5" s="3146">
        <f t="shared" si="5"/>
        <v>0</v>
      </c>
      <c r="M5" s="3146">
        <f t="shared" si="5"/>
        <v>0</v>
      </c>
      <c r="N5" s="3146">
        <f t="shared" si="5"/>
        <v>0</v>
      </c>
      <c r="O5" s="3146">
        <f t="shared" si="5"/>
        <v>0</v>
      </c>
      <c r="P5" s="3146">
        <f>M5</f>
        <v>0</v>
      </c>
      <c r="Q5" s="3155"/>
      <c r="R5" s="3157">
        <f>ROUND(IF(项目基本情况!$B$8="出让",SUMPRODUCT(PRODUCT(1+K5:$K$18)),SUMPRODUCT(PRODUCT(1+K5:$K$17))),4)</f>
        <v>1.0804</v>
      </c>
      <c r="S5" s="3157">
        <f>ROUND(IF(项目基本情况!$B$8="出让",SUMPRODUCT(PRODUCT(1+L5:$L$18)),SUMPRODUCT(PRODUCT(1+L5:$L$17))),4)</f>
        <v>1.0471999999999999</v>
      </c>
      <c r="T5" s="3157">
        <f>ROUND(IF(项目基本情况!$B$8="出让",SUMPRODUCT(PRODUCT(1+M5:$M$18)),SUMPRODUCT(PRODUCT(1+M5:$M$17))),4)</f>
        <v>1.0266</v>
      </c>
      <c r="U5" s="3157">
        <f>ROUND(IF(项目基本情况!$B$8="出让",SUMPRODUCT(PRODUCT(1+N5:$N$18)),SUMPRODUCT(PRODUCT(1+N5:$N$17))),4)</f>
        <v>1.0859000000000001</v>
      </c>
      <c r="V5" s="3157">
        <f>ROUND(IF(项目基本情况!$B$8="出让",SUMPRODUCT(PRODUCT(1+O5:$O$18)),SUMPRODUCT(PRODUCT(1+O5:$O$17))),4)</f>
        <v>1.0741000000000001</v>
      </c>
      <c r="W5" s="3157">
        <f>T5</f>
        <v>1.0266</v>
      </c>
      <c r="X5" s="3155"/>
      <c r="Y5" s="3158">
        <f>IF(D5=0,0,ROUND(AVERAGE(D5:D18)/100,4))</f>
        <v>0</v>
      </c>
      <c r="Z5" s="3158">
        <f t="shared" ref="Z5:AC5" si="6">IF(E5=0,0,ROUND(AVERAGE(E5:E18)/100,4))</f>
        <v>0</v>
      </c>
      <c r="AA5" s="3158">
        <f t="shared" si="6"/>
        <v>0</v>
      </c>
      <c r="AB5" s="3158">
        <f t="shared" si="6"/>
        <v>0</v>
      </c>
      <c r="AC5" s="3158">
        <f t="shared" si="6"/>
        <v>0</v>
      </c>
      <c r="AD5" s="3158">
        <f t="shared" ref="AD5:AD17" si="7">AA5</f>
        <v>0</v>
      </c>
    </row>
    <row r="6" spans="1:30" s="3159" customFormat="1" ht="12.75">
      <c r="A6" s="2204" t="s">
        <v>3350</v>
      </c>
      <c r="B6" s="3151">
        <v>2024</v>
      </c>
      <c r="C6" s="3152">
        <v>1</v>
      </c>
      <c r="D6" s="3153">
        <v>0</v>
      </c>
      <c r="E6" s="3153">
        <v>0</v>
      </c>
      <c r="F6" s="3153">
        <v>0</v>
      </c>
      <c r="G6" s="3153">
        <v>0</v>
      </c>
      <c r="H6" s="3170">
        <v>0</v>
      </c>
      <c r="I6" s="3154">
        <v>0</v>
      </c>
      <c r="J6" s="3155"/>
      <c r="K6" s="3156">
        <f t="shared" ref="K6" si="8">D6/100</f>
        <v>0</v>
      </c>
      <c r="L6" s="3146">
        <f t="shared" ref="L6" si="9">E6/100</f>
        <v>0</v>
      </c>
      <c r="M6" s="3146">
        <f t="shared" ref="M6" si="10">F6/100</f>
        <v>0</v>
      </c>
      <c r="N6" s="3146">
        <f t="shared" ref="N6" si="11">G6/100</f>
        <v>0</v>
      </c>
      <c r="O6" s="3146">
        <f t="shared" ref="O6" si="12">H6/100</f>
        <v>0</v>
      </c>
      <c r="P6" s="3146">
        <f t="shared" ref="P6" si="13">M6</f>
        <v>0</v>
      </c>
      <c r="Q6" s="3155"/>
      <c r="R6" s="3157">
        <f>ROUND(IF(项目基本情况!$B$8="出让",SUMPRODUCT(PRODUCT(1+K6:$K$18)),SUMPRODUCT(PRODUCT(1+K6:$K$17))),4)</f>
        <v>1.0804</v>
      </c>
      <c r="S6" s="3157">
        <f>ROUND(IF(项目基本情况!$B$8="出让",SUMPRODUCT(PRODUCT(1+L6:$L$18)),SUMPRODUCT(PRODUCT(1+L6:$L$17))),4)</f>
        <v>1.0471999999999999</v>
      </c>
      <c r="T6" s="3157">
        <f>ROUND(IF(项目基本情况!$B$8="出让",SUMPRODUCT(PRODUCT(1+M6:$M$18)),SUMPRODUCT(PRODUCT(1+M6:$M$17))),4)</f>
        <v>1.0266</v>
      </c>
      <c r="U6" s="3157">
        <f>ROUND(IF(项目基本情况!$B$8="出让",SUMPRODUCT(PRODUCT(1+N6:$N$18)),SUMPRODUCT(PRODUCT(1+N6:$N$17))),4)</f>
        <v>1.0859000000000001</v>
      </c>
      <c r="V6" s="3157">
        <f>ROUND(IF(项目基本情况!$B$8="出让",SUMPRODUCT(PRODUCT(1+O6:$O$18)),SUMPRODUCT(PRODUCT(1+O6:$O$17))),4)</f>
        <v>1.0741000000000001</v>
      </c>
      <c r="W6" s="3157">
        <f t="shared" ref="W6" si="14">T6</f>
        <v>1.0266</v>
      </c>
      <c r="X6" s="3155"/>
      <c r="Y6" s="3158"/>
      <c r="Z6" s="3158"/>
      <c r="AA6" s="3158"/>
      <c r="AB6" s="3158"/>
      <c r="AC6" s="3158"/>
      <c r="AD6" s="3158"/>
    </row>
    <row r="7" spans="1:30" s="3169" customFormat="1" ht="12.75">
      <c r="A7" s="3160" t="s">
        <v>3352</v>
      </c>
      <c r="B7" s="3161">
        <v>2023</v>
      </c>
      <c r="C7" s="3162">
        <v>4</v>
      </c>
      <c r="D7" s="3163">
        <v>0.19</v>
      </c>
      <c r="E7" s="3163">
        <v>0.24</v>
      </c>
      <c r="F7" s="3163">
        <v>-0.16</v>
      </c>
      <c r="G7" s="3163">
        <v>0.17</v>
      </c>
      <c r="H7" s="3164">
        <v>0.61</v>
      </c>
      <c r="I7" s="3165">
        <f>F7</f>
        <v>-0.16</v>
      </c>
      <c r="J7" s="3166"/>
      <c r="K7" s="3167">
        <f t="shared" si="5"/>
        <v>1.9E-3</v>
      </c>
      <c r="L7" s="3168">
        <f t="shared" si="5"/>
        <v>2.3999999999999998E-3</v>
      </c>
      <c r="M7" s="3168">
        <f t="shared" si="5"/>
        <v>-1.6000000000000001E-3</v>
      </c>
      <c r="N7" s="3168">
        <f t="shared" si="5"/>
        <v>1.7000000000000001E-3</v>
      </c>
      <c r="O7" s="3168">
        <f t="shared" si="5"/>
        <v>6.0999999999999995E-3</v>
      </c>
      <c r="P7" s="3168">
        <f t="shared" ref="P7" si="15">M7</f>
        <v>-1.6000000000000001E-3</v>
      </c>
      <c r="Q7" s="3166"/>
      <c r="R7" s="3166">
        <f>ROUND(IF(项目基本情况!$B$8="出让",SUMPRODUCT(PRODUCT(1+K7:$K$18)),SUMPRODUCT(PRODUCT(1+K7:$K$17))),4)</f>
        <v>1.0804</v>
      </c>
      <c r="S7" s="3166">
        <f>ROUND(IF(项目基本情况!$B$8="出让",SUMPRODUCT(PRODUCT(1+L7:$L$18)),SUMPRODUCT(PRODUCT(1+L7:$L$17))),4)</f>
        <v>1.0471999999999999</v>
      </c>
      <c r="T7" s="3166">
        <f>ROUND(IF(项目基本情况!$B$8="出让",SUMPRODUCT(PRODUCT(1+M7:$M$18)),SUMPRODUCT(PRODUCT(1+M7:$M$17))),4)</f>
        <v>1.0266</v>
      </c>
      <c r="U7" s="3166">
        <f>ROUND(IF(项目基本情况!$B$8="出让",SUMPRODUCT(PRODUCT(1+N7:$N$18)),SUMPRODUCT(PRODUCT(1+N7:$N$17))),4)</f>
        <v>1.0859000000000001</v>
      </c>
      <c r="V7" s="3166">
        <f>ROUND(IF(项目基本情况!$B$8="出让",SUMPRODUCT(PRODUCT(1+O7:$O$18)),SUMPRODUCT(PRODUCT(1+O7:$O$17))),4)</f>
        <v>1.0741000000000001</v>
      </c>
      <c r="W7" s="3166">
        <f t="shared" ref="W7" si="16">T7</f>
        <v>1.0266</v>
      </c>
      <c r="X7" s="3166"/>
      <c r="Y7" s="3168"/>
      <c r="Z7" s="3168"/>
      <c r="AA7" s="3168"/>
      <c r="AB7" s="3168"/>
      <c r="AC7" s="3168"/>
      <c r="AD7" s="3168"/>
    </row>
    <row r="8" spans="1:30" s="3159" customFormat="1" ht="12.75">
      <c r="A8" s="3150" t="s">
        <v>3353</v>
      </c>
      <c r="B8" s="3151">
        <v>2023</v>
      </c>
      <c r="C8" s="3152">
        <v>3</v>
      </c>
      <c r="D8" s="3153">
        <v>0.25</v>
      </c>
      <c r="E8" s="3153">
        <v>0.5</v>
      </c>
      <c r="F8" s="3153">
        <v>0.31</v>
      </c>
      <c r="G8" s="3153">
        <v>0.21</v>
      </c>
      <c r="H8" s="3170">
        <v>0.43</v>
      </c>
      <c r="I8" s="3154">
        <f t="shared" si="4"/>
        <v>0.31</v>
      </c>
      <c r="J8" s="3155"/>
      <c r="K8" s="3156">
        <f t="shared" ref="K8:K10" si="17">D8/100</f>
        <v>2.5000000000000001E-3</v>
      </c>
      <c r="L8" s="3146">
        <f t="shared" ref="L8:L10" si="18">E8/100</f>
        <v>5.0000000000000001E-3</v>
      </c>
      <c r="M8" s="3146">
        <f t="shared" ref="M8:M10" si="19">F8/100</f>
        <v>3.0999999999999999E-3</v>
      </c>
      <c r="N8" s="3146">
        <f t="shared" ref="N8:N10" si="20">G8/100</f>
        <v>2.0999999999999999E-3</v>
      </c>
      <c r="O8" s="3146">
        <f t="shared" ref="O8:O10" si="21">H8/100</f>
        <v>4.3E-3</v>
      </c>
      <c r="P8" s="3146">
        <f t="shared" ref="P8:P10" si="22">M8</f>
        <v>3.0999999999999999E-3</v>
      </c>
      <c r="Q8" s="3155"/>
      <c r="R8" s="3157">
        <f>ROUND(IF(项目基本情况!$B$8="出让",SUMPRODUCT(PRODUCT(1+K8:$K$18)),SUMPRODUCT(PRODUCT(1+K8:$K$17))),4)</f>
        <v>1.0783</v>
      </c>
      <c r="S8" s="3157">
        <f>ROUND(IF(项目基本情况!$B$8="出让",SUMPRODUCT(PRODUCT(1+L8:$L$18)),SUMPRODUCT(PRODUCT(1+L8:$L$17))),4)</f>
        <v>1.0447</v>
      </c>
      <c r="T8" s="3157">
        <f>ROUND(IF(项目基本情况!$B$8="出让",SUMPRODUCT(PRODUCT(1+M8:$M$18)),SUMPRODUCT(PRODUCT(1+M8:$M$17))),4)</f>
        <v>1.0282</v>
      </c>
      <c r="U8" s="3157">
        <f>ROUND(IF(项目基本情况!$B$8="出让",SUMPRODUCT(PRODUCT(1+N8:$N$18)),SUMPRODUCT(PRODUCT(1+N8:$N$17))),4)</f>
        <v>1.0841000000000001</v>
      </c>
      <c r="V8" s="3157">
        <f>ROUND(IF(项目基本情况!$B$8="出让",SUMPRODUCT(PRODUCT(1+O8:$O$18)),SUMPRODUCT(PRODUCT(1+O8:$O$17))),4)</f>
        <v>1.0674999999999999</v>
      </c>
      <c r="W8" s="3157">
        <f t="shared" ref="W8:W9" si="23">T8</f>
        <v>1.0282</v>
      </c>
      <c r="X8" s="3155"/>
      <c r="Y8" s="3158"/>
      <c r="Z8" s="3158"/>
      <c r="AA8" s="3158"/>
      <c r="AB8" s="3158"/>
      <c r="AC8" s="3158"/>
      <c r="AD8" s="3158"/>
    </row>
    <row r="9" spans="1:30" s="3159" customFormat="1" ht="12.75">
      <c r="A9" s="3150" t="s">
        <v>3345</v>
      </c>
      <c r="B9" s="3151">
        <v>2023</v>
      </c>
      <c r="C9" s="3152">
        <v>2</v>
      </c>
      <c r="D9" s="3153">
        <v>0.91</v>
      </c>
      <c r="E9" s="3153">
        <v>0.66</v>
      </c>
      <c r="F9" s="3153">
        <v>0.47</v>
      </c>
      <c r="G9" s="3153">
        <v>0.96</v>
      </c>
      <c r="H9" s="3170">
        <v>0.71</v>
      </c>
      <c r="I9" s="3154">
        <f t="shared" si="4"/>
        <v>0.47</v>
      </c>
      <c r="J9" s="3155"/>
      <c r="K9" s="3156">
        <f t="shared" si="17"/>
        <v>9.1000000000000004E-3</v>
      </c>
      <c r="L9" s="3146">
        <f t="shared" si="18"/>
        <v>6.6E-3</v>
      </c>
      <c r="M9" s="3146">
        <f t="shared" si="19"/>
        <v>4.6999999999999993E-3</v>
      </c>
      <c r="N9" s="3146">
        <f t="shared" si="20"/>
        <v>9.5999999999999992E-3</v>
      </c>
      <c r="O9" s="3146">
        <f t="shared" si="21"/>
        <v>7.0999999999999995E-3</v>
      </c>
      <c r="P9" s="3146">
        <f t="shared" si="22"/>
        <v>4.6999999999999993E-3</v>
      </c>
      <c r="Q9" s="3155"/>
      <c r="R9" s="3157">
        <f>ROUND(IF(项目基本情况!$B$8="出让",SUMPRODUCT(PRODUCT(1+K9:$K$18)),SUMPRODUCT(PRODUCT(1+K9:$K$17))),4)</f>
        <v>1.0755999999999999</v>
      </c>
      <c r="S9" s="3157">
        <f>ROUND(IF(项目基本情况!$B$8="出让",SUMPRODUCT(PRODUCT(1+L9:$L$18)),SUMPRODUCT(PRODUCT(1+L9:$L$17))),4)</f>
        <v>1.0395000000000001</v>
      </c>
      <c r="T9" s="3157">
        <f>ROUND(IF(项目基本情况!$B$8="出让",SUMPRODUCT(PRODUCT(1+M9:$M$18)),SUMPRODUCT(PRODUCT(1+M9:$M$17))),4)</f>
        <v>1.0250999999999999</v>
      </c>
      <c r="U9" s="3157">
        <f>ROUND(IF(项目基本情况!$B$8="出让",SUMPRODUCT(PRODUCT(1+N9:$N$18)),SUMPRODUCT(PRODUCT(1+N9:$N$17))),4)</f>
        <v>1.0818000000000001</v>
      </c>
      <c r="V9" s="3157">
        <f>ROUND(IF(项目基本情况!$B$8="出让",SUMPRODUCT(PRODUCT(1+O9:$O$18)),SUMPRODUCT(PRODUCT(1+O9:$O$17))),4)</f>
        <v>1.0629999999999999</v>
      </c>
      <c r="W9" s="3157">
        <f t="shared" si="23"/>
        <v>1.0250999999999999</v>
      </c>
      <c r="X9" s="3155"/>
      <c r="Y9" s="3158"/>
      <c r="Z9" s="3158"/>
      <c r="AA9" s="3158"/>
      <c r="AB9" s="3158"/>
      <c r="AC9" s="3158"/>
      <c r="AD9" s="3158"/>
    </row>
    <row r="10" spans="1:30" s="3159" customFormat="1" ht="12.75">
      <c r="A10" s="3150" t="s">
        <v>3344</v>
      </c>
      <c r="B10" s="3151">
        <v>2023</v>
      </c>
      <c r="C10" s="3152">
        <v>1</v>
      </c>
      <c r="D10" s="3153">
        <v>0.89</v>
      </c>
      <c r="E10" s="3153">
        <v>0.74</v>
      </c>
      <c r="F10" s="3153">
        <v>0.56999999999999995</v>
      </c>
      <c r="G10" s="3153">
        <v>0.92</v>
      </c>
      <c r="H10" s="3170">
        <v>0.5</v>
      </c>
      <c r="I10" s="3154">
        <f t="shared" si="4"/>
        <v>0.56999999999999995</v>
      </c>
      <c r="J10" s="3155"/>
      <c r="K10" s="3156">
        <f t="shared" si="17"/>
        <v>8.8999999999999999E-3</v>
      </c>
      <c r="L10" s="3146">
        <f t="shared" si="18"/>
        <v>7.4000000000000003E-3</v>
      </c>
      <c r="M10" s="3146">
        <f t="shared" si="19"/>
        <v>5.6999999999999993E-3</v>
      </c>
      <c r="N10" s="3146">
        <f t="shared" si="20"/>
        <v>9.1999999999999998E-3</v>
      </c>
      <c r="O10" s="3146">
        <f t="shared" si="21"/>
        <v>5.0000000000000001E-3</v>
      </c>
      <c r="P10" s="3146">
        <f t="shared" si="22"/>
        <v>5.6999999999999993E-3</v>
      </c>
      <c r="Q10" s="3155"/>
      <c r="R10" s="3157">
        <f>ROUND(IF(项目基本情况!$B$8="出让",SUMPRODUCT(PRODUCT(1+K10:$K$18)),SUMPRODUCT(PRODUCT(1+K10:$K$17))),4)</f>
        <v>1.0659000000000001</v>
      </c>
      <c r="S10" s="3157">
        <f>ROUND(IF(项目基本情况!$B$8="出让",SUMPRODUCT(PRODUCT(1+L10:$L$18)),SUMPRODUCT(PRODUCT(1+L10:$L$17))),4)</f>
        <v>1.0326</v>
      </c>
      <c r="T10" s="3157">
        <f>ROUND(IF(项目基本情况!$B$8="出让",SUMPRODUCT(PRODUCT(1+M10:$M$18)),SUMPRODUCT(PRODUCT(1+M10:$M$17))),4)</f>
        <v>1.0203</v>
      </c>
      <c r="U10" s="3157">
        <f>ROUND(IF(项目基本情况!$B$8="出让",SUMPRODUCT(PRODUCT(1+N10:$N$18)),SUMPRODUCT(PRODUCT(1+N10:$N$17))),4)</f>
        <v>1.0714999999999999</v>
      </c>
      <c r="V10" s="3157">
        <f>ROUND(IF(项目基本情况!$B$8="出让",SUMPRODUCT(PRODUCT(1+O10:$O$18)),SUMPRODUCT(PRODUCT(1+O10:$O$17))),4)</f>
        <v>1.0555000000000001</v>
      </c>
      <c r="W10" s="3157">
        <f t="shared" ref="W10:W17" si="24">T10</f>
        <v>1.0203</v>
      </c>
      <c r="X10" s="3155"/>
      <c r="Y10" s="3158"/>
      <c r="Z10" s="3158"/>
      <c r="AA10" s="3158"/>
      <c r="AB10" s="3158"/>
      <c r="AC10" s="3158"/>
      <c r="AD10" s="3158"/>
    </row>
    <row r="11" spans="1:30" s="3159" customFormat="1" ht="12.75">
      <c r="A11" s="3150" t="s">
        <v>3343</v>
      </c>
      <c r="B11" s="3151">
        <v>2022</v>
      </c>
      <c r="C11" s="3152">
        <v>4</v>
      </c>
      <c r="D11" s="3153">
        <v>0.62</v>
      </c>
      <c r="E11" s="3153">
        <v>0.2</v>
      </c>
      <c r="F11" s="3153">
        <v>0.11</v>
      </c>
      <c r="G11" s="3153">
        <v>0.69</v>
      </c>
      <c r="H11" s="3170">
        <v>0.53</v>
      </c>
      <c r="I11" s="3154">
        <f t="shared" si="4"/>
        <v>0.11</v>
      </c>
      <c r="J11" s="3155"/>
      <c r="K11" s="3156">
        <f t="shared" si="5"/>
        <v>6.1999999999999998E-3</v>
      </c>
      <c r="L11" s="3146">
        <f t="shared" si="5"/>
        <v>2E-3</v>
      </c>
      <c r="M11" s="3146">
        <f t="shared" si="5"/>
        <v>1.1000000000000001E-3</v>
      </c>
      <c r="N11" s="3146">
        <f t="shared" si="5"/>
        <v>6.8999999999999999E-3</v>
      </c>
      <c r="O11" s="3146">
        <f t="shared" si="5"/>
        <v>5.3E-3</v>
      </c>
      <c r="P11" s="3146">
        <f t="shared" ref="P11:P18" si="25">M11</f>
        <v>1.1000000000000001E-3</v>
      </c>
      <c r="Q11" s="3155"/>
      <c r="R11" s="3157">
        <f>ROUND(IF(项目基本情况!$B$8="出让",SUMPRODUCT(PRODUCT(1+K11:$K$18)),SUMPRODUCT(PRODUCT(1+K11:$K$17))),4)</f>
        <v>1.0565</v>
      </c>
      <c r="S11" s="3157">
        <f>ROUND(IF(项目基本情况!$B$8="出让",SUMPRODUCT(PRODUCT(1+L11:$L$18)),SUMPRODUCT(PRODUCT(1+L11:$L$17))),4)</f>
        <v>1.0250999999999999</v>
      </c>
      <c r="T11" s="3157">
        <f>ROUND(IF(项目基本情况!$B$8="出让",SUMPRODUCT(PRODUCT(1+M11:$M$18)),SUMPRODUCT(PRODUCT(1+M11:$M$17))),4)</f>
        <v>1.0145</v>
      </c>
      <c r="U11" s="3157">
        <f>ROUND(IF(项目基本情况!$B$8="出让",SUMPRODUCT(PRODUCT(1+N11:$N$18)),SUMPRODUCT(PRODUCT(1+N11:$N$17))),4)</f>
        <v>1.0618000000000001</v>
      </c>
      <c r="V11" s="3157">
        <f>ROUND(IF(项目基本情况!$B$8="出让",SUMPRODUCT(PRODUCT(1+O11:$O$18)),SUMPRODUCT(PRODUCT(1+O11:$O$17))),4)</f>
        <v>1.0502</v>
      </c>
      <c r="W11" s="3157">
        <f t="shared" si="24"/>
        <v>1.0145</v>
      </c>
      <c r="X11" s="3155"/>
      <c r="Y11" s="3158">
        <f>IF(D11=0,0,ROUND(AVERAGE(D11:D19)/100,4))</f>
        <v>8.0999999999999996E-3</v>
      </c>
      <c r="Z11" s="3158">
        <f t="shared" ref="Z11:AC11" si="26">IF(E11=0,0,ROUND(AVERAGE(E11:E18)/100,4))</f>
        <v>3.3E-3</v>
      </c>
      <c r="AA11" s="3158">
        <f t="shared" si="26"/>
        <v>1.5E-3</v>
      </c>
      <c r="AB11" s="3158">
        <f t="shared" si="26"/>
        <v>8.8999999999999999E-3</v>
      </c>
      <c r="AC11" s="3158">
        <f t="shared" si="26"/>
        <v>6.6E-3</v>
      </c>
      <c r="AD11" s="3158">
        <f t="shared" si="7"/>
        <v>1.5E-3</v>
      </c>
    </row>
    <row r="12" spans="1:30" s="3159" customFormat="1" ht="12.75">
      <c r="A12" s="3150" t="s">
        <v>3339</v>
      </c>
      <c r="B12" s="3151">
        <v>2022</v>
      </c>
      <c r="C12" s="3152">
        <v>3</v>
      </c>
      <c r="D12" s="3153">
        <v>0.66</v>
      </c>
      <c r="E12" s="3153">
        <v>0.32</v>
      </c>
      <c r="F12" s="3153">
        <v>0.23</v>
      </c>
      <c r="G12" s="3153">
        <v>0.72</v>
      </c>
      <c r="H12" s="3170">
        <v>0.63</v>
      </c>
      <c r="I12" s="3154">
        <f t="shared" si="4"/>
        <v>0.23</v>
      </c>
      <c r="J12" s="3155"/>
      <c r="K12" s="3156">
        <f t="shared" si="5"/>
        <v>6.6E-3</v>
      </c>
      <c r="L12" s="3146">
        <f t="shared" si="5"/>
        <v>3.2000000000000002E-3</v>
      </c>
      <c r="M12" s="3146">
        <f t="shared" si="5"/>
        <v>2.3E-3</v>
      </c>
      <c r="N12" s="3146">
        <f t="shared" si="5"/>
        <v>7.1999999999999998E-3</v>
      </c>
      <c r="O12" s="3146">
        <f t="shared" si="5"/>
        <v>6.3E-3</v>
      </c>
      <c r="P12" s="3146">
        <f t="shared" si="25"/>
        <v>2.3E-3</v>
      </c>
      <c r="Q12" s="3155"/>
      <c r="R12" s="3157">
        <f>ROUND(IF(项目基本情况!$B$8="出让",SUMPRODUCT(PRODUCT(1+K12:$K$18)),SUMPRODUCT(PRODUCT(1+K12:$K$17))),4)</f>
        <v>1.05</v>
      </c>
      <c r="S12" s="3157">
        <f>ROUND(IF(项目基本情况!$B$8="出让",SUMPRODUCT(PRODUCT(1+L12:$L$18)),SUMPRODUCT(PRODUCT(1+L12:$L$17))),4)</f>
        <v>1.0229999999999999</v>
      </c>
      <c r="T12" s="3157">
        <f>ROUND(IF(项目基本情况!$B$8="出让",SUMPRODUCT(PRODUCT(1+M12:$M$18)),SUMPRODUCT(PRODUCT(1+M12:$M$17))),4)</f>
        <v>1.0134000000000001</v>
      </c>
      <c r="U12" s="3157">
        <f>ROUND(IF(项目基本情况!$B$8="出让",SUMPRODUCT(PRODUCT(1+N12:$N$18)),SUMPRODUCT(PRODUCT(1+N12:$N$17))),4)</f>
        <v>1.0545</v>
      </c>
      <c r="V12" s="3157">
        <f>ROUND(IF(项目基本情况!$B$8="出让",SUMPRODUCT(PRODUCT(1+O12:$O$18)),SUMPRODUCT(PRODUCT(1+O12:$O$17))),4)</f>
        <v>1.0447</v>
      </c>
      <c r="W12" s="3157">
        <f t="shared" si="24"/>
        <v>1.0134000000000001</v>
      </c>
      <c r="X12" s="3155"/>
      <c r="Y12" s="3158">
        <f>IF(D12=0,0,ROUND(AVERAGE(D12:D18)/100,4))</f>
        <v>8.3999999999999995E-3</v>
      </c>
      <c r="Z12" s="3158">
        <f t="shared" ref="Z12:AC12" si="27">IF(E12=0,0,ROUND(AVERAGE(E12:E18)/100,4))</f>
        <v>3.5000000000000001E-3</v>
      </c>
      <c r="AA12" s="3158">
        <f t="shared" si="27"/>
        <v>1.5E-3</v>
      </c>
      <c r="AB12" s="3158">
        <f t="shared" si="27"/>
        <v>9.1999999999999998E-3</v>
      </c>
      <c r="AC12" s="3158">
        <f t="shared" si="27"/>
        <v>6.7999999999999996E-3</v>
      </c>
      <c r="AD12" s="3158">
        <f t="shared" si="7"/>
        <v>1.5E-3</v>
      </c>
    </row>
    <row r="13" spans="1:30" s="3159" customFormat="1" ht="12.75">
      <c r="A13" s="3150" t="s">
        <v>3330</v>
      </c>
      <c r="B13" s="3151">
        <v>2022</v>
      </c>
      <c r="C13" s="3152">
        <v>2</v>
      </c>
      <c r="D13" s="3153">
        <v>0.93</v>
      </c>
      <c r="E13" s="3153">
        <v>0.15</v>
      </c>
      <c r="F13" s="3153">
        <v>0.01</v>
      </c>
      <c r="G13" s="3153">
        <v>1.05</v>
      </c>
      <c r="H13" s="3170">
        <v>1.08</v>
      </c>
      <c r="I13" s="3154">
        <f t="shared" si="4"/>
        <v>0.01</v>
      </c>
      <c r="J13" s="3155"/>
      <c r="K13" s="3156">
        <f t="shared" si="5"/>
        <v>9.300000000000001E-3</v>
      </c>
      <c r="L13" s="3146">
        <f t="shared" si="5"/>
        <v>1.5E-3</v>
      </c>
      <c r="M13" s="3146">
        <f t="shared" si="5"/>
        <v>1E-4</v>
      </c>
      <c r="N13" s="3146">
        <f t="shared" si="5"/>
        <v>1.0500000000000001E-2</v>
      </c>
      <c r="O13" s="3146">
        <f t="shared" si="5"/>
        <v>1.0800000000000001E-2</v>
      </c>
      <c r="P13" s="3146">
        <f t="shared" si="25"/>
        <v>1E-4</v>
      </c>
      <c r="Q13" s="3155"/>
      <c r="R13" s="3157">
        <f>ROUND(IF(项目基本情况!$B$8="出让",SUMPRODUCT(PRODUCT(1+K13:$K$18)),SUMPRODUCT(PRODUCT(1+K13:$K$17))),4)</f>
        <v>1.0430999999999999</v>
      </c>
      <c r="S13" s="3157">
        <f>ROUND(IF(项目基本情况!$B$8="出让",SUMPRODUCT(PRODUCT(1+L13:$L$18)),SUMPRODUCT(PRODUCT(1+L13:$L$17))),4)</f>
        <v>1.0197000000000001</v>
      </c>
      <c r="T13" s="3157">
        <f>ROUND(IF(项目基本情况!$B$8="出让",SUMPRODUCT(PRODUCT(1+M13:$M$18)),SUMPRODUCT(PRODUCT(1+M13:$M$17))),4)</f>
        <v>1.0109999999999999</v>
      </c>
      <c r="U13" s="3157">
        <f>ROUND(IF(项目基本情况!$B$8="出让",SUMPRODUCT(PRODUCT(1+N13:$N$18)),SUMPRODUCT(PRODUCT(1+N13:$N$17))),4)</f>
        <v>1.0468999999999999</v>
      </c>
      <c r="V13" s="3157">
        <f>ROUND(IF(项目基本情况!$B$8="出让",SUMPRODUCT(PRODUCT(1+O13:$O$18)),SUMPRODUCT(PRODUCT(1+O13:$O$17))),4)</f>
        <v>1.0382</v>
      </c>
      <c r="W13" s="3157">
        <f t="shared" si="24"/>
        <v>1.0109999999999999</v>
      </c>
      <c r="X13" s="3155"/>
      <c r="Y13" s="3158">
        <f>IF(D13=0,0,ROUND(AVERAGE(D13:D18)/100,4))</f>
        <v>8.6999999999999994E-3</v>
      </c>
      <c r="Z13" s="3158">
        <f t="shared" ref="Z13:AC13" si="28">IF(E13=0,0,ROUND(AVERAGE(E13:E18)/100,4))</f>
        <v>3.5000000000000001E-3</v>
      </c>
      <c r="AA13" s="3158">
        <f t="shared" si="28"/>
        <v>1.4E-3</v>
      </c>
      <c r="AB13" s="3158">
        <f t="shared" si="28"/>
        <v>9.4999999999999998E-3</v>
      </c>
      <c r="AC13" s="3158">
        <f t="shared" si="28"/>
        <v>6.8999999999999999E-3</v>
      </c>
      <c r="AD13" s="3158">
        <f t="shared" si="7"/>
        <v>1.4E-3</v>
      </c>
    </row>
    <row r="14" spans="1:30" s="3159" customFormat="1" ht="12.75">
      <c r="A14" s="3150" t="s">
        <v>2796</v>
      </c>
      <c r="B14" s="3151">
        <v>2022</v>
      </c>
      <c r="C14" s="3152">
        <v>1</v>
      </c>
      <c r="D14" s="3153">
        <v>0.89</v>
      </c>
      <c r="E14" s="3153">
        <v>0.44</v>
      </c>
      <c r="F14" s="3153">
        <v>0.37</v>
      </c>
      <c r="G14" s="3153">
        <v>0.96</v>
      </c>
      <c r="H14" s="3170">
        <v>0.64</v>
      </c>
      <c r="I14" s="3154">
        <f t="shared" si="4"/>
        <v>0.37</v>
      </c>
      <c r="J14" s="3155"/>
      <c r="K14" s="3156">
        <f t="shared" si="5"/>
        <v>8.8999999999999999E-3</v>
      </c>
      <c r="L14" s="3146">
        <f t="shared" si="5"/>
        <v>4.4000000000000003E-3</v>
      </c>
      <c r="M14" s="3146">
        <f t="shared" si="5"/>
        <v>3.7000000000000002E-3</v>
      </c>
      <c r="N14" s="3146">
        <f t="shared" si="5"/>
        <v>9.5999999999999992E-3</v>
      </c>
      <c r="O14" s="3146">
        <f t="shared" si="5"/>
        <v>6.4000000000000003E-3</v>
      </c>
      <c r="P14" s="3146">
        <f t="shared" si="25"/>
        <v>3.7000000000000002E-3</v>
      </c>
      <c r="Q14" s="3155"/>
      <c r="R14" s="3157">
        <f>ROUND(IF(项目基本情况!$B$8="出让",SUMPRODUCT(PRODUCT(1+K14:$K$18)),SUMPRODUCT(PRODUCT(1+K14:$K$17))),4)</f>
        <v>1.0335000000000001</v>
      </c>
      <c r="S14" s="3157">
        <f>ROUND(IF(项目基本情况!$B$8="出让",SUMPRODUCT(PRODUCT(1+L14:$L$18)),SUMPRODUCT(PRODUCT(1+L14:$L$17))),4)</f>
        <v>1.0182</v>
      </c>
      <c r="T14" s="3157">
        <f>ROUND(IF(项目基本情况!$B$8="出让",SUMPRODUCT(PRODUCT(1+M14:$M$18)),SUMPRODUCT(PRODUCT(1+M14:$M$17))),4)</f>
        <v>1.0108999999999999</v>
      </c>
      <c r="U14" s="3157">
        <f>ROUND(IF(项目基本情况!$B$8="出让",SUMPRODUCT(PRODUCT(1+N14:$N$18)),SUMPRODUCT(PRODUCT(1+N14:$N$17))),4)</f>
        <v>1.0361</v>
      </c>
      <c r="V14" s="3157">
        <f>ROUND(IF(项目基本情况!$B$8="出让",SUMPRODUCT(PRODUCT(1+O14:$O$18)),SUMPRODUCT(PRODUCT(1+O14:$O$17))),4)</f>
        <v>1.0270999999999999</v>
      </c>
      <c r="W14" s="3157">
        <f t="shared" si="24"/>
        <v>1.0108999999999999</v>
      </c>
      <c r="X14" s="3155"/>
      <c r="Y14" s="3158">
        <f>IF(D14=0,0,ROUND(AVERAGE(D14:D18)/100,4))</f>
        <v>8.6E-3</v>
      </c>
      <c r="Z14" s="3158">
        <f t="shared" ref="Z14:AC14" si="29">IF(E14=0,0,ROUND(AVERAGE(E14:E18)/100,4))</f>
        <v>3.8999999999999998E-3</v>
      </c>
      <c r="AA14" s="3158">
        <f t="shared" si="29"/>
        <v>1.6999999999999999E-3</v>
      </c>
      <c r="AB14" s="3158">
        <f t="shared" si="29"/>
        <v>9.2999999999999992E-3</v>
      </c>
      <c r="AC14" s="3158">
        <f t="shared" si="29"/>
        <v>6.1000000000000004E-3</v>
      </c>
      <c r="AD14" s="3158">
        <f t="shared" si="7"/>
        <v>1.6999999999999999E-3</v>
      </c>
    </row>
    <row r="15" spans="1:30" s="3159" customFormat="1" ht="12.75">
      <c r="A15" s="3150" t="s">
        <v>2797</v>
      </c>
      <c r="B15" s="3151">
        <v>2021</v>
      </c>
      <c r="C15" s="3152">
        <v>4</v>
      </c>
      <c r="D15" s="3153">
        <v>1.03</v>
      </c>
      <c r="E15" s="3153">
        <v>0.24</v>
      </c>
      <c r="F15" s="3153">
        <v>7.0000000000000007E-2</v>
      </c>
      <c r="G15" s="3153">
        <v>1.17</v>
      </c>
      <c r="H15" s="3170">
        <v>0.55000000000000004</v>
      </c>
      <c r="I15" s="3154">
        <f t="shared" si="4"/>
        <v>7.0000000000000007E-2</v>
      </c>
      <c r="J15" s="3155"/>
      <c r="K15" s="3156">
        <f t="shared" si="5"/>
        <v>1.03E-2</v>
      </c>
      <c r="L15" s="3146">
        <f t="shared" si="5"/>
        <v>2.3999999999999998E-3</v>
      </c>
      <c r="M15" s="3146">
        <f t="shared" si="5"/>
        <v>7.000000000000001E-4</v>
      </c>
      <c r="N15" s="3146">
        <f t="shared" si="5"/>
        <v>1.1699999999999999E-2</v>
      </c>
      <c r="O15" s="3146">
        <f t="shared" si="5"/>
        <v>5.5000000000000005E-3</v>
      </c>
      <c r="P15" s="3146">
        <f t="shared" si="25"/>
        <v>7.000000000000001E-4</v>
      </c>
      <c r="Q15" s="3155"/>
      <c r="R15" s="3157">
        <f>ROUND(IF(项目基本情况!$B$8="出让",SUMPRODUCT(PRODUCT(1+K15:$K$18)),SUMPRODUCT(PRODUCT(1+K15:$K$17))),4)</f>
        <v>1.0244</v>
      </c>
      <c r="S15" s="3157">
        <f>ROUND(IF(项目基本情况!$B$8="出让",SUMPRODUCT(PRODUCT(1+L15:$L$18)),SUMPRODUCT(PRODUCT(1+L15:$L$17))),4)</f>
        <v>1.0138</v>
      </c>
      <c r="T15" s="3157">
        <f>ROUND(IF(项目基本情况!$B$8="出让",SUMPRODUCT(PRODUCT(1+M15:$M$18)),SUMPRODUCT(PRODUCT(1+M15:$M$17))),4)</f>
        <v>1.0072000000000001</v>
      </c>
      <c r="U15" s="3157">
        <f>ROUND(IF(项目基本情况!$B$8="出让",SUMPRODUCT(PRODUCT(1+N15:$N$18)),SUMPRODUCT(PRODUCT(1+N15:$N$17))),4)</f>
        <v>1.0262</v>
      </c>
      <c r="V15" s="3157">
        <f>ROUND(IF(项目基本情况!$B$8="出让",SUMPRODUCT(PRODUCT(1+O15:$O$18)),SUMPRODUCT(PRODUCT(1+O15:$O$17))),4)</f>
        <v>1.0205</v>
      </c>
      <c r="W15" s="3157">
        <f t="shared" si="24"/>
        <v>1.0072000000000001</v>
      </c>
      <c r="X15" s="3155"/>
      <c r="Y15" s="3158">
        <f>IF(D15=0,0,ROUND(AVERAGE(D15:D18)/100,4))</f>
        <v>8.5000000000000006E-3</v>
      </c>
      <c r="Z15" s="3158">
        <f t="shared" ref="Z15:AC15" si="30">IF(E15=0,0,ROUND(AVERAGE(E15:E18)/100,4))</f>
        <v>3.8E-3</v>
      </c>
      <c r="AA15" s="3158">
        <f t="shared" si="30"/>
        <v>1.1999999999999999E-3</v>
      </c>
      <c r="AB15" s="3158">
        <f t="shared" si="30"/>
        <v>9.2999999999999992E-3</v>
      </c>
      <c r="AC15" s="3158">
        <f t="shared" si="30"/>
        <v>6.0000000000000001E-3</v>
      </c>
      <c r="AD15" s="3158">
        <f t="shared" si="7"/>
        <v>1.1999999999999999E-3</v>
      </c>
    </row>
    <row r="16" spans="1:30" s="3159" customFormat="1" ht="12.75">
      <c r="A16" s="3150" t="s">
        <v>2798</v>
      </c>
      <c r="B16" s="3151">
        <v>2021</v>
      </c>
      <c r="C16" s="3152">
        <v>3</v>
      </c>
      <c r="D16" s="3153">
        <v>0.47</v>
      </c>
      <c r="E16" s="3153">
        <v>0.41</v>
      </c>
      <c r="F16" s="3153">
        <v>0.24</v>
      </c>
      <c r="G16" s="3153">
        <v>0.48</v>
      </c>
      <c r="H16" s="3170">
        <v>0.48</v>
      </c>
      <c r="I16" s="3154">
        <f t="shared" si="4"/>
        <v>0.24</v>
      </c>
      <c r="J16" s="3155"/>
      <c r="K16" s="3156">
        <f t="shared" si="5"/>
        <v>4.6999999999999993E-3</v>
      </c>
      <c r="L16" s="3146">
        <f t="shared" si="5"/>
        <v>4.0999999999999995E-3</v>
      </c>
      <c r="M16" s="3146">
        <f t="shared" si="5"/>
        <v>2.3999999999999998E-3</v>
      </c>
      <c r="N16" s="3146">
        <f t="shared" si="5"/>
        <v>4.7999999999999996E-3</v>
      </c>
      <c r="O16" s="3146">
        <f t="shared" si="5"/>
        <v>4.7999999999999996E-3</v>
      </c>
      <c r="P16" s="3146">
        <f t="shared" si="25"/>
        <v>2.3999999999999998E-3</v>
      </c>
      <c r="Q16" s="3155"/>
      <c r="R16" s="3157">
        <f>ROUND(IF(项目基本情况!$B$8="出让",SUMPRODUCT(PRODUCT(1+K16:$K$18)),SUMPRODUCT(PRODUCT(1+K16:$K$17))),4)</f>
        <v>1.0139</v>
      </c>
      <c r="S16" s="3157">
        <f>ROUND(IF(项目基本情况!$B$8="出让",SUMPRODUCT(PRODUCT(1+L16:$L$18)),SUMPRODUCT(PRODUCT(1+L16:$L$17))),4)</f>
        <v>1.0113000000000001</v>
      </c>
      <c r="T16" s="3157">
        <f>ROUND(IF(项目基本情况!$B$8="出让",SUMPRODUCT(PRODUCT(1+M16:$M$18)),SUMPRODUCT(PRODUCT(1+M16:$M$17))),4)</f>
        <v>1.0065</v>
      </c>
      <c r="U16" s="3157">
        <f>ROUND(IF(项目基本情况!$B$8="出让",SUMPRODUCT(PRODUCT(1+N16:$N$18)),SUMPRODUCT(PRODUCT(1+N16:$N$17))),4)</f>
        <v>1.0143</v>
      </c>
      <c r="V16" s="3157">
        <f>ROUND(IF(项目基本情况!$B$8="出让",SUMPRODUCT(PRODUCT(1+O16:$O$18)),SUMPRODUCT(PRODUCT(1+O16:$O$17))),4)</f>
        <v>1.0148999999999999</v>
      </c>
      <c r="W16" s="3157">
        <f t="shared" si="24"/>
        <v>1.0065</v>
      </c>
      <c r="X16" s="3155"/>
      <c r="Y16" s="3158">
        <f>IF(D16=0,0,ROUND(AVERAGE(D16:D18)/100,4))</f>
        <v>7.9000000000000008E-3</v>
      </c>
      <c r="Z16" s="3158">
        <f>IF(E16=0,0,ROUND(AVERAGE(E16:E18)/100,4))</f>
        <v>4.3E-3</v>
      </c>
      <c r="AA16" s="3158">
        <f>IF(F16=0,0,ROUND(AVERAGE(F16:F18)/100,4))</f>
        <v>1.2999999999999999E-3</v>
      </c>
      <c r="AB16" s="3158">
        <f>IF(G16=0,0,ROUND(AVERAGE(G16:G18)/100,4))</f>
        <v>8.5000000000000006E-3</v>
      </c>
      <c r="AC16" s="3158">
        <f>IF(H16=0,0,ROUND(AVERAGE(H16:H18)/100,4))</f>
        <v>6.1999999999999998E-3</v>
      </c>
      <c r="AD16" s="3158">
        <f t="shared" si="7"/>
        <v>1.2999999999999999E-3</v>
      </c>
    </row>
    <row r="17" spans="1:30" s="3159" customFormat="1" ht="12.75">
      <c r="A17" s="3150" t="s">
        <v>2799</v>
      </c>
      <c r="B17" s="3151">
        <v>2021</v>
      </c>
      <c r="C17" s="3152">
        <v>2</v>
      </c>
      <c r="D17" s="3153">
        <v>0.92</v>
      </c>
      <c r="E17" s="3153">
        <v>0.72</v>
      </c>
      <c r="F17" s="3153">
        <v>0.41</v>
      </c>
      <c r="G17" s="3153">
        <v>0.95</v>
      </c>
      <c r="H17" s="3170">
        <v>1.01</v>
      </c>
      <c r="I17" s="3154">
        <f t="shared" si="4"/>
        <v>0.41</v>
      </c>
      <c r="J17" s="3155"/>
      <c r="K17" s="3156">
        <f t="shared" si="5"/>
        <v>9.1999999999999998E-3</v>
      </c>
      <c r="L17" s="3146">
        <f t="shared" si="5"/>
        <v>7.1999999999999998E-3</v>
      </c>
      <c r="M17" s="3146">
        <f t="shared" si="5"/>
        <v>4.0999999999999995E-3</v>
      </c>
      <c r="N17" s="3146">
        <f t="shared" si="5"/>
        <v>9.4999999999999998E-3</v>
      </c>
      <c r="O17" s="3146">
        <f t="shared" si="5"/>
        <v>1.01E-2</v>
      </c>
      <c r="P17" s="3146">
        <f t="shared" si="25"/>
        <v>4.0999999999999995E-3</v>
      </c>
      <c r="Q17" s="3155"/>
      <c r="R17" s="3157">
        <f>ROUND(IF(项目基本情况!$B$8="出让",SUMPRODUCT(PRODUCT(1+K17:$K$18)),SUMPRODUCT(PRODUCT(1+K17:$K$17))),4)</f>
        <v>1.0092000000000001</v>
      </c>
      <c r="S17" s="3157">
        <f>ROUND(IF(项目基本情况!$B$8="出让",SUMPRODUCT(PRODUCT(1+L17:$L$18)),SUMPRODUCT(PRODUCT(1+L17:$L$17))),4)</f>
        <v>1.0072000000000001</v>
      </c>
      <c r="T17" s="3157">
        <f>ROUND(IF(项目基本情况!$B$8="出让",SUMPRODUCT(PRODUCT(1+M17:$M$18)),SUMPRODUCT(PRODUCT(1+M17:$M$17))),4)</f>
        <v>1.0041</v>
      </c>
      <c r="U17" s="3157">
        <f>ROUND(IF(项目基本情况!$B$8="出让",SUMPRODUCT(PRODUCT(1+N17:$N$18)),SUMPRODUCT(PRODUCT(1+N17:$N$17))),4)</f>
        <v>1.0095000000000001</v>
      </c>
      <c r="V17" s="3157">
        <f>ROUND(IF(项目基本情况!$B$8="出让",SUMPRODUCT(PRODUCT(1+O17:$O$18)),SUMPRODUCT(PRODUCT(1+O17:$O$17))),4)</f>
        <v>1.0101</v>
      </c>
      <c r="W17" s="3157">
        <f t="shared" si="24"/>
        <v>1.0041</v>
      </c>
      <c r="X17" s="3155"/>
      <c r="Y17" s="3158">
        <f>IF(D17=0,0,ROUND(AVERAGE(D17:D18)/100,4))</f>
        <v>9.4999999999999998E-3</v>
      </c>
      <c r="Z17" s="3158">
        <f>IF(E17=0,0,ROUND(AVERAGE(E17:E18)/100,4))</f>
        <v>4.4000000000000003E-3</v>
      </c>
      <c r="AA17" s="3158">
        <f>IF(F17=0,0,ROUND(AVERAGE(F17:F18)/100,4))</f>
        <v>8.0000000000000004E-4</v>
      </c>
      <c r="AB17" s="3158">
        <f>IF(G17=0,0,ROUND(AVERAGE(G17:G18)/100,4))</f>
        <v>1.03E-2</v>
      </c>
      <c r="AC17" s="3158">
        <f>IF(H17=0,0,ROUND(AVERAGE(H17:H18)/100,4))</f>
        <v>6.8999999999999999E-3</v>
      </c>
      <c r="AD17" s="3158">
        <f t="shared" si="7"/>
        <v>8.0000000000000004E-4</v>
      </c>
    </row>
    <row r="18" spans="1:30" s="3181" customFormat="1" thickBot="1">
      <c r="A18" s="3171" t="s">
        <v>2800</v>
      </c>
      <c r="B18" s="3172">
        <v>2021</v>
      </c>
      <c r="C18" s="3173">
        <v>1</v>
      </c>
      <c r="D18" s="3174">
        <v>0.97</v>
      </c>
      <c r="E18" s="3174">
        <v>0.16</v>
      </c>
      <c r="F18" s="3174">
        <v>-0.25</v>
      </c>
      <c r="G18" s="3174">
        <v>1.1100000000000001</v>
      </c>
      <c r="H18" s="3175">
        <v>0.36</v>
      </c>
      <c r="I18" s="3176">
        <f t="shared" si="4"/>
        <v>-0.25</v>
      </c>
      <c r="J18" s="3177"/>
      <c r="K18" s="3178">
        <f t="shared" si="5"/>
        <v>9.7000000000000003E-3</v>
      </c>
      <c r="L18" s="3179">
        <f t="shared" si="5"/>
        <v>1.6000000000000001E-3</v>
      </c>
      <c r="M18" s="3179">
        <f>F18/100</f>
        <v>-2.5000000000000001E-3</v>
      </c>
      <c r="N18" s="3179">
        <f t="shared" si="5"/>
        <v>1.11E-2</v>
      </c>
      <c r="O18" s="3179">
        <f t="shared" si="5"/>
        <v>3.5999999999999999E-3</v>
      </c>
      <c r="P18" s="3179">
        <f t="shared" si="25"/>
        <v>-2.5000000000000001E-3</v>
      </c>
      <c r="Q18" s="3177"/>
      <c r="R18" s="3180">
        <v>1</v>
      </c>
      <c r="S18" s="3180">
        <v>1</v>
      </c>
      <c r="T18" s="3180">
        <v>1</v>
      </c>
      <c r="U18" s="3180">
        <v>1</v>
      </c>
      <c r="V18" s="3180">
        <v>1</v>
      </c>
      <c r="W18" s="3180">
        <f t="shared" ref="W18" si="31">T18</f>
        <v>1</v>
      </c>
      <c r="X18" s="3177"/>
      <c r="Y18" s="3179">
        <f>IF(D18=0,0,ROUND(AVERAGE(D18:D18)/100,4))</f>
        <v>9.7000000000000003E-3</v>
      </c>
      <c r="Z18" s="3179">
        <f>IF(E18=0,0,ROUND(AVERAGE(E18:E18)/100,4))</f>
        <v>1.6000000000000001E-3</v>
      </c>
      <c r="AA18" s="3179">
        <f>IF(F18=0,0,ROUND(AVERAGE(F18:F18)/100,4))</f>
        <v>-2.5000000000000001E-3</v>
      </c>
      <c r="AB18" s="3179">
        <f>IF(G18=0,0,ROUND(AVERAGE(G18:G18)/100,4))</f>
        <v>1.11E-2</v>
      </c>
      <c r="AC18" s="3179">
        <f>IF(H18=0,0,ROUND(AVERAGE(H18:H18)/100,4))</f>
        <v>3.5999999999999999E-3</v>
      </c>
      <c r="AD18" s="3179">
        <f>AA18</f>
        <v>-2.5000000000000001E-3</v>
      </c>
    </row>
    <row r="19" spans="1:30" s="2983" customFormat="1" ht="14.25" thickTop="1"/>
    <row r="20" spans="1:30" s="2983" customFormat="1">
      <c r="A20" s="3422" t="s">
        <v>3341</v>
      </c>
    </row>
    <row r="21" spans="1:30" s="2983" customFormat="1">
      <c r="I21" s="3182" t="s">
        <v>2801</v>
      </c>
    </row>
    <row r="22" spans="1:30" s="2983" customFormat="1"/>
    <row r="23" spans="1:30" s="3183" customFormat="1" ht="12.75">
      <c r="B23" s="3184" t="s">
        <v>3347</v>
      </c>
      <c r="C23" s="3185"/>
      <c r="D23" s="3185"/>
      <c r="E23" s="3185"/>
      <c r="F23" s="3185"/>
      <c r="G23" s="3185"/>
      <c r="H23" s="3185"/>
      <c r="I23" s="3185"/>
      <c r="J23" s="3139"/>
      <c r="K23" s="3185" t="s">
        <v>2802</v>
      </c>
      <c r="L23" s="3185"/>
      <c r="M23" s="3185"/>
      <c r="N23" s="3185"/>
      <c r="O23" s="3185"/>
      <c r="P23" s="3185"/>
      <c r="Q23" s="3139"/>
      <c r="R23" s="3818" t="s">
        <v>2803</v>
      </c>
      <c r="S23" s="3819"/>
      <c r="T23" s="3819"/>
      <c r="U23" s="3819"/>
      <c r="V23" s="3819"/>
      <c r="W23" s="3819"/>
      <c r="X23" s="3139"/>
      <c r="Y23" s="3818" t="s">
        <v>2804</v>
      </c>
      <c r="Z23" s="3819"/>
      <c r="AA23" s="3819"/>
      <c r="AB23" s="3819"/>
      <c r="AC23" s="3819"/>
      <c r="AD23" s="3819"/>
    </row>
    <row r="24" spans="1:30" s="3117" customFormat="1" ht="14.25" thickBot="1">
      <c r="B24" s="3118"/>
      <c r="C24" s="3119"/>
      <c r="D24" s="3120" t="s">
        <v>2805</v>
      </c>
      <c r="E24" s="3121" t="s">
        <v>2806</v>
      </c>
      <c r="F24" s="3121" t="s">
        <v>2807</v>
      </c>
      <c r="G24" s="3121" t="s">
        <v>2808</v>
      </c>
      <c r="H24" s="3121"/>
      <c r="I24" s="3121" t="s">
        <v>2809</v>
      </c>
      <c r="J24" s="3122"/>
      <c r="K24" s="3120" t="s">
        <v>2805</v>
      </c>
      <c r="L24" s="3121" t="s">
        <v>2806</v>
      </c>
      <c r="M24" s="3121" t="s">
        <v>2807</v>
      </c>
      <c r="N24" s="3121" t="s">
        <v>2808</v>
      </c>
      <c r="O24" s="3121"/>
      <c r="P24" s="3121" t="s">
        <v>2809</v>
      </c>
      <c r="Q24" s="3122"/>
      <c r="R24" s="3120" t="s">
        <v>2805</v>
      </c>
      <c r="S24" s="3121" t="s">
        <v>2806</v>
      </c>
      <c r="T24" s="3121" t="s">
        <v>2807</v>
      </c>
      <c r="U24" s="3121" t="s">
        <v>2808</v>
      </c>
      <c r="V24" s="3121"/>
      <c r="W24" s="3121" t="s">
        <v>2809</v>
      </c>
      <c r="X24" s="3122"/>
      <c r="Y24" s="3120" t="s">
        <v>2805</v>
      </c>
      <c r="Z24" s="3121" t="s">
        <v>2806</v>
      </c>
      <c r="AA24" s="3121" t="s">
        <v>2807</v>
      </c>
      <c r="AB24" s="3121" t="s">
        <v>2808</v>
      </c>
      <c r="AC24" s="3121"/>
      <c r="AD24" s="3121" t="s">
        <v>2809</v>
      </c>
    </row>
    <row r="25" spans="1:30" s="3135" customFormat="1" ht="12.75">
      <c r="A25" s="3123" t="s">
        <v>2810</v>
      </c>
      <c r="B25" s="3124"/>
      <c r="C25" s="3125"/>
      <c r="D25" s="3125"/>
      <c r="E25" s="3125">
        <f t="shared" ref="E25:G25" si="32">ROUND(AVERAGEIF(E26:E40,"&lt;&gt;0"),2)</f>
        <v>0.39</v>
      </c>
      <c r="F25" s="3125">
        <f t="shared" si="32"/>
        <v>0.28000000000000003</v>
      </c>
      <c r="G25" s="3125">
        <f t="shared" si="32"/>
        <v>0.67</v>
      </c>
      <c r="H25" s="3125"/>
      <c r="I25" s="3125">
        <f>F25</f>
        <v>0.28000000000000003</v>
      </c>
      <c r="J25" s="3126"/>
      <c r="K25" s="3127"/>
      <c r="L25" s="3128">
        <f t="shared" ref="L25:N25" si="33">ROUND(AVERAGEIF(L26:L40,"&lt;&gt;0"),4)</f>
        <v>3.8999999999999998E-3</v>
      </c>
      <c r="M25" s="3128">
        <f t="shared" si="33"/>
        <v>2.8E-3</v>
      </c>
      <c r="N25" s="3128">
        <f t="shared" si="33"/>
        <v>6.7000000000000002E-3</v>
      </c>
      <c r="O25" s="3128"/>
      <c r="P25" s="3128">
        <f>M25</f>
        <v>2.8E-3</v>
      </c>
      <c r="Q25" s="3126"/>
      <c r="R25" s="3129"/>
      <c r="S25" s="3130">
        <f>ROUND(SUMPRODUCT(PRODUCT(1+L26:L40)),4)</f>
        <v>1.0476000000000001</v>
      </c>
      <c r="T25" s="3130">
        <f t="shared" ref="T25:U25" si="34">ROUND(SUMPRODUCT(PRODUCT(1+M26:M40)),4)</f>
        <v>1.0346</v>
      </c>
      <c r="U25" s="3130">
        <f t="shared" si="34"/>
        <v>1.0831999999999999</v>
      </c>
      <c r="V25" s="3130"/>
      <c r="W25" s="3129">
        <f>T25</f>
        <v>1.0346</v>
      </c>
      <c r="X25" s="3126"/>
      <c r="Y25" s="3131"/>
      <c r="Z25" s="3132">
        <f t="shared" ref="Z25:AB25" si="35">ROUND(AVERAGEIF(Z26:Z40,"&lt;&gt;0"),4)</f>
        <v>4.3E-3</v>
      </c>
      <c r="AA25" s="3133">
        <f t="shared" si="35"/>
        <v>3.5999999999999999E-3</v>
      </c>
      <c r="AB25" s="3131">
        <f t="shared" si="35"/>
        <v>8.8999999999999999E-3</v>
      </c>
      <c r="AC25" s="3134"/>
      <c r="AD25" s="3131">
        <f>AA25</f>
        <v>3.5999999999999999E-3</v>
      </c>
    </row>
    <row r="26" spans="1:30" s="3136" customFormat="1" ht="12.75">
      <c r="B26" s="3137"/>
      <c r="C26" s="3138"/>
      <c r="D26" s="3138"/>
      <c r="E26" s="3138"/>
      <c r="F26" s="3138"/>
      <c r="G26" s="3138"/>
      <c r="H26" s="3138"/>
      <c r="I26" s="3138"/>
      <c r="J26" s="3139"/>
      <c r="K26" s="3140"/>
      <c r="L26" s="3141"/>
      <c r="M26" s="3141"/>
      <c r="N26" s="3141"/>
      <c r="O26" s="3141"/>
      <c r="P26" s="3141"/>
      <c r="Q26" s="3139"/>
      <c r="R26" s="3142"/>
      <c r="S26" s="3143"/>
      <c r="T26" s="3144"/>
      <c r="U26" s="3142"/>
      <c r="V26" s="3145"/>
      <c r="W26" s="3142"/>
      <c r="X26" s="3139"/>
      <c r="Y26" s="3146"/>
      <c r="Z26" s="3147"/>
      <c r="AA26" s="3148"/>
      <c r="AB26" s="3146"/>
      <c r="AC26" s="3149"/>
      <c r="AD26" s="3146"/>
    </row>
    <row r="27" spans="1:30" s="3159" customFormat="1" ht="12.75">
      <c r="A27" s="2204" t="s">
        <v>3349</v>
      </c>
      <c r="B27" s="3151">
        <v>2024</v>
      </c>
      <c r="C27" s="3152">
        <v>2</v>
      </c>
      <c r="D27" s="3153"/>
      <c r="E27" s="3153">
        <v>0</v>
      </c>
      <c r="F27" s="3153">
        <v>0</v>
      </c>
      <c r="G27" s="3153">
        <v>0</v>
      </c>
      <c r="H27" s="3153"/>
      <c r="I27" s="3154">
        <f t="shared" ref="I27:I40" si="36">F27</f>
        <v>0</v>
      </c>
      <c r="J27" s="3155"/>
      <c r="K27" s="3156"/>
      <c r="L27" s="3146">
        <f t="shared" ref="L27:N40" si="37">E27/100</f>
        <v>0</v>
      </c>
      <c r="M27" s="3146">
        <f t="shared" si="37"/>
        <v>0</v>
      </c>
      <c r="N27" s="3146">
        <f t="shared" si="37"/>
        <v>0</v>
      </c>
      <c r="O27" s="3146"/>
      <c r="P27" s="3146">
        <f>M27</f>
        <v>0</v>
      </c>
      <c r="Q27" s="3155"/>
      <c r="R27" s="3157"/>
      <c r="S27" s="3157">
        <f>ROUND(IF(项目基本情况!$B$8="出让",SUMPRODUCT(PRODUCT(1+L27:L$40)),SUMPRODUCT(PRODUCT(1+L27:L$39))),4)</f>
        <v>1.0439000000000001</v>
      </c>
      <c r="T27" s="3157">
        <f>ROUND(IF(项目基本情况!$B$8="出让",SUMPRODUCT(PRODUCT(1+M27:M$40)),SUMPRODUCT(PRODUCT(1+M27:M$39))),4)</f>
        <v>1.0297000000000001</v>
      </c>
      <c r="U27" s="3157">
        <f>ROUND(IF(项目基本情况!$B$8="出让",SUMPRODUCT(PRODUCT(1+N27:N$40)),SUMPRODUCT(PRODUCT(1+N27:N$39))),4)</f>
        <v>1.0727</v>
      </c>
      <c r="V27" s="3157"/>
      <c r="W27" s="3157">
        <f>T27</f>
        <v>1.0297000000000001</v>
      </c>
      <c r="X27" s="3155"/>
      <c r="Y27" s="3158"/>
      <c r="Z27" s="3186">
        <f>IF(E27=0,0,ROUND(AVERAGE(E27:E40)/100,4))</f>
        <v>0</v>
      </c>
      <c r="AA27" s="3186">
        <f>IF(F27=0,0,ROUND(AVERAGE(F27:F40)/100,4))</f>
        <v>0</v>
      </c>
      <c r="AB27" s="3186">
        <f>IF(G27=0,0,ROUND(AVERAGE(G27:G40)/100,4))</f>
        <v>0</v>
      </c>
      <c r="AC27" s="3187"/>
      <c r="AD27" s="3158">
        <f>IF(I27=0,0,ROUND(AVERAGE(I27:I40)/100,4))</f>
        <v>0</v>
      </c>
    </row>
    <row r="28" spans="1:30" s="3159" customFormat="1" ht="12.75">
      <c r="A28" s="2204" t="s">
        <v>3350</v>
      </c>
      <c r="B28" s="3151">
        <v>2024</v>
      </c>
      <c r="C28" s="3152">
        <v>1</v>
      </c>
      <c r="D28" s="3153"/>
      <c r="E28" s="3153">
        <v>0</v>
      </c>
      <c r="F28" s="3153">
        <v>0</v>
      </c>
      <c r="G28" s="3153">
        <v>0</v>
      </c>
      <c r="H28" s="3153"/>
      <c r="I28" s="3154">
        <f t="shared" ref="I28:I29" si="38">F28</f>
        <v>0</v>
      </c>
      <c r="J28" s="3155"/>
      <c r="K28" s="3156"/>
      <c r="L28" s="3146">
        <f t="shared" ref="L28" si="39">E28/100</f>
        <v>0</v>
      </c>
      <c r="M28" s="3146">
        <f t="shared" ref="M28" si="40">F28/100</f>
        <v>0</v>
      </c>
      <c r="N28" s="3146">
        <f t="shared" ref="N28" si="41">G28/100</f>
        <v>0</v>
      </c>
      <c r="O28" s="3146"/>
      <c r="P28" s="3146">
        <f t="shared" ref="P28" si="42">M28</f>
        <v>0</v>
      </c>
      <c r="Q28" s="3155"/>
      <c r="R28" s="3157"/>
      <c r="S28" s="3157">
        <f>ROUND(IF(项目基本情况!$B$8="出让",SUMPRODUCT(PRODUCT(1+L28:L$40)),SUMPRODUCT(PRODUCT(1+L28:L$39))),4)</f>
        <v>1.0439000000000001</v>
      </c>
      <c r="T28" s="3157">
        <f>ROUND(IF(项目基本情况!$B$8="出让",SUMPRODUCT(PRODUCT(1+M28:M$40)),SUMPRODUCT(PRODUCT(1+M28:M$39))),4)</f>
        <v>1.0297000000000001</v>
      </c>
      <c r="U28" s="3157">
        <f>ROUND(IF(项目基本情况!$B$8="出让",SUMPRODUCT(PRODUCT(1+N28:N$40)),SUMPRODUCT(PRODUCT(1+N28:N$39))),4)</f>
        <v>1.0727</v>
      </c>
      <c r="V28" s="3157"/>
      <c r="W28" s="3157">
        <f t="shared" ref="W28" si="43">T28</f>
        <v>1.0297000000000001</v>
      </c>
      <c r="X28" s="3155"/>
      <c r="Y28" s="3158"/>
      <c r="Z28" s="3186"/>
      <c r="AA28" s="3188"/>
      <c r="AB28" s="3158"/>
      <c r="AC28" s="3187"/>
      <c r="AD28" s="3158"/>
    </row>
    <row r="29" spans="1:30" s="3169" customFormat="1" ht="12.75">
      <c r="A29" s="3160" t="s">
        <v>3354</v>
      </c>
      <c r="B29" s="3161">
        <v>2023</v>
      </c>
      <c r="C29" s="3162">
        <v>4</v>
      </c>
      <c r="D29" s="3163"/>
      <c r="E29" s="3163">
        <v>7.0000000000000007E-2</v>
      </c>
      <c r="F29" s="3163">
        <v>0.09</v>
      </c>
      <c r="G29" s="3163">
        <v>0.03</v>
      </c>
      <c r="H29" s="3164"/>
      <c r="I29" s="3165">
        <f t="shared" si="38"/>
        <v>0.09</v>
      </c>
      <c r="J29" s="3166"/>
      <c r="K29" s="3167"/>
      <c r="L29" s="3168">
        <f t="shared" si="37"/>
        <v>7.000000000000001E-4</v>
      </c>
      <c r="M29" s="3168">
        <f t="shared" si="37"/>
        <v>8.9999999999999998E-4</v>
      </c>
      <c r="N29" s="3168">
        <f t="shared" si="37"/>
        <v>2.9999999999999997E-4</v>
      </c>
      <c r="O29" s="3168"/>
      <c r="P29" s="3168">
        <f t="shared" ref="P29" si="44">M29</f>
        <v>8.9999999999999998E-4</v>
      </c>
      <c r="Q29" s="3166"/>
      <c r="R29" s="3166"/>
      <c r="S29" s="3166">
        <f>ROUND(IF(项目基本情况!$B$8="出让",SUMPRODUCT(PRODUCT(1+L29:L$40)),SUMPRODUCT(PRODUCT(1+L29:L$39))),4)</f>
        <v>1.0439000000000001</v>
      </c>
      <c r="T29" s="3166">
        <f>ROUND(IF(项目基本情况!$B$8="出让",SUMPRODUCT(PRODUCT(1+M29:M$40)),SUMPRODUCT(PRODUCT(1+M29:M$39))),4)</f>
        <v>1.0297000000000001</v>
      </c>
      <c r="U29" s="3166">
        <f>ROUND(IF(项目基本情况!$B$8="出让",SUMPRODUCT(PRODUCT(1+N29:N$40)),SUMPRODUCT(PRODUCT(1+N29:N$39))),4)</f>
        <v>1.0727</v>
      </c>
      <c r="V29" s="3166"/>
      <c r="W29" s="3166">
        <f t="shared" ref="W29" si="45">T29</f>
        <v>1.0297000000000001</v>
      </c>
      <c r="X29" s="3166"/>
      <c r="Y29" s="3168"/>
      <c r="Z29" s="3189"/>
      <c r="AA29" s="3190"/>
      <c r="AB29" s="3168"/>
      <c r="AC29" s="3191"/>
      <c r="AD29" s="3168"/>
    </row>
    <row r="30" spans="1:30" s="3159" customFormat="1" ht="12.75">
      <c r="A30" s="3150" t="s">
        <v>3353</v>
      </c>
      <c r="B30" s="3151">
        <v>2023</v>
      </c>
      <c r="C30" s="3152">
        <v>3</v>
      </c>
      <c r="D30" s="3153"/>
      <c r="E30" s="3153">
        <v>0.35</v>
      </c>
      <c r="F30" s="3153">
        <v>0.17</v>
      </c>
      <c r="G30" s="3153">
        <v>0.52</v>
      </c>
      <c r="H30" s="3170"/>
      <c r="I30" s="3154">
        <f t="shared" si="36"/>
        <v>0.17</v>
      </c>
      <c r="J30" s="3155"/>
      <c r="K30" s="3156"/>
      <c r="L30" s="3146">
        <f t="shared" ref="L30:L32" si="46">E30/100</f>
        <v>3.4999999999999996E-3</v>
      </c>
      <c r="M30" s="3146">
        <f t="shared" ref="M30:M32" si="47">F30/100</f>
        <v>1.7000000000000001E-3</v>
      </c>
      <c r="N30" s="3146">
        <f t="shared" ref="N30:N32" si="48">G30/100</f>
        <v>5.1999999999999998E-3</v>
      </c>
      <c r="O30" s="3146"/>
      <c r="P30" s="3146">
        <f t="shared" ref="P30:P32" si="49">M30</f>
        <v>1.7000000000000001E-3</v>
      </c>
      <c r="Q30" s="3155"/>
      <c r="R30" s="3157"/>
      <c r="S30" s="3157">
        <f>ROUND(IF(项目基本情况!$B$8="出让",SUMPRODUCT(PRODUCT(1+L30:L$40)),SUMPRODUCT(PRODUCT(1+L30:L$39))),4)</f>
        <v>1.0431999999999999</v>
      </c>
      <c r="T30" s="3157">
        <f>ROUND(IF(项目基本情况!$B$8="出让",SUMPRODUCT(PRODUCT(1+M30:M$40)),SUMPRODUCT(PRODUCT(1+M30:M$39))),4)</f>
        <v>1.0286999999999999</v>
      </c>
      <c r="U30" s="3157">
        <f>ROUND(IF(项目基本情况!$B$8="出让",SUMPRODUCT(PRODUCT(1+N30:N$40)),SUMPRODUCT(PRODUCT(1+N30:N$39))),4)</f>
        <v>1.0723</v>
      </c>
      <c r="V30" s="3157"/>
      <c r="W30" s="3157">
        <f t="shared" ref="W30:W32" si="50">T30</f>
        <v>1.0286999999999999</v>
      </c>
      <c r="X30" s="3155"/>
      <c r="Y30" s="3158"/>
      <c r="Z30" s="3186"/>
      <c r="AA30" s="3188"/>
      <c r="AB30" s="3158"/>
      <c r="AC30" s="3187"/>
      <c r="AD30" s="3158"/>
    </row>
    <row r="31" spans="1:30" s="3159" customFormat="1" ht="12.75">
      <c r="A31" s="3150" t="s">
        <v>3348</v>
      </c>
      <c r="B31" s="3151">
        <v>2023</v>
      </c>
      <c r="C31" s="3152">
        <v>2</v>
      </c>
      <c r="D31" s="3153"/>
      <c r="E31" s="3153">
        <v>0.5</v>
      </c>
      <c r="F31" s="3153">
        <v>0.45</v>
      </c>
      <c r="G31" s="3153">
        <v>0.89</v>
      </c>
      <c r="H31" s="3170"/>
      <c r="I31" s="3154">
        <f t="shared" si="36"/>
        <v>0.45</v>
      </c>
      <c r="J31" s="3155"/>
      <c r="K31" s="3156"/>
      <c r="L31" s="3146">
        <f t="shared" si="46"/>
        <v>5.0000000000000001E-3</v>
      </c>
      <c r="M31" s="3146">
        <f t="shared" si="47"/>
        <v>4.5000000000000005E-3</v>
      </c>
      <c r="N31" s="3146">
        <f t="shared" si="48"/>
        <v>8.8999999999999999E-3</v>
      </c>
      <c r="O31" s="3146"/>
      <c r="P31" s="3146">
        <f t="shared" si="49"/>
        <v>4.5000000000000005E-3</v>
      </c>
      <c r="Q31" s="3155"/>
      <c r="R31" s="3157"/>
      <c r="S31" s="3157">
        <f>ROUND(IF(项目基本情况!$B$8="出让",SUMPRODUCT(PRODUCT(1+L31:L$40)),SUMPRODUCT(PRODUCT(1+L31:L$39))),4)</f>
        <v>1.0396000000000001</v>
      </c>
      <c r="T31" s="3157">
        <f>ROUND(IF(项目基本情况!$B$8="出让",SUMPRODUCT(PRODUCT(1+M31:M$40)),SUMPRODUCT(PRODUCT(1+M31:M$39))),4)</f>
        <v>1.0269999999999999</v>
      </c>
      <c r="U31" s="3157">
        <f>ROUND(IF(项目基本情况!$B$8="出让",SUMPRODUCT(PRODUCT(1+N31:N$40)),SUMPRODUCT(PRODUCT(1+N31:N$39))),4)</f>
        <v>1.0668</v>
      </c>
      <c r="V31" s="3157"/>
      <c r="W31" s="3157">
        <f t="shared" si="50"/>
        <v>1.0269999999999999</v>
      </c>
      <c r="X31" s="3155"/>
      <c r="Y31" s="3158"/>
      <c r="Z31" s="3186"/>
      <c r="AA31" s="3188"/>
      <c r="AB31" s="3158"/>
      <c r="AC31" s="3187"/>
      <c r="AD31" s="3158"/>
    </row>
    <row r="32" spans="1:30" s="3159" customFormat="1" ht="12.75">
      <c r="A32" s="3150" t="s">
        <v>3344</v>
      </c>
      <c r="B32" s="3151">
        <v>2023</v>
      </c>
      <c r="C32" s="3152">
        <v>1</v>
      </c>
      <c r="D32" s="3153"/>
      <c r="E32" s="3153">
        <v>0.55000000000000004</v>
      </c>
      <c r="F32" s="3153">
        <v>0.59</v>
      </c>
      <c r="G32" s="3153">
        <v>0.64</v>
      </c>
      <c r="H32" s="3170"/>
      <c r="I32" s="3154">
        <f t="shared" si="36"/>
        <v>0.59</v>
      </c>
      <c r="J32" s="3155"/>
      <c r="K32" s="3156"/>
      <c r="L32" s="3146">
        <f t="shared" si="46"/>
        <v>5.5000000000000005E-3</v>
      </c>
      <c r="M32" s="3146">
        <f t="shared" si="47"/>
        <v>5.8999999999999999E-3</v>
      </c>
      <c r="N32" s="3146">
        <f t="shared" si="48"/>
        <v>6.4000000000000003E-3</v>
      </c>
      <c r="O32" s="3146"/>
      <c r="P32" s="3146">
        <f t="shared" si="49"/>
        <v>5.8999999999999999E-3</v>
      </c>
      <c r="Q32" s="3155"/>
      <c r="R32" s="3157"/>
      <c r="S32" s="3157">
        <f>ROUND(IF(项目基本情况!$B$8="出让",SUMPRODUCT(PRODUCT(1+L32:L$40)),SUMPRODUCT(PRODUCT(1+L32:L$39))),4)</f>
        <v>1.0344</v>
      </c>
      <c r="T32" s="3157">
        <f>ROUND(IF(项目基本情况!$B$8="出让",SUMPRODUCT(PRODUCT(1+M32:M$40)),SUMPRODUCT(PRODUCT(1+M32:M$39))),4)</f>
        <v>1.0224</v>
      </c>
      <c r="U32" s="3157">
        <f>ROUND(IF(项目基本情况!$B$8="出让",SUMPRODUCT(PRODUCT(1+N32:N$40)),SUMPRODUCT(PRODUCT(1+N32:N$39))),4)</f>
        <v>1.0573999999999999</v>
      </c>
      <c r="V32" s="3157"/>
      <c r="W32" s="3157">
        <f t="shared" si="50"/>
        <v>1.0224</v>
      </c>
      <c r="X32" s="3155"/>
      <c r="Y32" s="3158"/>
      <c r="Z32" s="3186"/>
      <c r="AA32" s="3188"/>
      <c r="AB32" s="3158"/>
      <c r="AC32" s="3187"/>
      <c r="AD32" s="3158"/>
    </row>
    <row r="33" spans="1:30" s="3159" customFormat="1" ht="12.75">
      <c r="A33" s="3150" t="s">
        <v>3343</v>
      </c>
      <c r="B33" s="3151">
        <v>2022</v>
      </c>
      <c r="C33" s="3152">
        <v>4</v>
      </c>
      <c r="D33" s="3153"/>
      <c r="E33" s="3153">
        <v>0.45</v>
      </c>
      <c r="F33" s="3153">
        <v>0.2</v>
      </c>
      <c r="G33" s="3153">
        <v>0.38</v>
      </c>
      <c r="H33" s="3170"/>
      <c r="I33" s="3154">
        <f t="shared" si="36"/>
        <v>0.2</v>
      </c>
      <c r="J33" s="3155"/>
      <c r="K33" s="3156"/>
      <c r="L33" s="3146">
        <f t="shared" si="37"/>
        <v>4.5000000000000005E-3</v>
      </c>
      <c r="M33" s="3146">
        <f t="shared" si="37"/>
        <v>2E-3</v>
      </c>
      <c r="N33" s="3146">
        <f t="shared" si="37"/>
        <v>3.8E-3</v>
      </c>
      <c r="O33" s="3146"/>
      <c r="P33" s="3146">
        <f t="shared" ref="P33:P40" si="51">M33</f>
        <v>2E-3</v>
      </c>
      <c r="Q33" s="3155"/>
      <c r="R33" s="3157"/>
      <c r="S33" s="3157">
        <f>ROUND(IF(项目基本情况!$B$8="出让",SUMPRODUCT(PRODUCT(1+L33:L$40)),SUMPRODUCT(PRODUCT(1+L33:L$39))),4)</f>
        <v>1.0286999999999999</v>
      </c>
      <c r="T33" s="3157">
        <f>ROUND(IF(项目基本情况!$B$8="出让",SUMPRODUCT(PRODUCT(1+M33:M$40)),SUMPRODUCT(PRODUCT(1+M33:M$39))),4)</f>
        <v>1.0164</v>
      </c>
      <c r="U33" s="3157">
        <f>ROUND(IF(项目基本情况!$B$8="出让",SUMPRODUCT(PRODUCT(1+N33:N$40)),SUMPRODUCT(PRODUCT(1+N33:N$39))),4)</f>
        <v>1.0506</v>
      </c>
      <c r="V33" s="3157"/>
      <c r="W33" s="3157">
        <f t="shared" ref="W33:W40" si="52">T33</f>
        <v>1.0164</v>
      </c>
      <c r="X33" s="3155"/>
      <c r="Y33" s="3158"/>
      <c r="Z33" s="3186">
        <f t="shared" ref="Z33:AD40" si="53">IF(E33=0,0,ROUND(AVERAGE(E33:E41)/100,4))</f>
        <v>4.0000000000000001E-3</v>
      </c>
      <c r="AA33" s="3188">
        <f t="shared" si="53"/>
        <v>2.5999999999999999E-3</v>
      </c>
      <c r="AB33" s="3158">
        <f t="shared" si="53"/>
        <v>7.4000000000000003E-3</v>
      </c>
      <c r="AC33" s="3187"/>
      <c r="AD33" s="3158">
        <f t="shared" si="53"/>
        <v>2.5999999999999999E-3</v>
      </c>
    </row>
    <row r="34" spans="1:30" s="3159" customFormat="1" ht="12.75">
      <c r="A34" s="3150" t="s">
        <v>3340</v>
      </c>
      <c r="B34" s="3151">
        <v>2022</v>
      </c>
      <c r="C34" s="3152">
        <v>3</v>
      </c>
      <c r="D34" s="3153"/>
      <c r="E34" s="3153">
        <v>0.3</v>
      </c>
      <c r="F34" s="3153">
        <v>0.28999999999999998</v>
      </c>
      <c r="G34" s="3153">
        <v>0.83</v>
      </c>
      <c r="H34" s="3170"/>
      <c r="I34" s="3154">
        <f t="shared" si="36"/>
        <v>0.28999999999999998</v>
      </c>
      <c r="J34" s="3155"/>
      <c r="K34" s="3156"/>
      <c r="L34" s="3146">
        <f t="shared" si="37"/>
        <v>3.0000000000000001E-3</v>
      </c>
      <c r="M34" s="3146">
        <f t="shared" si="37"/>
        <v>2.8999999999999998E-3</v>
      </c>
      <c r="N34" s="3146">
        <f t="shared" si="37"/>
        <v>8.3000000000000001E-3</v>
      </c>
      <c r="O34" s="3146"/>
      <c r="P34" s="3146">
        <f t="shared" si="51"/>
        <v>2.8999999999999998E-3</v>
      </c>
      <c r="Q34" s="3155"/>
      <c r="R34" s="3157"/>
      <c r="S34" s="3157">
        <f>ROUND(IF(项目基本情况!$B$8="出让",SUMPRODUCT(PRODUCT(1+L34:L$40)),SUMPRODUCT(PRODUCT(1+L34:L$39))),4)</f>
        <v>1.0241</v>
      </c>
      <c r="T34" s="3157">
        <f>ROUND(IF(项目基本情况!$B$8="出让",SUMPRODUCT(PRODUCT(1+M34:M$40)),SUMPRODUCT(PRODUCT(1+M34:M$39))),4)</f>
        <v>1.0144</v>
      </c>
      <c r="U34" s="3157">
        <f>ROUND(IF(项目基本情况!$B$8="出让",SUMPRODUCT(PRODUCT(1+N34:N$40)),SUMPRODUCT(PRODUCT(1+N34:N$39))),4)</f>
        <v>1.0467</v>
      </c>
      <c r="V34" s="3157"/>
      <c r="W34" s="3157">
        <f t="shared" si="52"/>
        <v>1.0144</v>
      </c>
      <c r="X34" s="3155"/>
      <c r="Y34" s="3158"/>
      <c r="Z34" s="3186">
        <f t="shared" si="53"/>
        <v>3.8999999999999998E-3</v>
      </c>
      <c r="AA34" s="3188">
        <f t="shared" si="53"/>
        <v>2.7000000000000001E-3</v>
      </c>
      <c r="AB34" s="3158">
        <f t="shared" si="53"/>
        <v>7.9000000000000008E-3</v>
      </c>
      <c r="AC34" s="3187"/>
      <c r="AD34" s="3158">
        <f t="shared" si="53"/>
        <v>2.7000000000000001E-3</v>
      </c>
    </row>
    <row r="35" spans="1:30" s="3159" customFormat="1" ht="12.75">
      <c r="A35" s="3150" t="s">
        <v>3330</v>
      </c>
      <c r="B35" s="3151">
        <v>2022</v>
      </c>
      <c r="C35" s="3152">
        <v>2</v>
      </c>
      <c r="D35" s="3153"/>
      <c r="E35" s="3153">
        <v>-0.11</v>
      </c>
      <c r="F35" s="3153">
        <v>-0.13</v>
      </c>
      <c r="G35" s="3153">
        <v>0.53</v>
      </c>
      <c r="H35" s="3170"/>
      <c r="I35" s="3154">
        <f t="shared" si="36"/>
        <v>-0.13</v>
      </c>
      <c r="J35" s="3155"/>
      <c r="K35" s="3156"/>
      <c r="L35" s="3146">
        <f t="shared" si="37"/>
        <v>-1.1000000000000001E-3</v>
      </c>
      <c r="M35" s="3146">
        <f t="shared" si="37"/>
        <v>-1.2999999999999999E-3</v>
      </c>
      <c r="N35" s="3146">
        <f t="shared" si="37"/>
        <v>5.3E-3</v>
      </c>
      <c r="O35" s="3146"/>
      <c r="P35" s="3146">
        <f t="shared" si="51"/>
        <v>-1.2999999999999999E-3</v>
      </c>
      <c r="Q35" s="3155"/>
      <c r="R35" s="3157"/>
      <c r="S35" s="3157">
        <f>ROUND(IF(项目基本情况!$B$8="出让",SUMPRODUCT(PRODUCT(1+L35:L$40)),SUMPRODUCT(PRODUCT(1+L35:L$39))),4)</f>
        <v>1.0210999999999999</v>
      </c>
      <c r="T35" s="3157">
        <f>ROUND(IF(项目基本情况!$B$8="出让",SUMPRODUCT(PRODUCT(1+M35:M$40)),SUMPRODUCT(PRODUCT(1+M35:M$39))),4)</f>
        <v>1.0114000000000001</v>
      </c>
      <c r="U35" s="3157">
        <f>ROUND(IF(项目基本情况!$B$8="出让",SUMPRODUCT(PRODUCT(1+N35:N$40)),SUMPRODUCT(PRODUCT(1+N35:N$39))),4)</f>
        <v>1.0381</v>
      </c>
      <c r="V35" s="3157"/>
      <c r="W35" s="3157">
        <f t="shared" si="52"/>
        <v>1.0114000000000001</v>
      </c>
      <c r="X35" s="3155"/>
      <c r="Y35" s="3158"/>
      <c r="Z35" s="3186">
        <f t="shared" si="53"/>
        <v>4.1000000000000003E-3</v>
      </c>
      <c r="AA35" s="3188">
        <f t="shared" si="53"/>
        <v>2.7000000000000001E-3</v>
      </c>
      <c r="AB35" s="3158">
        <f t="shared" si="53"/>
        <v>7.9000000000000008E-3</v>
      </c>
      <c r="AC35" s="3187"/>
      <c r="AD35" s="3158">
        <f t="shared" si="53"/>
        <v>2.7000000000000001E-3</v>
      </c>
    </row>
    <row r="36" spans="1:30" s="3159" customFormat="1" ht="12.75">
      <c r="A36" s="3150" t="s">
        <v>2811</v>
      </c>
      <c r="B36" s="3151">
        <v>2022</v>
      </c>
      <c r="C36" s="3152">
        <v>1</v>
      </c>
      <c r="D36" s="3153"/>
      <c r="E36" s="3153">
        <v>0.6</v>
      </c>
      <c r="F36" s="3153">
        <v>0.45</v>
      </c>
      <c r="G36" s="3153">
        <v>0.53</v>
      </c>
      <c r="H36" s="3170"/>
      <c r="I36" s="3154">
        <f t="shared" si="36"/>
        <v>0.45</v>
      </c>
      <c r="J36" s="3155"/>
      <c r="K36" s="3156"/>
      <c r="L36" s="3146">
        <f t="shared" si="37"/>
        <v>6.0000000000000001E-3</v>
      </c>
      <c r="M36" s="3146">
        <f t="shared" si="37"/>
        <v>4.5000000000000005E-3</v>
      </c>
      <c r="N36" s="3146">
        <f t="shared" si="37"/>
        <v>5.3E-3</v>
      </c>
      <c r="O36" s="3146"/>
      <c r="P36" s="3146">
        <f t="shared" si="51"/>
        <v>4.5000000000000005E-3</v>
      </c>
      <c r="Q36" s="3155"/>
      <c r="R36" s="3157"/>
      <c r="S36" s="3157">
        <f>ROUND(IF(项目基本情况!$B$8="出让",SUMPRODUCT(PRODUCT(1+L36:L$40)),SUMPRODUCT(PRODUCT(1+L36:L$39))),4)</f>
        <v>1.0222</v>
      </c>
      <c r="T36" s="3157">
        <f>ROUND(IF(项目基本情况!$B$8="出让",SUMPRODUCT(PRODUCT(1+M36:M$40)),SUMPRODUCT(PRODUCT(1+M36:M$39))),4)</f>
        <v>1.0127999999999999</v>
      </c>
      <c r="U36" s="3157">
        <f>ROUND(IF(项目基本情况!$B$8="出让",SUMPRODUCT(PRODUCT(1+N36:N$40)),SUMPRODUCT(PRODUCT(1+N36:N$39))),4)</f>
        <v>1.0326</v>
      </c>
      <c r="V36" s="3157"/>
      <c r="W36" s="3157">
        <f t="shared" si="52"/>
        <v>1.0127999999999999</v>
      </c>
      <c r="X36" s="3155"/>
      <c r="Y36" s="3158"/>
      <c r="Z36" s="3186">
        <f t="shared" si="53"/>
        <v>5.1000000000000004E-3</v>
      </c>
      <c r="AA36" s="3188">
        <f t="shared" si="53"/>
        <v>3.5000000000000001E-3</v>
      </c>
      <c r="AB36" s="3158">
        <f t="shared" si="53"/>
        <v>8.3999999999999995E-3</v>
      </c>
      <c r="AC36" s="3187"/>
      <c r="AD36" s="3158">
        <f t="shared" si="53"/>
        <v>3.5000000000000001E-3</v>
      </c>
    </row>
    <row r="37" spans="1:30" s="3159" customFormat="1" ht="12.75">
      <c r="A37" s="3150" t="s">
        <v>2812</v>
      </c>
      <c r="B37" s="3151">
        <v>2021</v>
      </c>
      <c r="C37" s="3152">
        <v>4</v>
      </c>
      <c r="D37" s="3153"/>
      <c r="E37" s="3153">
        <v>0.57999999999999996</v>
      </c>
      <c r="F37" s="3153">
        <v>0.08</v>
      </c>
      <c r="G37" s="3153">
        <v>0.68</v>
      </c>
      <c r="H37" s="3170"/>
      <c r="I37" s="3154">
        <f t="shared" si="36"/>
        <v>0.08</v>
      </c>
      <c r="J37" s="3155"/>
      <c r="K37" s="3156"/>
      <c r="L37" s="3146">
        <f t="shared" si="37"/>
        <v>5.7999999999999996E-3</v>
      </c>
      <c r="M37" s="3146">
        <f t="shared" si="37"/>
        <v>8.0000000000000004E-4</v>
      </c>
      <c r="N37" s="3146">
        <f t="shared" si="37"/>
        <v>6.8000000000000005E-3</v>
      </c>
      <c r="O37" s="3146"/>
      <c r="P37" s="3146">
        <f t="shared" si="51"/>
        <v>8.0000000000000004E-4</v>
      </c>
      <c r="Q37" s="3155"/>
      <c r="R37" s="3157"/>
      <c r="S37" s="3157">
        <f>ROUND(IF(项目基本情况!$B$8="出让",SUMPRODUCT(PRODUCT(1+L37:L$40)),SUMPRODUCT(PRODUCT(1+L37:L$39))),4)</f>
        <v>1.0161</v>
      </c>
      <c r="T37" s="3157">
        <f>ROUND(IF(项目基本情况!$B$8="出让",SUMPRODUCT(PRODUCT(1+M37:M$40)),SUMPRODUCT(PRODUCT(1+M37:M$39))),4)</f>
        <v>1.0082</v>
      </c>
      <c r="U37" s="3157">
        <f>ROUND(IF(项目基本情况!$B$8="出让",SUMPRODUCT(PRODUCT(1+N37:N$40)),SUMPRODUCT(PRODUCT(1+N37:N$39))),4)</f>
        <v>1.0270999999999999</v>
      </c>
      <c r="V37" s="3157"/>
      <c r="W37" s="3157">
        <f t="shared" si="52"/>
        <v>1.0082</v>
      </c>
      <c r="X37" s="3155"/>
      <c r="Y37" s="3158"/>
      <c r="Z37" s="3186">
        <f t="shared" si="53"/>
        <v>4.8999999999999998E-3</v>
      </c>
      <c r="AA37" s="3188">
        <f t="shared" si="53"/>
        <v>3.3E-3</v>
      </c>
      <c r="AB37" s="3158">
        <f t="shared" si="53"/>
        <v>9.1999999999999998E-3</v>
      </c>
      <c r="AC37" s="3187"/>
      <c r="AD37" s="3158">
        <f t="shared" si="53"/>
        <v>3.3E-3</v>
      </c>
    </row>
    <row r="38" spans="1:30" s="3159" customFormat="1" ht="12.75">
      <c r="A38" s="3150" t="s">
        <v>2813</v>
      </c>
      <c r="B38" s="3151">
        <v>2021</v>
      </c>
      <c r="C38" s="3152">
        <v>3</v>
      </c>
      <c r="D38" s="3153"/>
      <c r="E38" s="3153">
        <v>0.47</v>
      </c>
      <c r="F38" s="3153">
        <v>0.28000000000000003</v>
      </c>
      <c r="G38" s="3153">
        <v>0.91</v>
      </c>
      <c r="H38" s="3170"/>
      <c r="I38" s="3154">
        <f t="shared" si="36"/>
        <v>0.28000000000000003</v>
      </c>
      <c r="J38" s="3155"/>
      <c r="K38" s="3156"/>
      <c r="L38" s="3146">
        <f t="shared" si="37"/>
        <v>4.6999999999999993E-3</v>
      </c>
      <c r="M38" s="3146">
        <f t="shared" si="37"/>
        <v>2.8000000000000004E-3</v>
      </c>
      <c r="N38" s="3146">
        <f t="shared" si="37"/>
        <v>9.1000000000000004E-3</v>
      </c>
      <c r="O38" s="3146"/>
      <c r="P38" s="3146">
        <f t="shared" si="51"/>
        <v>2.8000000000000004E-3</v>
      </c>
      <c r="Q38" s="3155"/>
      <c r="R38" s="3157"/>
      <c r="S38" s="3157">
        <f>ROUND(IF(项目基本情况!$B$8="出让",SUMPRODUCT(PRODUCT(1+L38:L$40)),SUMPRODUCT(PRODUCT(1+L38:L$39))),4)</f>
        <v>1.0102</v>
      </c>
      <c r="T38" s="3157">
        <f>ROUND(IF(项目基本情况!$B$8="出让",SUMPRODUCT(PRODUCT(1+M38:M$40)),SUMPRODUCT(PRODUCT(1+M38:M$39))),4)</f>
        <v>1.0074000000000001</v>
      </c>
      <c r="U38" s="3157">
        <f>ROUND(IF(项目基本情况!$B$8="出让",SUMPRODUCT(PRODUCT(1+N38:N$40)),SUMPRODUCT(PRODUCT(1+N38:N$39))),4)</f>
        <v>1.0202</v>
      </c>
      <c r="V38" s="3157"/>
      <c r="W38" s="3157">
        <f t="shared" si="52"/>
        <v>1.0074000000000001</v>
      </c>
      <c r="X38" s="3155"/>
      <c r="Y38" s="3158"/>
      <c r="Z38" s="3186">
        <f t="shared" si="53"/>
        <v>4.5999999999999999E-3</v>
      </c>
      <c r="AA38" s="3188">
        <f t="shared" si="53"/>
        <v>4.1000000000000003E-3</v>
      </c>
      <c r="AB38" s="3158">
        <f t="shared" si="53"/>
        <v>0.01</v>
      </c>
      <c r="AC38" s="3187"/>
      <c r="AD38" s="3158">
        <f t="shared" si="53"/>
        <v>4.1000000000000003E-3</v>
      </c>
    </row>
    <row r="39" spans="1:30" s="3159" customFormat="1" ht="12.75">
      <c r="A39" s="3150" t="s">
        <v>2814</v>
      </c>
      <c r="B39" s="3151">
        <v>2021</v>
      </c>
      <c r="C39" s="3152">
        <v>2</v>
      </c>
      <c r="D39" s="3153"/>
      <c r="E39" s="3153">
        <v>0.55000000000000004</v>
      </c>
      <c r="F39" s="3153">
        <v>0.46</v>
      </c>
      <c r="G39" s="3153">
        <v>1.1000000000000001</v>
      </c>
      <c r="H39" s="3170"/>
      <c r="I39" s="3154">
        <f t="shared" si="36"/>
        <v>0.46</v>
      </c>
      <c r="J39" s="3155"/>
      <c r="K39" s="3156"/>
      <c r="L39" s="3146">
        <f t="shared" si="37"/>
        <v>5.5000000000000005E-3</v>
      </c>
      <c r="M39" s="3146">
        <f t="shared" si="37"/>
        <v>4.5999999999999999E-3</v>
      </c>
      <c r="N39" s="3146">
        <f t="shared" si="37"/>
        <v>1.1000000000000001E-2</v>
      </c>
      <c r="O39" s="3146"/>
      <c r="P39" s="3146">
        <f t="shared" si="51"/>
        <v>4.5999999999999999E-3</v>
      </c>
      <c r="Q39" s="3155"/>
      <c r="R39" s="3157"/>
      <c r="S39" s="3157">
        <f>ROUND(IF(项目基本情况!$B$8="出让",SUMPRODUCT(PRODUCT(1+L39:L$40)),SUMPRODUCT(PRODUCT(1+L39:L$39))),4)</f>
        <v>1.0055000000000001</v>
      </c>
      <c r="T39" s="3157">
        <f>ROUND(IF(项目基本情况!$B$8="出让",SUMPRODUCT(PRODUCT(1+M39:M$40)),SUMPRODUCT(PRODUCT(1+M39:M$39))),4)</f>
        <v>1.0045999999999999</v>
      </c>
      <c r="U39" s="3157">
        <f>ROUND(IF(项目基本情况!$B$8="出让",SUMPRODUCT(PRODUCT(1+N39:N$40)),SUMPRODUCT(PRODUCT(1+N39:N$39))),4)</f>
        <v>1.0109999999999999</v>
      </c>
      <c r="V39" s="3157"/>
      <c r="W39" s="3157">
        <f t="shared" si="52"/>
        <v>1.0045999999999999</v>
      </c>
      <c r="X39" s="3155"/>
      <c r="Y39" s="3158"/>
      <c r="Z39" s="3186">
        <f t="shared" si="53"/>
        <v>4.4999999999999997E-3</v>
      </c>
      <c r="AA39" s="3188">
        <f t="shared" si="53"/>
        <v>4.7000000000000002E-3</v>
      </c>
      <c r="AB39" s="3158">
        <f t="shared" si="53"/>
        <v>1.04E-2</v>
      </c>
      <c r="AC39" s="3187"/>
      <c r="AD39" s="3158">
        <f t="shared" si="53"/>
        <v>4.7000000000000002E-3</v>
      </c>
    </row>
    <row r="40" spans="1:30" s="3181" customFormat="1" thickBot="1">
      <c r="A40" s="3171" t="s">
        <v>2800</v>
      </c>
      <c r="B40" s="3172">
        <v>2021</v>
      </c>
      <c r="C40" s="3173">
        <v>1</v>
      </c>
      <c r="D40" s="3174"/>
      <c r="E40" s="3174">
        <v>0.35</v>
      </c>
      <c r="F40" s="3174">
        <v>0.48</v>
      </c>
      <c r="G40" s="3174">
        <v>0.98</v>
      </c>
      <c r="H40" s="3175"/>
      <c r="I40" s="3176">
        <f t="shared" si="36"/>
        <v>0.48</v>
      </c>
      <c r="J40" s="3177"/>
      <c r="K40" s="3178"/>
      <c r="L40" s="3179">
        <f t="shared" si="37"/>
        <v>3.4999999999999996E-3</v>
      </c>
      <c r="M40" s="3179">
        <f>F40/100</f>
        <v>4.7999999999999996E-3</v>
      </c>
      <c r="N40" s="3179">
        <f t="shared" si="37"/>
        <v>9.7999999999999997E-3</v>
      </c>
      <c r="O40" s="3179"/>
      <c r="P40" s="3179">
        <f t="shared" si="51"/>
        <v>4.7999999999999996E-3</v>
      </c>
      <c r="Q40" s="3177"/>
      <c r="R40" s="3180"/>
      <c r="S40" s="3180">
        <v>1</v>
      </c>
      <c r="T40" s="3180">
        <v>1</v>
      </c>
      <c r="U40" s="3180">
        <v>1</v>
      </c>
      <c r="V40" s="3180"/>
      <c r="W40" s="3180">
        <f t="shared" si="52"/>
        <v>1</v>
      </c>
      <c r="X40" s="3177"/>
      <c r="Y40" s="3179"/>
      <c r="Z40" s="3192">
        <f t="shared" si="53"/>
        <v>3.5000000000000001E-3</v>
      </c>
      <c r="AA40" s="3193">
        <f t="shared" si="53"/>
        <v>4.7999999999999996E-3</v>
      </c>
      <c r="AB40" s="3179">
        <f t="shared" si="53"/>
        <v>9.7999999999999997E-3</v>
      </c>
      <c r="AC40" s="3194"/>
      <c r="AD40" s="3179">
        <f t="shared" si="53"/>
        <v>4.7999999999999996E-3</v>
      </c>
    </row>
    <row r="41" spans="1:30" ht="14.25" thickTop="1"/>
    <row r="42" spans="1:30">
      <c r="A42" s="3422" t="s">
        <v>3342</v>
      </c>
    </row>
  </sheetData>
  <sheetProtection password="CEE9" sheet="1" objects="1" scenarios="1"/>
  <mergeCells count="4">
    <mergeCell ref="R23:W23"/>
    <mergeCell ref="Y23:AD23"/>
    <mergeCell ref="R1:W1"/>
    <mergeCell ref="Y1:AD1"/>
  </mergeCells>
  <phoneticPr fontId="3" type="noConversion"/>
  <pageMargins left="0.7" right="0.7" top="0.75" bottom="0.75" header="0.3" footer="0.3"/>
</worksheet>
</file>

<file path=xl/worksheets/sheet4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AH123"/>
  <sheetViews>
    <sheetView zoomScale="80" zoomScaleNormal="80" workbookViewId="0">
      <selection activeCell="I8" sqref="I8:J8"/>
    </sheetView>
  </sheetViews>
  <sheetFormatPr defaultColWidth="9" defaultRowHeight="12.75"/>
  <cols>
    <col min="1" max="1" width="9" style="2191"/>
    <col min="2" max="6" width="9" style="2191" customWidth="1"/>
    <col min="7" max="7" width="9" style="2229"/>
    <col min="8" max="8" width="9" style="2191"/>
    <col min="9" max="12" width="9" style="2191" customWidth="1"/>
    <col min="13" max="13" width="2.25" style="2191" customWidth="1"/>
    <col min="14" max="14" width="9" style="2229" customWidth="1"/>
    <col min="15" max="17" width="9" style="2191" customWidth="1"/>
    <col min="18" max="18" width="2.375" style="2191" customWidth="1"/>
    <col min="19" max="19" width="7.125" style="2229" customWidth="1"/>
    <col min="20" max="22" width="7.125" style="2191" customWidth="1"/>
    <col min="23" max="23" width="24.25" style="2191" customWidth="1"/>
    <col min="24" max="25" width="9" style="2191"/>
    <col min="26" max="27" width="11.625" style="2191" customWidth="1"/>
    <col min="28" max="28" width="9" style="2191"/>
    <col min="29" max="29" width="2" style="2191" customWidth="1"/>
    <col min="30" max="16384" width="9" style="2191"/>
  </cols>
  <sheetData>
    <row r="1" spans="1:34" s="2170" customFormat="1">
      <c r="B1" s="3825" t="s">
        <v>452</v>
      </c>
      <c r="C1" s="3825"/>
      <c r="D1" s="3825"/>
      <c r="E1" s="3825"/>
      <c r="F1" s="3825"/>
      <c r="G1" s="3824" t="s">
        <v>453</v>
      </c>
      <c r="H1" s="3824"/>
      <c r="I1" s="3824"/>
      <c r="J1" s="3824"/>
      <c r="K1" s="3824"/>
      <c r="L1" s="3824"/>
      <c r="N1" s="3824" t="s">
        <v>454</v>
      </c>
      <c r="O1" s="3824"/>
      <c r="P1" s="3824"/>
      <c r="Q1" s="3824"/>
      <c r="S1" s="3824" t="s">
        <v>455</v>
      </c>
      <c r="T1" s="3824"/>
      <c r="U1" s="3824"/>
      <c r="V1" s="3824"/>
      <c r="X1" s="3823" t="s">
        <v>456</v>
      </c>
      <c r="Y1" s="3824"/>
      <c r="Z1" s="3824"/>
      <c r="AA1" s="3824"/>
      <c r="AB1" s="3824"/>
      <c r="AD1" s="3823" t="s">
        <v>457</v>
      </c>
      <c r="AE1" s="3824"/>
      <c r="AF1" s="3824"/>
      <c r="AG1" s="3824"/>
      <c r="AH1" s="3824"/>
    </row>
    <row r="2" spans="1:34" s="2171" customFormat="1" ht="14.25" thickBot="1">
      <c r="B2" s="2172" t="s">
        <v>458</v>
      </c>
      <c r="C2" s="2172" t="s">
        <v>459</v>
      </c>
      <c r="D2" s="2173" t="s">
        <v>460</v>
      </c>
      <c r="E2" s="2173" t="s">
        <v>461</v>
      </c>
      <c r="F2" s="2172" t="s">
        <v>462</v>
      </c>
      <c r="G2" s="2174"/>
      <c r="I2" s="2172" t="s">
        <v>458</v>
      </c>
      <c r="J2" s="2173" t="s">
        <v>676</v>
      </c>
      <c r="K2" s="2173" t="s">
        <v>308</v>
      </c>
      <c r="L2" s="2172" t="s">
        <v>462</v>
      </c>
      <c r="N2" s="2172" t="s">
        <v>458</v>
      </c>
      <c r="O2" s="2173" t="s">
        <v>676</v>
      </c>
      <c r="P2" s="2173" t="s">
        <v>308</v>
      </c>
      <c r="Q2" s="2172" t="s">
        <v>462</v>
      </c>
      <c r="S2" s="2172" t="s">
        <v>458</v>
      </c>
      <c r="T2" s="2173" t="s">
        <v>676</v>
      </c>
      <c r="U2" s="2173" t="s">
        <v>308</v>
      </c>
      <c r="V2" s="2172" t="s">
        <v>462</v>
      </c>
      <c r="X2" s="2172" t="s">
        <v>458</v>
      </c>
      <c r="Y2" s="2172" t="s">
        <v>459</v>
      </c>
      <c r="Z2" s="2173" t="s">
        <v>460</v>
      </c>
      <c r="AA2" s="2173" t="s">
        <v>461</v>
      </c>
      <c r="AB2" s="2172" t="s">
        <v>462</v>
      </c>
      <c r="AD2" s="2172" t="s">
        <v>458</v>
      </c>
      <c r="AE2" s="2172" t="s">
        <v>459</v>
      </c>
      <c r="AF2" s="2173" t="s">
        <v>460</v>
      </c>
      <c r="AG2" s="2173" t="s">
        <v>461</v>
      </c>
      <c r="AH2" s="2172" t="s">
        <v>462</v>
      </c>
    </row>
    <row r="3" spans="1:34" s="2181" customFormat="1" ht="14.25">
      <c r="A3" s="2175" t="s">
        <v>2095</v>
      </c>
      <c r="B3" s="2176"/>
      <c r="C3" s="2176"/>
      <c r="D3" s="2177"/>
      <c r="E3" s="2177"/>
      <c r="F3" s="2176"/>
      <c r="G3" s="2178"/>
      <c r="H3" s="2179"/>
      <c r="I3" s="2180">
        <f>ROUND(AVERAGE($I4:$I40),2)</f>
        <v>1.55</v>
      </c>
      <c r="J3" s="2180">
        <f>ROUND(AVERAGE($J4:$J40),2)</f>
        <v>0.97</v>
      </c>
      <c r="K3" s="2180">
        <f>ROUND(AVERAGE($K4:$K40),2)</f>
        <v>1.66</v>
      </c>
      <c r="L3" s="2180">
        <f>ROUND(AVERAGE($L4:$L40),2)</f>
        <v>1.1000000000000001</v>
      </c>
      <c r="N3" s="2178"/>
      <c r="S3" s="2178"/>
      <c r="W3" s="2182"/>
      <c r="X3" s="2183">
        <f>ROUND(SUMPRODUCT(PRODUCT(1+N3:N$39)),4)</f>
        <v>1.6585000000000001</v>
      </c>
      <c r="Y3" s="2183">
        <f>ROUND(SUMPRODUCT(PRODUCT(1+O3:O$39)),4)</f>
        <v>1.3676999999999999</v>
      </c>
      <c r="Z3" s="2183">
        <f t="shared" ref="Z3:Z37" si="0">Y3</f>
        <v>1.3676999999999999</v>
      </c>
      <c r="AA3" s="2183">
        <f>ROUND(SUMPRODUCT(PRODUCT(1+P3:P$39)),4)</f>
        <v>1.7434000000000001</v>
      </c>
      <c r="AB3" s="2183">
        <f>ROUND(SUMPRODUCT(PRODUCT(1+Q3:Q$39)),4)</f>
        <v>1.4609000000000001</v>
      </c>
      <c r="AD3" s="2184">
        <f>ROUND(AVERAGE(I3:I$40)/100,4)</f>
        <v>1.55E-2</v>
      </c>
      <c r="AE3" s="2184">
        <f>ROUND(AVERAGE(J3:J$40)/100,4)</f>
        <v>9.7000000000000003E-3</v>
      </c>
      <c r="AF3" s="2184">
        <f t="shared" ref="AF3:AF38" si="1">AE3</f>
        <v>9.7000000000000003E-3</v>
      </c>
      <c r="AG3" s="2184">
        <f>ROUND(AVERAGE(K3:K$40)/100,4)</f>
        <v>1.66E-2</v>
      </c>
      <c r="AH3" s="2184">
        <f>ROUND(AVERAGE(L3:L$40)/100,4)</f>
        <v>1.0999999999999999E-2</v>
      </c>
    </row>
    <row r="4" spans="1:34" s="2185" customFormat="1" ht="14.25">
      <c r="B4" s="2186"/>
      <c r="C4" s="2186"/>
      <c r="D4" s="2187"/>
      <c r="E4" s="2187"/>
      <c r="F4" s="2186"/>
      <c r="G4" s="2188"/>
      <c r="H4" s="2189"/>
      <c r="I4" s="2190"/>
      <c r="J4" s="2190"/>
      <c r="K4" s="2190"/>
      <c r="L4" s="2190"/>
      <c r="N4" s="2188"/>
      <c r="S4" s="2188"/>
      <c r="X4" s="2191"/>
      <c r="Y4" s="2191"/>
      <c r="Z4" s="2191"/>
      <c r="AA4" s="2191"/>
      <c r="AB4" s="2191"/>
      <c r="AD4" s="2192"/>
      <c r="AE4" s="2192"/>
      <c r="AF4" s="2192"/>
      <c r="AG4" s="2192"/>
      <c r="AH4" s="2192"/>
    </row>
    <row r="5" spans="1:34" s="2211" customFormat="1">
      <c r="A5" s="2204" t="s">
        <v>3338</v>
      </c>
      <c r="B5" s="2205">
        <f t="shared" ref="B5" si="2">B6*(1+N5)</f>
        <v>510.07089659554606</v>
      </c>
      <c r="C5" s="2205">
        <f t="shared" ref="C5" si="3">C6*(1+O5)</f>
        <v>352.55593185737411</v>
      </c>
      <c r="D5" s="2205">
        <f t="shared" ref="D5" si="4">C5</f>
        <v>352.55593185737411</v>
      </c>
      <c r="E5" s="2205">
        <f t="shared" ref="E5" si="5">E6*(1+P5)</f>
        <v>737.27992463403655</v>
      </c>
      <c r="F5" s="2205">
        <f t="shared" ref="F5" si="6">F6*(1+Q5)</f>
        <v>335.88319198297864</v>
      </c>
      <c r="G5" s="3410">
        <v>2022</v>
      </c>
      <c r="H5" s="2206">
        <v>1</v>
      </c>
      <c r="I5" s="2168">
        <v>0</v>
      </c>
      <c r="J5" s="2168">
        <v>0</v>
      </c>
      <c r="K5" s="2168">
        <v>0</v>
      </c>
      <c r="L5" s="2169">
        <v>0</v>
      </c>
      <c r="M5" s="2191"/>
      <c r="N5" s="2207">
        <f t="shared" ref="N5" si="7">I5/100</f>
        <v>0</v>
      </c>
      <c r="O5" s="2192">
        <f t="shared" ref="O5" si="8">J5/100</f>
        <v>0</v>
      </c>
      <c r="P5" s="2192">
        <f t="shared" ref="P5" si="9">K5/100</f>
        <v>0</v>
      </c>
      <c r="Q5" s="2192">
        <f t="shared" ref="Q5" si="10">L5/100</f>
        <v>0</v>
      </c>
      <c r="R5" s="2208"/>
      <c r="S5" s="2207"/>
      <c r="T5" s="2192"/>
      <c r="U5" s="2192"/>
      <c r="V5" s="2192"/>
      <c r="W5" s="2209"/>
      <c r="X5" s="2209" t="e">
        <f>ROUND(IF(项目基本情况!#REF!="出让",SUMPRODUCT(PRODUCT(1+N5:N$40)),SUMPRODUCT(PRODUCT(1+N5:N$39))),4)</f>
        <v>#REF!</v>
      </c>
      <c r="Y5" s="2209" t="e">
        <f>ROUND(IF(项目基本情况!#REF!="出让",SUMPRODUCT(PRODUCT(1+O5:O$40)),SUMPRODUCT(PRODUCT(1+O5:O$39))),4)</f>
        <v>#REF!</v>
      </c>
      <c r="Z5" s="2209" t="e">
        <f t="shared" ref="Z5" si="11">Y5</f>
        <v>#REF!</v>
      </c>
      <c r="AA5" s="2209" t="e">
        <f>ROUND(IF(项目基本情况!#REF!="出让",SUMPRODUCT(PRODUCT(1+P5:P$40)),SUMPRODUCT(PRODUCT(1+P5:P$39))),4)</f>
        <v>#REF!</v>
      </c>
      <c r="AB5" s="2209" t="e">
        <f>ROUND(IF(项目基本情况!#REF!="出让",SUMPRODUCT(PRODUCT(1+Q5:Q$40)),SUMPRODUCT(PRODUCT(1+Q5:Q$39))),4)</f>
        <v>#REF!</v>
      </c>
      <c r="AC5" s="2209"/>
      <c r="AD5" s="2210">
        <f>ROUND(AVERAGE(I5:I$40)/100,4)</f>
        <v>1.55E-2</v>
      </c>
      <c r="AE5" s="2210">
        <f>ROUND(AVERAGE(J5:J$40)/100,4)</f>
        <v>9.7000000000000003E-3</v>
      </c>
      <c r="AF5" s="2210">
        <f t="shared" ref="AF5" si="12">AE5</f>
        <v>9.7000000000000003E-3</v>
      </c>
      <c r="AG5" s="2210">
        <f>ROUND(AVERAGE(K5:K$40)/100,4)</f>
        <v>1.66E-2</v>
      </c>
      <c r="AH5" s="2210">
        <f>ROUND(AVERAGE(L5:L$40)/100,4)</f>
        <v>1.0999999999999999E-2</v>
      </c>
    </row>
    <row r="6" spans="1:34" s="2198" customFormat="1">
      <c r="A6" s="2193" t="s">
        <v>3335</v>
      </c>
      <c r="B6" s="2194">
        <f t="shared" ref="B6" si="13">B7*(1+N6)</f>
        <v>510.07089659554606</v>
      </c>
      <c r="C6" s="2194">
        <f t="shared" ref="C6" si="14">C7*(1+O6)</f>
        <v>352.55593185737411</v>
      </c>
      <c r="D6" s="2194">
        <f t="shared" ref="D6" si="15">C6</f>
        <v>352.55593185737411</v>
      </c>
      <c r="E6" s="2194">
        <f t="shared" ref="E6" si="16">E7*(1+P6)</f>
        <v>737.27992463403655</v>
      </c>
      <c r="F6" s="2194">
        <f t="shared" ref="F6" si="17">F7*(1+Q6)</f>
        <v>335.88319198297864</v>
      </c>
      <c r="G6" s="3410">
        <v>2022</v>
      </c>
      <c r="H6" s="2196">
        <v>1</v>
      </c>
      <c r="I6" s="2197">
        <v>0</v>
      </c>
      <c r="J6" s="2197">
        <v>0</v>
      </c>
      <c r="K6" s="2197">
        <v>0</v>
      </c>
      <c r="L6" s="2197">
        <v>0</v>
      </c>
      <c r="N6" s="2199">
        <f t="shared" ref="N6" si="18">I6/100</f>
        <v>0</v>
      </c>
      <c r="O6" s="2199">
        <f t="shared" ref="O6" si="19">J6/100</f>
        <v>0</v>
      </c>
      <c r="P6" s="2199">
        <f t="shared" ref="P6" si="20">K6/100</f>
        <v>0</v>
      </c>
      <c r="Q6" s="2199">
        <f t="shared" ref="Q6" si="21">L6/100</f>
        <v>0</v>
      </c>
      <c r="S6" s="2200"/>
      <c r="W6" s="2201" t="s">
        <v>2096</v>
      </c>
      <c r="X6" s="2202" t="e">
        <f>ROUND(IF(项目基本情况!#REF!="出让",SUMPRODUCT(PRODUCT(1+N6:N$40)),SUMPRODUCT(PRODUCT(1+N6:N$39))),4)</f>
        <v>#REF!</v>
      </c>
      <c r="Y6" s="2202" t="e">
        <f>ROUND(IF(项目基本情况!#REF!="出让",SUMPRODUCT(PRODUCT(1+O6:O$40)),SUMPRODUCT(PRODUCT(1+O6:O$39))),4)</f>
        <v>#REF!</v>
      </c>
      <c r="Z6" s="2202" t="e">
        <f t="shared" ref="Z6" si="22">Y6</f>
        <v>#REF!</v>
      </c>
      <c r="AA6" s="2202" t="e">
        <f>ROUND(IF(项目基本情况!#REF!="出让",SUMPRODUCT(PRODUCT(1+P6:P$40)),SUMPRODUCT(PRODUCT(1+P6:P$39))),4)</f>
        <v>#REF!</v>
      </c>
      <c r="AB6" s="2202" t="e">
        <f>ROUND(IF(项目基本情况!#REF!="出让",SUMPRODUCT(PRODUCT(1+Q6:Q$40)),SUMPRODUCT(PRODUCT(1+Q6:Q$39))),4)</f>
        <v>#REF!</v>
      </c>
      <c r="AD6" s="2203">
        <f>ROUND(AVERAGE(I6:I$40)/100,4)</f>
        <v>1.6E-2</v>
      </c>
      <c r="AE6" s="2203">
        <f>ROUND(AVERAGE(J6:J$40)/100,4)</f>
        <v>0.01</v>
      </c>
      <c r="AF6" s="2203">
        <f t="shared" ref="AF6" si="23">AE6</f>
        <v>0.01</v>
      </c>
      <c r="AG6" s="2203">
        <f>ROUND(AVERAGE(K6:K$40)/100,4)</f>
        <v>1.7100000000000001E-2</v>
      </c>
      <c r="AH6" s="2203">
        <f>ROUND(AVERAGE(L6:L$40)/100,4)</f>
        <v>1.1299999999999999E-2</v>
      </c>
    </row>
    <row r="7" spans="1:34" s="2211" customFormat="1">
      <c r="A7" s="2204" t="s">
        <v>3336</v>
      </c>
      <c r="B7" s="2205">
        <f t="shared" ref="B7" si="24">B8*(1+N7)</f>
        <v>510.07089659554606</v>
      </c>
      <c r="C7" s="2205">
        <f t="shared" ref="C7" si="25">C8*(1+O7)</f>
        <v>352.55593185737411</v>
      </c>
      <c r="D7" s="2205">
        <f t="shared" ref="D7" si="26">C7</f>
        <v>352.55593185737411</v>
      </c>
      <c r="E7" s="2205">
        <f t="shared" ref="E7" si="27">E8*(1+P7)</f>
        <v>737.27992463403655</v>
      </c>
      <c r="F7" s="2205">
        <f t="shared" ref="F7" si="28">F8*(1+Q7)</f>
        <v>335.88319198297864</v>
      </c>
      <c r="G7" s="3410">
        <v>2022</v>
      </c>
      <c r="H7" s="2206">
        <v>1</v>
      </c>
      <c r="I7" s="2168">
        <v>0</v>
      </c>
      <c r="J7" s="2168">
        <v>0</v>
      </c>
      <c r="K7" s="2168">
        <v>0</v>
      </c>
      <c r="L7" s="2169">
        <v>0</v>
      </c>
      <c r="M7" s="2191"/>
      <c r="N7" s="2207">
        <f t="shared" ref="N7" si="29">I7/100</f>
        <v>0</v>
      </c>
      <c r="O7" s="2192">
        <f t="shared" ref="O7" si="30">J7/100</f>
        <v>0</v>
      </c>
      <c r="P7" s="2192">
        <f t="shared" ref="P7" si="31">K7/100</f>
        <v>0</v>
      </c>
      <c r="Q7" s="2192">
        <f t="shared" ref="Q7" si="32">L7/100</f>
        <v>0</v>
      </c>
      <c r="R7" s="2208"/>
      <c r="S7" s="2207"/>
      <c r="T7" s="2192"/>
      <c r="U7" s="2192"/>
      <c r="V7" s="2192"/>
      <c r="W7" s="2209"/>
      <c r="X7" s="2209" t="e">
        <f>ROUND(IF(项目基本情况!#REF!="出让",SUMPRODUCT(PRODUCT(1+N7:N$40)),SUMPRODUCT(PRODUCT(1+N7:N$39))),4)</f>
        <v>#REF!</v>
      </c>
      <c r="Y7" s="2209" t="e">
        <f>ROUND(IF(项目基本情况!#REF!="出让",SUMPRODUCT(PRODUCT(1+O7:O$40)),SUMPRODUCT(PRODUCT(1+O7:O$39))),4)</f>
        <v>#REF!</v>
      </c>
      <c r="Z7" s="2209" t="e">
        <f t="shared" ref="Z7" si="33">Y7</f>
        <v>#REF!</v>
      </c>
      <c r="AA7" s="2209" t="e">
        <f>ROUND(IF(项目基本情况!#REF!="出让",SUMPRODUCT(PRODUCT(1+P7:P$40)),SUMPRODUCT(PRODUCT(1+P7:P$39))),4)</f>
        <v>#REF!</v>
      </c>
      <c r="AB7" s="2209" t="e">
        <f>ROUND(IF(项目基本情况!#REF!="出让",SUMPRODUCT(PRODUCT(1+Q7:Q$40)),SUMPRODUCT(PRODUCT(1+Q7:Q$39))),4)</f>
        <v>#REF!</v>
      </c>
      <c r="AC7" s="2209"/>
      <c r="AD7" s="2210">
        <f>ROUND(AVERAGE(I7:I$40)/100,4)</f>
        <v>1.6400000000000001E-2</v>
      </c>
      <c r="AE7" s="2210">
        <f>ROUND(AVERAGE(J7:J$40)/100,4)</f>
        <v>1.03E-2</v>
      </c>
      <c r="AF7" s="2210">
        <f t="shared" ref="AF7" si="34">AE7</f>
        <v>1.03E-2</v>
      </c>
      <c r="AG7" s="2210">
        <f>ROUND(AVERAGE(K7:K$40)/100,4)</f>
        <v>1.7600000000000001E-2</v>
      </c>
      <c r="AH7" s="2210">
        <f>ROUND(AVERAGE(L7:L$40)/100,4)</f>
        <v>1.1599999999999999E-2</v>
      </c>
    </row>
    <row r="8" spans="1:34" s="2211" customFormat="1">
      <c r="A8" s="2204" t="s">
        <v>3337</v>
      </c>
      <c r="B8" s="2205">
        <f t="shared" ref="B8" si="35">B9*(1+N8)</f>
        <v>510.07089659554606</v>
      </c>
      <c r="C8" s="2205">
        <f t="shared" ref="C8" si="36">C9*(1+O8)</f>
        <v>352.55593185737411</v>
      </c>
      <c r="D8" s="2205">
        <f t="shared" ref="D8" si="37">C8</f>
        <v>352.55593185737411</v>
      </c>
      <c r="E8" s="2205">
        <f t="shared" ref="E8" si="38">E9*(1+P8)</f>
        <v>737.27992463403655</v>
      </c>
      <c r="F8" s="2205">
        <f t="shared" ref="F8" si="39">F9*(1+Q8)</f>
        <v>335.88319198297864</v>
      </c>
      <c r="G8" s="3410">
        <v>2022</v>
      </c>
      <c r="H8" s="2206">
        <v>1</v>
      </c>
      <c r="I8" s="2168"/>
      <c r="J8" s="2168"/>
      <c r="K8" s="2168">
        <v>0</v>
      </c>
      <c r="L8" s="2169">
        <v>0</v>
      </c>
      <c r="M8" s="2191"/>
      <c r="N8" s="2207">
        <f t="shared" ref="N8" si="40">I8/100</f>
        <v>0</v>
      </c>
      <c r="O8" s="2192">
        <f t="shared" ref="O8" si="41">J8/100</f>
        <v>0</v>
      </c>
      <c r="P8" s="2192">
        <f t="shared" ref="P8" si="42">K8/100</f>
        <v>0</v>
      </c>
      <c r="Q8" s="2192">
        <f t="shared" ref="Q8" si="43">L8/100</f>
        <v>0</v>
      </c>
      <c r="R8" s="2208"/>
      <c r="S8" s="2207"/>
      <c r="T8" s="2192"/>
      <c r="U8" s="2192"/>
      <c r="V8" s="2192"/>
      <c r="W8" s="2209"/>
      <c r="X8" s="2209">
        <f>ROUND(IF(项目基本情况!B1="出让",SUMPRODUCT(PRODUCT(1+N8:N$40)),SUMPRODUCT(PRODUCT(1+N8:N$39))),4)</f>
        <v>1.6585000000000001</v>
      </c>
      <c r="Y8" s="2209">
        <f>ROUND(IF(项目基本情况!B1="出让",SUMPRODUCT(PRODUCT(1+O8:O$40)),SUMPRODUCT(PRODUCT(1+O8:O$39))),4)</f>
        <v>1.3676999999999999</v>
      </c>
      <c r="Z8" s="2209">
        <f t="shared" ref="Z8" si="44">Y8</f>
        <v>1.3676999999999999</v>
      </c>
      <c r="AA8" s="2209">
        <f>ROUND(IF(项目基本情况!B1="出让",SUMPRODUCT(PRODUCT(1+P8:P$40)),SUMPRODUCT(PRODUCT(1+P8:P$39))),4)</f>
        <v>1.7434000000000001</v>
      </c>
      <c r="AB8" s="2209">
        <f>ROUND(IF(项目基本情况!B1="出让",SUMPRODUCT(PRODUCT(1+Q8:Q$40)),SUMPRODUCT(PRODUCT(1+Q8:Q$39))),4)</f>
        <v>1.4609000000000001</v>
      </c>
      <c r="AC8" s="2209"/>
      <c r="AD8" s="2210">
        <f>ROUND(AVERAGE(I8:I$40)/100,4)</f>
        <v>1.6899999999999998E-2</v>
      </c>
      <c r="AE8" s="2210">
        <f>ROUND(AVERAGE(J8:J$40)/100,4)</f>
        <v>1.06E-2</v>
      </c>
      <c r="AF8" s="2210">
        <f t="shared" ref="AF8" si="45">AE8</f>
        <v>1.06E-2</v>
      </c>
      <c r="AG8" s="2210">
        <f>ROUND(AVERAGE(K8:K$40)/100,4)</f>
        <v>1.8100000000000002E-2</v>
      </c>
      <c r="AH8" s="2210">
        <f>ROUND(AVERAGE(L8:L$40)/100,4)</f>
        <v>1.2E-2</v>
      </c>
    </row>
    <row r="9" spans="1:34" s="2211" customFormat="1">
      <c r="A9" s="2204" t="s">
        <v>2412</v>
      </c>
      <c r="B9" s="2205">
        <f t="shared" ref="B9" si="46">B10*(1+N9)</f>
        <v>510.07089659554606</v>
      </c>
      <c r="C9" s="2205">
        <f t="shared" ref="C9" si="47">C10*(1+O9)</f>
        <v>352.55593185737411</v>
      </c>
      <c r="D9" s="2205">
        <f t="shared" ref="D9" si="48">C9</f>
        <v>352.55593185737411</v>
      </c>
      <c r="E9" s="2205">
        <f t="shared" ref="E9" si="49">E10*(1+P9)</f>
        <v>737.27992463403655</v>
      </c>
      <c r="F9" s="2205">
        <f t="shared" ref="F9" si="50">F10*(1+Q9)</f>
        <v>335.88319198297864</v>
      </c>
      <c r="G9" s="2979">
        <v>2021</v>
      </c>
      <c r="H9" s="2206">
        <v>4</v>
      </c>
      <c r="I9" s="2168">
        <v>1.03</v>
      </c>
      <c r="J9" s="2168">
        <v>0.24</v>
      </c>
      <c r="K9" s="2168">
        <v>1.17</v>
      </c>
      <c r="L9" s="2169">
        <v>0.55000000000000004</v>
      </c>
      <c r="M9" s="2191"/>
      <c r="N9" s="2207">
        <f t="shared" ref="N9" si="51">I9/100</f>
        <v>1.03E-2</v>
      </c>
      <c r="O9" s="2192">
        <f t="shared" ref="O9" si="52">J9/100</f>
        <v>2.3999999999999998E-3</v>
      </c>
      <c r="P9" s="2192">
        <f t="shared" ref="P9" si="53">K9/100</f>
        <v>1.1699999999999999E-2</v>
      </c>
      <c r="Q9" s="2192">
        <f t="shared" ref="Q9" si="54">L9/100</f>
        <v>5.5000000000000005E-3</v>
      </c>
      <c r="R9" s="2208"/>
      <c r="S9" s="2207"/>
      <c r="T9" s="2192"/>
      <c r="U9" s="2192"/>
      <c r="V9" s="2192"/>
      <c r="W9" s="2209"/>
      <c r="X9" s="2209">
        <f>ROUND(IF(项目基本情况!B2="出让",SUMPRODUCT(PRODUCT(1+N9:N$40)),SUMPRODUCT(PRODUCT(1+N9:N$39))),4)</f>
        <v>1.6585000000000001</v>
      </c>
      <c r="Y9" s="2209">
        <f>ROUND(IF(项目基本情况!B2="出让",SUMPRODUCT(PRODUCT(1+O9:O$40)),SUMPRODUCT(PRODUCT(1+O9:O$39))),4)</f>
        <v>1.3676999999999999</v>
      </c>
      <c r="Z9" s="2209">
        <f t="shared" ref="Z9" si="55">Y9</f>
        <v>1.3676999999999999</v>
      </c>
      <c r="AA9" s="2209">
        <f>ROUND(IF(项目基本情况!B2="出让",SUMPRODUCT(PRODUCT(1+P9:P$40)),SUMPRODUCT(PRODUCT(1+P9:P$39))),4)</f>
        <v>1.7434000000000001</v>
      </c>
      <c r="AB9" s="2209">
        <f>ROUND(IF(项目基本情况!B2="出让",SUMPRODUCT(PRODUCT(1+Q9:Q$40)),SUMPRODUCT(PRODUCT(1+Q9:Q$39))),4)</f>
        <v>1.4609000000000001</v>
      </c>
      <c r="AC9" s="2209"/>
      <c r="AD9" s="2210">
        <f>ROUND(AVERAGE(I9:I$40)/100,4)</f>
        <v>1.6899999999999998E-2</v>
      </c>
      <c r="AE9" s="2210">
        <f>ROUND(AVERAGE(J9:J$40)/100,4)</f>
        <v>1.06E-2</v>
      </c>
      <c r="AF9" s="2210">
        <f t="shared" ref="AF9" si="56">AE9</f>
        <v>1.06E-2</v>
      </c>
      <c r="AG9" s="2210">
        <f>ROUND(AVERAGE(K9:K$40)/100,4)</f>
        <v>1.8700000000000001E-2</v>
      </c>
      <c r="AH9" s="2210">
        <f>ROUND(AVERAGE(L9:L$40)/100,4)</f>
        <v>1.24E-2</v>
      </c>
    </row>
    <row r="10" spans="1:34" s="2211" customFormat="1">
      <c r="A10" s="2204" t="s">
        <v>2289</v>
      </c>
      <c r="B10" s="2205">
        <f t="shared" ref="B10" si="57">B11*(1+N10)</f>
        <v>504.87072809615569</v>
      </c>
      <c r="C10" s="2205">
        <f t="shared" ref="C10" si="58">C11*(1+O10)</f>
        <v>351.71182348101968</v>
      </c>
      <c r="D10" s="2205">
        <f t="shared" ref="D10" si="59">C10</f>
        <v>351.71182348101968</v>
      </c>
      <c r="E10" s="2205">
        <f t="shared" ref="E10" si="60">E11*(1+P10)</f>
        <v>728.75350858360832</v>
      </c>
      <c r="F10" s="2205">
        <f t="shared" ref="F10" si="61">F11*(1+Q10)</f>
        <v>334.04593931673656</v>
      </c>
      <c r="G10" s="2804">
        <v>2021</v>
      </c>
      <c r="H10" s="2206">
        <v>3</v>
      </c>
      <c r="I10" s="2168">
        <v>0.47</v>
      </c>
      <c r="J10" s="2168">
        <v>0.41</v>
      </c>
      <c r="K10" s="2168">
        <v>0.48</v>
      </c>
      <c r="L10" s="2169">
        <v>0.48</v>
      </c>
      <c r="M10" s="2191"/>
      <c r="N10" s="2207">
        <f t="shared" ref="N10" si="62">I10/100</f>
        <v>4.6999999999999993E-3</v>
      </c>
      <c r="O10" s="2192">
        <f t="shared" ref="O10" si="63">J10/100</f>
        <v>4.0999999999999995E-3</v>
      </c>
      <c r="P10" s="2192">
        <f t="shared" ref="P10" si="64">K10/100</f>
        <v>4.7999999999999996E-3</v>
      </c>
      <c r="Q10" s="2192">
        <f t="shared" ref="Q10" si="65">L10/100</f>
        <v>4.7999999999999996E-3</v>
      </c>
      <c r="R10" s="2208"/>
      <c r="S10" s="2207"/>
      <c r="T10" s="2192"/>
      <c r="U10" s="2192"/>
      <c r="V10" s="2192"/>
      <c r="W10" s="2209"/>
      <c r="X10" s="2209">
        <f>ROUND(IF(项目基本情况!B3="出让",SUMPRODUCT(PRODUCT(1+N10:N$40)),SUMPRODUCT(PRODUCT(1+N10:N$39))),4)</f>
        <v>1.6415999999999999</v>
      </c>
      <c r="Y10" s="2209">
        <f>ROUND(IF(项目基本情况!B3="出让",SUMPRODUCT(PRODUCT(1+O10:O$40)),SUMPRODUCT(PRODUCT(1+O10:O$39))),4)</f>
        <v>1.3644000000000001</v>
      </c>
      <c r="Z10" s="2209">
        <f t="shared" ref="Z10" si="66">Y10</f>
        <v>1.3644000000000001</v>
      </c>
      <c r="AA10" s="2209">
        <f>ROUND(IF(项目基本情况!B3="出让",SUMPRODUCT(PRODUCT(1+P10:P$40)),SUMPRODUCT(PRODUCT(1+P10:P$39))),4)</f>
        <v>1.7232000000000001</v>
      </c>
      <c r="AB10" s="2209">
        <f>ROUND(IF(项目基本情况!B3="出让",SUMPRODUCT(PRODUCT(1+Q10:Q$40)),SUMPRODUCT(PRODUCT(1+Q10:Q$39))),4)</f>
        <v>1.4529000000000001</v>
      </c>
      <c r="AC10" s="2209"/>
      <c r="AD10" s="2210">
        <f>ROUND(AVERAGE(I10:I$40)/100,4)</f>
        <v>1.72E-2</v>
      </c>
      <c r="AE10" s="2210">
        <f>ROUND(AVERAGE(J10:J$40)/100,4)</f>
        <v>1.09E-2</v>
      </c>
      <c r="AF10" s="2210">
        <f t="shared" ref="AF10" si="67">AE10</f>
        <v>1.09E-2</v>
      </c>
      <c r="AG10" s="2210">
        <f>ROUND(AVERAGE(K10:K$40)/100,4)</f>
        <v>1.89E-2</v>
      </c>
      <c r="AH10" s="2210">
        <f>ROUND(AVERAGE(L10:L$40)/100,4)</f>
        <v>1.26E-2</v>
      </c>
    </row>
    <row r="11" spans="1:34" s="2211" customFormat="1">
      <c r="A11" s="2204" t="s">
        <v>2288</v>
      </c>
      <c r="B11" s="2205">
        <f t="shared" ref="B11" si="68">B12*(1+N11)</f>
        <v>502.50893609650217</v>
      </c>
      <c r="C11" s="2205">
        <f t="shared" ref="C11" si="69">C12*(1+O11)</f>
        <v>350.27569313914915</v>
      </c>
      <c r="D11" s="2205">
        <f t="shared" ref="D11" si="70">C11</f>
        <v>350.27569313914915</v>
      </c>
      <c r="E11" s="2205">
        <f t="shared" ref="E11" si="71">E12*(1+P11)</f>
        <v>725.27220201394141</v>
      </c>
      <c r="F11" s="2205">
        <f t="shared" ref="F11" si="72">F12*(1+Q11)</f>
        <v>332.45017846012797</v>
      </c>
      <c r="G11" s="2803">
        <v>2021</v>
      </c>
      <c r="H11" s="2206">
        <v>2</v>
      </c>
      <c r="I11" s="2168">
        <v>0.92</v>
      </c>
      <c r="J11" s="2168">
        <v>0.72</v>
      </c>
      <c r="K11" s="2168">
        <v>0.95</v>
      </c>
      <c r="L11" s="2169">
        <v>1.01</v>
      </c>
      <c r="M11" s="2191"/>
      <c r="N11" s="2207">
        <f t="shared" ref="N11" si="73">I11/100</f>
        <v>9.1999999999999998E-3</v>
      </c>
      <c r="O11" s="2192">
        <f t="shared" ref="O11" si="74">J11/100</f>
        <v>7.1999999999999998E-3</v>
      </c>
      <c r="P11" s="2192">
        <f t="shared" ref="P11" si="75">K11/100</f>
        <v>9.4999999999999998E-3</v>
      </c>
      <c r="Q11" s="2192">
        <f t="shared" ref="Q11" si="76">L11/100</f>
        <v>1.01E-2</v>
      </c>
      <c r="R11" s="2208"/>
      <c r="S11" s="2207"/>
      <c r="T11" s="2192"/>
      <c r="U11" s="2192"/>
      <c r="V11" s="2192"/>
      <c r="W11" s="2209"/>
      <c r="X11" s="2209">
        <f>ROUND(IF(项目基本情况!B4="出让",SUMPRODUCT(PRODUCT(1+N11:N$40)),SUMPRODUCT(PRODUCT(1+N11:N$39))),4)</f>
        <v>1.6338999999999999</v>
      </c>
      <c r="Y11" s="2209">
        <f>ROUND(IF(项目基本情况!B4="出让",SUMPRODUCT(PRODUCT(1+O11:O$40)),SUMPRODUCT(PRODUCT(1+O11:O$39))),4)</f>
        <v>1.3588</v>
      </c>
      <c r="Z11" s="2209">
        <f t="shared" ref="Z11" si="77">Y11</f>
        <v>1.3588</v>
      </c>
      <c r="AA11" s="2209">
        <f>ROUND(IF(项目基本情况!B4="出让",SUMPRODUCT(PRODUCT(1+P11:P$40)),SUMPRODUCT(PRODUCT(1+P11:P$39))),4)</f>
        <v>1.7150000000000001</v>
      </c>
      <c r="AB11" s="2209">
        <f>ROUND(IF(项目基本情况!B4="出让",SUMPRODUCT(PRODUCT(1+Q11:Q$40)),SUMPRODUCT(PRODUCT(1+Q11:Q$39))),4)</f>
        <v>1.446</v>
      </c>
      <c r="AC11" s="2209"/>
      <c r="AD11" s="2210">
        <f>ROUND(AVERAGE(I11:I$40)/100,4)</f>
        <v>1.7600000000000001E-2</v>
      </c>
      <c r="AE11" s="2210">
        <f>ROUND(AVERAGE(J11:J$40)/100,4)</f>
        <v>1.11E-2</v>
      </c>
      <c r="AF11" s="2210">
        <f t="shared" ref="AF11" si="78">AE11</f>
        <v>1.11E-2</v>
      </c>
      <c r="AG11" s="2210">
        <f>ROUND(AVERAGE(K11:K$40)/100,4)</f>
        <v>1.9400000000000001E-2</v>
      </c>
      <c r="AH11" s="2210">
        <f>ROUND(AVERAGE(L11:L$40)/100,4)</f>
        <v>1.2800000000000001E-2</v>
      </c>
    </row>
    <row r="12" spans="1:34" s="2211" customFormat="1">
      <c r="A12" s="2204" t="s">
        <v>2287</v>
      </c>
      <c r="B12" s="2205">
        <f t="shared" ref="B12" si="79">B13*(1+N12)</f>
        <v>497.92799851020823</v>
      </c>
      <c r="C12" s="2205">
        <f t="shared" ref="C12" si="80">C13*(1+O12)</f>
        <v>347.77173663537445</v>
      </c>
      <c r="D12" s="2205">
        <f t="shared" ref="D12" si="81">C12</f>
        <v>347.77173663537445</v>
      </c>
      <c r="E12" s="2205">
        <f t="shared" ref="E12" si="82">E13*(1+P12)</f>
        <v>718.44695593258189</v>
      </c>
      <c r="F12" s="2205">
        <f t="shared" ref="F12" si="83">F13*(1+Q12)</f>
        <v>329.12600580153247</v>
      </c>
      <c r="G12" s="2787">
        <v>2021</v>
      </c>
      <c r="H12" s="2206">
        <v>1</v>
      </c>
      <c r="I12" s="2168">
        <v>0.97</v>
      </c>
      <c r="J12" s="2168">
        <v>0.16</v>
      </c>
      <c r="K12" s="2168">
        <v>1.1100000000000001</v>
      </c>
      <c r="L12" s="2169">
        <v>0.36</v>
      </c>
      <c r="M12" s="2191"/>
      <c r="N12" s="2207">
        <f t="shared" ref="N12" si="84">I12/100</f>
        <v>9.7000000000000003E-3</v>
      </c>
      <c r="O12" s="2192">
        <f t="shared" ref="O12" si="85">J12/100</f>
        <v>1.6000000000000001E-3</v>
      </c>
      <c r="P12" s="2192">
        <f t="shared" ref="P12" si="86">K12/100</f>
        <v>1.11E-2</v>
      </c>
      <c r="Q12" s="2192">
        <f t="shared" ref="Q12" si="87">L12/100</f>
        <v>3.5999999999999999E-3</v>
      </c>
      <c r="R12" s="2208"/>
      <c r="S12" s="2207">
        <f>B12/B13-1</f>
        <v>9.7000000000000419E-3</v>
      </c>
      <c r="T12" s="2192">
        <f t="shared" ref="T12" si="88">C12/C13-1</f>
        <v>1.6000000000000458E-3</v>
      </c>
      <c r="U12" s="2192">
        <f t="shared" ref="U12" si="89">D12/D13-1</f>
        <v>1.6000000000000458E-3</v>
      </c>
      <c r="V12" s="2192">
        <f t="shared" ref="V12" si="90">E12/E13-1</f>
        <v>1.110000000000011E-2</v>
      </c>
      <c r="W12" s="2209"/>
      <c r="X12" s="2209">
        <f>ROUND(IF(项目基本情况!B5="出让",SUMPRODUCT(PRODUCT(1+N12:N$40)),SUMPRODUCT(PRODUCT(1+N12:N$39))),4)</f>
        <v>1.619</v>
      </c>
      <c r="Y12" s="2209">
        <f>ROUND(IF(项目基本情况!B5="出让",SUMPRODUCT(PRODUCT(1+O12:O$40)),SUMPRODUCT(PRODUCT(1+O12:O$39))),4)</f>
        <v>1.3491</v>
      </c>
      <c r="Z12" s="2209">
        <f t="shared" ref="Z12" si="91">Y12</f>
        <v>1.3491</v>
      </c>
      <c r="AA12" s="2209">
        <f>ROUND(IF(项目基本情况!B5="出让",SUMPRODUCT(PRODUCT(1+P12:P$40)),SUMPRODUCT(PRODUCT(1+P12:P$39))),4)</f>
        <v>1.6988000000000001</v>
      </c>
      <c r="AB12" s="2209">
        <f>ROUND(IF(项目基本情况!B5="出让",SUMPRODUCT(PRODUCT(1+Q12:Q$40)),SUMPRODUCT(PRODUCT(1+Q12:Q$39))),4)</f>
        <v>1.4315</v>
      </c>
      <c r="AC12" s="2209"/>
      <c r="AD12" s="2210">
        <f>ROUND(AVERAGE(I12:I$40)/100,4)</f>
        <v>1.7899999999999999E-2</v>
      </c>
      <c r="AE12" s="2210">
        <f>ROUND(AVERAGE(J12:J$40)/100,4)</f>
        <v>1.12E-2</v>
      </c>
      <c r="AF12" s="2210">
        <f t="shared" ref="AF12" si="92">AE12</f>
        <v>1.12E-2</v>
      </c>
      <c r="AG12" s="2210">
        <f>ROUND(AVERAGE(K12:K$40)/100,4)</f>
        <v>1.9699999999999999E-2</v>
      </c>
      <c r="AH12" s="2210">
        <f>ROUND(AVERAGE(L12:L$40)/100,4)</f>
        <v>1.29E-2</v>
      </c>
    </row>
    <row r="13" spans="1:34" s="2211" customFormat="1">
      <c r="A13" s="2204" t="s">
        <v>2284</v>
      </c>
      <c r="B13" s="2205">
        <f t="shared" ref="B13" si="93">B14*(1+N13)</f>
        <v>493.14449689037161</v>
      </c>
      <c r="C13" s="2205">
        <f t="shared" ref="C13" si="94">C14*(1+O13)</f>
        <v>347.21619073020611</v>
      </c>
      <c r="D13" s="2205">
        <f t="shared" ref="D13" si="95">C13</f>
        <v>347.21619073020611</v>
      </c>
      <c r="E13" s="2205">
        <f t="shared" ref="E13" si="96">E14*(1+P13)</f>
        <v>710.55974278763904</v>
      </c>
      <c r="F13" s="2205">
        <f t="shared" ref="F13" si="97">F14*(1+Q13)</f>
        <v>327.94540235306141</v>
      </c>
      <c r="G13" s="2786">
        <v>2020</v>
      </c>
      <c r="H13" s="2206">
        <v>4</v>
      </c>
      <c r="I13" s="2168">
        <v>2.0699999999999998</v>
      </c>
      <c r="J13" s="2168">
        <v>0.37</v>
      </c>
      <c r="K13" s="2168">
        <v>2.35</v>
      </c>
      <c r="L13" s="2169">
        <v>2.69</v>
      </c>
      <c r="M13" s="2191"/>
      <c r="N13" s="2207">
        <f t="shared" ref="N13" si="98">I13/100</f>
        <v>2.07E-2</v>
      </c>
      <c r="O13" s="2192">
        <f t="shared" ref="O13" si="99">J13/100</f>
        <v>3.7000000000000002E-3</v>
      </c>
      <c r="P13" s="2192">
        <f t="shared" ref="P13" si="100">K13/100</f>
        <v>2.35E-2</v>
      </c>
      <c r="Q13" s="2192">
        <f t="shared" ref="Q13" si="101">L13/100</f>
        <v>2.69E-2</v>
      </c>
      <c r="R13" s="2208"/>
      <c r="S13" s="2207"/>
      <c r="T13" s="2192"/>
      <c r="U13" s="2192"/>
      <c r="V13" s="2192"/>
      <c r="W13" s="2209"/>
      <c r="X13" s="2209">
        <f>ROUND(IF(项目基本情况!B6="出让",SUMPRODUCT(PRODUCT(1+N13:N$40)),SUMPRODUCT(PRODUCT(1+N13:N$39))),4)</f>
        <v>1.6034999999999999</v>
      </c>
      <c r="Y13" s="2209">
        <f>ROUND(IF(项目基本情况!B6="出让",SUMPRODUCT(PRODUCT(1+O13:O$40)),SUMPRODUCT(PRODUCT(1+O13:O$39))),4)</f>
        <v>1.3469</v>
      </c>
      <c r="Z13" s="2209">
        <f t="shared" ref="Z13" si="102">Y13</f>
        <v>1.3469</v>
      </c>
      <c r="AA13" s="2209">
        <f>ROUND(IF(项目基本情况!B6="出让",SUMPRODUCT(PRODUCT(1+P13:P$40)),SUMPRODUCT(PRODUCT(1+P13:P$39))),4)</f>
        <v>1.6801999999999999</v>
      </c>
      <c r="AB13" s="2209">
        <f>ROUND(IF(项目基本情况!B6="出让",SUMPRODUCT(PRODUCT(1+Q13:Q$40)),SUMPRODUCT(PRODUCT(1+Q13:Q$39))),4)</f>
        <v>1.4263999999999999</v>
      </c>
      <c r="AC13" s="2209"/>
      <c r="AD13" s="2210">
        <f>ROUND(AVERAGE(I13:I$40)/100,4)</f>
        <v>1.8200000000000001E-2</v>
      </c>
      <c r="AE13" s="2210">
        <f>ROUND(AVERAGE(J13:J$40)/100,4)</f>
        <v>1.1599999999999999E-2</v>
      </c>
      <c r="AF13" s="2210">
        <f t="shared" ref="AF13" si="103">AE13</f>
        <v>1.1599999999999999E-2</v>
      </c>
      <c r="AG13" s="2210">
        <f>ROUND(AVERAGE(K13:K$40)/100,4)</f>
        <v>0.02</v>
      </c>
      <c r="AH13" s="2210">
        <f>ROUND(AVERAGE(L13:L$40)/100,4)</f>
        <v>1.3299999999999999E-2</v>
      </c>
    </row>
    <row r="14" spans="1:34" s="2211" customFormat="1">
      <c r="A14" s="2204" t="s">
        <v>2283</v>
      </c>
      <c r="B14" s="2205">
        <f t="shared" ref="B14" si="104">B15*(1+N14)</f>
        <v>483.1434279321756</v>
      </c>
      <c r="C14" s="2205">
        <f t="shared" ref="C14" si="105">C15*(1+O14)</f>
        <v>345.93622669144776</v>
      </c>
      <c r="D14" s="2205">
        <f t="shared" ref="D14" si="106">C14</f>
        <v>345.93622669144776</v>
      </c>
      <c r="E14" s="2205">
        <f t="shared" ref="E14" si="107">E15*(1+P14)</f>
        <v>694.24498562544113</v>
      </c>
      <c r="F14" s="2205">
        <f t="shared" ref="F14" si="108">F15*(1+Q14)</f>
        <v>319.35475932716082</v>
      </c>
      <c r="G14" s="2783">
        <v>2020</v>
      </c>
      <c r="H14" s="2206">
        <v>3</v>
      </c>
      <c r="I14" s="2168">
        <v>0.36</v>
      </c>
      <c r="J14" s="2168">
        <v>-0.39</v>
      </c>
      <c r="K14" s="2168">
        <v>0.49</v>
      </c>
      <c r="L14" s="2169">
        <v>7.0000000000000007E-2</v>
      </c>
      <c r="M14" s="2191"/>
      <c r="N14" s="2207">
        <f t="shared" ref="N14" si="109">I14/100</f>
        <v>3.5999999999999999E-3</v>
      </c>
      <c r="O14" s="2192">
        <f t="shared" ref="O14" si="110">J14/100</f>
        <v>-3.9000000000000003E-3</v>
      </c>
      <c r="P14" s="2192">
        <f t="shared" ref="P14" si="111">K14/100</f>
        <v>4.8999999999999998E-3</v>
      </c>
      <c r="Q14" s="2192">
        <f t="shared" ref="Q14" si="112">L14/100</f>
        <v>7.000000000000001E-4</v>
      </c>
      <c r="R14" s="2208"/>
      <c r="S14" s="2207"/>
      <c r="T14" s="2192"/>
      <c r="U14" s="2192"/>
      <c r="V14" s="2192"/>
      <c r="W14" s="2209"/>
      <c r="X14" s="2209">
        <f>ROUND(IF(项目基本情况!B7="出让",SUMPRODUCT(PRODUCT(1+N14:N$40)),SUMPRODUCT(PRODUCT(1+N14:N$39))),4)</f>
        <v>1.571</v>
      </c>
      <c r="Y14" s="2209">
        <f>ROUND(IF(项目基本情况!B7="出让",SUMPRODUCT(PRODUCT(1+O14:O$40)),SUMPRODUCT(PRODUCT(1+O14:O$39))),4)</f>
        <v>1.3420000000000001</v>
      </c>
      <c r="Z14" s="2209">
        <f t="shared" ref="Z14" si="113">Y14</f>
        <v>1.3420000000000001</v>
      </c>
      <c r="AA14" s="2209">
        <f>ROUND(IF(项目基本情况!B7="出让",SUMPRODUCT(PRODUCT(1+P14:P$40)),SUMPRODUCT(PRODUCT(1+P14:P$39))),4)</f>
        <v>1.6415999999999999</v>
      </c>
      <c r="AB14" s="2209">
        <f>ROUND(IF(项目基本情况!B7="出让",SUMPRODUCT(PRODUCT(1+Q14:Q$40)),SUMPRODUCT(PRODUCT(1+Q14:Q$39))),4)</f>
        <v>1.389</v>
      </c>
      <c r="AC14" s="2209"/>
      <c r="AD14" s="2210">
        <f>ROUND(AVERAGE(I14:I$40)/100,4)</f>
        <v>1.8100000000000002E-2</v>
      </c>
      <c r="AE14" s="2210">
        <f>ROUND(AVERAGE(J14:J$40)/100,4)</f>
        <v>1.1900000000000001E-2</v>
      </c>
      <c r="AF14" s="2210">
        <f t="shared" ref="AF14" si="114">AE14</f>
        <v>1.1900000000000001E-2</v>
      </c>
      <c r="AG14" s="2210">
        <f>ROUND(AVERAGE(K14:K$40)/100,4)</f>
        <v>1.9900000000000001E-2</v>
      </c>
      <c r="AH14" s="2210">
        <f>ROUND(AVERAGE(L14:L$40)/100,4)</f>
        <v>1.2800000000000001E-2</v>
      </c>
    </row>
    <row r="15" spans="1:34" s="2211" customFormat="1">
      <c r="A15" s="2204" t="s">
        <v>2111</v>
      </c>
      <c r="B15" s="2205">
        <f t="shared" ref="B15" si="115">B16*(1+N15)</f>
        <v>481.4103506697644</v>
      </c>
      <c r="C15" s="2205">
        <f t="shared" ref="C15" si="116">C16*(1+O15)</f>
        <v>347.29066026648707</v>
      </c>
      <c r="D15" s="2205">
        <f t="shared" ref="D15" si="117">C15</f>
        <v>347.29066026648707</v>
      </c>
      <c r="E15" s="2205">
        <f t="shared" ref="E15" si="118">E16*(1+P15)</f>
        <v>690.85977273901995</v>
      </c>
      <c r="F15" s="2205">
        <f t="shared" ref="F15" si="119">F16*(1+Q15)</f>
        <v>319.13136737000184</v>
      </c>
      <c r="G15" s="2195">
        <v>2020</v>
      </c>
      <c r="H15" s="2206">
        <v>2</v>
      </c>
      <c r="I15" s="2168">
        <v>0.31</v>
      </c>
      <c r="J15" s="2168">
        <v>-0.78</v>
      </c>
      <c r="K15" s="2168">
        <v>0.5</v>
      </c>
      <c r="L15" s="2169">
        <v>0.47</v>
      </c>
      <c r="M15" s="2191"/>
      <c r="N15" s="2207">
        <f t="shared" ref="N15" si="120">I15/100</f>
        <v>3.0999999999999999E-3</v>
      </c>
      <c r="O15" s="2192">
        <f t="shared" ref="O15" si="121">J15/100</f>
        <v>-7.8000000000000005E-3</v>
      </c>
      <c r="P15" s="2192">
        <f t="shared" ref="P15" si="122">K15/100</f>
        <v>5.0000000000000001E-3</v>
      </c>
      <c r="Q15" s="2192">
        <f t="shared" ref="Q15" si="123">L15/100</f>
        <v>4.6999999999999993E-3</v>
      </c>
      <c r="R15" s="2208"/>
      <c r="S15" s="2207"/>
      <c r="T15" s="2192"/>
      <c r="U15" s="2192"/>
      <c r="V15" s="2192"/>
      <c r="W15" s="2209"/>
      <c r="X15" s="2209">
        <f>ROUND(IF(项目基本情况!B8="出让",SUMPRODUCT(PRODUCT(1+N15:N$40)),SUMPRODUCT(PRODUCT(1+N15:N$39))),4)</f>
        <v>1.5652999999999999</v>
      </c>
      <c r="Y15" s="2209">
        <f>ROUND(IF(项目基本情况!B8="出让",SUMPRODUCT(PRODUCT(1+O15:O$40)),SUMPRODUCT(PRODUCT(1+O15:O$39))),4)</f>
        <v>1.3472</v>
      </c>
      <c r="Z15" s="2209">
        <f t="shared" ref="Z15" si="124">Y15</f>
        <v>1.3472</v>
      </c>
      <c r="AA15" s="2209">
        <f>ROUND(IF(项目基本情况!B8="出让",SUMPRODUCT(PRODUCT(1+P15:P$40)),SUMPRODUCT(PRODUCT(1+P15:P$39))),4)</f>
        <v>1.6335999999999999</v>
      </c>
      <c r="AB15" s="2209">
        <f>ROUND(IF(项目基本情况!B8="出让",SUMPRODUCT(PRODUCT(1+Q15:Q$40)),SUMPRODUCT(PRODUCT(1+Q15:Q$39))),4)</f>
        <v>1.3880999999999999</v>
      </c>
      <c r="AC15" s="2209"/>
      <c r="AD15" s="2210">
        <f>ROUND(AVERAGE(I15:I$40)/100,4)</f>
        <v>1.8599999999999998E-2</v>
      </c>
      <c r="AE15" s="2210">
        <f>ROUND(AVERAGE(J15:J$40)/100,4)</f>
        <v>1.2500000000000001E-2</v>
      </c>
      <c r="AF15" s="2210">
        <f t="shared" ref="AF15" si="125">AE15</f>
        <v>1.2500000000000001E-2</v>
      </c>
      <c r="AG15" s="2210">
        <f>ROUND(AVERAGE(K15:K$40)/100,4)</f>
        <v>2.0400000000000001E-2</v>
      </c>
      <c r="AH15" s="2210">
        <f>ROUND(AVERAGE(L15:L$40)/100,4)</f>
        <v>1.32E-2</v>
      </c>
    </row>
    <row r="16" spans="1:34" s="2211" customFormat="1">
      <c r="A16" s="2204" t="s">
        <v>2109</v>
      </c>
      <c r="B16" s="2205">
        <f t="shared" ref="B16" si="126">B17*(1+N16)</f>
        <v>479.92259063878413</v>
      </c>
      <c r="C16" s="2205">
        <f t="shared" ref="C16" si="127">C17*(1+O16)</f>
        <v>350.02082268341775</v>
      </c>
      <c r="D16" s="2205">
        <f t="shared" ref="D16" si="128">C16</f>
        <v>350.02082268341775</v>
      </c>
      <c r="E16" s="2205">
        <f t="shared" ref="E16" si="129">E17*(1+P16)</f>
        <v>687.42265944181099</v>
      </c>
      <c r="F16" s="2205">
        <f t="shared" ref="F16" si="130">F17*(1+Q16)</f>
        <v>317.63846657708956</v>
      </c>
      <c r="G16" s="2195">
        <v>2020</v>
      </c>
      <c r="H16" s="2206">
        <v>1</v>
      </c>
      <c r="I16" s="2168">
        <v>0.12</v>
      </c>
      <c r="J16" s="2168">
        <v>-0.4</v>
      </c>
      <c r="K16" s="2168">
        <v>0.21</v>
      </c>
      <c r="L16" s="2169">
        <v>0.27</v>
      </c>
      <c r="M16" s="2191"/>
      <c r="N16" s="2207">
        <f t="shared" ref="N16" si="131">I16/100</f>
        <v>1.1999999999999999E-3</v>
      </c>
      <c r="O16" s="2192">
        <f t="shared" ref="O16" si="132">J16/100</f>
        <v>-4.0000000000000001E-3</v>
      </c>
      <c r="P16" s="2192">
        <f t="shared" ref="P16" si="133">K16/100</f>
        <v>2.0999999999999999E-3</v>
      </c>
      <c r="Q16" s="2192">
        <f t="shared" ref="Q16" si="134">L16/100</f>
        <v>2.7000000000000001E-3</v>
      </c>
      <c r="R16" s="2208"/>
      <c r="S16" s="2207">
        <f>B16/B17-1</f>
        <v>1.2000000000000899E-3</v>
      </c>
      <c r="T16" s="2192">
        <f t="shared" ref="T16" si="135">C16/C17-1</f>
        <v>-4.0000000000000036E-3</v>
      </c>
      <c r="U16" s="2192">
        <f t="shared" ref="U16" si="136">D16/D17-1</f>
        <v>-4.0000000000000036E-3</v>
      </c>
      <c r="V16" s="2192">
        <f t="shared" ref="V16" si="137">E16/E17-1</f>
        <v>2.0999999999999908E-3</v>
      </c>
      <c r="W16" s="2209"/>
      <c r="X16" s="2209">
        <f>ROUND(IF(项目基本情况!B8="出让",SUMPRODUCT(PRODUCT(1+N16:N$40)),SUMPRODUCT(PRODUCT(1+N16:N$39))),4)</f>
        <v>1.5605</v>
      </c>
      <c r="Y16" s="2209">
        <f>ROUND(IF(项目基本情况!B8="出让",SUMPRODUCT(PRODUCT(1+O16:O$40)),SUMPRODUCT(PRODUCT(1+O16:O$39))),4)</f>
        <v>1.3577999999999999</v>
      </c>
      <c r="Z16" s="2209">
        <f t="shared" ref="Z16" si="138">Y16</f>
        <v>1.3577999999999999</v>
      </c>
      <c r="AA16" s="2209">
        <f>ROUND(IF(项目基本情况!B8="出让",SUMPRODUCT(PRODUCT(1+P16:P$40)),SUMPRODUCT(PRODUCT(1+P16:P$39))),4)</f>
        <v>1.6254999999999999</v>
      </c>
      <c r="AB16" s="2209">
        <f>ROUND(IF(项目基本情况!B8="出让",SUMPRODUCT(PRODUCT(1+Q16:Q$40)),SUMPRODUCT(PRODUCT(1+Q16:Q$39))),4)</f>
        <v>1.3815999999999999</v>
      </c>
      <c r="AC16" s="2209"/>
      <c r="AD16" s="2210">
        <f>ROUND(AVERAGE(I16:I$40)/100,4)</f>
        <v>1.9199999999999998E-2</v>
      </c>
      <c r="AE16" s="2210">
        <f>ROUND(AVERAGE(J16:J$40)/100,4)</f>
        <v>1.3299999999999999E-2</v>
      </c>
      <c r="AF16" s="2210">
        <f t="shared" ref="AF16" si="139">AE16</f>
        <v>1.3299999999999999E-2</v>
      </c>
      <c r="AG16" s="2210">
        <f>ROUND(AVERAGE(K16:K$40)/100,4)</f>
        <v>2.1100000000000001E-2</v>
      </c>
      <c r="AH16" s="2210">
        <f>ROUND(AVERAGE(L16:L$40)/100,4)</f>
        <v>1.3599999999999999E-2</v>
      </c>
    </row>
    <row r="17" spans="1:34" s="2211" customFormat="1">
      <c r="A17" s="2204" t="s">
        <v>2108</v>
      </c>
      <c r="B17" s="2205">
        <f t="shared" ref="B17" si="140">B18*(1+N17)</f>
        <v>479.34737379023579</v>
      </c>
      <c r="C17" s="2205">
        <f t="shared" ref="C17" si="141">C18*(1+O17)</f>
        <v>351.4265287986122</v>
      </c>
      <c r="D17" s="2205">
        <f t="shared" ref="D17" si="142">C17</f>
        <v>351.4265287986122</v>
      </c>
      <c r="E17" s="2205">
        <f t="shared" ref="E17" si="143">E18*(1+P17)</f>
        <v>685.98209703803116</v>
      </c>
      <c r="F17" s="2205">
        <f t="shared" ref="F17" si="144">F18*(1+Q17)</f>
        <v>316.78315206651001</v>
      </c>
      <c r="G17" s="2195">
        <v>2019</v>
      </c>
      <c r="H17" s="2206">
        <v>4</v>
      </c>
      <c r="I17" s="2206">
        <v>0.45</v>
      </c>
      <c r="J17" s="2206">
        <v>-0.12</v>
      </c>
      <c r="K17" s="2206">
        <v>0.54</v>
      </c>
      <c r="L17" s="2212">
        <v>0.48</v>
      </c>
      <c r="M17" s="2191"/>
      <c r="N17" s="2207">
        <f t="shared" ref="N17:N22" si="145">I17/100</f>
        <v>4.5000000000000005E-3</v>
      </c>
      <c r="O17" s="2192">
        <f t="shared" ref="O17" si="146">J17/100</f>
        <v>-1.1999999999999999E-3</v>
      </c>
      <c r="P17" s="2192">
        <f t="shared" ref="P17" si="147">K17/100</f>
        <v>5.4000000000000003E-3</v>
      </c>
      <c r="Q17" s="2192">
        <f t="shared" ref="Q17" si="148">L17/100</f>
        <v>4.7999999999999996E-3</v>
      </c>
      <c r="R17" s="2208"/>
      <c r="S17" s="2207"/>
      <c r="T17" s="2192"/>
      <c r="U17" s="2192"/>
      <c r="V17" s="2192"/>
      <c r="W17" s="2209"/>
      <c r="X17" s="2209">
        <f>ROUND(IF(项目基本情况!B8="出让",SUMPRODUCT(PRODUCT(1+N17:N$40)),SUMPRODUCT(PRODUCT(1+N17:N$39))),4)</f>
        <v>1.5586</v>
      </c>
      <c r="Y17" s="2209">
        <f>ROUND(IF(项目基本情况!B8="出让",SUMPRODUCT(PRODUCT(1+O17:O$40)),SUMPRODUCT(PRODUCT(1+O17:O$39))),4)</f>
        <v>1.3633</v>
      </c>
      <c r="Z17" s="2209">
        <f t="shared" ref="Z17" si="149">Y17</f>
        <v>1.3633</v>
      </c>
      <c r="AA17" s="2209">
        <f>ROUND(IF(项目基本情况!B8="出让",SUMPRODUCT(PRODUCT(1+P17:P$40)),SUMPRODUCT(PRODUCT(1+P17:P$39))),4)</f>
        <v>1.6221000000000001</v>
      </c>
      <c r="AB17" s="2209">
        <f>ROUND(IF(项目基本情况!B8="出让",SUMPRODUCT(PRODUCT(1+Q17:Q$40)),SUMPRODUCT(PRODUCT(1+Q17:Q$39))),4)</f>
        <v>1.3777999999999999</v>
      </c>
      <c r="AC17" s="2209"/>
      <c r="AD17" s="2210">
        <f>ROUND(AVERAGE(I17:I$40)/100,4)</f>
        <v>0.02</v>
      </c>
      <c r="AE17" s="2210">
        <f>ROUND(AVERAGE(J17:J$40)/100,4)</f>
        <v>1.4E-2</v>
      </c>
      <c r="AF17" s="2210">
        <f t="shared" ref="AF17" si="150">AE17</f>
        <v>1.4E-2</v>
      </c>
      <c r="AG17" s="2210">
        <f>ROUND(AVERAGE(K17:K$40)/100,4)</f>
        <v>2.1899999999999999E-2</v>
      </c>
      <c r="AH17" s="2210">
        <f>ROUND(AVERAGE(L17:L$40)/100,4)</f>
        <v>1.4E-2</v>
      </c>
    </row>
    <row r="18" spans="1:34" s="2211" customFormat="1" ht="13.5" thickBot="1">
      <c r="A18" s="2204" t="s">
        <v>2107</v>
      </c>
      <c r="B18" s="2205">
        <f t="shared" ref="B18" si="151">B19*(1+N18)</f>
        <v>477.19997390765138</v>
      </c>
      <c r="C18" s="2205">
        <f t="shared" ref="C18" si="152">C19*(1+O18)</f>
        <v>351.84874729536665</v>
      </c>
      <c r="D18" s="2205">
        <f t="shared" ref="D18" si="153">C18</f>
        <v>351.84874729536665</v>
      </c>
      <c r="E18" s="2205">
        <f t="shared" ref="E18" si="154">E19*(1+P18)</f>
        <v>682.29768951465201</v>
      </c>
      <c r="F18" s="2205">
        <f t="shared" ref="F18" si="155">F19*(1+Q18)</f>
        <v>315.26985675409043</v>
      </c>
      <c r="G18" s="2195">
        <v>2019</v>
      </c>
      <c r="H18" s="2206">
        <v>3</v>
      </c>
      <c r="I18" s="2206">
        <v>0.61</v>
      </c>
      <c r="J18" s="2206">
        <v>0.67</v>
      </c>
      <c r="K18" s="2206">
        <v>0.6</v>
      </c>
      <c r="L18" s="2212">
        <v>1.03</v>
      </c>
      <c r="M18" s="2191"/>
      <c r="N18" s="2207">
        <f t="shared" si="145"/>
        <v>6.0999999999999995E-3</v>
      </c>
      <c r="O18" s="2192">
        <f t="shared" ref="O18" si="156">J18/100</f>
        <v>6.7000000000000002E-3</v>
      </c>
      <c r="P18" s="2192">
        <f t="shared" ref="P18" si="157">K18/100</f>
        <v>6.0000000000000001E-3</v>
      </c>
      <c r="Q18" s="2192">
        <f t="shared" ref="Q18" si="158">L18/100</f>
        <v>1.03E-2</v>
      </c>
      <c r="R18" s="2208"/>
      <c r="S18" s="2207"/>
      <c r="T18" s="2192"/>
      <c r="U18" s="2192"/>
      <c r="V18" s="2192"/>
      <c r="W18" s="2209"/>
      <c r="X18" s="2209">
        <f>ROUND(IF(项目基本情况!B8="出让",SUMPRODUCT(PRODUCT(1+N18:N$40)),SUMPRODUCT(PRODUCT(1+N18:N$39))),4)</f>
        <v>1.5516000000000001</v>
      </c>
      <c r="Y18" s="2209">
        <f>ROUND(IF(项目基本情况!B8="出让",SUMPRODUCT(PRODUCT(1+O18:O$40)),SUMPRODUCT(PRODUCT(1+O18:O$39))),4)</f>
        <v>1.3649</v>
      </c>
      <c r="Z18" s="2209">
        <f t="shared" ref="Z18" si="159">Y18</f>
        <v>1.3649</v>
      </c>
      <c r="AA18" s="2209">
        <f>ROUND(IF(项目基本情况!B8="出让",SUMPRODUCT(PRODUCT(1+P18:P$40)),SUMPRODUCT(PRODUCT(1+P18:P$39))),4)</f>
        <v>1.6133999999999999</v>
      </c>
      <c r="AB18" s="2209">
        <f>ROUND(IF(项目基本情况!B8="出让",SUMPRODUCT(PRODUCT(1+Q18:Q$40)),SUMPRODUCT(PRODUCT(1+Q18:Q$39))),4)</f>
        <v>1.3713</v>
      </c>
      <c r="AC18" s="2209"/>
      <c r="AD18" s="2210">
        <f>ROUND(AVERAGE(I18:I$40)/100,4)</f>
        <v>2.07E-2</v>
      </c>
      <c r="AE18" s="2210">
        <f>ROUND(AVERAGE(J18:J$40)/100,4)</f>
        <v>1.47E-2</v>
      </c>
      <c r="AF18" s="2210">
        <f t="shared" ref="AF18" si="160">AE18</f>
        <v>1.47E-2</v>
      </c>
      <c r="AG18" s="2210">
        <f>ROUND(AVERAGE(K18:K$40)/100,4)</f>
        <v>2.2599999999999999E-2</v>
      </c>
      <c r="AH18" s="2210">
        <f>ROUND(AVERAGE(L18:L$40)/100,4)</f>
        <v>1.44E-2</v>
      </c>
    </row>
    <row r="19" spans="1:34" s="2211" customFormat="1">
      <c r="A19" s="2204" t="s">
        <v>2105</v>
      </c>
      <c r="B19" s="2205">
        <f t="shared" ref="B19" si="161">B20*(1+N19)</f>
        <v>474.30670301923408</v>
      </c>
      <c r="C19" s="2205">
        <f t="shared" ref="C19" si="162">C20*(1+O19)</f>
        <v>349.50705005996491</v>
      </c>
      <c r="D19" s="2205">
        <f t="shared" ref="D19" si="163">C19</f>
        <v>349.50705005996491</v>
      </c>
      <c r="E19" s="2205">
        <f t="shared" ref="E19" si="164">E20*(1+P19)</f>
        <v>678.22831959706957</v>
      </c>
      <c r="F19" s="2205">
        <f t="shared" ref="F19" si="165">F20*(1+Q19)</f>
        <v>312.0556832169558</v>
      </c>
      <c r="G19" s="2195">
        <v>2019</v>
      </c>
      <c r="H19" s="2213">
        <v>2</v>
      </c>
      <c r="I19" s="2213">
        <v>1.53</v>
      </c>
      <c r="J19" s="2213">
        <v>1.01</v>
      </c>
      <c r="K19" s="2213">
        <v>1.62</v>
      </c>
      <c r="L19" s="2214">
        <v>1.25</v>
      </c>
      <c r="M19" s="2191"/>
      <c r="N19" s="2207">
        <f t="shared" si="145"/>
        <v>1.5300000000000001E-2</v>
      </c>
      <c r="O19" s="2192">
        <f t="shared" ref="O19" si="166">J19/100</f>
        <v>1.01E-2</v>
      </c>
      <c r="P19" s="2192">
        <f t="shared" ref="P19" si="167">K19/100</f>
        <v>1.6200000000000003E-2</v>
      </c>
      <c r="Q19" s="2192">
        <f t="shared" ref="Q19" si="168">L19/100</f>
        <v>1.2500000000000001E-2</v>
      </c>
      <c r="R19" s="2208"/>
      <c r="S19" s="2207"/>
      <c r="T19" s="2192"/>
      <c r="U19" s="2192"/>
      <c r="V19" s="2192"/>
      <c r="W19" s="2209"/>
      <c r="X19" s="2209">
        <f>ROUND(IF(项目基本情况!B8="出让",SUMPRODUCT(PRODUCT(1+N19:N$40)),SUMPRODUCT(PRODUCT(1+N19:N$39))),4)</f>
        <v>1.5422</v>
      </c>
      <c r="Y19" s="2209">
        <f>ROUND(IF(项目基本情况!B8="出让",SUMPRODUCT(PRODUCT(1+O19:O$40)),SUMPRODUCT(PRODUCT(1+O19:O$39))),4)</f>
        <v>1.3557999999999999</v>
      </c>
      <c r="Z19" s="2209">
        <f t="shared" ref="Z19" si="169">Y19</f>
        <v>1.3557999999999999</v>
      </c>
      <c r="AA19" s="2209">
        <f>ROUND(IF(项目基本情况!B8="出让",SUMPRODUCT(PRODUCT(1+P19:P$40)),SUMPRODUCT(PRODUCT(1+P19:P$39))),4)</f>
        <v>1.6036999999999999</v>
      </c>
      <c r="AB19" s="2209">
        <f>ROUND(IF(项目基本情况!B8="出让",SUMPRODUCT(PRODUCT(1+Q19:Q$40)),SUMPRODUCT(PRODUCT(1+Q19:Q$39))),4)</f>
        <v>1.3573</v>
      </c>
      <c r="AC19" s="2209"/>
      <c r="AD19" s="2210">
        <f>ROUND(AVERAGE(I19:I$40)/100,4)</f>
        <v>2.1299999999999999E-2</v>
      </c>
      <c r="AE19" s="2210">
        <f>ROUND(AVERAGE(J19:J$40)/100,4)</f>
        <v>1.4999999999999999E-2</v>
      </c>
      <c r="AF19" s="2210">
        <f t="shared" ref="AF19" si="170">AE19</f>
        <v>1.4999999999999999E-2</v>
      </c>
      <c r="AG19" s="2210">
        <f>ROUND(AVERAGE(K19:K$40)/100,4)</f>
        <v>2.3300000000000001E-2</v>
      </c>
      <c r="AH19" s="2210">
        <f>ROUND(AVERAGE(L19:L$40)/100,4)</f>
        <v>1.46E-2</v>
      </c>
    </row>
    <row r="20" spans="1:34" s="2211" customFormat="1" ht="13.5" thickBot="1">
      <c r="A20" s="2204" t="s">
        <v>2104</v>
      </c>
      <c r="B20" s="2205">
        <f t="shared" ref="B20" si="171">B21*(1+N20)</f>
        <v>467.15916775261894</v>
      </c>
      <c r="C20" s="2205">
        <f t="shared" ref="C20" si="172">C21*(1+O20)</f>
        <v>346.01232557169084</v>
      </c>
      <c r="D20" s="2205">
        <f t="shared" ref="D20" si="173">C20</f>
        <v>346.01232557169084</v>
      </c>
      <c r="E20" s="2205">
        <f t="shared" ref="E20" si="174">E21*(1+P20)</f>
        <v>667.41617752122568</v>
      </c>
      <c r="F20" s="2205">
        <f t="shared" ref="F20" si="175">F21*(1+Q20)</f>
        <v>308.20314391798104</v>
      </c>
      <c r="G20" s="2195">
        <v>2019</v>
      </c>
      <c r="H20" s="2206">
        <v>1</v>
      </c>
      <c r="I20" s="2206">
        <v>0.6</v>
      </c>
      <c r="J20" s="2206">
        <v>0.37</v>
      </c>
      <c r="K20" s="2206">
        <v>0.63</v>
      </c>
      <c r="L20" s="2212">
        <v>1.1299999999999999</v>
      </c>
      <c r="M20" s="2191"/>
      <c r="N20" s="2207">
        <f t="shared" si="145"/>
        <v>6.0000000000000001E-3</v>
      </c>
      <c r="O20" s="2192">
        <f t="shared" ref="O20" si="176">J20/100</f>
        <v>3.7000000000000002E-3</v>
      </c>
      <c r="P20" s="2192">
        <f t="shared" ref="P20" si="177">K20/100</f>
        <v>6.3E-3</v>
      </c>
      <c r="Q20" s="2192">
        <f t="shared" ref="Q20" si="178">L20/100</f>
        <v>1.1299999999999999E-2</v>
      </c>
      <c r="R20" s="2208"/>
      <c r="S20" s="2207">
        <f>B20/B21-1</f>
        <v>6.0000000000000053E-3</v>
      </c>
      <c r="T20" s="2192">
        <f t="shared" ref="T20" si="179">C20/C21-1</f>
        <v>3.7000000000000366E-3</v>
      </c>
      <c r="U20" s="2192">
        <f t="shared" ref="U20" si="180">D20/D21-1</f>
        <v>3.7000000000000366E-3</v>
      </c>
      <c r="V20" s="2192">
        <f t="shared" ref="V20" si="181">E20/E21-1</f>
        <v>6.2999999999999723E-3</v>
      </c>
      <c r="W20" s="2209"/>
      <c r="X20" s="2209">
        <f>ROUND(IF(项目基本情况!B8="出让",SUMPRODUCT(PRODUCT(1+N20:N$40)),SUMPRODUCT(PRODUCT(1+N20:N$39))),4)</f>
        <v>1.5189999999999999</v>
      </c>
      <c r="Y20" s="2209">
        <f>ROUND(IF(项目基本情况!B8="出让",SUMPRODUCT(PRODUCT(1+O20:O$40)),SUMPRODUCT(PRODUCT(1+O20:O$39))),4)</f>
        <v>1.3423</v>
      </c>
      <c r="Z20" s="2209">
        <f t="shared" ref="Z20" si="182">Y20</f>
        <v>1.3423</v>
      </c>
      <c r="AA20" s="2209">
        <f>ROUND(IF(项目基本情况!B8="出让",SUMPRODUCT(PRODUCT(1+P20:P$40)),SUMPRODUCT(PRODUCT(1+P20:P$39))),4)</f>
        <v>1.5782</v>
      </c>
      <c r="AB20" s="2209">
        <f>ROUND(IF(项目基本情况!B8="出让",SUMPRODUCT(PRODUCT(1+Q20:Q$40)),SUMPRODUCT(PRODUCT(1+Q20:Q$39))),4)</f>
        <v>1.3405</v>
      </c>
      <c r="AC20" s="2209"/>
      <c r="AD20" s="2210">
        <f>ROUND(AVERAGE(I20:I$40)/100,4)</f>
        <v>2.1600000000000001E-2</v>
      </c>
      <c r="AE20" s="2210">
        <f>ROUND(AVERAGE(J20:J$40)/100,4)</f>
        <v>1.5299999999999999E-2</v>
      </c>
      <c r="AF20" s="2210">
        <f t="shared" ref="AF20" si="183">AE20</f>
        <v>1.5299999999999999E-2</v>
      </c>
      <c r="AG20" s="2210">
        <f>ROUND(AVERAGE(K20:K$40)/100,4)</f>
        <v>2.3699999999999999E-2</v>
      </c>
      <c r="AH20" s="2210">
        <f>ROUND(AVERAGE(L20:L$40)/100,4)</f>
        <v>1.47E-2</v>
      </c>
    </row>
    <row r="21" spans="1:34" s="2211" customFormat="1">
      <c r="A21" s="2204" t="s">
        <v>2106</v>
      </c>
      <c r="B21" s="2215">
        <f t="shared" ref="B21" si="184">B22*(1+N21)</f>
        <v>464.37293017158942</v>
      </c>
      <c r="C21" s="2215">
        <f t="shared" ref="C21" si="185">C22*(1+O21)</f>
        <v>344.73679941385956</v>
      </c>
      <c r="D21" s="2215">
        <f t="shared" ref="D21" si="186">C21</f>
        <v>344.73679941385956</v>
      </c>
      <c r="E21" s="2215">
        <f t="shared" ref="E21" si="187">E22*(1+P21)</f>
        <v>663.2377795103107</v>
      </c>
      <c r="F21" s="2216">
        <f t="shared" ref="F21" si="188">F22*(1+Q21)</f>
        <v>304.75936311478398</v>
      </c>
      <c r="G21" s="3821">
        <v>2018</v>
      </c>
      <c r="H21" s="2213">
        <v>4</v>
      </c>
      <c r="I21" s="2213">
        <v>0.96</v>
      </c>
      <c r="J21" s="2213">
        <v>1.03</v>
      </c>
      <c r="K21" s="2213">
        <v>0.92</v>
      </c>
      <c r="L21" s="2214">
        <v>1.29</v>
      </c>
      <c r="M21" s="2191"/>
      <c r="N21" s="2207">
        <f t="shared" si="145"/>
        <v>9.5999999999999992E-3</v>
      </c>
      <c r="O21" s="2192">
        <f t="shared" ref="O21" si="189">J21/100</f>
        <v>1.03E-2</v>
      </c>
      <c r="P21" s="2192">
        <f t="shared" ref="P21" si="190">K21/100</f>
        <v>9.1999999999999998E-3</v>
      </c>
      <c r="Q21" s="2192">
        <f t="shared" ref="Q21" si="191">L21/100</f>
        <v>1.29E-2</v>
      </c>
      <c r="R21" s="2208"/>
      <c r="S21" s="2207"/>
      <c r="T21" s="2192"/>
      <c r="U21" s="2192"/>
      <c r="V21" s="2192"/>
      <c r="W21" s="2209"/>
      <c r="X21" s="2209">
        <f>ROUND(SUMPRODUCT(PRODUCT(1+N21:N$39)),4)</f>
        <v>1.5099</v>
      </c>
      <c r="Y21" s="2209">
        <f>ROUND(SUMPRODUCT(PRODUCT(1+O21:O$39)),4)</f>
        <v>1.3372999999999999</v>
      </c>
      <c r="Z21" s="2209">
        <f t="shared" ref="Z21" si="192">Y21</f>
        <v>1.3372999999999999</v>
      </c>
      <c r="AA21" s="2209">
        <f>ROUND(SUMPRODUCT(PRODUCT(1+P21:P$39)),4)</f>
        <v>1.5683</v>
      </c>
      <c r="AB21" s="2209">
        <f>ROUND(SUMPRODUCT(PRODUCT(1+Q21:Q$39)),4)</f>
        <v>1.3255999999999999</v>
      </c>
      <c r="AC21" s="2209"/>
      <c r="AD21" s="2210">
        <f>ROUND(AVERAGE(I21:I$40)/100,4)</f>
        <v>2.24E-2</v>
      </c>
      <c r="AE21" s="2210">
        <f>ROUND(AVERAGE(J21:J$40)/100,4)</f>
        <v>1.5800000000000002E-2</v>
      </c>
      <c r="AF21" s="2210">
        <f t="shared" ref="AF21" si="193">AE21</f>
        <v>1.5800000000000002E-2</v>
      </c>
      <c r="AG21" s="2210">
        <f>ROUND(AVERAGE(K21:K$40)/100,4)</f>
        <v>2.4500000000000001E-2</v>
      </c>
      <c r="AH21" s="2210">
        <f>ROUND(AVERAGE(L21:L$40)/100,4)</f>
        <v>1.49E-2</v>
      </c>
    </row>
    <row r="22" spans="1:34" s="2211" customFormat="1" ht="14.45" customHeight="1">
      <c r="A22" s="2204" t="s">
        <v>2102</v>
      </c>
      <c r="B22" s="2205">
        <f t="shared" ref="B22" si="194">B23*(1+N22)</f>
        <v>459.95733971036987</v>
      </c>
      <c r="C22" s="2205">
        <f t="shared" ref="C22" si="195">C23*(1+O22)</f>
        <v>341.22221064422405</v>
      </c>
      <c r="D22" s="2205">
        <f t="shared" ref="D22" si="196">C22</f>
        <v>341.22221064422405</v>
      </c>
      <c r="E22" s="2205">
        <f t="shared" ref="E22" si="197">E23*(1+P22)</f>
        <v>657.19161663724799</v>
      </c>
      <c r="F22" s="2205">
        <f t="shared" ref="F22" si="198">F23*(1+Q22)</f>
        <v>300.87803644464805</v>
      </c>
      <c r="G22" s="3821"/>
      <c r="H22" s="2206">
        <v>3</v>
      </c>
      <c r="I22" s="2206">
        <v>1.51</v>
      </c>
      <c r="J22" s="2206">
        <v>1.41</v>
      </c>
      <c r="K22" s="2206">
        <v>1.52</v>
      </c>
      <c r="L22" s="2212">
        <v>1.74</v>
      </c>
      <c r="M22" s="2191"/>
      <c r="N22" s="2207">
        <f t="shared" si="145"/>
        <v>1.5100000000000001E-2</v>
      </c>
      <c r="O22" s="2192">
        <f t="shared" ref="O22" si="199">J22/100</f>
        <v>1.41E-2</v>
      </c>
      <c r="P22" s="2192">
        <f t="shared" ref="P22" si="200">K22/100</f>
        <v>1.52E-2</v>
      </c>
      <c r="Q22" s="2192">
        <f t="shared" ref="Q22" si="201">L22/100</f>
        <v>1.7399999999999999E-2</v>
      </c>
      <c r="R22" s="2208"/>
      <c r="S22" s="2207"/>
      <c r="T22" s="2192"/>
      <c r="U22" s="2192"/>
      <c r="V22" s="2192"/>
      <c r="W22" s="2209"/>
      <c r="X22" s="2209">
        <f>ROUND(SUMPRODUCT(PRODUCT(1+N22:N$39)),4)</f>
        <v>1.4956</v>
      </c>
      <c r="Y22" s="2209">
        <f>ROUND(SUMPRODUCT(PRODUCT(1+O22:O$39)),4)</f>
        <v>1.3237000000000001</v>
      </c>
      <c r="Z22" s="2209">
        <f t="shared" ref="Z22" si="202">Y22</f>
        <v>1.3237000000000001</v>
      </c>
      <c r="AA22" s="2209">
        <f>ROUND(SUMPRODUCT(PRODUCT(1+P22:P$39)),4)</f>
        <v>1.554</v>
      </c>
      <c r="AB22" s="2209">
        <f>ROUND(SUMPRODUCT(PRODUCT(1+Q22:Q$39)),4)</f>
        <v>1.3087</v>
      </c>
      <c r="AC22" s="2209"/>
      <c r="AD22" s="2210">
        <f>ROUND(AVERAGE(I22:I$40)/100,4)</f>
        <v>2.3099999999999999E-2</v>
      </c>
      <c r="AE22" s="2210">
        <f>ROUND(AVERAGE(J22:J$40)/100,4)</f>
        <v>1.61E-2</v>
      </c>
      <c r="AF22" s="2210">
        <f t="shared" ref="AF22" si="203">AE22</f>
        <v>1.61E-2</v>
      </c>
      <c r="AG22" s="2210">
        <f>ROUND(AVERAGE(K22:K$40)/100,4)</f>
        <v>2.53E-2</v>
      </c>
      <c r="AH22" s="2210">
        <f>ROUND(AVERAGE(L22:L$40)/100,4)</f>
        <v>1.4999999999999999E-2</v>
      </c>
    </row>
    <row r="23" spans="1:34" s="2211" customFormat="1" ht="14.45" customHeight="1">
      <c r="A23" s="2204" t="s">
        <v>2101</v>
      </c>
      <c r="B23" s="2205">
        <f t="shared" ref="B23" si="204">B24*(1+N23)</f>
        <v>453.11529869999993</v>
      </c>
      <c r="C23" s="2205">
        <f t="shared" ref="C23" si="205">C24*(1+O23)</f>
        <v>336.47787264000004</v>
      </c>
      <c r="D23" s="2205">
        <f t="shared" ref="D23" si="206">C23</f>
        <v>336.47787264000004</v>
      </c>
      <c r="E23" s="2205">
        <f t="shared" ref="E23" si="207">E24*(1+P23)</f>
        <v>647.35186823999993</v>
      </c>
      <c r="F23" s="2205">
        <f t="shared" ref="F23" si="208">F24*(1+Q23)</f>
        <v>295.73229452000004</v>
      </c>
      <c r="G23" s="3821"/>
      <c r="H23" s="2217">
        <v>2</v>
      </c>
      <c r="I23" s="2217">
        <v>1.49</v>
      </c>
      <c r="J23" s="2217">
        <v>0.96</v>
      </c>
      <c r="K23" s="2217">
        <v>1.58</v>
      </c>
      <c r="L23" s="2218">
        <v>2.44</v>
      </c>
      <c r="M23" s="2191"/>
      <c r="N23" s="2207">
        <f t="shared" ref="N23" si="209">I23/100</f>
        <v>1.49E-2</v>
      </c>
      <c r="O23" s="2192">
        <f t="shared" ref="O23" si="210">J23/100</f>
        <v>9.5999999999999992E-3</v>
      </c>
      <c r="P23" s="2192">
        <f t="shared" ref="P23" si="211">K23/100</f>
        <v>1.5800000000000002E-2</v>
      </c>
      <c r="Q23" s="2192">
        <f t="shared" ref="Q23" si="212">L23/100</f>
        <v>2.4399999999999998E-2</v>
      </c>
      <c r="R23" s="2208"/>
      <c r="S23" s="2207"/>
      <c r="T23" s="2192"/>
      <c r="U23" s="2192"/>
      <c r="V23" s="2192"/>
      <c r="W23" s="2209"/>
      <c r="X23" s="2209">
        <f>ROUND(SUMPRODUCT(PRODUCT(1+N23:N$39)),4)</f>
        <v>1.4733000000000001</v>
      </c>
      <c r="Y23" s="2209">
        <f>ROUND(SUMPRODUCT(PRODUCT(1+O23:O$39)),4)</f>
        <v>1.3052999999999999</v>
      </c>
      <c r="Z23" s="2209">
        <f t="shared" ref="Z23" si="213">Y23</f>
        <v>1.3052999999999999</v>
      </c>
      <c r="AA23" s="2209">
        <f>ROUND(SUMPRODUCT(PRODUCT(1+P23:P$39)),4)</f>
        <v>1.5306999999999999</v>
      </c>
      <c r="AB23" s="2209">
        <f>ROUND(SUMPRODUCT(PRODUCT(1+Q23:Q$39)),4)</f>
        <v>1.2863</v>
      </c>
      <c r="AC23" s="2209"/>
      <c r="AD23" s="2210">
        <f>ROUND(AVERAGE(I23:I$40)/100,4)</f>
        <v>2.35E-2</v>
      </c>
      <c r="AE23" s="2210">
        <f>ROUND(AVERAGE(J23:J$40)/100,4)</f>
        <v>1.6199999999999999E-2</v>
      </c>
      <c r="AF23" s="2210">
        <f t="shared" ref="AF23" si="214">AE23</f>
        <v>1.6199999999999999E-2</v>
      </c>
      <c r="AG23" s="2210">
        <f>ROUND(AVERAGE(K23:K$40)/100,4)</f>
        <v>2.5899999999999999E-2</v>
      </c>
      <c r="AH23" s="2210">
        <f>ROUND(AVERAGE(L23:L$40)/100,4)</f>
        <v>1.49E-2</v>
      </c>
    </row>
    <row r="24" spans="1:34" s="2211" customFormat="1" ht="15" customHeight="1" thickBot="1">
      <c r="A24" s="2204" t="s">
        <v>2094</v>
      </c>
      <c r="B24" s="2205">
        <f t="shared" ref="B24" si="215">B25*(1+N24)</f>
        <v>446.46299999999997</v>
      </c>
      <c r="C24" s="2205">
        <f t="shared" ref="C24" si="216">C25*(1+O24)</f>
        <v>333.27840000000003</v>
      </c>
      <c r="D24" s="2205">
        <f t="shared" ref="D24" si="217">C24</f>
        <v>333.27840000000003</v>
      </c>
      <c r="E24" s="2205">
        <f t="shared" ref="E24" si="218">E25*(1+P24)</f>
        <v>637.28279999999995</v>
      </c>
      <c r="F24" s="2205">
        <f t="shared" ref="F24" si="219">F25*(1+Q24)</f>
        <v>288.68830000000003</v>
      </c>
      <c r="G24" s="3830"/>
      <c r="H24" s="2206">
        <v>1</v>
      </c>
      <c r="I24" s="2206">
        <v>1.7</v>
      </c>
      <c r="J24" s="2206">
        <v>1.92</v>
      </c>
      <c r="K24" s="2206">
        <v>1.64</v>
      </c>
      <c r="L24" s="2212">
        <v>2.0099999999999998</v>
      </c>
      <c r="M24" s="2191"/>
      <c r="N24" s="2207">
        <f t="shared" ref="N24:N29" si="220">I24/100</f>
        <v>1.7000000000000001E-2</v>
      </c>
      <c r="O24" s="2192">
        <f t="shared" ref="O24" si="221">J24/100</f>
        <v>1.9199999999999998E-2</v>
      </c>
      <c r="P24" s="2192">
        <f t="shared" ref="P24" si="222">K24/100</f>
        <v>1.6399999999999998E-2</v>
      </c>
      <c r="Q24" s="2192">
        <f t="shared" ref="Q24" si="223">L24/100</f>
        <v>2.0099999999999996E-2</v>
      </c>
      <c r="R24" s="2208"/>
      <c r="S24" s="2207">
        <f>B24/B25-1</f>
        <v>1.6999999999999904E-2</v>
      </c>
      <c r="T24" s="2192">
        <f t="shared" ref="T24" si="224">C24/C25-1</f>
        <v>1.9200000000000106E-2</v>
      </c>
      <c r="U24" s="2192">
        <f t="shared" ref="U24" si="225">D24/D25-1</f>
        <v>1.9200000000000106E-2</v>
      </c>
      <c r="V24" s="2192">
        <f t="shared" ref="V24" si="226">E24/E25-1</f>
        <v>1.639999999999997E-2</v>
      </c>
      <c r="W24" s="2209"/>
      <c r="X24" s="2209">
        <f>ROUND(SUMPRODUCT(PRODUCT(1+N24:N$39)),4)</f>
        <v>1.4517</v>
      </c>
      <c r="Y24" s="2209">
        <f>ROUND(SUMPRODUCT(PRODUCT(1+O24:O$39)),4)</f>
        <v>1.2928999999999999</v>
      </c>
      <c r="Z24" s="2209">
        <f t="shared" ref="Z24" si="227">Y24</f>
        <v>1.2928999999999999</v>
      </c>
      <c r="AA24" s="2209">
        <f>ROUND(SUMPRODUCT(PRODUCT(1+P24:P$39)),4)</f>
        <v>1.5068999999999999</v>
      </c>
      <c r="AB24" s="2209">
        <f>ROUND(SUMPRODUCT(PRODUCT(1+Q24:Q$39)),4)</f>
        <v>1.2557</v>
      </c>
      <c r="AC24" s="2209"/>
      <c r="AD24" s="2210">
        <f>ROUND(AVERAGE(I24:I$40)/100,4)</f>
        <v>2.4E-2</v>
      </c>
      <c r="AE24" s="2210">
        <f>ROUND(AVERAGE(J24:J$40)/100,4)</f>
        <v>1.66E-2</v>
      </c>
      <c r="AF24" s="2210">
        <f t="shared" ref="AF24" si="228">AE24</f>
        <v>1.66E-2</v>
      </c>
      <c r="AG24" s="2210">
        <f>ROUND(AVERAGE(K24:K$40)/100,4)</f>
        <v>2.6499999999999999E-2</v>
      </c>
      <c r="AH24" s="2210">
        <f>ROUND(AVERAGE(L24:L$40)/100,4)</f>
        <v>1.43E-2</v>
      </c>
    </row>
    <row r="25" spans="1:34">
      <c r="A25" s="2204" t="s">
        <v>2092</v>
      </c>
      <c r="B25" s="2219">
        <v>439</v>
      </c>
      <c r="C25" s="2219">
        <v>327</v>
      </c>
      <c r="D25" s="2219">
        <f>C25</f>
        <v>327</v>
      </c>
      <c r="E25" s="2219">
        <v>627</v>
      </c>
      <c r="F25" s="2220">
        <v>283</v>
      </c>
      <c r="G25" s="3826">
        <v>2017</v>
      </c>
      <c r="H25" s="2213">
        <v>4</v>
      </c>
      <c r="I25" s="2213">
        <v>1.71</v>
      </c>
      <c r="J25" s="2213">
        <v>1.78</v>
      </c>
      <c r="K25" s="2213">
        <v>1.71</v>
      </c>
      <c r="L25" s="2214">
        <v>1.43</v>
      </c>
      <c r="N25" s="2207">
        <f t="shared" si="220"/>
        <v>1.7100000000000001E-2</v>
      </c>
      <c r="O25" s="2192">
        <f t="shared" ref="O25" si="229">J25/100</f>
        <v>1.78E-2</v>
      </c>
      <c r="P25" s="2192">
        <f t="shared" ref="P25" si="230">K25/100</f>
        <v>1.7100000000000001E-2</v>
      </c>
      <c r="Q25" s="2192">
        <f t="shared" ref="Q25" si="231">L25/100</f>
        <v>1.43E-2</v>
      </c>
      <c r="R25" s="2208"/>
      <c r="S25" s="2221"/>
      <c r="T25" s="2222"/>
      <c r="U25" s="2222"/>
      <c r="V25" s="2222"/>
      <c r="X25" s="2191">
        <f>ROUND(SUMPRODUCT(PRODUCT(1+N25:N$39)),4)</f>
        <v>1.4274</v>
      </c>
      <c r="Y25" s="2191">
        <f>ROUND(SUMPRODUCT(PRODUCT(1+O25:O$39)),4)</f>
        <v>1.2685</v>
      </c>
      <c r="Z25" s="2191">
        <f t="shared" si="0"/>
        <v>1.2685</v>
      </c>
      <c r="AA25" s="2191">
        <f>ROUND(SUMPRODUCT(PRODUCT(1+P25:P$39)),4)</f>
        <v>1.4825999999999999</v>
      </c>
      <c r="AB25" s="2191">
        <f>ROUND(SUMPRODUCT(PRODUCT(1+Q25:Q$39)),4)</f>
        <v>1.2309000000000001</v>
      </c>
      <c r="AD25" s="2192">
        <f>ROUND(AVERAGE(I25:I$40)/100,4)</f>
        <v>2.4500000000000001E-2</v>
      </c>
      <c r="AE25" s="2192">
        <f>ROUND(AVERAGE(J25:J$40)/100,4)</f>
        <v>1.6500000000000001E-2</v>
      </c>
      <c r="AF25" s="2192">
        <f t="shared" si="1"/>
        <v>1.6500000000000001E-2</v>
      </c>
      <c r="AG25" s="2192">
        <f>ROUND(AVERAGE(K25:K$40)/100,4)</f>
        <v>2.7099999999999999E-2</v>
      </c>
      <c r="AH25" s="2192">
        <f>ROUND(AVERAGE(L25:L$40)/100,4)</f>
        <v>1.3899999999999999E-2</v>
      </c>
    </row>
    <row r="26" spans="1:34" s="2211" customFormat="1" ht="14.45" customHeight="1">
      <c r="A26" s="2204" t="s">
        <v>2093</v>
      </c>
      <c r="B26" s="2205">
        <f t="shared" ref="B26:B27" si="232">B27*(1+N26)</f>
        <v>431.80730811680002</v>
      </c>
      <c r="C26" s="2205">
        <f t="shared" ref="C26:C27" si="233">C27*(1+O26)</f>
        <v>320.57880516480003</v>
      </c>
      <c r="D26" s="2205">
        <f t="shared" ref="D26:D27" si="234">C26</f>
        <v>320.57880516480003</v>
      </c>
      <c r="E26" s="2205">
        <f t="shared" ref="E26:E27" si="235">E27*(1+P26)</f>
        <v>615.96110553196797</v>
      </c>
      <c r="F26" s="2205">
        <f t="shared" ref="F26:F27" si="236">F27*(1+Q26)</f>
        <v>279.46777300108801</v>
      </c>
      <c r="G26" s="3821"/>
      <c r="H26" s="2206">
        <v>3</v>
      </c>
      <c r="I26" s="2206">
        <v>2.98</v>
      </c>
      <c r="J26" s="2206">
        <v>2.11</v>
      </c>
      <c r="K26" s="2206">
        <v>3.24</v>
      </c>
      <c r="L26" s="2212">
        <v>1.72</v>
      </c>
      <c r="M26" s="2191"/>
      <c r="N26" s="2207">
        <f t="shared" si="220"/>
        <v>2.98E-2</v>
      </c>
      <c r="O26" s="2192">
        <f t="shared" ref="O26" si="237">J26/100</f>
        <v>2.1099999999999997E-2</v>
      </c>
      <c r="P26" s="2192">
        <f t="shared" ref="P26" si="238">K26/100</f>
        <v>3.2400000000000005E-2</v>
      </c>
      <c r="Q26" s="2192">
        <f t="shared" ref="Q26" si="239">L26/100</f>
        <v>1.72E-2</v>
      </c>
      <c r="R26" s="2208"/>
      <c r="S26" s="2207"/>
      <c r="T26" s="2192"/>
      <c r="U26" s="2192"/>
      <c r="V26" s="2192"/>
      <c r="W26" s="2209"/>
      <c r="X26" s="2209">
        <f>ROUND(SUMPRODUCT(PRODUCT(1+N26:N$39)),4)</f>
        <v>1.4034</v>
      </c>
      <c r="Y26" s="2209">
        <f>ROUND(SUMPRODUCT(PRODUCT(1+O26:O$39)),4)</f>
        <v>1.2463</v>
      </c>
      <c r="Z26" s="2209">
        <f t="shared" si="0"/>
        <v>1.2463</v>
      </c>
      <c r="AA26" s="2209">
        <f>ROUND(SUMPRODUCT(PRODUCT(1+P26:P$39)),4)</f>
        <v>1.4577</v>
      </c>
      <c r="AB26" s="2209">
        <f>ROUND(SUMPRODUCT(PRODUCT(1+Q26:Q$39)),4)</f>
        <v>1.2136</v>
      </c>
      <c r="AC26" s="2209"/>
      <c r="AD26" s="2210">
        <f>ROUND(AVERAGE(I26:I$40)/100,4)</f>
        <v>2.4899999999999999E-2</v>
      </c>
      <c r="AE26" s="2210">
        <f>ROUND(AVERAGE(J26:J$40)/100,4)</f>
        <v>1.6400000000000001E-2</v>
      </c>
      <c r="AF26" s="2210">
        <f t="shared" si="1"/>
        <v>1.6400000000000001E-2</v>
      </c>
      <c r="AG26" s="2210">
        <f>ROUND(AVERAGE(K26:K$40)/100,4)</f>
        <v>2.7799999999999998E-2</v>
      </c>
      <c r="AH26" s="2210">
        <f>ROUND(AVERAGE(L26:L$40)/100,4)</f>
        <v>1.3899999999999999E-2</v>
      </c>
    </row>
    <row r="27" spans="1:34" s="2198" customFormat="1" ht="14.45" customHeight="1">
      <c r="A27" s="2204" t="s">
        <v>677</v>
      </c>
      <c r="B27" s="2205">
        <f t="shared" si="232"/>
        <v>419.31181600000002</v>
      </c>
      <c r="C27" s="2205">
        <f t="shared" si="233"/>
        <v>313.95436800000004</v>
      </c>
      <c r="D27" s="2205">
        <f t="shared" si="234"/>
        <v>313.95436800000004</v>
      </c>
      <c r="E27" s="2205">
        <f t="shared" si="235"/>
        <v>596.63028431999999</v>
      </c>
      <c r="F27" s="2205">
        <f t="shared" si="236"/>
        <v>274.74220703999998</v>
      </c>
      <c r="G27" s="3821"/>
      <c r="H27" s="2217">
        <v>2</v>
      </c>
      <c r="I27" s="2217">
        <v>3.4</v>
      </c>
      <c r="J27" s="2217">
        <v>2</v>
      </c>
      <c r="K27" s="2217">
        <v>3.82</v>
      </c>
      <c r="L27" s="2218">
        <v>1.68</v>
      </c>
      <c r="M27" s="2191"/>
      <c r="N27" s="2207">
        <f t="shared" si="220"/>
        <v>3.4000000000000002E-2</v>
      </c>
      <c r="O27" s="2192">
        <f t="shared" ref="O27" si="240">J27/100</f>
        <v>0.02</v>
      </c>
      <c r="P27" s="2192">
        <f t="shared" ref="P27" si="241">K27/100</f>
        <v>3.8199999999999998E-2</v>
      </c>
      <c r="Q27" s="2192">
        <f t="shared" ref="Q27" si="242">L27/100</f>
        <v>1.6799999999999999E-2</v>
      </c>
      <c r="R27" s="2208"/>
      <c r="S27" s="2221"/>
      <c r="T27" s="2222"/>
      <c r="U27" s="2222"/>
      <c r="V27" s="2222"/>
      <c r="W27" s="2185"/>
      <c r="X27" s="2209">
        <f>ROUND(SUMPRODUCT(PRODUCT(1+N27:N$39)),4)</f>
        <v>1.3628</v>
      </c>
      <c r="Y27" s="2209">
        <f>ROUND(SUMPRODUCT(PRODUCT(1+O27:O$39)),4)</f>
        <v>1.2205999999999999</v>
      </c>
      <c r="Z27" s="2209">
        <f t="shared" si="0"/>
        <v>1.2205999999999999</v>
      </c>
      <c r="AA27" s="2209">
        <f>ROUND(SUMPRODUCT(PRODUCT(1+P27:P$39)),4)</f>
        <v>1.4118999999999999</v>
      </c>
      <c r="AB27" s="2209">
        <f>ROUND(SUMPRODUCT(PRODUCT(1+Q27:Q$39)),4)</f>
        <v>1.1930000000000001</v>
      </c>
      <c r="AC27" s="2185"/>
      <c r="AD27" s="2210">
        <f>ROUND(AVERAGE(I27:I$40)/100,4)</f>
        <v>2.46E-2</v>
      </c>
      <c r="AE27" s="2210">
        <f>ROUND(AVERAGE(J27:J$40)/100,4)</f>
        <v>1.6E-2</v>
      </c>
      <c r="AF27" s="2210">
        <f t="shared" si="1"/>
        <v>1.6E-2</v>
      </c>
      <c r="AG27" s="2210">
        <f>ROUND(AVERAGE(K27:K$40)/100,4)</f>
        <v>2.75E-2</v>
      </c>
      <c r="AH27" s="2210">
        <f>ROUND(AVERAGE(L27:L$40)/100,4)</f>
        <v>1.37E-2</v>
      </c>
    </row>
    <row r="28" spans="1:34" s="2211" customFormat="1" ht="15" customHeight="1" thickBot="1">
      <c r="A28" s="2204" t="s">
        <v>463</v>
      </c>
      <c r="B28" s="2205">
        <f>B29*(1+N28)</f>
        <v>405.524</v>
      </c>
      <c r="C28" s="2205">
        <f>C29*(1+O28)</f>
        <v>307.79840000000002</v>
      </c>
      <c r="D28" s="2205">
        <f>C28</f>
        <v>307.79840000000002</v>
      </c>
      <c r="E28" s="2205">
        <f>E29*(1+P28)</f>
        <v>574.67759999999998</v>
      </c>
      <c r="F28" s="2205">
        <f>F29*(1+Q28)</f>
        <v>270.20280000000002</v>
      </c>
      <c r="G28" s="3830"/>
      <c r="H28" s="2206">
        <v>1</v>
      </c>
      <c r="I28" s="2206">
        <v>3.45</v>
      </c>
      <c r="J28" s="2206">
        <v>1.92</v>
      </c>
      <c r="K28" s="2206">
        <v>3.92</v>
      </c>
      <c r="L28" s="2212">
        <v>1.58</v>
      </c>
      <c r="M28" s="2191"/>
      <c r="N28" s="2207">
        <f t="shared" si="220"/>
        <v>3.4500000000000003E-2</v>
      </c>
      <c r="O28" s="2192">
        <f t="shared" ref="O28:Q43" si="243">J28/100</f>
        <v>1.9199999999999998E-2</v>
      </c>
      <c r="P28" s="2192">
        <f t="shared" si="243"/>
        <v>3.9199999999999999E-2</v>
      </c>
      <c r="Q28" s="2192">
        <f t="shared" si="243"/>
        <v>1.5800000000000002E-2</v>
      </c>
      <c r="R28" s="2208"/>
      <c r="S28" s="2207">
        <f>B28/B29-1</f>
        <v>3.4499999999999975E-2</v>
      </c>
      <c r="T28" s="2192">
        <f t="shared" ref="T28:V28" si="244">C28/C29-1</f>
        <v>1.9200000000000106E-2</v>
      </c>
      <c r="U28" s="2192">
        <f t="shared" si="244"/>
        <v>1.9200000000000106E-2</v>
      </c>
      <c r="V28" s="2192">
        <f t="shared" si="244"/>
        <v>3.9199999999999902E-2</v>
      </c>
      <c r="W28" s="2209"/>
      <c r="X28" s="2209">
        <f>ROUND(SUMPRODUCT(PRODUCT(1+N28:N$39)),4)</f>
        <v>1.3180000000000001</v>
      </c>
      <c r="Y28" s="2209">
        <f>ROUND(SUMPRODUCT(PRODUCT(1+O28:O$39)),4)</f>
        <v>1.1966000000000001</v>
      </c>
      <c r="Z28" s="2209">
        <f t="shared" si="0"/>
        <v>1.1966000000000001</v>
      </c>
      <c r="AA28" s="2209">
        <f>ROUND(SUMPRODUCT(PRODUCT(1+P28:P$39)),4)</f>
        <v>1.36</v>
      </c>
      <c r="AB28" s="2209">
        <f>ROUND(SUMPRODUCT(PRODUCT(1+Q28:Q$39)),4)</f>
        <v>1.1733</v>
      </c>
      <c r="AC28" s="2209"/>
      <c r="AD28" s="2210">
        <f>ROUND(AVERAGE(I28:I$40)/100,4)</f>
        <v>2.3900000000000001E-2</v>
      </c>
      <c r="AE28" s="2210">
        <f>ROUND(AVERAGE(J28:J$40)/100,4)</f>
        <v>1.5699999999999999E-2</v>
      </c>
      <c r="AF28" s="2210">
        <f t="shared" si="1"/>
        <v>1.5699999999999999E-2</v>
      </c>
      <c r="AG28" s="2210">
        <f>ROUND(AVERAGE(K28:K$40)/100,4)</f>
        <v>2.6599999999999999E-2</v>
      </c>
      <c r="AH28" s="2210">
        <f>ROUND(AVERAGE(L28:L$40)/100,4)</f>
        <v>1.34E-2</v>
      </c>
    </row>
    <row r="29" spans="1:34">
      <c r="A29" s="2204" t="s">
        <v>127</v>
      </c>
      <c r="B29" s="2219">
        <v>392</v>
      </c>
      <c r="C29" s="2219">
        <v>302</v>
      </c>
      <c r="D29" s="2219">
        <f>C29</f>
        <v>302</v>
      </c>
      <c r="E29" s="2219">
        <v>553</v>
      </c>
      <c r="F29" s="2220">
        <v>266</v>
      </c>
      <c r="G29" s="3826">
        <v>2016</v>
      </c>
      <c r="H29" s="2213">
        <v>4</v>
      </c>
      <c r="I29" s="2213">
        <v>4.5599999999999996</v>
      </c>
      <c r="J29" s="2213">
        <v>2.15</v>
      </c>
      <c r="K29" s="2213">
        <v>5.32</v>
      </c>
      <c r="L29" s="2214">
        <v>1.57</v>
      </c>
      <c r="N29" s="2207">
        <f t="shared" si="220"/>
        <v>4.5599999999999995E-2</v>
      </c>
      <c r="O29" s="2192">
        <f t="shared" si="243"/>
        <v>2.1499999999999998E-2</v>
      </c>
      <c r="P29" s="2192">
        <f t="shared" si="243"/>
        <v>5.3200000000000004E-2</v>
      </c>
      <c r="Q29" s="2192">
        <f t="shared" si="243"/>
        <v>1.5700000000000002E-2</v>
      </c>
      <c r="R29" s="2208"/>
      <c r="S29" s="2221"/>
      <c r="T29" s="2222"/>
      <c r="U29" s="2222"/>
      <c r="V29" s="2222"/>
      <c r="X29" s="2191">
        <f>ROUND(SUMPRODUCT(PRODUCT(1+N29:N$39)),4)</f>
        <v>1.274</v>
      </c>
      <c r="Y29" s="2191">
        <f>ROUND(SUMPRODUCT(PRODUCT(1+O29:O$39)),4)</f>
        <v>1.1740999999999999</v>
      </c>
      <c r="Z29" s="2191">
        <f t="shared" si="0"/>
        <v>1.1740999999999999</v>
      </c>
      <c r="AA29" s="2191">
        <f>ROUND(SUMPRODUCT(PRODUCT(1+P29:P$39)),4)</f>
        <v>1.3087</v>
      </c>
      <c r="AB29" s="2191">
        <f>ROUND(SUMPRODUCT(PRODUCT(1+Q29:Q$39)),4)</f>
        <v>1.1551</v>
      </c>
      <c r="AD29" s="2192">
        <f>ROUND(AVERAGE(I29:I$40)/100,4)</f>
        <v>2.3E-2</v>
      </c>
      <c r="AE29" s="2192">
        <f>ROUND(AVERAGE(J29:J$40)/100,4)</f>
        <v>1.55E-2</v>
      </c>
      <c r="AF29" s="2192">
        <f t="shared" si="1"/>
        <v>1.55E-2</v>
      </c>
      <c r="AG29" s="2192">
        <f>ROUND(AVERAGE(K29:K$40)/100,4)</f>
        <v>2.5600000000000001E-2</v>
      </c>
      <c r="AH29" s="2192">
        <f>ROUND(AVERAGE(L29:L$40)/100,4)</f>
        <v>1.32E-2</v>
      </c>
    </row>
    <row r="30" spans="1:34">
      <c r="A30" s="2204" t="s">
        <v>126</v>
      </c>
      <c r="B30" s="2205">
        <f t="shared" ref="B30:C32" si="245">B29/(1+N29)</f>
        <v>374.90436113236416</v>
      </c>
      <c r="C30" s="2205">
        <f t="shared" si="245"/>
        <v>295.64366128242779</v>
      </c>
      <c r="D30" s="2205">
        <f t="shared" ref="D30:D89" si="246">C30</f>
        <v>295.64366128242779</v>
      </c>
      <c r="E30" s="2205">
        <f t="shared" ref="E30:F32" si="247">E29/(1+P29)</f>
        <v>525.06646410938095</v>
      </c>
      <c r="F30" s="2205">
        <f t="shared" si="247"/>
        <v>261.88835286009646</v>
      </c>
      <c r="G30" s="3821"/>
      <c r="H30" s="2206">
        <v>3</v>
      </c>
      <c r="I30" s="2206">
        <v>4.12</v>
      </c>
      <c r="J30" s="2206">
        <v>2</v>
      </c>
      <c r="K30" s="2206">
        <v>4.79</v>
      </c>
      <c r="L30" s="2212">
        <v>1.97</v>
      </c>
      <c r="N30" s="2207">
        <f t="shared" ref="N30:Q64" si="248">I30/100</f>
        <v>4.1200000000000001E-2</v>
      </c>
      <c r="O30" s="2192">
        <f t="shared" si="243"/>
        <v>0.02</v>
      </c>
      <c r="P30" s="2192">
        <f t="shared" si="243"/>
        <v>4.7899999999999998E-2</v>
      </c>
      <c r="Q30" s="2192">
        <f t="shared" si="243"/>
        <v>1.9699999999999999E-2</v>
      </c>
      <c r="R30" s="2208"/>
      <c r="S30" s="2207"/>
      <c r="T30" s="2192"/>
      <c r="U30" s="2192"/>
      <c r="V30" s="2192"/>
      <c r="X30" s="2191">
        <f>ROUND(SUMPRODUCT(PRODUCT(1+N30:N$39)),4)</f>
        <v>1.2184999999999999</v>
      </c>
      <c r="Y30" s="2191">
        <f>ROUND(SUMPRODUCT(PRODUCT(1+O30:O$39)),4)</f>
        <v>1.1494</v>
      </c>
      <c r="Z30" s="2191">
        <f t="shared" si="0"/>
        <v>1.1494</v>
      </c>
      <c r="AA30" s="2191">
        <f>ROUND(SUMPRODUCT(PRODUCT(1+P30:P$39)),4)</f>
        <v>1.2425999999999999</v>
      </c>
      <c r="AB30" s="2191">
        <f>ROUND(SUMPRODUCT(PRODUCT(1+Q30:Q$39)),4)</f>
        <v>1.1372</v>
      </c>
      <c r="AD30" s="2192">
        <f>ROUND(AVERAGE(I30:I$40)/100,4)</f>
        <v>2.0899999999999998E-2</v>
      </c>
      <c r="AE30" s="2192">
        <f>ROUND(AVERAGE(J30:J$40)/100,4)</f>
        <v>1.49E-2</v>
      </c>
      <c r="AF30" s="2192">
        <f t="shared" si="1"/>
        <v>1.49E-2</v>
      </c>
      <c r="AG30" s="2192">
        <f>ROUND(AVERAGE(K30:K$40)/100,4)</f>
        <v>2.3099999999999999E-2</v>
      </c>
      <c r="AH30" s="2192">
        <f>ROUND(AVERAGE(L30:L$40)/100,4)</f>
        <v>1.2999999999999999E-2</v>
      </c>
    </row>
    <row r="31" spans="1:34">
      <c r="A31" s="2204" t="s">
        <v>116</v>
      </c>
      <c r="B31" s="2205">
        <f t="shared" si="245"/>
        <v>360.06949782209392</v>
      </c>
      <c r="C31" s="2205">
        <f t="shared" si="245"/>
        <v>289.84672674747821</v>
      </c>
      <c r="D31" s="2205">
        <f t="shared" si="246"/>
        <v>289.84672674747821</v>
      </c>
      <c r="E31" s="2205">
        <f t="shared" si="247"/>
        <v>501.06543001181495</v>
      </c>
      <c r="F31" s="2205">
        <f t="shared" si="247"/>
        <v>256.82882500744967</v>
      </c>
      <c r="G31" s="3821"/>
      <c r="H31" s="2217">
        <v>2</v>
      </c>
      <c r="I31" s="2217">
        <v>3.85</v>
      </c>
      <c r="J31" s="2217">
        <v>1.95</v>
      </c>
      <c r="K31" s="2217">
        <v>4.4800000000000004</v>
      </c>
      <c r="L31" s="2218">
        <v>1.41</v>
      </c>
      <c r="N31" s="2207">
        <f t="shared" si="248"/>
        <v>3.85E-2</v>
      </c>
      <c r="O31" s="2192">
        <f t="shared" si="243"/>
        <v>1.95E-2</v>
      </c>
      <c r="P31" s="2192">
        <f t="shared" si="243"/>
        <v>4.4800000000000006E-2</v>
      </c>
      <c r="Q31" s="2192">
        <f t="shared" si="243"/>
        <v>1.41E-2</v>
      </c>
      <c r="R31" s="2208"/>
      <c r="S31" s="2207"/>
      <c r="T31" s="2192"/>
      <c r="U31" s="2192"/>
      <c r="V31" s="2192"/>
      <c r="X31" s="2191">
        <f>ROUND(SUMPRODUCT(PRODUCT(1+N31:N$39)),4)</f>
        <v>1.1702999999999999</v>
      </c>
      <c r="Y31" s="2191">
        <f>ROUND(SUMPRODUCT(PRODUCT(1+O31:O$39)),4)</f>
        <v>1.1269</v>
      </c>
      <c r="Z31" s="2191">
        <f t="shared" si="0"/>
        <v>1.1269</v>
      </c>
      <c r="AA31" s="2191">
        <f>ROUND(SUMPRODUCT(PRODUCT(1+P31:P$39)),4)</f>
        <v>1.1858</v>
      </c>
      <c r="AB31" s="2191">
        <f>ROUND(SUMPRODUCT(PRODUCT(1+Q31:Q$39)),4)</f>
        <v>1.1152</v>
      </c>
      <c r="AD31" s="2192">
        <f>ROUND(AVERAGE(I31:I$40)/100,4)</f>
        <v>1.89E-2</v>
      </c>
      <c r="AE31" s="2192">
        <f>ROUND(AVERAGE(J31:J$40)/100,4)</f>
        <v>1.44E-2</v>
      </c>
      <c r="AF31" s="2192">
        <f t="shared" si="1"/>
        <v>1.44E-2</v>
      </c>
      <c r="AG31" s="2192">
        <f>ROUND(AVERAGE(K31:K$40)/100,4)</f>
        <v>2.06E-2</v>
      </c>
      <c r="AH31" s="2192">
        <f>ROUND(AVERAGE(L31:L$40)/100,4)</f>
        <v>1.23E-2</v>
      </c>
    </row>
    <row r="32" spans="1:34" ht="13.5" thickBot="1">
      <c r="A32" s="2204" t="s">
        <v>125</v>
      </c>
      <c r="B32" s="2205">
        <f t="shared" si="245"/>
        <v>346.720748986128</v>
      </c>
      <c r="C32" s="2205">
        <f t="shared" si="245"/>
        <v>284.30282172386285</v>
      </c>
      <c r="D32" s="2205">
        <f t="shared" si="246"/>
        <v>284.30282172386285</v>
      </c>
      <c r="E32" s="2205">
        <f t="shared" si="247"/>
        <v>479.58023546306947</v>
      </c>
      <c r="F32" s="2205">
        <f t="shared" si="247"/>
        <v>253.25788877571213</v>
      </c>
      <c r="G32" s="3822"/>
      <c r="H32" s="2206">
        <v>1</v>
      </c>
      <c r="I32" s="2206">
        <v>4.09</v>
      </c>
      <c r="J32" s="2206">
        <v>2.93</v>
      </c>
      <c r="K32" s="2206">
        <v>4.54</v>
      </c>
      <c r="L32" s="2212">
        <v>1.48</v>
      </c>
      <c r="N32" s="2207">
        <f t="shared" si="248"/>
        <v>4.0899999999999999E-2</v>
      </c>
      <c r="O32" s="2192">
        <f t="shared" si="243"/>
        <v>2.9300000000000003E-2</v>
      </c>
      <c r="P32" s="2192">
        <f t="shared" si="243"/>
        <v>4.5400000000000003E-2</v>
      </c>
      <c r="Q32" s="2192">
        <f t="shared" si="243"/>
        <v>1.4800000000000001E-2</v>
      </c>
      <c r="R32" s="2208"/>
      <c r="S32" s="2223">
        <f>B32/B33-1</f>
        <v>4.1203450408792808E-2</v>
      </c>
      <c r="T32" s="2224">
        <f>C32/C33-1</f>
        <v>2.6363977342465095E-2</v>
      </c>
      <c r="U32" s="2224">
        <f>E32/E33-1</f>
        <v>4.4837114298626357E-2</v>
      </c>
      <c r="V32" s="2224">
        <f>F32/F33-1</f>
        <v>1.7099954922538574E-2</v>
      </c>
      <c r="X32" s="2191">
        <f>ROUND(SUMPRODUCT(PRODUCT(1+N32:N$39)),4)</f>
        <v>1.1269</v>
      </c>
      <c r="Y32" s="2191">
        <f>ROUND(SUMPRODUCT(PRODUCT(1+O32:O$39)),4)</f>
        <v>1.1052999999999999</v>
      </c>
      <c r="Z32" s="2191">
        <f t="shared" si="0"/>
        <v>1.1052999999999999</v>
      </c>
      <c r="AA32" s="2191">
        <f>ROUND(SUMPRODUCT(PRODUCT(1+P32:P$39)),4)</f>
        <v>1.1349</v>
      </c>
      <c r="AB32" s="2191">
        <f>ROUND(SUMPRODUCT(PRODUCT(1+Q32:Q$39)),4)</f>
        <v>1.0996999999999999</v>
      </c>
      <c r="AD32" s="2192">
        <f>ROUND(AVERAGE(I32:I$40)/100,4)</f>
        <v>1.67E-2</v>
      </c>
      <c r="AE32" s="2192">
        <f>ROUND(AVERAGE(J32:J$40)/100,4)</f>
        <v>1.38E-2</v>
      </c>
      <c r="AF32" s="2192">
        <f t="shared" si="1"/>
        <v>1.38E-2</v>
      </c>
      <c r="AG32" s="2192">
        <f>ROUND(AVERAGE(K32:K$40)/100,4)</f>
        <v>1.7899999999999999E-2</v>
      </c>
      <c r="AH32" s="2192">
        <f>ROUND(AVERAGE(L32:L$40)/100,4)</f>
        <v>1.21E-2</v>
      </c>
    </row>
    <row r="33" spans="1:34" ht="13.5" thickBot="1">
      <c r="A33" s="2204" t="s">
        <v>124</v>
      </c>
      <c r="B33" s="2219">
        <v>333</v>
      </c>
      <c r="C33" s="2219">
        <v>277</v>
      </c>
      <c r="D33" s="2219">
        <f t="shared" si="246"/>
        <v>277</v>
      </c>
      <c r="E33" s="2219">
        <v>459</v>
      </c>
      <c r="F33" s="2220">
        <v>249</v>
      </c>
      <c r="G33" s="3820">
        <v>2015</v>
      </c>
      <c r="H33" s="2225">
        <v>4</v>
      </c>
      <c r="I33" s="2225">
        <v>1.63</v>
      </c>
      <c r="J33" s="2225">
        <v>1.1100000000000001</v>
      </c>
      <c r="K33" s="2225">
        <v>1.77</v>
      </c>
      <c r="L33" s="2226">
        <v>1.89</v>
      </c>
      <c r="N33" s="2227">
        <f t="shared" si="248"/>
        <v>1.6299999999999999E-2</v>
      </c>
      <c r="O33" s="2228">
        <f t="shared" si="243"/>
        <v>1.11E-2</v>
      </c>
      <c r="P33" s="2228">
        <f t="shared" si="243"/>
        <v>1.77E-2</v>
      </c>
      <c r="Q33" s="2228">
        <f t="shared" si="243"/>
        <v>1.89E-2</v>
      </c>
      <c r="R33" s="2208"/>
      <c r="X33" s="2191">
        <f>ROUND(SUMPRODUCT(PRODUCT(1+N33:N$39)),4)</f>
        <v>1.0826</v>
      </c>
      <c r="Y33" s="2191">
        <f>ROUND(SUMPRODUCT(PRODUCT(1+O33:O$39)),4)</f>
        <v>1.0738000000000001</v>
      </c>
      <c r="Z33" s="2191">
        <f t="shared" si="0"/>
        <v>1.0738000000000001</v>
      </c>
      <c r="AA33" s="2191">
        <f>ROUND(SUMPRODUCT(PRODUCT(1+P33:P$39)),4)</f>
        <v>1.0855999999999999</v>
      </c>
      <c r="AB33" s="2191">
        <f>ROUND(SUMPRODUCT(PRODUCT(1+Q33:Q$39)),4)</f>
        <v>1.0837000000000001</v>
      </c>
      <c r="AD33" s="2192">
        <f>ROUND(AVERAGE(I33:I$40)/100,4)</f>
        <v>1.37E-2</v>
      </c>
      <c r="AE33" s="2192">
        <f>ROUND(AVERAGE(J33:J$40)/100,4)</f>
        <v>1.1900000000000001E-2</v>
      </c>
      <c r="AF33" s="2192">
        <f t="shared" si="1"/>
        <v>1.1900000000000001E-2</v>
      </c>
      <c r="AG33" s="2192">
        <f>ROUND(AVERAGE(K33:K$40)/100,4)</f>
        <v>1.4500000000000001E-2</v>
      </c>
      <c r="AH33" s="2192">
        <f>ROUND(AVERAGE(L33:L$40)/100,4)</f>
        <v>1.18E-2</v>
      </c>
    </row>
    <row r="34" spans="1:34">
      <c r="A34" s="2204" t="s">
        <v>123</v>
      </c>
      <c r="B34" s="2205">
        <f t="shared" ref="B34:C36" si="249">B33/(1+N33)</f>
        <v>327.65915576109415</v>
      </c>
      <c r="C34" s="2205">
        <f t="shared" si="249"/>
        <v>273.95905449510434</v>
      </c>
      <c r="D34" s="2205">
        <f t="shared" si="246"/>
        <v>273.95905449510434</v>
      </c>
      <c r="E34" s="2205">
        <f t="shared" ref="E34:F36" si="250">E33/(1+P33)</f>
        <v>451.01699911565294</v>
      </c>
      <c r="F34" s="2205">
        <f t="shared" si="250"/>
        <v>244.38119540681129</v>
      </c>
      <c r="G34" s="3821"/>
      <c r="H34" s="2230">
        <v>3</v>
      </c>
      <c r="I34" s="2230">
        <v>1.65</v>
      </c>
      <c r="J34" s="2230">
        <v>0.92</v>
      </c>
      <c r="K34" s="2230">
        <v>1.88</v>
      </c>
      <c r="L34" s="2231">
        <v>1.26</v>
      </c>
      <c r="N34" s="2207">
        <f t="shared" si="248"/>
        <v>1.6500000000000001E-2</v>
      </c>
      <c r="O34" s="2232">
        <f t="shared" si="243"/>
        <v>9.1999999999999998E-3</v>
      </c>
      <c r="P34" s="2232">
        <f t="shared" si="243"/>
        <v>1.8799999999999997E-2</v>
      </c>
      <c r="Q34" s="2232">
        <f t="shared" si="243"/>
        <v>1.26E-2</v>
      </c>
      <c r="R34" s="2208"/>
      <c r="S34" s="2207"/>
      <c r="T34" s="2192"/>
      <c r="U34" s="2192"/>
      <c r="V34" s="2192"/>
      <c r="X34" s="2191">
        <f>ROUND(SUMPRODUCT(PRODUCT(1+N34:N$39)),4)</f>
        <v>1.0651999999999999</v>
      </c>
      <c r="Y34" s="2191">
        <f>ROUND(SUMPRODUCT(PRODUCT(1+O34:O$39)),4)</f>
        <v>1.0621</v>
      </c>
      <c r="Z34" s="2191">
        <f t="shared" si="0"/>
        <v>1.0621</v>
      </c>
      <c r="AA34" s="2191">
        <f>ROUND(SUMPRODUCT(PRODUCT(1+P34:P$39)),4)</f>
        <v>1.0668</v>
      </c>
      <c r="AB34" s="2191">
        <f>ROUND(SUMPRODUCT(PRODUCT(1+Q34:Q$39)),4)</f>
        <v>1.0636000000000001</v>
      </c>
      <c r="AD34" s="2192">
        <f>ROUND(AVERAGE(I34:I$40)/100,4)</f>
        <v>1.3299999999999999E-2</v>
      </c>
      <c r="AE34" s="2192">
        <f>ROUND(AVERAGE(J34:J$40)/100,4)</f>
        <v>1.2E-2</v>
      </c>
      <c r="AF34" s="2192">
        <f t="shared" si="1"/>
        <v>1.2E-2</v>
      </c>
      <c r="AG34" s="2192">
        <f>ROUND(AVERAGE(K34:K$40)/100,4)</f>
        <v>1.4E-2</v>
      </c>
      <c r="AH34" s="2192">
        <f>ROUND(AVERAGE(L34:L$40)/100,4)</f>
        <v>1.0800000000000001E-2</v>
      </c>
    </row>
    <row r="35" spans="1:34">
      <c r="A35" s="2204" t="s">
        <v>122</v>
      </c>
      <c r="B35" s="2205">
        <f t="shared" si="249"/>
        <v>322.34053690220776</v>
      </c>
      <c r="C35" s="2205">
        <f t="shared" si="249"/>
        <v>271.46160770422546</v>
      </c>
      <c r="D35" s="2205">
        <f t="shared" si="246"/>
        <v>271.46160770422546</v>
      </c>
      <c r="E35" s="2205">
        <f t="shared" si="250"/>
        <v>442.69434542172456</v>
      </c>
      <c r="F35" s="2205">
        <f t="shared" si="250"/>
        <v>241.34030753190925</v>
      </c>
      <c r="G35" s="3821"/>
      <c r="H35" s="2217">
        <v>2</v>
      </c>
      <c r="I35" s="2217">
        <v>0.77</v>
      </c>
      <c r="J35" s="2217">
        <v>0.69</v>
      </c>
      <c r="K35" s="2217">
        <v>0.8</v>
      </c>
      <c r="L35" s="2218">
        <v>0.88</v>
      </c>
      <c r="N35" s="2207">
        <f t="shared" si="248"/>
        <v>7.7000000000000002E-3</v>
      </c>
      <c r="O35" s="2232">
        <f t="shared" si="243"/>
        <v>6.8999999999999999E-3</v>
      </c>
      <c r="P35" s="2232">
        <f t="shared" si="243"/>
        <v>8.0000000000000002E-3</v>
      </c>
      <c r="Q35" s="2232">
        <f t="shared" si="243"/>
        <v>8.8000000000000005E-3</v>
      </c>
      <c r="R35" s="2208"/>
      <c r="S35" s="2207"/>
      <c r="T35" s="2192"/>
      <c r="U35" s="2192"/>
      <c r="V35" s="2192"/>
      <c r="X35" s="2191">
        <f>ROUND(SUMPRODUCT(PRODUCT(1+N35:N$39)),4)</f>
        <v>1.048</v>
      </c>
      <c r="Y35" s="2191">
        <f>ROUND(SUMPRODUCT(PRODUCT(1+O35:O$39)),4)</f>
        <v>1.0524</v>
      </c>
      <c r="Z35" s="2191">
        <f t="shared" si="0"/>
        <v>1.0524</v>
      </c>
      <c r="AA35" s="2191">
        <f>ROUND(SUMPRODUCT(PRODUCT(1+P35:P$39)),4)</f>
        <v>1.0470999999999999</v>
      </c>
      <c r="AB35" s="2191">
        <f>ROUND(SUMPRODUCT(PRODUCT(1+Q35:Q$39)),4)</f>
        <v>1.0504</v>
      </c>
      <c r="AD35" s="2192">
        <f>ROUND(AVERAGE(I35:I$40)/100,4)</f>
        <v>1.2800000000000001E-2</v>
      </c>
      <c r="AE35" s="2192">
        <f>ROUND(AVERAGE(J35:J$40)/100,4)</f>
        <v>1.2500000000000001E-2</v>
      </c>
      <c r="AF35" s="2192">
        <f t="shared" si="1"/>
        <v>1.2500000000000001E-2</v>
      </c>
      <c r="AG35" s="2192">
        <f>ROUND(AVERAGE(K35:K$40)/100,4)</f>
        <v>1.32E-2</v>
      </c>
      <c r="AH35" s="2192">
        <f>ROUND(AVERAGE(L35:L$40)/100,4)</f>
        <v>1.0500000000000001E-2</v>
      </c>
    </row>
    <row r="36" spans="1:34">
      <c r="A36" s="2204" t="s">
        <v>121</v>
      </c>
      <c r="B36" s="2205">
        <f t="shared" si="249"/>
        <v>319.87748030386797</v>
      </c>
      <c r="C36" s="2205">
        <f t="shared" si="249"/>
        <v>269.60135833173649</v>
      </c>
      <c r="D36" s="2205">
        <f t="shared" si="246"/>
        <v>269.60135833173649</v>
      </c>
      <c r="E36" s="2205">
        <f t="shared" si="250"/>
        <v>439.18089823583784</v>
      </c>
      <c r="F36" s="2205">
        <f t="shared" si="250"/>
        <v>239.23503918706311</v>
      </c>
      <c r="G36" s="3822"/>
      <c r="H36" s="2206">
        <v>1</v>
      </c>
      <c r="I36" s="2206">
        <v>0.51</v>
      </c>
      <c r="J36" s="2206">
        <v>0.54</v>
      </c>
      <c r="K36" s="2206">
        <v>0.48</v>
      </c>
      <c r="L36" s="2212">
        <v>0.93</v>
      </c>
      <c r="N36" s="2223">
        <f t="shared" si="248"/>
        <v>5.1000000000000004E-3</v>
      </c>
      <c r="O36" s="2224">
        <f t="shared" si="243"/>
        <v>5.4000000000000003E-3</v>
      </c>
      <c r="P36" s="2224">
        <f t="shared" si="243"/>
        <v>4.7999999999999996E-3</v>
      </c>
      <c r="Q36" s="2224">
        <f t="shared" si="243"/>
        <v>9.300000000000001E-3</v>
      </c>
      <c r="R36" s="2208"/>
      <c r="S36" s="2223">
        <f>B36/B37-1</f>
        <v>5.9040261127922822E-3</v>
      </c>
      <c r="T36" s="2224">
        <f>C36/C37-1</f>
        <v>5.9752176557332781E-3</v>
      </c>
      <c r="U36" s="2224">
        <f>E36/E37-1</f>
        <v>4.9906138119859556E-3</v>
      </c>
      <c r="V36" s="2224">
        <f>F36/F37-1</f>
        <v>9.4305450930933787E-3</v>
      </c>
      <c r="X36" s="2191">
        <f>ROUND(SUMPRODUCT(PRODUCT(1+N36:N$39)),4)</f>
        <v>1.0399</v>
      </c>
      <c r="Y36" s="2191">
        <f>ROUND(SUMPRODUCT(PRODUCT(1+O36:O$39)),4)</f>
        <v>1.0451999999999999</v>
      </c>
      <c r="Z36" s="2191">
        <f t="shared" si="0"/>
        <v>1.0451999999999999</v>
      </c>
      <c r="AA36" s="2191">
        <f>ROUND(SUMPRODUCT(PRODUCT(1+P36:P$39)),4)</f>
        <v>1.0387999999999999</v>
      </c>
      <c r="AB36" s="2191">
        <f>ROUND(SUMPRODUCT(PRODUCT(1+Q36:Q$39)),4)</f>
        <v>1.0411999999999999</v>
      </c>
      <c r="AD36" s="2192">
        <f>ROUND(AVERAGE(I36:I$40)/100,4)</f>
        <v>1.38E-2</v>
      </c>
      <c r="AE36" s="2192">
        <f>ROUND(AVERAGE(J36:J$40)/100,4)</f>
        <v>1.3599999999999999E-2</v>
      </c>
      <c r="AF36" s="2192">
        <f t="shared" si="1"/>
        <v>1.3599999999999999E-2</v>
      </c>
      <c r="AG36" s="2192">
        <f>ROUND(AVERAGE(K36:K$40)/100,4)</f>
        <v>1.4200000000000001E-2</v>
      </c>
      <c r="AH36" s="2192">
        <f>ROUND(AVERAGE(L36:L$40)/100,4)</f>
        <v>1.0800000000000001E-2</v>
      </c>
    </row>
    <row r="37" spans="1:34" ht="13.5" thickBot="1">
      <c r="A37" s="2204" t="s">
        <v>120</v>
      </c>
      <c r="B37" s="2233">
        <v>318</v>
      </c>
      <c r="C37" s="2233">
        <v>268</v>
      </c>
      <c r="D37" s="2233">
        <f t="shared" si="246"/>
        <v>268</v>
      </c>
      <c r="E37" s="2233">
        <v>437</v>
      </c>
      <c r="F37" s="2234">
        <v>237</v>
      </c>
      <c r="G37" s="3820">
        <v>2014</v>
      </c>
      <c r="H37" s="2225">
        <v>4</v>
      </c>
      <c r="I37" s="2225">
        <v>0.21</v>
      </c>
      <c r="J37" s="2225">
        <v>0.41</v>
      </c>
      <c r="K37" s="2225">
        <v>0.12</v>
      </c>
      <c r="L37" s="2226">
        <v>0.89</v>
      </c>
      <c r="N37" s="2207">
        <f t="shared" si="248"/>
        <v>2.0999999999999999E-3</v>
      </c>
      <c r="O37" s="2192">
        <f t="shared" si="243"/>
        <v>4.0999999999999995E-3</v>
      </c>
      <c r="P37" s="2192">
        <f t="shared" si="243"/>
        <v>1.1999999999999999E-3</v>
      </c>
      <c r="Q37" s="2192">
        <f t="shared" si="243"/>
        <v>8.8999999999999999E-3</v>
      </c>
      <c r="R37" s="2208"/>
      <c r="S37" s="2221"/>
      <c r="T37" s="2222"/>
      <c r="U37" s="2222"/>
      <c r="V37" s="2222"/>
      <c r="X37" s="2191">
        <f>ROUND(SUMPRODUCT(PRODUCT(1+N37:N$39)),4)</f>
        <v>1.0347</v>
      </c>
      <c r="Y37" s="2191">
        <f>ROUND(SUMPRODUCT(PRODUCT(1+O37:O$39)),4)</f>
        <v>1.0395000000000001</v>
      </c>
      <c r="Z37" s="2191">
        <f t="shared" si="0"/>
        <v>1.0395000000000001</v>
      </c>
      <c r="AA37" s="2191">
        <f>ROUND(SUMPRODUCT(PRODUCT(1+P37:P$39)),4)</f>
        <v>1.0338000000000001</v>
      </c>
      <c r="AB37" s="2191">
        <f>ROUND(SUMPRODUCT(PRODUCT(1+Q37:Q$39)),4)</f>
        <v>1.0316000000000001</v>
      </c>
      <c r="AD37" s="2192">
        <f>ROUND(AVERAGE(I37:I$40)/100,4)</f>
        <v>1.6E-2</v>
      </c>
      <c r="AE37" s="2192">
        <f>ROUND(AVERAGE(J37:J$40)/100,4)</f>
        <v>1.5599999999999999E-2</v>
      </c>
      <c r="AF37" s="2192">
        <f t="shared" si="1"/>
        <v>1.5599999999999999E-2</v>
      </c>
      <c r="AG37" s="2192">
        <f>ROUND(AVERAGE(K37:K$40)/100,4)</f>
        <v>1.66E-2</v>
      </c>
      <c r="AH37" s="2192">
        <f>ROUND(AVERAGE(L37:L$40)/100,4)</f>
        <v>1.12E-2</v>
      </c>
    </row>
    <row r="38" spans="1:34">
      <c r="A38" s="2204" t="s">
        <v>119</v>
      </c>
      <c r="B38" s="2205">
        <f t="shared" ref="B38:C40" si="251">B37/(1+N37)</f>
        <v>317.33359944117353</v>
      </c>
      <c r="C38" s="2205">
        <f t="shared" si="251"/>
        <v>266.90568668459315</v>
      </c>
      <c r="D38" s="2205">
        <f t="shared" si="246"/>
        <v>266.90568668459315</v>
      </c>
      <c r="E38" s="2205">
        <f t="shared" ref="E38:F40" si="252">E37/(1+P37)</f>
        <v>436.47622852576905</v>
      </c>
      <c r="F38" s="2205">
        <f t="shared" si="252"/>
        <v>234.90930716622066</v>
      </c>
      <c r="G38" s="3821"/>
      <c r="H38" s="2235">
        <v>3</v>
      </c>
      <c r="I38" s="2235">
        <v>0.83</v>
      </c>
      <c r="J38" s="2235">
        <v>1.47</v>
      </c>
      <c r="K38" s="2235">
        <v>0.65</v>
      </c>
      <c r="L38" s="2236">
        <v>0.72</v>
      </c>
      <c r="N38" s="2207">
        <f t="shared" si="248"/>
        <v>8.3000000000000001E-3</v>
      </c>
      <c r="O38" s="2192">
        <f t="shared" si="243"/>
        <v>1.47E-2</v>
      </c>
      <c r="P38" s="2192">
        <f t="shared" si="243"/>
        <v>6.5000000000000006E-3</v>
      </c>
      <c r="Q38" s="2192">
        <f t="shared" si="243"/>
        <v>7.1999999999999998E-3</v>
      </c>
      <c r="R38" s="2208"/>
      <c r="S38" s="2207"/>
      <c r="T38" s="2192"/>
      <c r="U38" s="2192"/>
      <c r="V38" s="2192"/>
      <c r="X38" s="2191">
        <f>ROUND(SUMPRODUCT(PRODUCT(1+N38:N$39)),4)</f>
        <v>1.0325</v>
      </c>
      <c r="Y38" s="2191">
        <f>ROUND(SUMPRODUCT(PRODUCT(1+O38:O$39)),4)</f>
        <v>1.0353000000000001</v>
      </c>
      <c r="Z38" s="2191">
        <f t="shared" ref="Z38:Z39" si="253">Y38</f>
        <v>1.0353000000000001</v>
      </c>
      <c r="AA38" s="2191">
        <f>ROUND(SUMPRODUCT(PRODUCT(1+P38:P$39)),4)</f>
        <v>1.0326</v>
      </c>
      <c r="AB38" s="2191">
        <f>ROUND(SUMPRODUCT(PRODUCT(1+Q38:Q$39)),4)</f>
        <v>1.0225</v>
      </c>
      <c r="AD38" s="2192">
        <f>ROUND(AVERAGE(I38:I$40)/100,4)</f>
        <v>2.07E-2</v>
      </c>
      <c r="AE38" s="2192">
        <f>ROUND(AVERAGE(J38:J$40)/100,4)</f>
        <v>1.95E-2</v>
      </c>
      <c r="AF38" s="2192">
        <f t="shared" si="1"/>
        <v>1.95E-2</v>
      </c>
      <c r="AG38" s="2192">
        <f>ROUND(AVERAGE(K38:K$40)/100,4)</f>
        <v>2.1700000000000001E-2</v>
      </c>
      <c r="AH38" s="2192">
        <f>ROUND(AVERAGE(L38:L$40)/100,4)</f>
        <v>1.2E-2</v>
      </c>
    </row>
    <row r="39" spans="1:34" ht="13.5" thickBot="1">
      <c r="A39" s="2204" t="s">
        <v>118</v>
      </c>
      <c r="B39" s="2205">
        <f t="shared" si="251"/>
        <v>314.72141172386546</v>
      </c>
      <c r="C39" s="2205">
        <f t="shared" si="251"/>
        <v>263.03901319069001</v>
      </c>
      <c r="D39" s="2205">
        <f t="shared" si="246"/>
        <v>263.03901319069001</v>
      </c>
      <c r="E39" s="2205">
        <f t="shared" si="252"/>
        <v>433.65745506782821</v>
      </c>
      <c r="F39" s="2205">
        <f t="shared" si="252"/>
        <v>233.23005080045735</v>
      </c>
      <c r="G39" s="3821"/>
      <c r="H39" s="2225">
        <v>2</v>
      </c>
      <c r="I39" s="2225">
        <v>2.4</v>
      </c>
      <c r="J39" s="2225">
        <v>2.0299999999999998</v>
      </c>
      <c r="K39" s="2225">
        <v>2.59</v>
      </c>
      <c r="L39" s="2226">
        <v>1.52</v>
      </c>
      <c r="N39" s="2207">
        <f t="shared" si="248"/>
        <v>2.4E-2</v>
      </c>
      <c r="O39" s="2192">
        <f t="shared" si="243"/>
        <v>2.0299999999999999E-2</v>
      </c>
      <c r="P39" s="2192">
        <f t="shared" si="243"/>
        <v>2.5899999999999999E-2</v>
      </c>
      <c r="Q39" s="2192">
        <f t="shared" si="243"/>
        <v>1.52E-2</v>
      </c>
      <c r="R39" s="2208"/>
      <c r="S39" s="2207"/>
      <c r="T39" s="2192"/>
      <c r="U39" s="2192"/>
      <c r="V39" s="2192"/>
      <c r="X39" s="2191">
        <f>1+N39</f>
        <v>1.024</v>
      </c>
      <c r="Y39" s="2191">
        <f>1+O39</f>
        <v>1.0203</v>
      </c>
      <c r="Z39" s="2191">
        <f t="shared" si="253"/>
        <v>1.0203</v>
      </c>
      <c r="AA39" s="2191">
        <f>1+P39</f>
        <v>1.0259</v>
      </c>
      <c r="AB39" s="2191">
        <f>1+Q39</f>
        <v>1.0152000000000001</v>
      </c>
      <c r="AD39" s="2192">
        <f>ROUND(AVERAGE(I39:I$40)/100,4)</f>
        <v>2.69E-2</v>
      </c>
      <c r="AE39" s="2192">
        <f>ROUND(AVERAGE(J39:J$40)/100,4)</f>
        <v>2.1899999999999999E-2</v>
      </c>
      <c r="AF39" s="2192">
        <f t="shared" ref="AF39" si="254">AE39</f>
        <v>2.1899999999999999E-2</v>
      </c>
      <c r="AG39" s="2192">
        <f>ROUND(AVERAGE(K39:K$40)/100,4)</f>
        <v>2.9399999999999999E-2</v>
      </c>
      <c r="AH39" s="2192">
        <f>ROUND(AVERAGE(L39:L$40)/100,4)</f>
        <v>1.44E-2</v>
      </c>
    </row>
    <row r="40" spans="1:34" s="2241" customFormat="1" ht="13.5" thickBot="1">
      <c r="A40" s="2237" t="s">
        <v>117</v>
      </c>
      <c r="B40" s="2238">
        <f t="shared" si="251"/>
        <v>307.34512863658733</v>
      </c>
      <c r="C40" s="2238">
        <f t="shared" si="251"/>
        <v>257.80556031626975</v>
      </c>
      <c r="D40" s="2238">
        <f t="shared" si="246"/>
        <v>257.80556031626975</v>
      </c>
      <c r="E40" s="2238">
        <f t="shared" si="252"/>
        <v>422.70928459677179</v>
      </c>
      <c r="F40" s="2238">
        <f t="shared" si="252"/>
        <v>229.73803270336617</v>
      </c>
      <c r="G40" s="3822"/>
      <c r="H40" s="2239">
        <v>1</v>
      </c>
      <c r="I40" s="2239">
        <v>2.97</v>
      </c>
      <c r="J40" s="2239">
        <v>2.34</v>
      </c>
      <c r="K40" s="2239">
        <v>3.28</v>
      </c>
      <c r="L40" s="2240">
        <v>1.36</v>
      </c>
      <c r="N40" s="2242">
        <f t="shared" si="248"/>
        <v>2.9700000000000001E-2</v>
      </c>
      <c r="O40" s="2243">
        <f t="shared" si="243"/>
        <v>2.3399999999999997E-2</v>
      </c>
      <c r="P40" s="2243">
        <f t="shared" si="243"/>
        <v>3.2799999999999996E-2</v>
      </c>
      <c r="Q40" s="2243">
        <f t="shared" si="243"/>
        <v>1.3600000000000001E-2</v>
      </c>
      <c r="R40" s="2244"/>
      <c r="S40" s="2245">
        <f>B40/B41-1</f>
        <v>2.7910129219355539E-2</v>
      </c>
      <c r="T40" s="2246">
        <f>C40/C41-1</f>
        <v>2.3037937762975247E-2</v>
      </c>
      <c r="U40" s="2246">
        <f>E40/E41-1</f>
        <v>3.3519033243940788E-2</v>
      </c>
      <c r="V40" s="2246">
        <f>F40/F41-1</f>
        <v>1.2061818076502862E-2</v>
      </c>
      <c r="W40" s="2247" t="s">
        <v>464</v>
      </c>
      <c r="X40" s="2248">
        <v>1</v>
      </c>
      <c r="Y40" s="2248">
        <v>1</v>
      </c>
      <c r="Z40" s="2248">
        <v>1</v>
      </c>
      <c r="AA40" s="2248">
        <v>1</v>
      </c>
      <c r="AB40" s="2248">
        <v>1</v>
      </c>
      <c r="AD40" s="2243">
        <f>I40/100</f>
        <v>2.9700000000000001E-2</v>
      </c>
      <c r="AE40" s="2243">
        <f>J40/100</f>
        <v>2.3399999999999997E-2</v>
      </c>
      <c r="AF40" s="2243">
        <f>AE40</f>
        <v>2.3399999999999997E-2</v>
      </c>
      <c r="AG40" s="2243">
        <f>K40/100</f>
        <v>3.2799999999999996E-2</v>
      </c>
      <c r="AH40" s="2243">
        <f>L40/100</f>
        <v>1.3600000000000001E-2</v>
      </c>
    </row>
    <row r="41" spans="1:34" ht="13.5" thickBot="1">
      <c r="A41" s="2204" t="s">
        <v>465</v>
      </c>
      <c r="B41" s="2219">
        <v>299</v>
      </c>
      <c r="C41" s="2219">
        <v>252</v>
      </c>
      <c r="D41" s="2219">
        <f t="shared" si="246"/>
        <v>252</v>
      </c>
      <c r="E41" s="2219">
        <v>409</v>
      </c>
      <c r="F41" s="2220">
        <v>227</v>
      </c>
      <c r="G41" s="3827">
        <v>2013</v>
      </c>
      <c r="H41" s="2249">
        <v>4</v>
      </c>
      <c r="I41" s="2249">
        <v>1.83</v>
      </c>
      <c r="J41" s="2249">
        <v>1.68</v>
      </c>
      <c r="K41" s="2249">
        <v>1.97</v>
      </c>
      <c r="L41" s="2250">
        <v>0.87</v>
      </c>
      <c r="N41" s="2227">
        <f t="shared" si="248"/>
        <v>1.83E-2</v>
      </c>
      <c r="O41" s="2228">
        <f t="shared" si="243"/>
        <v>1.6799999999999999E-2</v>
      </c>
      <c r="P41" s="2228">
        <f t="shared" si="243"/>
        <v>1.9699999999999999E-2</v>
      </c>
      <c r="Q41" s="2228">
        <f t="shared" si="243"/>
        <v>8.6999999999999994E-3</v>
      </c>
      <c r="R41" s="2208"/>
      <c r="S41" s="2221"/>
      <c r="T41" s="2222"/>
      <c r="U41" s="2222"/>
      <c r="V41" s="2222"/>
      <c r="X41" s="2222"/>
      <c r="Y41" s="2222"/>
      <c r="Z41" s="2222"/>
    </row>
    <row r="42" spans="1:34">
      <c r="A42" s="2204" t="s">
        <v>466</v>
      </c>
      <c r="B42" s="2205">
        <f t="shared" ref="B42:C44" si="255">B41/(1+N41)</f>
        <v>293.62663262299913</v>
      </c>
      <c r="C42" s="2205">
        <f t="shared" si="255"/>
        <v>247.83634933123525</v>
      </c>
      <c r="D42" s="2205">
        <f t="shared" si="246"/>
        <v>247.83634933123525</v>
      </c>
      <c r="E42" s="2205">
        <f t="shared" ref="E42:F44" si="256">E41/(1+P41)</f>
        <v>401.09836226341076</v>
      </c>
      <c r="F42" s="2205">
        <f t="shared" si="256"/>
        <v>225.04213343908003</v>
      </c>
      <c r="G42" s="3828"/>
      <c r="H42" s="2230">
        <v>3</v>
      </c>
      <c r="I42" s="2230">
        <v>1.86</v>
      </c>
      <c r="J42" s="2230">
        <v>1.72</v>
      </c>
      <c r="K42" s="2230">
        <v>1.98</v>
      </c>
      <c r="L42" s="2231">
        <v>0.88</v>
      </c>
      <c r="N42" s="2207">
        <f t="shared" si="248"/>
        <v>1.8600000000000002E-2</v>
      </c>
      <c r="O42" s="2232">
        <f t="shared" si="243"/>
        <v>1.72E-2</v>
      </c>
      <c r="P42" s="2232">
        <f t="shared" si="243"/>
        <v>1.9799999999999998E-2</v>
      </c>
      <c r="Q42" s="2232">
        <f t="shared" si="243"/>
        <v>8.8000000000000005E-3</v>
      </c>
      <c r="R42" s="2208"/>
      <c r="S42" s="2207"/>
      <c r="T42" s="2192"/>
      <c r="U42" s="2192"/>
      <c r="V42" s="2192"/>
    </row>
    <row r="43" spans="1:34">
      <c r="A43" s="2204" t="s">
        <v>467</v>
      </c>
      <c r="B43" s="2205">
        <f t="shared" si="255"/>
        <v>288.2649053828776</v>
      </c>
      <c r="C43" s="2205">
        <f t="shared" si="255"/>
        <v>243.64564425013293</v>
      </c>
      <c r="D43" s="2205">
        <f t="shared" si="246"/>
        <v>243.64564425013293</v>
      </c>
      <c r="E43" s="2205">
        <f t="shared" si="256"/>
        <v>393.31080825986544</v>
      </c>
      <c r="F43" s="2205">
        <f t="shared" si="256"/>
        <v>223.07903790551154</v>
      </c>
      <c r="G43" s="3828"/>
      <c r="H43" s="2217">
        <v>2</v>
      </c>
      <c r="I43" s="2217">
        <v>2.04</v>
      </c>
      <c r="J43" s="2217">
        <v>2.33</v>
      </c>
      <c r="K43" s="2217">
        <v>2.0699999999999998</v>
      </c>
      <c r="L43" s="2218">
        <v>0.69</v>
      </c>
      <c r="N43" s="2207">
        <f t="shared" si="248"/>
        <v>2.0400000000000001E-2</v>
      </c>
      <c r="O43" s="2232">
        <f t="shared" si="243"/>
        <v>2.3300000000000001E-2</v>
      </c>
      <c r="P43" s="2232">
        <f t="shared" si="243"/>
        <v>2.07E-2</v>
      </c>
      <c r="Q43" s="2232">
        <f t="shared" si="243"/>
        <v>6.8999999999999999E-3</v>
      </c>
      <c r="R43" s="2208"/>
      <c r="S43" s="2207"/>
      <c r="T43" s="2192"/>
      <c r="U43" s="2192"/>
      <c r="V43" s="2192"/>
      <c r="X43" s="2251"/>
      <c r="Y43" s="2252"/>
    </row>
    <row r="44" spans="1:34">
      <c r="A44" s="2204" t="s">
        <v>468</v>
      </c>
      <c r="B44" s="2205">
        <f t="shared" si="255"/>
        <v>282.50186729015837</v>
      </c>
      <c r="C44" s="2205">
        <f t="shared" si="255"/>
        <v>238.09796174155468</v>
      </c>
      <c r="D44" s="2205">
        <f t="shared" si="246"/>
        <v>238.09796174155468</v>
      </c>
      <c r="E44" s="2205">
        <f t="shared" si="256"/>
        <v>385.33438646014054</v>
      </c>
      <c r="F44" s="2205">
        <f t="shared" si="256"/>
        <v>221.55034055567739</v>
      </c>
      <c r="G44" s="3829"/>
      <c r="H44" s="2206">
        <v>1</v>
      </c>
      <c r="I44" s="2206">
        <v>1.67</v>
      </c>
      <c r="J44" s="2206">
        <v>1.31</v>
      </c>
      <c r="K44" s="2206">
        <v>1.85</v>
      </c>
      <c r="L44" s="2212">
        <v>0.96</v>
      </c>
      <c r="N44" s="2223">
        <f t="shared" si="248"/>
        <v>1.67E-2</v>
      </c>
      <c r="O44" s="2224">
        <f t="shared" si="248"/>
        <v>1.3100000000000001E-2</v>
      </c>
      <c r="P44" s="2224">
        <f t="shared" si="248"/>
        <v>1.8500000000000003E-2</v>
      </c>
      <c r="Q44" s="2224">
        <f t="shared" si="248"/>
        <v>9.5999999999999992E-3</v>
      </c>
      <c r="R44" s="2208"/>
      <c r="S44" s="2223">
        <f>B44/B45-1</f>
        <v>1.6193767230785472E-2</v>
      </c>
      <c r="T44" s="2224">
        <f>C44/C45-1</f>
        <v>1.7512657015190891E-2</v>
      </c>
      <c r="U44" s="2224">
        <f>E44/E45-1</f>
        <v>1.6713420739157048E-2</v>
      </c>
      <c r="V44" s="2224">
        <f>F44/F45-1</f>
        <v>7.0470025258062563E-3</v>
      </c>
      <c r="X44" s="2253"/>
      <c r="Y44" s="2192"/>
      <c r="Z44" s="2192"/>
    </row>
    <row r="45" spans="1:34" ht="13.5" thickBot="1">
      <c r="A45" s="2204" t="s">
        <v>469</v>
      </c>
      <c r="B45" s="2254">
        <v>278</v>
      </c>
      <c r="C45" s="2254">
        <v>234</v>
      </c>
      <c r="D45" s="2254">
        <f t="shared" si="246"/>
        <v>234</v>
      </c>
      <c r="E45" s="2254">
        <v>379</v>
      </c>
      <c r="F45" s="2255">
        <v>220</v>
      </c>
      <c r="G45" s="3820">
        <v>2012</v>
      </c>
      <c r="H45" s="2225">
        <v>4</v>
      </c>
      <c r="I45" s="2225">
        <v>0.91</v>
      </c>
      <c r="J45" s="2225">
        <v>0.68</v>
      </c>
      <c r="K45" s="2225">
        <v>0.98</v>
      </c>
      <c r="L45" s="2226">
        <v>0.9</v>
      </c>
      <c r="N45" s="2207">
        <f t="shared" si="248"/>
        <v>9.1000000000000004E-3</v>
      </c>
      <c r="O45" s="2192">
        <f t="shared" si="248"/>
        <v>6.8000000000000005E-3</v>
      </c>
      <c r="P45" s="2192">
        <f t="shared" si="248"/>
        <v>9.7999999999999997E-3</v>
      </c>
      <c r="Q45" s="2192">
        <f t="shared" si="248"/>
        <v>9.0000000000000011E-3</v>
      </c>
      <c r="R45" s="2208"/>
      <c r="S45" s="2221"/>
      <c r="T45" s="2222"/>
      <c r="U45" s="2222"/>
      <c r="V45" s="2222"/>
      <c r="X45" s="2222"/>
      <c r="Y45" s="2222"/>
      <c r="Z45" s="2222"/>
    </row>
    <row r="46" spans="1:34">
      <c r="A46" s="2204" t="s">
        <v>470</v>
      </c>
      <c r="B46" s="2205">
        <f>B45/(1+N45)</f>
        <v>275.49301357645425</v>
      </c>
      <c r="C46" s="2205">
        <f>C45/(1+O45)</f>
        <v>232.41954707985698</v>
      </c>
      <c r="D46" s="2205">
        <f t="shared" si="246"/>
        <v>232.41954707985698</v>
      </c>
      <c r="E46" s="2205">
        <f t="shared" ref="E46:F48" si="257">E45/(1+P45)</f>
        <v>375.32184591008121</v>
      </c>
      <c r="F46" s="2205">
        <f t="shared" si="257"/>
        <v>218.03766105054513</v>
      </c>
      <c r="G46" s="3821"/>
      <c r="H46" s="2230">
        <v>3</v>
      </c>
      <c r="I46" s="2230">
        <v>0.09</v>
      </c>
      <c r="J46" s="2230">
        <v>0.28999999999999998</v>
      </c>
      <c r="K46" s="2230">
        <v>-0.01</v>
      </c>
      <c r="L46" s="2231">
        <v>0.57999999999999996</v>
      </c>
      <c r="N46" s="2207">
        <f t="shared" si="248"/>
        <v>8.9999999999999998E-4</v>
      </c>
      <c r="O46" s="2192">
        <f t="shared" si="248"/>
        <v>2.8999999999999998E-3</v>
      </c>
      <c r="P46" s="2192">
        <f t="shared" si="248"/>
        <v>-1E-4</v>
      </c>
      <c r="Q46" s="2192">
        <f t="shared" si="248"/>
        <v>5.7999999999999996E-3</v>
      </c>
      <c r="R46" s="2208"/>
      <c r="S46" s="2207"/>
      <c r="T46" s="2192"/>
      <c r="U46" s="2192"/>
      <c r="V46" s="2192"/>
    </row>
    <row r="47" spans="1:34">
      <c r="A47" s="2204" t="s">
        <v>471</v>
      </c>
      <c r="B47" s="2205">
        <f>B46/(1+N46)</f>
        <v>275.24529281292263</v>
      </c>
      <c r="C47" s="2205">
        <f>C46/(1+O46)</f>
        <v>231.74747938962707</v>
      </c>
      <c r="D47" s="2205">
        <f t="shared" si="246"/>
        <v>231.74747938962707</v>
      </c>
      <c r="E47" s="2205">
        <f t="shared" si="257"/>
        <v>375.35938184826603</v>
      </c>
      <c r="F47" s="2205">
        <f t="shared" si="257"/>
        <v>216.78033510692495</v>
      </c>
      <c r="G47" s="3821"/>
      <c r="H47" s="2217">
        <v>2</v>
      </c>
      <c r="I47" s="2217">
        <v>0.02</v>
      </c>
      <c r="J47" s="2217">
        <v>0.12</v>
      </c>
      <c r="K47" s="2217">
        <v>-0.08</v>
      </c>
      <c r="L47" s="2218">
        <v>1.24</v>
      </c>
      <c r="N47" s="2207">
        <f t="shared" si="248"/>
        <v>2.0000000000000001E-4</v>
      </c>
      <c r="O47" s="2192">
        <f t="shared" si="248"/>
        <v>1.1999999999999999E-3</v>
      </c>
      <c r="P47" s="2192">
        <f t="shared" si="248"/>
        <v>-8.0000000000000004E-4</v>
      </c>
      <c r="Q47" s="2192">
        <f t="shared" si="248"/>
        <v>1.24E-2</v>
      </c>
      <c r="R47" s="2208"/>
      <c r="S47" s="2207"/>
      <c r="T47" s="2192"/>
      <c r="U47" s="2192"/>
      <c r="V47" s="2192"/>
    </row>
    <row r="48" spans="1:34" ht="13.5" thickBot="1">
      <c r="A48" s="2204" t="s">
        <v>472</v>
      </c>
      <c r="B48" s="2205">
        <f>B47/(1+N47)</f>
        <v>275.19025476197027</v>
      </c>
      <c r="C48" s="2256">
        <v>232</v>
      </c>
      <c r="D48" s="2256">
        <f t="shared" si="246"/>
        <v>232</v>
      </c>
      <c r="E48" s="2205">
        <f t="shared" si="257"/>
        <v>375.65990977608692</v>
      </c>
      <c r="F48" s="2205">
        <f t="shared" si="257"/>
        <v>214.12518283971252</v>
      </c>
      <c r="G48" s="3822"/>
      <c r="H48" s="2206">
        <v>1</v>
      </c>
      <c r="I48" s="2206">
        <v>0.02</v>
      </c>
      <c r="J48" s="2206">
        <v>0.13</v>
      </c>
      <c r="K48" s="2206">
        <v>-0.04</v>
      </c>
      <c r="L48" s="2212">
        <v>0.46</v>
      </c>
      <c r="N48" s="2207">
        <f t="shared" si="248"/>
        <v>2.0000000000000001E-4</v>
      </c>
      <c r="O48" s="2192">
        <f t="shared" si="248"/>
        <v>1.2999999999999999E-3</v>
      </c>
      <c r="P48" s="2192">
        <f t="shared" si="248"/>
        <v>-4.0000000000000002E-4</v>
      </c>
      <c r="Q48" s="2192">
        <f t="shared" si="248"/>
        <v>4.5999999999999999E-3</v>
      </c>
      <c r="R48" s="2208"/>
      <c r="S48" s="2223">
        <f>B48/B49-1</f>
        <v>6.9183549807361189E-4</v>
      </c>
      <c r="T48" s="2224">
        <f>C48/C49-1</f>
        <v>0</v>
      </c>
      <c r="U48" s="2224">
        <f>E48/E49-1</f>
        <v>-9.0449527636460303E-4</v>
      </c>
      <c r="V48" s="2224">
        <f>F48/F49-1</f>
        <v>5.2825485432512753E-3</v>
      </c>
      <c r="X48" s="2192"/>
      <c r="Y48" s="2192"/>
      <c r="Z48" s="2192"/>
    </row>
    <row r="49" spans="1:26" ht="13.5" thickBot="1">
      <c r="A49" s="2204" t="s">
        <v>473</v>
      </c>
      <c r="B49" s="2219">
        <v>275</v>
      </c>
      <c r="C49" s="2219">
        <v>232</v>
      </c>
      <c r="D49" s="2219">
        <f t="shared" si="246"/>
        <v>232</v>
      </c>
      <c r="E49" s="2219">
        <v>376</v>
      </c>
      <c r="F49" s="2220">
        <v>213</v>
      </c>
      <c r="G49" s="3820">
        <v>2011</v>
      </c>
      <c r="H49" s="2225">
        <v>4</v>
      </c>
      <c r="I49" s="2225">
        <v>-0.2</v>
      </c>
      <c r="J49" s="2225">
        <v>0.04</v>
      </c>
      <c r="K49" s="2225">
        <v>-0.34</v>
      </c>
      <c r="L49" s="2226">
        <v>0.46</v>
      </c>
      <c r="N49" s="2227">
        <f t="shared" si="248"/>
        <v>-2E-3</v>
      </c>
      <c r="O49" s="2228">
        <f t="shared" si="248"/>
        <v>4.0000000000000002E-4</v>
      </c>
      <c r="P49" s="2228">
        <f t="shared" si="248"/>
        <v>-3.4000000000000002E-3</v>
      </c>
      <c r="Q49" s="2228">
        <f t="shared" si="248"/>
        <v>4.5999999999999999E-3</v>
      </c>
      <c r="R49" s="2208"/>
      <c r="S49" s="2221"/>
      <c r="T49" s="2222"/>
      <c r="U49" s="2222"/>
      <c r="V49" s="2222"/>
      <c r="X49" s="2222"/>
      <c r="Y49" s="2222"/>
      <c r="Z49" s="2222"/>
    </row>
    <row r="50" spans="1:26">
      <c r="A50" s="2204" t="s">
        <v>474</v>
      </c>
      <c r="B50" s="2205">
        <f t="shared" ref="B50:C52" si="258">B49/(1+N49)</f>
        <v>275.55110220440883</v>
      </c>
      <c r="C50" s="2205">
        <f t="shared" si="258"/>
        <v>231.90723710515795</v>
      </c>
      <c r="D50" s="2205">
        <f t="shared" si="246"/>
        <v>231.90723710515795</v>
      </c>
      <c r="E50" s="2205">
        <f t="shared" ref="E50:F52" si="259">E49/(1+P49)</f>
        <v>377.28276138872161</v>
      </c>
      <c r="F50" s="2205">
        <f t="shared" si="259"/>
        <v>212.02468644236512</v>
      </c>
      <c r="G50" s="3821">
        <v>2011</v>
      </c>
      <c r="H50" s="2230">
        <v>3</v>
      </c>
      <c r="I50" s="2230">
        <v>0.13</v>
      </c>
      <c r="J50" s="2230">
        <v>0.75</v>
      </c>
      <c r="K50" s="2230">
        <v>-0.08</v>
      </c>
      <c r="L50" s="2231">
        <v>0.53</v>
      </c>
      <c r="N50" s="2207">
        <f t="shared" si="248"/>
        <v>1.2999999999999999E-3</v>
      </c>
      <c r="O50" s="2232">
        <f t="shared" si="248"/>
        <v>7.4999999999999997E-3</v>
      </c>
      <c r="P50" s="2232">
        <f t="shared" si="248"/>
        <v>-8.0000000000000004E-4</v>
      </c>
      <c r="Q50" s="2232">
        <f t="shared" si="248"/>
        <v>5.3E-3</v>
      </c>
      <c r="R50" s="2208"/>
      <c r="S50" s="2207"/>
      <c r="T50" s="2192"/>
      <c r="U50" s="2192"/>
      <c r="V50" s="2192"/>
    </row>
    <row r="51" spans="1:26">
      <c r="A51" s="2204" t="s">
        <v>475</v>
      </c>
      <c r="B51" s="2205">
        <f t="shared" si="258"/>
        <v>275.19335084830601</v>
      </c>
      <c r="C51" s="2205">
        <f t="shared" si="258"/>
        <v>230.18088050139744</v>
      </c>
      <c r="D51" s="2205">
        <f t="shared" si="246"/>
        <v>230.18088050139744</v>
      </c>
      <c r="E51" s="2205">
        <f t="shared" si="259"/>
        <v>377.58482925212331</v>
      </c>
      <c r="F51" s="2205">
        <f t="shared" si="259"/>
        <v>210.90687997847917</v>
      </c>
      <c r="G51" s="3821">
        <v>2011</v>
      </c>
      <c r="H51" s="2217">
        <v>2</v>
      </c>
      <c r="I51" s="2217">
        <v>-0.4</v>
      </c>
      <c r="J51" s="2217">
        <v>0.17</v>
      </c>
      <c r="K51" s="2217">
        <v>-0.57999999999999996</v>
      </c>
      <c r="L51" s="2218">
        <v>-0.2</v>
      </c>
      <c r="N51" s="2207">
        <f t="shared" si="248"/>
        <v>-4.0000000000000001E-3</v>
      </c>
      <c r="O51" s="2232">
        <f t="shared" si="248"/>
        <v>1.7000000000000001E-3</v>
      </c>
      <c r="P51" s="2232">
        <f t="shared" si="248"/>
        <v>-5.7999999999999996E-3</v>
      </c>
      <c r="Q51" s="2232">
        <f t="shared" si="248"/>
        <v>-2E-3</v>
      </c>
      <c r="R51" s="2208"/>
      <c r="S51" s="2207"/>
      <c r="T51" s="2192"/>
      <c r="U51" s="2192"/>
      <c r="V51" s="2192"/>
    </row>
    <row r="52" spans="1:26" ht="13.5" thickBot="1">
      <c r="A52" s="2204" t="s">
        <v>476</v>
      </c>
      <c r="B52" s="2205">
        <f t="shared" si="258"/>
        <v>276.29854502841971</v>
      </c>
      <c r="C52" s="2205">
        <f t="shared" si="258"/>
        <v>229.79023709833027</v>
      </c>
      <c r="D52" s="2205">
        <f t="shared" si="246"/>
        <v>229.79023709833027</v>
      </c>
      <c r="E52" s="2205">
        <f t="shared" si="259"/>
        <v>379.78759731655936</v>
      </c>
      <c r="F52" s="2205">
        <f t="shared" si="259"/>
        <v>211.32953905659235</v>
      </c>
      <c r="G52" s="3822">
        <v>2011</v>
      </c>
      <c r="H52" s="2206">
        <v>1</v>
      </c>
      <c r="I52" s="2206">
        <v>2.65</v>
      </c>
      <c r="J52" s="2206">
        <v>3.76</v>
      </c>
      <c r="K52" s="2206">
        <v>1.89</v>
      </c>
      <c r="L52" s="2212">
        <v>7.95</v>
      </c>
      <c r="N52" s="2223">
        <f t="shared" si="248"/>
        <v>2.6499999999999999E-2</v>
      </c>
      <c r="O52" s="2224">
        <f t="shared" si="248"/>
        <v>3.7599999999999995E-2</v>
      </c>
      <c r="P52" s="2224">
        <f t="shared" si="248"/>
        <v>1.89E-2</v>
      </c>
      <c r="Q52" s="2224">
        <f t="shared" si="248"/>
        <v>7.9500000000000001E-2</v>
      </c>
      <c r="R52" s="2208"/>
      <c r="S52" s="2223">
        <f>B52/B53-1</f>
        <v>2.713213765211786E-2</v>
      </c>
      <c r="T52" s="2224">
        <f>C52/C53-1</f>
        <v>3.9774828499231862E-2</v>
      </c>
      <c r="U52" s="2224">
        <f>E52/E53-1</f>
        <v>1.8197311840641772E-2</v>
      </c>
      <c r="V52" s="2224">
        <f>F52/F53-1</f>
        <v>7.8211933962205826E-2</v>
      </c>
      <c r="X52" s="2192"/>
      <c r="Y52" s="2192"/>
      <c r="Z52" s="2192"/>
    </row>
    <row r="53" spans="1:26" ht="13.5" thickBot="1">
      <c r="A53" s="2204" t="s">
        <v>477</v>
      </c>
      <c r="B53" s="2219">
        <v>269</v>
      </c>
      <c r="C53" s="2219">
        <v>221</v>
      </c>
      <c r="D53" s="2219">
        <f t="shared" si="246"/>
        <v>221</v>
      </c>
      <c r="E53" s="2219">
        <v>373</v>
      </c>
      <c r="F53" s="2220">
        <v>196</v>
      </c>
      <c r="G53" s="3820">
        <v>2010</v>
      </c>
      <c r="H53" s="2225">
        <v>4</v>
      </c>
      <c r="I53" s="2225">
        <v>5.72</v>
      </c>
      <c r="J53" s="2225">
        <v>6.57</v>
      </c>
      <c r="K53" s="2225">
        <v>5.72</v>
      </c>
      <c r="L53" s="2226">
        <v>2.72</v>
      </c>
      <c r="N53" s="2207">
        <f t="shared" si="248"/>
        <v>5.7200000000000001E-2</v>
      </c>
      <c r="O53" s="2192">
        <f t="shared" si="248"/>
        <v>6.5700000000000008E-2</v>
      </c>
      <c r="P53" s="2192">
        <f t="shared" si="248"/>
        <v>5.7200000000000001E-2</v>
      </c>
      <c r="Q53" s="2192">
        <f t="shared" si="248"/>
        <v>2.7200000000000002E-2</v>
      </c>
      <c r="R53" s="2208"/>
      <c r="S53" s="2221"/>
      <c r="T53" s="2222"/>
      <c r="U53" s="2222"/>
      <c r="V53" s="2222"/>
      <c r="X53" s="2222"/>
      <c r="Y53" s="2222"/>
      <c r="Z53" s="2222"/>
    </row>
    <row r="54" spans="1:26">
      <c r="A54" s="2204" t="s">
        <v>478</v>
      </c>
      <c r="B54" s="2205">
        <f t="shared" ref="B54:C56" si="260">B53/(1+N53)</f>
        <v>254.44570563753314</v>
      </c>
      <c r="C54" s="2205">
        <f t="shared" si="260"/>
        <v>207.37543398705074</v>
      </c>
      <c r="D54" s="2205">
        <f t="shared" si="246"/>
        <v>207.37543398705074</v>
      </c>
      <c r="E54" s="2205">
        <f t="shared" ref="E54:F56" si="261">E53/(1+P53)</f>
        <v>352.81876655315932</v>
      </c>
      <c r="F54" s="2205">
        <f t="shared" si="261"/>
        <v>190.809968847352</v>
      </c>
      <c r="G54" s="3821">
        <v>2010</v>
      </c>
      <c r="H54" s="2230">
        <v>3</v>
      </c>
      <c r="I54" s="2230">
        <v>4.7300000000000004</v>
      </c>
      <c r="J54" s="2230">
        <v>3.9</v>
      </c>
      <c r="K54" s="2230">
        <v>5.03</v>
      </c>
      <c r="L54" s="2231">
        <v>4.21</v>
      </c>
      <c r="N54" s="2207">
        <f t="shared" si="248"/>
        <v>4.7300000000000002E-2</v>
      </c>
      <c r="O54" s="2192">
        <f t="shared" si="248"/>
        <v>3.9E-2</v>
      </c>
      <c r="P54" s="2192">
        <f t="shared" si="248"/>
        <v>5.0300000000000004E-2</v>
      </c>
      <c r="Q54" s="2192">
        <f t="shared" si="248"/>
        <v>4.2099999999999999E-2</v>
      </c>
      <c r="R54" s="2208"/>
      <c r="S54" s="2207"/>
      <c r="T54" s="2192"/>
      <c r="U54" s="2192"/>
      <c r="V54" s="2192"/>
    </row>
    <row r="55" spans="1:26">
      <c r="A55" s="2204" t="s">
        <v>479</v>
      </c>
      <c r="B55" s="2205">
        <f t="shared" si="260"/>
        <v>242.95398227588385</v>
      </c>
      <c r="C55" s="2205">
        <f t="shared" si="260"/>
        <v>199.59137053614126</v>
      </c>
      <c r="D55" s="2205">
        <f t="shared" si="246"/>
        <v>199.59137053614126</v>
      </c>
      <c r="E55" s="2205">
        <f t="shared" si="261"/>
        <v>335.92189522342125</v>
      </c>
      <c r="F55" s="2205">
        <f t="shared" si="261"/>
        <v>183.10139991109489</v>
      </c>
      <c r="G55" s="3821">
        <v>2010</v>
      </c>
      <c r="H55" s="2217">
        <v>2</v>
      </c>
      <c r="I55" s="2217">
        <v>4.6900000000000004</v>
      </c>
      <c r="J55" s="2217">
        <v>3.55</v>
      </c>
      <c r="K55" s="2217">
        <v>5.07</v>
      </c>
      <c r="L55" s="2218">
        <v>4.2300000000000004</v>
      </c>
      <c r="N55" s="2207">
        <f t="shared" si="248"/>
        <v>4.6900000000000004E-2</v>
      </c>
      <c r="O55" s="2192">
        <f t="shared" si="248"/>
        <v>3.5499999999999997E-2</v>
      </c>
      <c r="P55" s="2192">
        <f t="shared" si="248"/>
        <v>5.0700000000000002E-2</v>
      </c>
      <c r="Q55" s="2192">
        <f t="shared" si="248"/>
        <v>4.2300000000000004E-2</v>
      </c>
      <c r="R55" s="2208"/>
      <c r="S55" s="2207"/>
      <c r="T55" s="2192"/>
      <c r="U55" s="2192"/>
      <c r="V55" s="2192"/>
    </row>
    <row r="56" spans="1:26" ht="13.5" thickBot="1">
      <c r="A56" s="2204" t="s">
        <v>480</v>
      </c>
      <c r="B56" s="2205">
        <f t="shared" si="260"/>
        <v>232.06990378821649</v>
      </c>
      <c r="C56" s="2205">
        <f t="shared" si="260"/>
        <v>192.74878854286936</v>
      </c>
      <c r="D56" s="2205">
        <f t="shared" si="246"/>
        <v>192.74878854286936</v>
      </c>
      <c r="E56" s="2205">
        <f t="shared" si="261"/>
        <v>319.71247284992984</v>
      </c>
      <c r="F56" s="2205">
        <f t="shared" si="261"/>
        <v>175.67053622862409</v>
      </c>
      <c r="G56" s="3822">
        <v>2010</v>
      </c>
      <c r="H56" s="2206">
        <v>1</v>
      </c>
      <c r="I56" s="2206">
        <v>5.4</v>
      </c>
      <c r="J56" s="2206">
        <v>3.2</v>
      </c>
      <c r="K56" s="2206">
        <v>6.16</v>
      </c>
      <c r="L56" s="2212">
        <v>4.51</v>
      </c>
      <c r="N56" s="2207">
        <f t="shared" si="248"/>
        <v>5.4000000000000006E-2</v>
      </c>
      <c r="O56" s="2192">
        <f t="shared" si="248"/>
        <v>3.2000000000000001E-2</v>
      </c>
      <c r="P56" s="2192">
        <f t="shared" si="248"/>
        <v>6.1600000000000002E-2</v>
      </c>
      <c r="Q56" s="2192">
        <f t="shared" si="248"/>
        <v>4.5100000000000001E-2</v>
      </c>
      <c r="R56" s="2208"/>
      <c r="S56" s="2223">
        <f>B56/B57-1</f>
        <v>5.4863199037347599E-2</v>
      </c>
      <c r="T56" s="2224">
        <f>C56/C57-1</f>
        <v>3.0742184721226584E-2</v>
      </c>
      <c r="U56" s="2224">
        <f>E56/E57-1</f>
        <v>6.2167683886810154E-2</v>
      </c>
      <c r="V56" s="2224">
        <f>F56/F57-1</f>
        <v>4.5657953741810031E-2</v>
      </c>
      <c r="X56" s="2192"/>
      <c r="Y56" s="2192"/>
      <c r="Z56" s="2192"/>
    </row>
    <row r="57" spans="1:26" ht="13.5" thickBot="1">
      <c r="A57" s="2204" t="s">
        <v>481</v>
      </c>
      <c r="B57" s="2219">
        <v>220</v>
      </c>
      <c r="C57" s="2219">
        <v>187</v>
      </c>
      <c r="D57" s="2219">
        <f t="shared" si="246"/>
        <v>187</v>
      </c>
      <c r="E57" s="2219">
        <v>301</v>
      </c>
      <c r="F57" s="2220">
        <v>168</v>
      </c>
      <c r="G57" s="3820">
        <v>2009</v>
      </c>
      <c r="H57" s="2225">
        <v>4</v>
      </c>
      <c r="I57" s="2225">
        <v>2.2999999999999998</v>
      </c>
      <c r="J57" s="2225">
        <v>1.04</v>
      </c>
      <c r="K57" s="2225">
        <v>2.84</v>
      </c>
      <c r="L57" s="2226">
        <v>0.67</v>
      </c>
      <c r="N57" s="2227">
        <f t="shared" si="248"/>
        <v>2.3E-2</v>
      </c>
      <c r="O57" s="2228">
        <f t="shared" si="248"/>
        <v>1.04E-2</v>
      </c>
      <c r="P57" s="2228">
        <f t="shared" si="248"/>
        <v>2.8399999999999998E-2</v>
      </c>
      <c r="Q57" s="2228">
        <f t="shared" si="248"/>
        <v>6.7000000000000002E-3</v>
      </c>
      <c r="R57" s="2208"/>
      <c r="S57" s="2221"/>
      <c r="T57" s="2222"/>
      <c r="U57" s="2222"/>
      <c r="V57" s="2222"/>
      <c r="X57" s="2222"/>
      <c r="Y57" s="2222"/>
      <c r="Z57" s="2222"/>
    </row>
    <row r="58" spans="1:26">
      <c r="A58" s="2204" t="s">
        <v>482</v>
      </c>
      <c r="B58" s="2205">
        <f t="shared" ref="B58:C60" si="262">B57/(1+N57)</f>
        <v>215.05376344086022</v>
      </c>
      <c r="C58" s="2205">
        <f t="shared" si="262"/>
        <v>185.0752177355503</v>
      </c>
      <c r="D58" s="2205">
        <f t="shared" si="246"/>
        <v>185.0752177355503</v>
      </c>
      <c r="E58" s="2205">
        <f t="shared" ref="E58:F60" si="263">E57/(1+P57)</f>
        <v>292.68767016725008</v>
      </c>
      <c r="F58" s="2205">
        <f t="shared" si="263"/>
        <v>166.88189132810174</v>
      </c>
      <c r="G58" s="3821">
        <v>2009</v>
      </c>
      <c r="H58" s="2230">
        <v>3</v>
      </c>
      <c r="I58" s="2230">
        <v>2.1</v>
      </c>
      <c r="J58" s="2230">
        <v>1.86</v>
      </c>
      <c r="K58" s="2230">
        <v>2.29</v>
      </c>
      <c r="L58" s="2231">
        <v>0.85</v>
      </c>
      <c r="N58" s="2207">
        <f t="shared" si="248"/>
        <v>2.1000000000000001E-2</v>
      </c>
      <c r="O58" s="2232">
        <f t="shared" si="248"/>
        <v>1.8600000000000002E-2</v>
      </c>
      <c r="P58" s="2232">
        <f t="shared" si="248"/>
        <v>2.29E-2</v>
      </c>
      <c r="Q58" s="2232">
        <f t="shared" si="248"/>
        <v>8.5000000000000006E-3</v>
      </c>
      <c r="R58" s="2208"/>
      <c r="S58" s="2207"/>
      <c r="T58" s="2192"/>
      <c r="U58" s="2192"/>
      <c r="V58" s="2192"/>
    </row>
    <row r="59" spans="1:26">
      <c r="A59" s="2204" t="s">
        <v>483</v>
      </c>
      <c r="B59" s="2205">
        <f t="shared" si="262"/>
        <v>210.630522469011</v>
      </c>
      <c r="C59" s="2205">
        <f t="shared" si="262"/>
        <v>181.69567812247232</v>
      </c>
      <c r="D59" s="2205">
        <f t="shared" si="246"/>
        <v>181.69567812247232</v>
      </c>
      <c r="E59" s="2205">
        <f t="shared" si="263"/>
        <v>286.13517466736738</v>
      </c>
      <c r="F59" s="2205">
        <f t="shared" si="263"/>
        <v>165.47535084591149</v>
      </c>
      <c r="G59" s="3821">
        <v>2009</v>
      </c>
      <c r="H59" s="2217">
        <v>2</v>
      </c>
      <c r="I59" s="2217">
        <v>0.86</v>
      </c>
      <c r="J59" s="2217">
        <v>-1.1299999999999999</v>
      </c>
      <c r="K59" s="2217">
        <v>1.79</v>
      </c>
      <c r="L59" s="2218">
        <v>-2.0699999999999998</v>
      </c>
      <c r="N59" s="2207">
        <f t="shared" si="248"/>
        <v>8.6E-3</v>
      </c>
      <c r="O59" s="2232">
        <f t="shared" si="248"/>
        <v>-1.1299999999999999E-2</v>
      </c>
      <c r="P59" s="2232">
        <f t="shared" si="248"/>
        <v>1.7899999999999999E-2</v>
      </c>
      <c r="Q59" s="2232">
        <f t="shared" si="248"/>
        <v>-2.07E-2</v>
      </c>
      <c r="R59" s="2208"/>
      <c r="S59" s="2207"/>
      <c r="T59" s="2192"/>
      <c r="U59" s="2192"/>
      <c r="V59" s="2192"/>
    </row>
    <row r="60" spans="1:26">
      <c r="A60" s="2204" t="s">
        <v>484</v>
      </c>
      <c r="B60" s="2205">
        <f t="shared" si="262"/>
        <v>208.83454537875372</v>
      </c>
      <c r="C60" s="2205">
        <f t="shared" si="262"/>
        <v>183.77230517090351</v>
      </c>
      <c r="D60" s="2205">
        <f t="shared" si="246"/>
        <v>183.77230517090351</v>
      </c>
      <c r="E60" s="2205">
        <f t="shared" si="263"/>
        <v>281.10342338870947</v>
      </c>
      <c r="F60" s="2205">
        <f t="shared" si="263"/>
        <v>168.97309388942256</v>
      </c>
      <c r="G60" s="3822">
        <v>2009</v>
      </c>
      <c r="H60" s="2206">
        <v>1</v>
      </c>
      <c r="I60" s="2206">
        <v>-2.64</v>
      </c>
      <c r="J60" s="2206">
        <v>-2.5299999999999998</v>
      </c>
      <c r="K60" s="2206">
        <v>-3.02</v>
      </c>
      <c r="L60" s="2212">
        <v>1.52</v>
      </c>
      <c r="N60" s="2223">
        <f t="shared" si="248"/>
        <v>-2.64E-2</v>
      </c>
      <c r="O60" s="2224">
        <f t="shared" si="248"/>
        <v>-2.53E-2</v>
      </c>
      <c r="P60" s="2224">
        <f t="shared" si="248"/>
        <v>-3.0200000000000001E-2</v>
      </c>
      <c r="Q60" s="2224">
        <f t="shared" si="248"/>
        <v>1.52E-2</v>
      </c>
      <c r="R60" s="2208"/>
      <c r="S60" s="2223">
        <f>B60/B61-1</f>
        <v>-2.4137638417038754E-2</v>
      </c>
      <c r="T60" s="2224">
        <f>C60/C61-1</f>
        <v>-2.248773845264096E-2</v>
      </c>
      <c r="U60" s="2224">
        <f>E60/E61-1</f>
        <v>-2.7323794502735366E-2</v>
      </c>
      <c r="V60" s="2224">
        <f>F60/F61-1</f>
        <v>1.7910204153148035E-2</v>
      </c>
      <c r="X60" s="2192"/>
      <c r="Y60" s="2192"/>
      <c r="Z60" s="2192"/>
    </row>
    <row r="61" spans="1:26" ht="13.5" thickBot="1">
      <c r="A61" s="2204" t="s">
        <v>485</v>
      </c>
      <c r="B61" s="2254">
        <v>214</v>
      </c>
      <c r="C61" s="2254">
        <v>188</v>
      </c>
      <c r="D61" s="2254">
        <f t="shared" si="246"/>
        <v>188</v>
      </c>
      <c r="E61" s="2254">
        <v>289</v>
      </c>
      <c r="F61" s="2255">
        <v>166</v>
      </c>
      <c r="G61" s="3820">
        <v>2008</v>
      </c>
      <c r="H61" s="2225">
        <v>4</v>
      </c>
      <c r="I61" s="2225">
        <v>1.73</v>
      </c>
      <c r="J61" s="2225">
        <v>0.03</v>
      </c>
      <c r="K61" s="2225">
        <v>2.59</v>
      </c>
      <c r="L61" s="2226">
        <v>-1.66</v>
      </c>
      <c r="N61" s="2207">
        <f t="shared" si="248"/>
        <v>1.7299999999999999E-2</v>
      </c>
      <c r="O61" s="2192">
        <f t="shared" si="248"/>
        <v>2.9999999999999997E-4</v>
      </c>
      <c r="P61" s="2192">
        <f t="shared" si="248"/>
        <v>2.5899999999999999E-2</v>
      </c>
      <c r="Q61" s="2192">
        <f t="shared" si="248"/>
        <v>-1.66E-2</v>
      </c>
      <c r="R61" s="2208"/>
      <c r="S61" s="2221"/>
      <c r="T61" s="2222"/>
      <c r="U61" s="2222"/>
      <c r="V61" s="2222"/>
      <c r="X61" s="2222"/>
      <c r="Y61" s="2222"/>
      <c r="Z61" s="2222"/>
    </row>
    <row r="62" spans="1:26">
      <c r="A62" s="2204" t="s">
        <v>486</v>
      </c>
      <c r="B62" s="2205">
        <f t="shared" ref="B62:C64" si="264">B61/(1+N61)</f>
        <v>210.36075887152265</v>
      </c>
      <c r="C62" s="2205">
        <f t="shared" si="264"/>
        <v>187.94361691492554</v>
      </c>
      <c r="D62" s="2205">
        <f t="shared" si="246"/>
        <v>187.94361691492554</v>
      </c>
      <c r="E62" s="2205">
        <f t="shared" ref="E62:F64" si="265">E61/(1+P61)</f>
        <v>281.70386977288234</v>
      </c>
      <c r="F62" s="2205">
        <f t="shared" si="265"/>
        <v>168.80211511083994</v>
      </c>
      <c r="G62" s="3821">
        <v>2008</v>
      </c>
      <c r="H62" s="2230">
        <v>3</v>
      </c>
      <c r="I62" s="2230">
        <v>1.96</v>
      </c>
      <c r="J62" s="2230">
        <v>2.36</v>
      </c>
      <c r="K62" s="2230">
        <v>1.82</v>
      </c>
      <c r="L62" s="2231">
        <v>2.2200000000000002</v>
      </c>
      <c r="N62" s="2207">
        <f t="shared" si="248"/>
        <v>1.9599999999999999E-2</v>
      </c>
      <c r="O62" s="2192">
        <f t="shared" si="248"/>
        <v>2.3599999999999999E-2</v>
      </c>
      <c r="P62" s="2192">
        <f t="shared" si="248"/>
        <v>1.8200000000000001E-2</v>
      </c>
      <c r="Q62" s="2192">
        <f t="shared" si="248"/>
        <v>2.2200000000000001E-2</v>
      </c>
      <c r="R62" s="2208"/>
      <c r="S62" s="2207"/>
      <c r="T62" s="2192"/>
      <c r="U62" s="2192"/>
      <c r="V62" s="2192"/>
    </row>
    <row r="63" spans="1:26">
      <c r="A63" s="2204" t="s">
        <v>487</v>
      </c>
      <c r="B63" s="2205">
        <f t="shared" si="264"/>
        <v>206.31694671589116</v>
      </c>
      <c r="C63" s="2205">
        <f t="shared" si="264"/>
        <v>183.61041121036101</v>
      </c>
      <c r="D63" s="2205">
        <f t="shared" si="246"/>
        <v>183.61041121036101</v>
      </c>
      <c r="E63" s="2205">
        <f t="shared" si="265"/>
        <v>276.66850301795557</v>
      </c>
      <c r="F63" s="2205">
        <f t="shared" si="265"/>
        <v>165.1360938278614</v>
      </c>
      <c r="G63" s="3821">
        <v>2008</v>
      </c>
      <c r="H63" s="2217">
        <v>2</v>
      </c>
      <c r="I63" s="2217">
        <v>4.93</v>
      </c>
      <c r="J63" s="2217">
        <v>7.38</v>
      </c>
      <c r="K63" s="2217">
        <v>3.98</v>
      </c>
      <c r="L63" s="2218">
        <v>6.86</v>
      </c>
      <c r="N63" s="2207">
        <f t="shared" si="248"/>
        <v>4.9299999999999997E-2</v>
      </c>
      <c r="O63" s="2192">
        <f t="shared" si="248"/>
        <v>7.3800000000000004E-2</v>
      </c>
      <c r="P63" s="2192">
        <f t="shared" si="248"/>
        <v>3.9800000000000002E-2</v>
      </c>
      <c r="Q63" s="2192">
        <f t="shared" si="248"/>
        <v>6.8600000000000008E-2</v>
      </c>
      <c r="R63" s="2208"/>
      <c r="S63" s="2207"/>
      <c r="T63" s="2192"/>
      <c r="U63" s="2192"/>
      <c r="V63" s="2192"/>
    </row>
    <row r="64" spans="1:26" s="2260" customFormat="1" ht="13.5" thickBot="1">
      <c r="A64" s="2204" t="s">
        <v>488</v>
      </c>
      <c r="B64" s="2257">
        <f t="shared" si="264"/>
        <v>196.62341248059772</v>
      </c>
      <c r="C64" s="2257">
        <f t="shared" si="264"/>
        <v>170.99125648199012</v>
      </c>
      <c r="D64" s="2257">
        <f t="shared" si="246"/>
        <v>170.99125648199012</v>
      </c>
      <c r="E64" s="2257">
        <f t="shared" si="265"/>
        <v>266.07857570490052</v>
      </c>
      <c r="F64" s="2257">
        <f t="shared" si="265"/>
        <v>154.53499328828505</v>
      </c>
      <c r="G64" s="3822">
        <v>2008</v>
      </c>
      <c r="H64" s="2258">
        <v>1</v>
      </c>
      <c r="I64" s="2258">
        <v>4.1399999999999997</v>
      </c>
      <c r="J64" s="2258">
        <v>3.45</v>
      </c>
      <c r="K64" s="2258">
        <v>4.95</v>
      </c>
      <c r="L64" s="2259">
        <v>4.82</v>
      </c>
      <c r="N64" s="2261">
        <f t="shared" si="248"/>
        <v>4.1399999999999999E-2</v>
      </c>
      <c r="O64" s="2262">
        <f t="shared" si="248"/>
        <v>3.4500000000000003E-2</v>
      </c>
      <c r="P64" s="2262">
        <f t="shared" si="248"/>
        <v>4.9500000000000002E-2</v>
      </c>
      <c r="Q64" s="2262">
        <f t="shared" si="248"/>
        <v>4.82E-2</v>
      </c>
      <c r="R64" s="2263"/>
      <c r="S64" s="2261">
        <f>B64/B65-1</f>
        <v>4.5869215322328349E-2</v>
      </c>
      <c r="T64" s="2262">
        <f>C64/C65-1</f>
        <v>3.6310645345394743E-2</v>
      </c>
      <c r="U64" s="2262">
        <f>E64/E65-1</f>
        <v>4.7553447657088688E-2</v>
      </c>
      <c r="V64" s="2262">
        <f>F64/F65-1</f>
        <v>4.4155360055980086E-2</v>
      </c>
      <c r="X64" s="2262"/>
      <c r="Y64" s="2262"/>
      <c r="Z64" s="2262"/>
    </row>
    <row r="65" spans="1:26" ht="13.5" thickBot="1">
      <c r="A65" s="2204" t="s">
        <v>489</v>
      </c>
      <c r="B65" s="2219">
        <v>188</v>
      </c>
      <c r="C65" s="2219">
        <v>165</v>
      </c>
      <c r="D65" s="2219">
        <f t="shared" si="246"/>
        <v>165</v>
      </c>
      <c r="E65" s="2219">
        <v>254</v>
      </c>
      <c r="F65" s="2220">
        <v>148</v>
      </c>
      <c r="G65" s="3820">
        <v>2007</v>
      </c>
      <c r="H65" s="2264">
        <v>4</v>
      </c>
      <c r="I65" s="2264">
        <v>5.51</v>
      </c>
      <c r="J65" s="2264">
        <v>4.8899999999999997</v>
      </c>
      <c r="K65" s="2264">
        <v>6.43</v>
      </c>
      <c r="L65" s="2265">
        <v>5.36</v>
      </c>
      <c r="N65" s="2266">
        <f t="shared" ref="N65:O68" si="266">B65/B66-1</f>
        <v>4.1339718365245526E-2</v>
      </c>
      <c r="O65" s="2267">
        <f t="shared" si="266"/>
        <v>4.0324492593776018E-2</v>
      </c>
      <c r="P65" s="2267">
        <f t="shared" ref="P65:Q68" si="267">E65/E66-1</f>
        <v>6.1625555347990968E-2</v>
      </c>
      <c r="Q65" s="2267">
        <f t="shared" si="267"/>
        <v>4.6757569250590603E-2</v>
      </c>
      <c r="R65" s="2208"/>
      <c r="S65" s="2221"/>
      <c r="T65" s="2222"/>
      <c r="U65" s="2222"/>
      <c r="V65" s="2222"/>
      <c r="X65" s="2222"/>
      <c r="Y65" s="2222"/>
      <c r="Z65" s="2222"/>
    </row>
    <row r="66" spans="1:26">
      <c r="A66" s="2204" t="s">
        <v>490</v>
      </c>
      <c r="B66" s="2205">
        <f t="shared" ref="B66:C68" si="268">B67+(B$65-B$69)*I66/SUM(I$65:I$68)</f>
        <v>180.5366651097618</v>
      </c>
      <c r="C66" s="2205">
        <f t="shared" si="268"/>
        <v>158.60435967302453</v>
      </c>
      <c r="D66" s="2205">
        <f t="shared" si="246"/>
        <v>158.60435967302453</v>
      </c>
      <c r="E66" s="2205">
        <f t="shared" ref="E66:F68" si="269">E67+(E$65-E$69)*K66/SUM(K$65:K$68)</f>
        <v>239.25573260785075</v>
      </c>
      <c r="F66" s="2205">
        <f t="shared" si="269"/>
        <v>141.38899430740037</v>
      </c>
      <c r="G66" s="3821">
        <v>2007</v>
      </c>
      <c r="H66" s="2230">
        <v>3</v>
      </c>
      <c r="I66" s="2230">
        <v>8.65</v>
      </c>
      <c r="J66" s="2230">
        <v>8.06</v>
      </c>
      <c r="K66" s="2230">
        <v>9.94</v>
      </c>
      <c r="L66" s="2231">
        <v>5.8</v>
      </c>
      <c r="N66" s="2266">
        <f t="shared" si="266"/>
        <v>6.940217571740015E-2</v>
      </c>
      <c r="O66" s="2267">
        <f t="shared" si="266"/>
        <v>7.1197482471153428E-2</v>
      </c>
      <c r="P66" s="2267">
        <f t="shared" si="267"/>
        <v>0.10529679922579582</v>
      </c>
      <c r="Q66" s="2267">
        <f t="shared" si="267"/>
        <v>5.3292245059512133E-2</v>
      </c>
      <c r="R66" s="2208"/>
      <c r="S66" s="2207"/>
      <c r="T66" s="2192"/>
      <c r="U66" s="2192"/>
      <c r="V66" s="2192"/>
      <c r="X66" s="2268"/>
      <c r="Y66" s="2268"/>
      <c r="Z66" s="2268"/>
    </row>
    <row r="67" spans="1:26">
      <c r="A67" s="2204" t="s">
        <v>491</v>
      </c>
      <c r="B67" s="2205">
        <f t="shared" si="268"/>
        <v>168.82017748715555</v>
      </c>
      <c r="C67" s="2205">
        <f t="shared" si="268"/>
        <v>148.06267029972753</v>
      </c>
      <c r="D67" s="2205">
        <f t="shared" si="246"/>
        <v>148.06267029972753</v>
      </c>
      <c r="E67" s="2205">
        <f t="shared" si="269"/>
        <v>216.46288379323747</v>
      </c>
      <c r="F67" s="2205">
        <f t="shared" si="269"/>
        <v>134.23529411764704</v>
      </c>
      <c r="G67" s="3821">
        <v>2007</v>
      </c>
      <c r="H67" s="2217">
        <v>2</v>
      </c>
      <c r="I67" s="2217">
        <v>3.67</v>
      </c>
      <c r="J67" s="2217">
        <v>2.3199999999999998</v>
      </c>
      <c r="K67" s="2217">
        <v>5.0199999999999996</v>
      </c>
      <c r="L67" s="2218">
        <v>6.71</v>
      </c>
      <c r="N67" s="2266">
        <f t="shared" si="266"/>
        <v>3.0339138143848032E-2</v>
      </c>
      <c r="O67" s="2267">
        <f t="shared" si="266"/>
        <v>2.0922341588790472E-2</v>
      </c>
      <c r="P67" s="2267">
        <f t="shared" si="267"/>
        <v>5.6164796592717003E-2</v>
      </c>
      <c r="Q67" s="2267">
        <f t="shared" si="267"/>
        <v>6.5704536723887319E-2</v>
      </c>
      <c r="R67" s="2208"/>
      <c r="S67" s="2207"/>
      <c r="T67" s="2192"/>
      <c r="U67" s="2192"/>
      <c r="V67" s="2192"/>
      <c r="X67" s="2268"/>
      <c r="Y67" s="2268"/>
      <c r="Z67" s="2268"/>
    </row>
    <row r="68" spans="1:26">
      <c r="A68" s="2204" t="s">
        <v>492</v>
      </c>
      <c r="B68" s="2205">
        <f t="shared" si="268"/>
        <v>163.84913591779542</v>
      </c>
      <c r="C68" s="2205">
        <f t="shared" si="268"/>
        <v>145.0283378746594</v>
      </c>
      <c r="D68" s="2205">
        <f t="shared" si="246"/>
        <v>145.0283378746594</v>
      </c>
      <c r="E68" s="2205">
        <f t="shared" si="269"/>
        <v>204.95180722891567</v>
      </c>
      <c r="F68" s="2205">
        <f t="shared" si="269"/>
        <v>125.95920303605313</v>
      </c>
      <c r="G68" s="3822">
        <v>2007</v>
      </c>
      <c r="H68" s="2206">
        <v>1</v>
      </c>
      <c r="I68" s="2206">
        <v>3.58</v>
      </c>
      <c r="J68" s="2206">
        <v>3.08</v>
      </c>
      <c r="K68" s="2206">
        <v>4.34</v>
      </c>
      <c r="L68" s="2212">
        <v>3.21</v>
      </c>
      <c r="N68" s="2269">
        <f t="shared" si="266"/>
        <v>3.0497710174814063E-2</v>
      </c>
      <c r="O68" s="2270">
        <f t="shared" si="266"/>
        <v>2.8569772160704998E-2</v>
      </c>
      <c r="P68" s="2270">
        <f t="shared" si="267"/>
        <v>5.1034908866234296E-2</v>
      </c>
      <c r="Q68" s="2270">
        <f t="shared" si="267"/>
        <v>3.245248390207478E-2</v>
      </c>
      <c r="R68" s="2208"/>
      <c r="S68" s="2223">
        <f>B68/B69-1</f>
        <v>3.0497710174814063E-2</v>
      </c>
      <c r="T68" s="2224">
        <f>C68/C69-1</f>
        <v>2.8569772160704998E-2</v>
      </c>
      <c r="U68" s="2224">
        <f>E68/E69-1</f>
        <v>5.1034908866234296E-2</v>
      </c>
      <c r="V68" s="2224">
        <f>F68/F69-1</f>
        <v>3.245248390207478E-2</v>
      </c>
      <c r="X68" s="2268"/>
      <c r="Y68" s="2268"/>
      <c r="Z68" s="2268"/>
    </row>
    <row r="69" spans="1:26" ht="13.5" thickBot="1">
      <c r="A69" s="2204" t="s">
        <v>493</v>
      </c>
      <c r="B69" s="2233">
        <v>159</v>
      </c>
      <c r="C69" s="2233">
        <v>141</v>
      </c>
      <c r="D69" s="2233">
        <f t="shared" si="246"/>
        <v>141</v>
      </c>
      <c r="E69" s="2233">
        <v>195</v>
      </c>
      <c r="F69" s="2234">
        <v>122</v>
      </c>
      <c r="G69" s="3820">
        <v>2006</v>
      </c>
      <c r="H69" s="2225">
        <v>4</v>
      </c>
      <c r="I69" s="2225">
        <v>3.79</v>
      </c>
      <c r="J69" s="2225">
        <v>2.21</v>
      </c>
      <c r="K69" s="2225">
        <v>5.65</v>
      </c>
      <c r="L69" s="2226">
        <v>5.41</v>
      </c>
      <c r="N69" s="2266">
        <f t="shared" ref="N69:O72" si="270">I69/SUM(I$69:I$72)*(B$69/B$73-1)</f>
        <v>7.245466462748526E-2</v>
      </c>
      <c r="O69" s="2267">
        <f t="shared" si="270"/>
        <v>2.3237230038062766E-2</v>
      </c>
      <c r="P69" s="2267">
        <f t="shared" ref="P69:Q72" si="271">K69/SUM(K$69:K$72)*(E$69/E$73-1)</f>
        <v>0.16146893866323722</v>
      </c>
      <c r="Q69" s="2267">
        <f t="shared" si="271"/>
        <v>5.0755230321793784E-2</v>
      </c>
      <c r="R69" s="2208"/>
      <c r="S69" s="2221"/>
      <c r="T69" s="2222"/>
      <c r="U69" s="2222"/>
      <c r="V69" s="2222"/>
      <c r="X69" s="2268"/>
      <c r="Y69" s="2268"/>
      <c r="Z69" s="2268"/>
    </row>
    <row r="70" spans="1:26">
      <c r="A70" s="2204" t="s">
        <v>494</v>
      </c>
      <c r="B70" s="2205">
        <f t="shared" ref="B70:C72" si="272">B71+(B$69-B$73)*I70/SUM(I$69:I$72)</f>
        <v>149.00125628140702</v>
      </c>
      <c r="C70" s="2205">
        <f t="shared" si="272"/>
        <v>137.95592286501378</v>
      </c>
      <c r="D70" s="2205">
        <f t="shared" si="246"/>
        <v>137.95592286501378</v>
      </c>
      <c r="E70" s="2205">
        <f t="shared" ref="E70:F72" si="273">E71+(E$69-E$73)*K70/SUM(K$69:K$72)</f>
        <v>169.97231450719823</v>
      </c>
      <c r="F70" s="2205">
        <f t="shared" si="273"/>
        <v>116.21390374331551</v>
      </c>
      <c r="G70" s="3821">
        <v>2006</v>
      </c>
      <c r="H70" s="2230">
        <v>3</v>
      </c>
      <c r="I70" s="2230">
        <v>0.92</v>
      </c>
      <c r="J70" s="2230">
        <v>1.08</v>
      </c>
      <c r="K70" s="2230">
        <v>0.73</v>
      </c>
      <c r="L70" s="2231">
        <v>1.08</v>
      </c>
      <c r="N70" s="2266">
        <f t="shared" si="270"/>
        <v>1.7587939698492462E-2</v>
      </c>
      <c r="O70" s="2267">
        <f t="shared" si="270"/>
        <v>1.1355750425840628E-2</v>
      </c>
      <c r="P70" s="2267">
        <f t="shared" si="271"/>
        <v>2.0862358446754544E-2</v>
      </c>
      <c r="Q70" s="2267">
        <f t="shared" si="271"/>
        <v>1.0132282578103011E-2</v>
      </c>
      <c r="R70" s="2208"/>
      <c r="S70" s="2207"/>
      <c r="T70" s="2192"/>
      <c r="U70" s="2192"/>
      <c r="V70" s="2192"/>
      <c r="X70" s="2268"/>
      <c r="Y70" s="2268"/>
      <c r="Z70" s="2268"/>
    </row>
    <row r="71" spans="1:26">
      <c r="A71" s="2204" t="s">
        <v>495</v>
      </c>
      <c r="B71" s="2205">
        <f t="shared" si="272"/>
        <v>146.57412060301507</v>
      </c>
      <c r="C71" s="2205">
        <f t="shared" si="272"/>
        <v>136.46831955922866</v>
      </c>
      <c r="D71" s="2205">
        <f t="shared" si="246"/>
        <v>136.46831955922866</v>
      </c>
      <c r="E71" s="2205">
        <f t="shared" si="273"/>
        <v>166.73864894795128</v>
      </c>
      <c r="F71" s="2205">
        <f t="shared" si="273"/>
        <v>115.05882352941177</v>
      </c>
      <c r="G71" s="3821">
        <v>2006</v>
      </c>
      <c r="H71" s="2217">
        <v>2</v>
      </c>
      <c r="I71" s="2217">
        <v>0.96</v>
      </c>
      <c r="J71" s="2217">
        <v>0.25</v>
      </c>
      <c r="K71" s="2217">
        <v>1.9</v>
      </c>
      <c r="L71" s="2218">
        <v>0.95</v>
      </c>
      <c r="N71" s="2266">
        <f t="shared" si="270"/>
        <v>1.8352632728861701E-2</v>
      </c>
      <c r="O71" s="2267">
        <f t="shared" si="270"/>
        <v>2.6286459319075526E-3</v>
      </c>
      <c r="P71" s="2267">
        <f t="shared" si="271"/>
        <v>5.4299289107991269E-2</v>
      </c>
      <c r="Q71" s="2267">
        <f t="shared" si="271"/>
        <v>8.9126559714794995E-3</v>
      </c>
      <c r="R71" s="2208"/>
      <c r="S71" s="2207"/>
      <c r="T71" s="2192"/>
      <c r="U71" s="2192"/>
      <c r="V71" s="2192"/>
      <c r="X71" s="2268"/>
      <c r="Y71" s="2268"/>
      <c r="Z71" s="2268"/>
    </row>
    <row r="72" spans="1:26">
      <c r="A72" s="2204" t="s">
        <v>496</v>
      </c>
      <c r="B72" s="2205">
        <f t="shared" si="272"/>
        <v>144.04145728643215</v>
      </c>
      <c r="C72" s="2205">
        <f t="shared" si="272"/>
        <v>136.12396694214877</v>
      </c>
      <c r="D72" s="2205">
        <f t="shared" si="246"/>
        <v>136.12396694214877</v>
      </c>
      <c r="E72" s="2205">
        <f t="shared" si="273"/>
        <v>158.32225913621264</v>
      </c>
      <c r="F72" s="2205">
        <f t="shared" si="273"/>
        <v>114.04278074866311</v>
      </c>
      <c r="G72" s="3822">
        <v>2006</v>
      </c>
      <c r="H72" s="2206">
        <v>1</v>
      </c>
      <c r="I72" s="2206">
        <v>2.29</v>
      </c>
      <c r="J72" s="2206">
        <v>3.72</v>
      </c>
      <c r="K72" s="2206">
        <v>0.75</v>
      </c>
      <c r="L72" s="2212">
        <v>0.04</v>
      </c>
      <c r="N72" s="2269">
        <f t="shared" si="270"/>
        <v>4.3778675988638847E-2</v>
      </c>
      <c r="O72" s="2270">
        <f t="shared" si="270"/>
        <v>3.9114251466784385E-2</v>
      </c>
      <c r="P72" s="2270">
        <f t="shared" si="271"/>
        <v>2.1433929911049188E-2</v>
      </c>
      <c r="Q72" s="2270">
        <f t="shared" si="271"/>
        <v>3.7526972511492629E-4</v>
      </c>
      <c r="R72" s="2208"/>
      <c r="S72" s="2223">
        <f>B72/B73-1</f>
        <v>4.3778675988638716E-2</v>
      </c>
      <c r="T72" s="2224">
        <f>C72/C73-1</f>
        <v>3.91142514667846E-2</v>
      </c>
      <c r="U72" s="2224">
        <f>E72/E73-1</f>
        <v>2.143392991104931E-2</v>
      </c>
      <c r="V72" s="2224">
        <f>F72/F73-1</f>
        <v>3.7526972511492396E-4</v>
      </c>
      <c r="X72" s="2268"/>
      <c r="Y72" s="2268"/>
      <c r="Z72" s="2268"/>
    </row>
    <row r="73" spans="1:26" ht="13.5" thickBot="1">
      <c r="A73" s="2204" t="s">
        <v>497</v>
      </c>
      <c r="B73" s="2233">
        <v>138</v>
      </c>
      <c r="C73" s="2233">
        <v>131</v>
      </c>
      <c r="D73" s="2233">
        <f t="shared" si="246"/>
        <v>131</v>
      </c>
      <c r="E73" s="2233">
        <v>155</v>
      </c>
      <c r="F73" s="2234">
        <v>114</v>
      </c>
      <c r="G73" s="3820">
        <v>2005</v>
      </c>
      <c r="H73" s="2225">
        <v>4</v>
      </c>
      <c r="I73" s="2225">
        <v>3.29</v>
      </c>
      <c r="J73" s="2225">
        <v>1.44</v>
      </c>
      <c r="K73" s="2225">
        <v>0.66</v>
      </c>
      <c r="L73" s="2226">
        <v>7.78</v>
      </c>
      <c r="N73" s="2266">
        <f t="shared" ref="N73:O76" si="274">I73/SUM(I$73:I$76)*(B$73/B$77-1)</f>
        <v>9.9404603216919935E-2</v>
      </c>
      <c r="O73" s="2267">
        <f t="shared" si="274"/>
        <v>4.7636550760861554E-2</v>
      </c>
      <c r="P73" s="2267">
        <f t="shared" ref="P73:Q76" si="275">K73/SUM(K$73:K$76)*(E$73/E$77-1)</f>
        <v>8.3756345177664976E-2</v>
      </c>
      <c r="Q73" s="2267">
        <f t="shared" si="275"/>
        <v>5.2148766661559584E-2</v>
      </c>
      <c r="R73" s="2208"/>
      <c r="S73" s="2221"/>
      <c r="T73" s="2222"/>
      <c r="U73" s="2222"/>
      <c r="V73" s="2222"/>
      <c r="X73" s="2268"/>
      <c r="Y73" s="2268"/>
      <c r="Z73" s="2268"/>
    </row>
    <row r="74" spans="1:26">
      <c r="A74" s="2204" t="s">
        <v>498</v>
      </c>
      <c r="B74" s="2205">
        <f t="shared" ref="B74:C76" si="276">B75+(B$73-B$77)*I74/SUM(I$73:I$76)</f>
        <v>125.9720430107527</v>
      </c>
      <c r="C74" s="2205">
        <f t="shared" si="276"/>
        <v>125.1883408071749</v>
      </c>
      <c r="D74" s="2205">
        <f t="shared" si="246"/>
        <v>125.1883408071749</v>
      </c>
      <c r="E74" s="2205">
        <f t="shared" ref="E74:F76" si="277">E75+(E$73-E$77)*K74/SUM(K$73:K$76)</f>
        <v>144.61421319796952</v>
      </c>
      <c r="F74" s="2205">
        <f t="shared" si="277"/>
        <v>108.42008196721311</v>
      </c>
      <c r="G74" s="3821">
        <v>2005</v>
      </c>
      <c r="H74" s="2230">
        <v>3</v>
      </c>
      <c r="I74" s="2230">
        <v>0.46</v>
      </c>
      <c r="J74" s="2230">
        <v>0.32</v>
      </c>
      <c r="K74" s="2230">
        <v>0.42</v>
      </c>
      <c r="L74" s="2231">
        <v>0.64</v>
      </c>
      <c r="N74" s="2266">
        <f t="shared" si="274"/>
        <v>1.3898515951301874E-2</v>
      </c>
      <c r="O74" s="2267">
        <f t="shared" si="274"/>
        <v>1.0585900169080346E-2</v>
      </c>
      <c r="P74" s="2267">
        <f t="shared" si="275"/>
        <v>5.3299492385786795E-2</v>
      </c>
      <c r="Q74" s="2267">
        <f t="shared" si="275"/>
        <v>4.2898728359123568E-3</v>
      </c>
      <c r="R74" s="2208"/>
      <c r="S74" s="2207"/>
      <c r="T74" s="2192"/>
      <c r="U74" s="2192"/>
      <c r="V74" s="2192"/>
      <c r="X74" s="2268"/>
      <c r="Y74" s="2268"/>
      <c r="Z74" s="2268"/>
    </row>
    <row r="75" spans="1:26">
      <c r="A75" s="2204" t="s">
        <v>499</v>
      </c>
      <c r="B75" s="2205">
        <f t="shared" si="276"/>
        <v>124.29032258064517</v>
      </c>
      <c r="C75" s="2205">
        <f t="shared" si="276"/>
        <v>123.8968609865471</v>
      </c>
      <c r="D75" s="2205">
        <f t="shared" si="246"/>
        <v>123.8968609865471</v>
      </c>
      <c r="E75" s="2205">
        <f t="shared" si="277"/>
        <v>138.00507614213197</v>
      </c>
      <c r="F75" s="2205">
        <f t="shared" si="277"/>
        <v>107.96106557377048</v>
      </c>
      <c r="G75" s="3821">
        <v>2005</v>
      </c>
      <c r="H75" s="2217">
        <v>2</v>
      </c>
      <c r="I75" s="2217">
        <v>0.47</v>
      </c>
      <c r="J75" s="2217">
        <v>0.1</v>
      </c>
      <c r="K75" s="2217">
        <v>0.52</v>
      </c>
      <c r="L75" s="2218">
        <v>0.79</v>
      </c>
      <c r="N75" s="2266">
        <f t="shared" si="274"/>
        <v>1.420065760241713E-2</v>
      </c>
      <c r="O75" s="2267">
        <f t="shared" si="274"/>
        <v>3.3080938028376083E-3</v>
      </c>
      <c r="P75" s="2267">
        <f t="shared" si="275"/>
        <v>6.598984771573603E-2</v>
      </c>
      <c r="Q75" s="2267">
        <f t="shared" si="275"/>
        <v>5.2953117818293153E-3</v>
      </c>
      <c r="R75" s="2208"/>
      <c r="S75" s="2207"/>
      <c r="T75" s="2192"/>
      <c r="U75" s="2192"/>
      <c r="V75" s="2192"/>
      <c r="X75" s="2268"/>
      <c r="Y75" s="2268"/>
      <c r="Z75" s="2268"/>
    </row>
    <row r="76" spans="1:26">
      <c r="A76" s="2204" t="s">
        <v>500</v>
      </c>
      <c r="B76" s="2205">
        <f t="shared" si="276"/>
        <v>122.57204301075269</v>
      </c>
      <c r="C76" s="2205">
        <f t="shared" si="276"/>
        <v>123.4932735426009</v>
      </c>
      <c r="D76" s="2205">
        <f t="shared" si="246"/>
        <v>123.4932735426009</v>
      </c>
      <c r="E76" s="2205">
        <f t="shared" si="277"/>
        <v>129.82233502538071</v>
      </c>
      <c r="F76" s="2205">
        <f t="shared" si="277"/>
        <v>107.39446721311475</v>
      </c>
      <c r="G76" s="3822">
        <v>2005</v>
      </c>
      <c r="H76" s="2206">
        <v>1</v>
      </c>
      <c r="I76" s="2206">
        <v>0.43</v>
      </c>
      <c r="J76" s="2206">
        <v>0.37</v>
      </c>
      <c r="K76" s="2206">
        <v>0.37</v>
      </c>
      <c r="L76" s="2212">
        <v>0.55000000000000004</v>
      </c>
      <c r="N76" s="2269">
        <f t="shared" si="274"/>
        <v>1.2992090997956099E-2</v>
      </c>
      <c r="O76" s="2270">
        <f t="shared" si="274"/>
        <v>1.2239947070499151E-2</v>
      </c>
      <c r="P76" s="2270">
        <f t="shared" si="275"/>
        <v>4.6954314720812178E-2</v>
      </c>
      <c r="Q76" s="2270">
        <f t="shared" si="275"/>
        <v>3.6866094683621815E-3</v>
      </c>
      <c r="R76" s="2208"/>
      <c r="S76" s="2223">
        <f>B76/B77-1</f>
        <v>1.2992090997956174E-2</v>
      </c>
      <c r="T76" s="2224">
        <f>C76/C77-1</f>
        <v>1.2239947070499246E-2</v>
      </c>
      <c r="U76" s="2224">
        <f>E76/E77-1</f>
        <v>4.695431472081224E-2</v>
      </c>
      <c r="V76" s="2224">
        <f>F76/F77-1</f>
        <v>3.6866094683620787E-3</v>
      </c>
      <c r="X76" s="2268"/>
      <c r="Y76" s="2268"/>
      <c r="Z76" s="2268"/>
    </row>
    <row r="77" spans="1:26" ht="13.5" thickBot="1">
      <c r="A77" s="2204" t="s">
        <v>501</v>
      </c>
      <c r="B77" s="2254">
        <v>121</v>
      </c>
      <c r="C77" s="2254">
        <v>122</v>
      </c>
      <c r="D77" s="2254">
        <f t="shared" si="246"/>
        <v>122</v>
      </c>
      <c r="E77" s="2254">
        <v>124</v>
      </c>
      <c r="F77" s="2255">
        <v>107</v>
      </c>
      <c r="G77" s="3820">
        <v>2004</v>
      </c>
      <c r="H77" s="2225">
        <v>4</v>
      </c>
      <c r="I77" s="2225">
        <v>0.33</v>
      </c>
      <c r="J77" s="2225">
        <v>0.5</v>
      </c>
      <c r="K77" s="2225">
        <v>0.5</v>
      </c>
      <c r="L77" s="2226">
        <v>0</v>
      </c>
      <c r="N77" s="2266">
        <f t="shared" ref="N77:O80" si="278">I77/SUM(I$77:I$80)*(B$77/B$81-1)</f>
        <v>1.3391770148526898E-2</v>
      </c>
      <c r="O77" s="2267">
        <f t="shared" si="278"/>
        <v>1.063264221158958E-2</v>
      </c>
      <c r="P77" s="2267">
        <f t="shared" ref="P77:Q80" si="279">K77/SUM(K$77:K$80)*(E$77/E$81-1)</f>
        <v>2.2244466688911134E-2</v>
      </c>
      <c r="Q77" s="2267">
        <f t="shared" si="279"/>
        <v>0</v>
      </c>
      <c r="R77" s="2208"/>
      <c r="S77" s="2221"/>
      <c r="T77" s="2222"/>
      <c r="U77" s="2222"/>
      <c r="V77" s="2222"/>
      <c r="X77" s="2268"/>
      <c r="Y77" s="2268"/>
      <c r="Z77" s="2268"/>
    </row>
    <row r="78" spans="1:26">
      <c r="A78" s="2204" t="s">
        <v>502</v>
      </c>
      <c r="B78" s="2205">
        <f t="shared" ref="B78:C80" si="280">B79+(B$77-B$81)*I78/SUM(I$77:I$80)</f>
        <v>119.51351351351352</v>
      </c>
      <c r="C78" s="2205">
        <f t="shared" si="280"/>
        <v>120.7878787878788</v>
      </c>
      <c r="D78" s="2205">
        <f t="shared" si="246"/>
        <v>120.7878787878788</v>
      </c>
      <c r="E78" s="2205">
        <f t="shared" ref="E78:F80" si="281">E79+(E$77-E$81)*K78/SUM(K$77:K$80)</f>
        <v>121.5975975975976</v>
      </c>
      <c r="F78" s="2205">
        <f t="shared" si="281"/>
        <v>107</v>
      </c>
      <c r="G78" s="3821">
        <v>2004</v>
      </c>
      <c r="H78" s="2230">
        <v>3</v>
      </c>
      <c r="I78" s="2230">
        <v>0.56000000000000005</v>
      </c>
      <c r="J78" s="2230">
        <v>0.8</v>
      </c>
      <c r="K78" s="2230">
        <v>0.83</v>
      </c>
      <c r="L78" s="2231">
        <v>0.06</v>
      </c>
      <c r="N78" s="2266">
        <f t="shared" si="278"/>
        <v>2.2725428130833527E-2</v>
      </c>
      <c r="O78" s="2267">
        <f t="shared" si="278"/>
        <v>1.7012227538543329E-2</v>
      </c>
      <c r="P78" s="2267">
        <f t="shared" si="279"/>
        <v>3.6925814703592477E-2</v>
      </c>
      <c r="Q78" s="2267">
        <f t="shared" si="279"/>
        <v>2.8846153846153744E-2</v>
      </c>
      <c r="R78" s="2208"/>
      <c r="S78" s="2207"/>
      <c r="T78" s="2192"/>
      <c r="U78" s="2192"/>
      <c r="V78" s="2192"/>
      <c r="X78" s="2268"/>
      <c r="Y78" s="2268"/>
      <c r="Z78" s="2268"/>
    </row>
    <row r="79" spans="1:26">
      <c r="A79" s="2204" t="s">
        <v>503</v>
      </c>
      <c r="B79" s="2205">
        <f t="shared" si="280"/>
        <v>116.99099099099099</v>
      </c>
      <c r="C79" s="2205">
        <f t="shared" si="280"/>
        <v>118.84848484848486</v>
      </c>
      <c r="D79" s="2205">
        <f t="shared" si="246"/>
        <v>118.84848484848486</v>
      </c>
      <c r="E79" s="2205">
        <f t="shared" si="281"/>
        <v>117.60960960960961</v>
      </c>
      <c r="F79" s="2205">
        <f t="shared" si="281"/>
        <v>104</v>
      </c>
      <c r="G79" s="3821">
        <v>2004</v>
      </c>
      <c r="H79" s="2217">
        <v>2</v>
      </c>
      <c r="I79" s="2217">
        <v>1</v>
      </c>
      <c r="J79" s="2217">
        <v>1.5</v>
      </c>
      <c r="K79" s="2217">
        <v>1.5</v>
      </c>
      <c r="L79" s="2218">
        <v>0</v>
      </c>
      <c r="N79" s="2266">
        <f t="shared" si="278"/>
        <v>4.0581121662202721E-2</v>
      </c>
      <c r="O79" s="2267">
        <f t="shared" si="278"/>
        <v>3.1897926634768738E-2</v>
      </c>
      <c r="P79" s="2267">
        <f t="shared" si="279"/>
        <v>6.6733400066733395E-2</v>
      </c>
      <c r="Q79" s="2267">
        <f t="shared" si="279"/>
        <v>0</v>
      </c>
      <c r="R79" s="2208"/>
      <c r="S79" s="2207"/>
      <c r="T79" s="2192"/>
      <c r="U79" s="2192"/>
      <c r="V79" s="2192"/>
      <c r="X79" s="2268"/>
      <c r="Y79" s="2268"/>
      <c r="Z79" s="2268"/>
    </row>
    <row r="80" spans="1:26" s="2260" customFormat="1" ht="13.5" thickBot="1">
      <c r="A80" s="2204" t="s">
        <v>504</v>
      </c>
      <c r="B80" s="2257">
        <f t="shared" si="280"/>
        <v>112.48648648648648</v>
      </c>
      <c r="C80" s="2257">
        <f t="shared" si="280"/>
        <v>115.21212121212122</v>
      </c>
      <c r="D80" s="2257">
        <f t="shared" si="246"/>
        <v>115.21212121212122</v>
      </c>
      <c r="E80" s="2257">
        <f t="shared" si="281"/>
        <v>110.4024024024024</v>
      </c>
      <c r="F80" s="2257">
        <f t="shared" si="281"/>
        <v>104</v>
      </c>
      <c r="G80" s="3822">
        <v>2004</v>
      </c>
      <c r="H80" s="2258">
        <v>1</v>
      </c>
      <c r="I80" s="2258">
        <v>0.33</v>
      </c>
      <c r="J80" s="2258">
        <v>0.5</v>
      </c>
      <c r="K80" s="2258">
        <v>0.5</v>
      </c>
      <c r="L80" s="2259">
        <v>0</v>
      </c>
      <c r="N80" s="2271">
        <f t="shared" si="278"/>
        <v>1.3391770148526898E-2</v>
      </c>
      <c r="O80" s="2272">
        <f t="shared" si="278"/>
        <v>1.063264221158958E-2</v>
      </c>
      <c r="P80" s="2272">
        <f t="shared" si="279"/>
        <v>2.2244466688911134E-2</v>
      </c>
      <c r="Q80" s="2272">
        <f t="shared" si="279"/>
        <v>0</v>
      </c>
      <c r="R80" s="2263"/>
      <c r="S80" s="2261">
        <f>B80/B81-1</f>
        <v>1.3391770148526883E-2</v>
      </c>
      <c r="T80" s="2262">
        <f>C80/C81-1</f>
        <v>1.063264221158966E-2</v>
      </c>
      <c r="U80" s="2262">
        <f>E80/E81-1</f>
        <v>2.2244466688911224E-2</v>
      </c>
      <c r="V80" s="2262">
        <f>F80/F81-1</f>
        <v>0</v>
      </c>
      <c r="X80" s="2273"/>
      <c r="Y80" s="2273"/>
      <c r="Z80" s="2273"/>
    </row>
    <row r="81" spans="1:26" ht="13.5" thickBot="1">
      <c r="A81" s="2204" t="s">
        <v>505</v>
      </c>
      <c r="B81" s="2274">
        <v>111</v>
      </c>
      <c r="C81" s="2274">
        <v>114</v>
      </c>
      <c r="D81" s="2274">
        <f t="shared" si="246"/>
        <v>114</v>
      </c>
      <c r="E81" s="2274">
        <v>108</v>
      </c>
      <c r="F81" s="2275">
        <v>104</v>
      </c>
      <c r="G81" s="3820">
        <v>2003</v>
      </c>
      <c r="H81" s="2264">
        <v>4</v>
      </c>
      <c r="I81" s="2276"/>
      <c r="J81" s="2276"/>
      <c r="K81" s="2276"/>
      <c r="L81" s="2276"/>
      <c r="N81" s="2277"/>
      <c r="O81" s="2276"/>
      <c r="P81" s="2276"/>
      <c r="Q81" s="2276"/>
      <c r="S81" s="2277"/>
      <c r="T81" s="2276"/>
      <c r="U81" s="2276"/>
      <c r="V81" s="2276"/>
      <c r="X81" s="2268"/>
      <c r="Y81" s="2268"/>
      <c r="Z81" s="2268"/>
    </row>
    <row r="82" spans="1:26">
      <c r="A82" s="2204" t="s">
        <v>506</v>
      </c>
      <c r="B82" s="2278">
        <f t="shared" ref="B82:C84" si="282">B83+(B$81-B$85)/4</f>
        <v>109.75</v>
      </c>
      <c r="C82" s="2278">
        <f t="shared" si="282"/>
        <v>112.25</v>
      </c>
      <c r="D82" s="2278">
        <f t="shared" si="246"/>
        <v>112.25</v>
      </c>
      <c r="E82" s="2278">
        <f t="shared" ref="E82:F84" si="283">E83+(E$81-E$85)/4</f>
        <v>107.25</v>
      </c>
      <c r="F82" s="2278">
        <f t="shared" si="283"/>
        <v>103.5</v>
      </c>
      <c r="G82" s="3821">
        <v>2003</v>
      </c>
      <c r="H82" s="2230">
        <v>3</v>
      </c>
      <c r="I82" s="2276"/>
      <c r="J82" s="2276"/>
      <c r="K82" s="2276"/>
      <c r="L82" s="2276"/>
      <c r="X82" s="2268"/>
      <c r="Y82" s="2268"/>
      <c r="Z82" s="2268"/>
    </row>
    <row r="83" spans="1:26">
      <c r="A83" s="2204" t="s">
        <v>507</v>
      </c>
      <c r="B83" s="2278">
        <f t="shared" si="282"/>
        <v>108.5</v>
      </c>
      <c r="C83" s="2278">
        <f t="shared" si="282"/>
        <v>110.5</v>
      </c>
      <c r="D83" s="2278">
        <f t="shared" si="246"/>
        <v>110.5</v>
      </c>
      <c r="E83" s="2278">
        <f t="shared" si="283"/>
        <v>106.5</v>
      </c>
      <c r="F83" s="2278">
        <f t="shared" si="283"/>
        <v>103</v>
      </c>
      <c r="G83" s="3821">
        <v>2003</v>
      </c>
      <c r="H83" s="2217">
        <v>2</v>
      </c>
      <c r="I83" s="2276"/>
      <c r="J83" s="2276"/>
      <c r="K83" s="2276"/>
      <c r="L83" s="2276"/>
      <c r="X83" s="2268"/>
      <c r="Y83" s="2268"/>
      <c r="Z83" s="2268"/>
    </row>
    <row r="84" spans="1:26" ht="13.5" thickBot="1">
      <c r="A84" s="2204" t="s">
        <v>508</v>
      </c>
      <c r="B84" s="2278">
        <f t="shared" si="282"/>
        <v>107.25</v>
      </c>
      <c r="C84" s="2278">
        <f t="shared" si="282"/>
        <v>108.75</v>
      </c>
      <c r="D84" s="2278">
        <f t="shared" si="246"/>
        <v>108.75</v>
      </c>
      <c r="E84" s="2278">
        <f t="shared" si="283"/>
        <v>105.75</v>
      </c>
      <c r="F84" s="2278">
        <f t="shared" si="283"/>
        <v>102.5</v>
      </c>
      <c r="G84" s="3822">
        <v>2003</v>
      </c>
      <c r="H84" s="2279">
        <v>1</v>
      </c>
      <c r="I84" s="2276"/>
      <c r="J84" s="2276"/>
      <c r="K84" s="2276"/>
      <c r="L84" s="2276"/>
      <c r="S84" s="2207"/>
      <c r="T84" s="2192"/>
      <c r="U84" s="2192"/>
      <c r="X84" s="2268"/>
      <c r="Y84" s="2268"/>
      <c r="Z84" s="2268"/>
    </row>
    <row r="85" spans="1:26" ht="13.5" thickBot="1">
      <c r="A85" s="2204" t="s">
        <v>509</v>
      </c>
      <c r="B85" s="2280">
        <v>106</v>
      </c>
      <c r="C85" s="2280">
        <v>107</v>
      </c>
      <c r="D85" s="2280">
        <f t="shared" si="246"/>
        <v>107</v>
      </c>
      <c r="E85" s="2280">
        <v>105</v>
      </c>
      <c r="F85" s="2281">
        <v>102</v>
      </c>
      <c r="G85" s="3820">
        <v>2002</v>
      </c>
      <c r="H85" s="2225">
        <v>4</v>
      </c>
      <c r="I85" s="2276"/>
      <c r="J85" s="2276"/>
      <c r="K85" s="2276"/>
      <c r="L85" s="2276"/>
      <c r="N85" s="2277"/>
      <c r="O85" s="2276"/>
      <c r="P85" s="2276"/>
      <c r="Q85" s="2276"/>
      <c r="S85" s="2277"/>
      <c r="T85" s="2276"/>
      <c r="U85" s="2276"/>
      <c r="V85" s="2276"/>
      <c r="X85" s="2268"/>
      <c r="Y85" s="2268"/>
      <c r="Z85" s="2268"/>
    </row>
    <row r="86" spans="1:26">
      <c r="A86" s="2204" t="s">
        <v>510</v>
      </c>
      <c r="B86" s="2278">
        <f t="shared" ref="B86:C88" si="284">B87+(B$85-B$89)/4</f>
        <v>105</v>
      </c>
      <c r="C86" s="2278">
        <f t="shared" si="284"/>
        <v>106</v>
      </c>
      <c r="D86" s="2278">
        <f t="shared" si="246"/>
        <v>106</v>
      </c>
      <c r="E86" s="2278">
        <f t="shared" ref="E86:F88" si="285">E87+(E$85-E$89)/4</f>
        <v>104.5</v>
      </c>
      <c r="F86" s="2278">
        <f t="shared" si="285"/>
        <v>101.5</v>
      </c>
      <c r="G86" s="3821">
        <v>2002</v>
      </c>
      <c r="H86" s="2230">
        <v>3</v>
      </c>
      <c r="I86" s="2276"/>
      <c r="J86" s="2276"/>
      <c r="K86" s="2276"/>
      <c r="L86" s="2276"/>
      <c r="X86" s="2268"/>
      <c r="Y86" s="2268"/>
      <c r="Z86" s="2268"/>
    </row>
    <row r="87" spans="1:26">
      <c r="A87" s="2204" t="s">
        <v>511</v>
      </c>
      <c r="B87" s="2278">
        <f t="shared" si="284"/>
        <v>104</v>
      </c>
      <c r="C87" s="2278">
        <f t="shared" si="284"/>
        <v>105</v>
      </c>
      <c r="D87" s="2278">
        <f t="shared" si="246"/>
        <v>105</v>
      </c>
      <c r="E87" s="2278">
        <f t="shared" si="285"/>
        <v>104</v>
      </c>
      <c r="F87" s="2278">
        <f t="shared" si="285"/>
        <v>101</v>
      </c>
      <c r="G87" s="3821">
        <v>2002</v>
      </c>
      <c r="H87" s="2217">
        <v>2</v>
      </c>
      <c r="I87" s="2276"/>
      <c r="J87" s="2276"/>
      <c r="K87" s="2276"/>
      <c r="L87" s="2276"/>
      <c r="X87" s="2268"/>
      <c r="Y87" s="2268"/>
      <c r="Z87" s="2268"/>
    </row>
    <row r="88" spans="1:26" s="2241" customFormat="1" ht="13.5" thickBot="1">
      <c r="A88" s="2237" t="s">
        <v>512</v>
      </c>
      <c r="B88" s="2244">
        <f t="shared" si="284"/>
        <v>103</v>
      </c>
      <c r="C88" s="2244">
        <f t="shared" si="284"/>
        <v>104</v>
      </c>
      <c r="D88" s="2244">
        <f t="shared" si="246"/>
        <v>104</v>
      </c>
      <c r="E88" s="2244">
        <f t="shared" si="285"/>
        <v>103.5</v>
      </c>
      <c r="F88" s="2244">
        <f t="shared" si="285"/>
        <v>100.5</v>
      </c>
      <c r="G88" s="3822">
        <v>2002</v>
      </c>
      <c r="H88" s="2282">
        <v>1</v>
      </c>
      <c r="I88" s="2283"/>
      <c r="J88" s="2283"/>
      <c r="K88" s="2283"/>
      <c r="L88" s="2283"/>
      <c r="N88" s="2284"/>
      <c r="S88" s="2284"/>
      <c r="X88" s="2285"/>
      <c r="Y88" s="2285"/>
      <c r="Z88" s="2285"/>
    </row>
    <row r="89" spans="1:26" ht="13.5" thickBot="1">
      <c r="B89" s="2286">
        <v>102</v>
      </c>
      <c r="C89" s="2287">
        <v>103</v>
      </c>
      <c r="D89" s="2287">
        <f t="shared" si="246"/>
        <v>103</v>
      </c>
      <c r="E89" s="2287">
        <v>103</v>
      </c>
      <c r="F89" s="2288">
        <v>100</v>
      </c>
      <c r="I89" s="2276"/>
      <c r="J89" s="2276"/>
      <c r="K89" s="2276"/>
      <c r="L89" s="2276"/>
      <c r="N89" s="2277"/>
      <c r="O89" s="2276"/>
      <c r="P89" s="2276"/>
      <c r="Q89" s="2276"/>
      <c r="S89" s="2277"/>
      <c r="T89" s="2276"/>
      <c r="U89" s="2276"/>
      <c r="V89" s="2276"/>
      <c r="X89" s="2222"/>
      <c r="Y89" s="2222"/>
      <c r="Z89" s="2222"/>
    </row>
    <row r="91" spans="1:26" s="2290" customFormat="1">
      <c r="A91" s="2289" t="s">
        <v>513</v>
      </c>
      <c r="G91" s="2291"/>
      <c r="N91" s="2291"/>
      <c r="S91" s="2291"/>
    </row>
    <row r="92" spans="1:26" s="2290" customFormat="1">
      <c r="A92" s="2290" t="s">
        <v>514</v>
      </c>
      <c r="G92" s="2291"/>
      <c r="N92" s="2291"/>
      <c r="S92" s="2291"/>
    </row>
    <row r="93" spans="1:26" s="2290" customFormat="1">
      <c r="A93" s="2290" t="s">
        <v>515</v>
      </c>
      <c r="G93" s="2291"/>
      <c r="I93" s="2292"/>
      <c r="J93" s="2292"/>
      <c r="K93" s="2292"/>
      <c r="L93" s="2292"/>
      <c r="N93" s="2293"/>
      <c r="O93" s="2292"/>
      <c r="P93" s="2292"/>
      <c r="Q93" s="2292"/>
      <c r="S93" s="2293"/>
      <c r="T93" s="2292"/>
      <c r="U93" s="2292"/>
      <c r="V93" s="2292"/>
    </row>
    <row r="94" spans="1:26" s="2290" customFormat="1">
      <c r="A94" s="2290" t="s">
        <v>516</v>
      </c>
      <c r="G94" s="2291"/>
      <c r="N94" s="2291"/>
      <c r="S94" s="2291"/>
    </row>
    <row r="101" spans="7:22" ht="13.5" thickBot="1"/>
    <row r="102" spans="7:22">
      <c r="G102" s="2191"/>
      <c r="S102" s="2294" t="s">
        <v>517</v>
      </c>
      <c r="T102" s="2295" t="s">
        <v>518</v>
      </c>
      <c r="U102" s="2295" t="s">
        <v>519</v>
      </c>
      <c r="V102" s="2295" t="s">
        <v>520</v>
      </c>
    </row>
    <row r="103" spans="7:22">
      <c r="G103" s="2191"/>
      <c r="N103" s="2221"/>
      <c r="O103" s="2222"/>
      <c r="P103" s="2222"/>
      <c r="Q103" s="2222"/>
      <c r="S103" s="2296">
        <v>2006</v>
      </c>
      <c r="T103" s="2297">
        <v>15.1</v>
      </c>
      <c r="U103" s="2297">
        <v>7.43</v>
      </c>
      <c r="V103" s="2297">
        <v>26.26</v>
      </c>
    </row>
    <row r="104" spans="7:22">
      <c r="G104" s="2191"/>
      <c r="N104" s="2221"/>
      <c r="O104" s="2222"/>
      <c r="P104" s="2222"/>
      <c r="Q104" s="2222"/>
      <c r="S104" s="2298">
        <v>2005</v>
      </c>
      <c r="T104" s="2299">
        <v>13.9</v>
      </c>
      <c r="U104" s="2299">
        <v>7.49</v>
      </c>
      <c r="V104" s="2299">
        <v>24.92</v>
      </c>
    </row>
    <row r="105" spans="7:22">
      <c r="G105" s="2191"/>
      <c r="N105" s="2221"/>
      <c r="O105" s="2222"/>
      <c r="P105" s="2222"/>
      <c r="Q105" s="2222"/>
      <c r="S105" s="2296">
        <v>2004</v>
      </c>
      <c r="T105" s="2297">
        <v>9.48</v>
      </c>
      <c r="U105" s="2297">
        <v>7.2</v>
      </c>
      <c r="V105" s="2297">
        <v>14.68</v>
      </c>
    </row>
    <row r="106" spans="7:22">
      <c r="G106" s="2191"/>
      <c r="N106" s="2221"/>
      <c r="O106" s="2222"/>
      <c r="P106" s="2222"/>
      <c r="Q106" s="2222"/>
      <c r="S106" s="2298">
        <v>2003</v>
      </c>
      <c r="T106" s="2299">
        <v>4.5</v>
      </c>
      <c r="U106" s="2299">
        <v>6.12</v>
      </c>
      <c r="V106" s="2299">
        <v>2.34</v>
      </c>
    </row>
    <row r="107" spans="7:22" ht="13.5" thickBot="1">
      <c r="G107" s="2191"/>
      <c r="N107" s="2221"/>
      <c r="O107" s="2222"/>
      <c r="P107" s="2222"/>
      <c r="Q107" s="2222"/>
      <c r="S107" s="2300">
        <v>2002</v>
      </c>
      <c r="T107" s="2301">
        <v>3.59</v>
      </c>
      <c r="U107" s="2301">
        <v>4.54</v>
      </c>
      <c r="V107" s="2301">
        <v>2.5499999999999998</v>
      </c>
    </row>
    <row r="108" spans="7:22">
      <c r="G108" s="2191"/>
      <c r="N108" s="2221"/>
      <c r="O108" s="2222"/>
      <c r="P108" s="2222"/>
      <c r="Q108" s="2222"/>
    </row>
    <row r="109" spans="7:22">
      <c r="G109" s="2191"/>
      <c r="N109" s="2221"/>
      <c r="O109" s="2222"/>
      <c r="P109" s="2222"/>
      <c r="Q109" s="2222"/>
    </row>
    <row r="110" spans="7:22">
      <c r="G110" s="2191"/>
      <c r="N110" s="2221"/>
      <c r="O110" s="2222"/>
      <c r="P110" s="2222"/>
      <c r="Q110" s="2222"/>
    </row>
    <row r="111" spans="7:22">
      <c r="G111" s="2191"/>
      <c r="N111" s="2221"/>
      <c r="O111" s="2222"/>
      <c r="P111" s="2222"/>
      <c r="Q111" s="2222"/>
    </row>
    <row r="112" spans="7:22">
      <c r="G112" s="2191"/>
      <c r="N112" s="2221"/>
      <c r="O112" s="2222"/>
      <c r="P112" s="2222"/>
      <c r="Q112" s="2222"/>
    </row>
    <row r="113" spans="7:19">
      <c r="G113" s="2191"/>
      <c r="N113" s="2221"/>
      <c r="O113" s="2222"/>
      <c r="P113" s="2222"/>
      <c r="Q113" s="2222"/>
    </row>
    <row r="114" spans="7:19">
      <c r="G114" s="2191"/>
      <c r="N114" s="2221"/>
      <c r="O114" s="2222"/>
      <c r="P114" s="2222"/>
      <c r="Q114" s="2222"/>
    </row>
    <row r="115" spans="7:19">
      <c r="G115" s="2191"/>
      <c r="N115" s="2221"/>
      <c r="O115" s="2222"/>
      <c r="P115" s="2222"/>
      <c r="Q115" s="2222"/>
    </row>
    <row r="116" spans="7:19">
      <c r="G116" s="2191"/>
      <c r="N116" s="2221"/>
      <c r="O116" s="2222"/>
      <c r="P116" s="2222"/>
      <c r="Q116" s="2222"/>
    </row>
    <row r="117" spans="7:19">
      <c r="G117" s="2191"/>
      <c r="N117" s="2221"/>
      <c r="O117" s="2222"/>
      <c r="P117" s="2222"/>
      <c r="Q117" s="2222"/>
    </row>
    <row r="118" spans="7:19">
      <c r="G118" s="2191"/>
      <c r="N118" s="2221"/>
      <c r="O118" s="2222"/>
      <c r="P118" s="2222"/>
      <c r="Q118" s="2222"/>
      <c r="S118" s="2191"/>
    </row>
    <row r="119" spans="7:19">
      <c r="G119" s="2191"/>
      <c r="N119" s="2221"/>
      <c r="O119" s="2222"/>
      <c r="P119" s="2222"/>
      <c r="Q119" s="2222"/>
      <c r="S119" s="2191"/>
    </row>
    <row r="120" spans="7:19">
      <c r="G120" s="2191"/>
      <c r="N120" s="2221"/>
      <c r="O120" s="2222"/>
      <c r="P120" s="2222"/>
      <c r="Q120" s="2222"/>
      <c r="S120" s="2191"/>
    </row>
    <row r="121" spans="7:19">
      <c r="G121" s="2191"/>
      <c r="N121" s="2221"/>
      <c r="O121" s="2222"/>
      <c r="P121" s="2222"/>
      <c r="Q121" s="2222"/>
      <c r="S121" s="2191"/>
    </row>
    <row r="122" spans="7:19">
      <c r="G122" s="2191"/>
      <c r="N122" s="2221"/>
      <c r="O122" s="2222"/>
      <c r="P122" s="2222"/>
      <c r="Q122" s="2222"/>
      <c r="S122" s="2191"/>
    </row>
    <row r="123" spans="7:19">
      <c r="G123" s="2191"/>
      <c r="N123" s="2221"/>
      <c r="O123" s="2222"/>
      <c r="P123" s="2222"/>
      <c r="Q123" s="2222"/>
      <c r="S123" s="2191"/>
    </row>
  </sheetData>
  <sheetProtection password="CEE9" sheet="1" objects="1" scenarios="1" formatCells="0"/>
  <mergeCells count="23">
    <mergeCell ref="X1:AB1"/>
    <mergeCell ref="AD1:AH1"/>
    <mergeCell ref="G45:G48"/>
    <mergeCell ref="B1:F1"/>
    <mergeCell ref="G1:L1"/>
    <mergeCell ref="N1:Q1"/>
    <mergeCell ref="S1:V1"/>
    <mergeCell ref="G29:G32"/>
    <mergeCell ref="G33:G36"/>
    <mergeCell ref="G37:G40"/>
    <mergeCell ref="G41:G44"/>
    <mergeCell ref="G21:G24"/>
    <mergeCell ref="G25:G28"/>
    <mergeCell ref="G73:G76"/>
    <mergeCell ref="G77:G80"/>
    <mergeCell ref="G81:G84"/>
    <mergeCell ref="G85:G88"/>
    <mergeCell ref="G49:G52"/>
    <mergeCell ref="G53:G56"/>
    <mergeCell ref="G57:G60"/>
    <mergeCell ref="G61:G64"/>
    <mergeCell ref="G65:G68"/>
    <mergeCell ref="G69:G72"/>
  </mergeCells>
  <phoneticPr fontId="133" type="noConversion"/>
  <pageMargins left="0.7" right="0.7" top="0.75" bottom="0.75" header="0.3" footer="0.3"/>
</worksheet>
</file>

<file path=xl/worksheets/sheet4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IW74"/>
  <sheetViews>
    <sheetView workbookViewId="0">
      <selection activeCell="H18" sqref="H18"/>
    </sheetView>
  </sheetViews>
  <sheetFormatPr defaultRowHeight="13.5"/>
  <cols>
    <col min="1" max="1" width="4.875" style="1241" customWidth="1"/>
    <col min="2" max="2" width="13.25" style="1247" customWidth="1"/>
    <col min="3" max="3" width="15.625" style="1247" customWidth="1"/>
    <col min="4" max="4" width="9.375" style="1247" bestFit="1" customWidth="1"/>
    <col min="5" max="5" width="13.5" style="1247" customWidth="1"/>
    <col min="6" max="6" width="9" style="1247"/>
    <col min="7" max="7" width="9.375" style="1247" bestFit="1" customWidth="1"/>
    <col min="8" max="8" width="12.25" style="1247" customWidth="1"/>
    <col min="9" max="9" width="9" style="1247"/>
    <col min="10" max="10" width="9.375" style="1247" bestFit="1" customWidth="1"/>
    <col min="11" max="11" width="4" style="1241" customWidth="1"/>
    <col min="12" max="12" width="5.125" style="1247" customWidth="1"/>
    <col min="13" max="13" width="13.75" style="1247" customWidth="1"/>
    <col min="14" max="256" width="9" style="1247"/>
    <col min="257" max="257" width="4.875" style="1238" customWidth="1"/>
    <col min="258" max="258" width="13.25" style="1238" customWidth="1"/>
    <col min="259" max="259" width="15.625" style="1238" customWidth="1"/>
    <col min="260" max="260" width="9.375" style="1238" bestFit="1" customWidth="1"/>
    <col min="261" max="261" width="13.5" style="1238" customWidth="1"/>
    <col min="262" max="262" width="9" style="1238"/>
    <col min="263" max="263" width="9.375" style="1238" bestFit="1" customWidth="1"/>
    <col min="264" max="265" width="9" style="1238"/>
    <col min="266" max="266" width="9.375" style="1238" bestFit="1" customWidth="1"/>
    <col min="267" max="267" width="4" style="1238" customWidth="1"/>
    <col min="268" max="268" width="5.125" style="1238" customWidth="1"/>
    <col min="269" max="269" width="13.75" style="1238" customWidth="1"/>
    <col min="270" max="512" width="9" style="1238"/>
    <col min="513" max="513" width="4.875" style="1238" customWidth="1"/>
    <col min="514" max="514" width="13.25" style="1238" customWidth="1"/>
    <col min="515" max="515" width="15.625" style="1238" customWidth="1"/>
    <col min="516" max="516" width="9.375" style="1238" bestFit="1" customWidth="1"/>
    <col min="517" max="517" width="13.5" style="1238" customWidth="1"/>
    <col min="518" max="518" width="9" style="1238"/>
    <col min="519" max="519" width="9.375" style="1238" bestFit="1" customWidth="1"/>
    <col min="520" max="521" width="9" style="1238"/>
    <col min="522" max="522" width="9.375" style="1238" bestFit="1" customWidth="1"/>
    <col min="523" max="523" width="4" style="1238" customWidth="1"/>
    <col min="524" max="524" width="5.125" style="1238" customWidth="1"/>
    <col min="525" max="525" width="13.75" style="1238" customWidth="1"/>
    <col min="526" max="768" width="9" style="1238"/>
    <col min="769" max="769" width="4.875" style="1238" customWidth="1"/>
    <col min="770" max="770" width="13.25" style="1238" customWidth="1"/>
    <col min="771" max="771" width="15.625" style="1238" customWidth="1"/>
    <col min="772" max="772" width="9.375" style="1238" bestFit="1" customWidth="1"/>
    <col min="773" max="773" width="13.5" style="1238" customWidth="1"/>
    <col min="774" max="774" width="9" style="1238"/>
    <col min="775" max="775" width="9.375" style="1238" bestFit="1" customWidth="1"/>
    <col min="776" max="777" width="9" style="1238"/>
    <col min="778" max="778" width="9.375" style="1238" bestFit="1" customWidth="1"/>
    <col min="779" max="779" width="4" style="1238" customWidth="1"/>
    <col min="780" max="780" width="5.125" style="1238" customWidth="1"/>
    <col min="781" max="781" width="13.75" style="1238" customWidth="1"/>
    <col min="782" max="1024" width="9" style="1238"/>
    <col min="1025" max="1025" width="4.875" style="1238" customWidth="1"/>
    <col min="1026" max="1026" width="13.25" style="1238" customWidth="1"/>
    <col min="1027" max="1027" width="15.625" style="1238" customWidth="1"/>
    <col min="1028" max="1028" width="9.375" style="1238" bestFit="1" customWidth="1"/>
    <col min="1029" max="1029" width="13.5" style="1238" customWidth="1"/>
    <col min="1030" max="1030" width="9" style="1238"/>
    <col min="1031" max="1031" width="9.375" style="1238" bestFit="1" customWidth="1"/>
    <col min="1032" max="1033" width="9" style="1238"/>
    <col min="1034" max="1034" width="9.375" style="1238" bestFit="1" customWidth="1"/>
    <col min="1035" max="1035" width="4" style="1238" customWidth="1"/>
    <col min="1036" max="1036" width="5.125" style="1238" customWidth="1"/>
    <col min="1037" max="1037" width="13.75" style="1238" customWidth="1"/>
    <col min="1038" max="1280" width="9" style="1238"/>
    <col min="1281" max="1281" width="4.875" style="1238" customWidth="1"/>
    <col min="1282" max="1282" width="13.25" style="1238" customWidth="1"/>
    <col min="1283" max="1283" width="15.625" style="1238" customWidth="1"/>
    <col min="1284" max="1284" width="9.375" style="1238" bestFit="1" customWidth="1"/>
    <col min="1285" max="1285" width="13.5" style="1238" customWidth="1"/>
    <col min="1286" max="1286" width="9" style="1238"/>
    <col min="1287" max="1287" width="9.375" style="1238" bestFit="1" customWidth="1"/>
    <col min="1288" max="1289" width="9" style="1238"/>
    <col min="1290" max="1290" width="9.375" style="1238" bestFit="1" customWidth="1"/>
    <col min="1291" max="1291" width="4" style="1238" customWidth="1"/>
    <col min="1292" max="1292" width="5.125" style="1238" customWidth="1"/>
    <col min="1293" max="1293" width="13.75" style="1238" customWidth="1"/>
    <col min="1294" max="1536" width="9" style="1238"/>
    <col min="1537" max="1537" width="4.875" style="1238" customWidth="1"/>
    <col min="1538" max="1538" width="13.25" style="1238" customWidth="1"/>
    <col min="1539" max="1539" width="15.625" style="1238" customWidth="1"/>
    <col min="1540" max="1540" width="9.375" style="1238" bestFit="1" customWidth="1"/>
    <col min="1541" max="1541" width="13.5" style="1238" customWidth="1"/>
    <col min="1542" max="1542" width="9" style="1238"/>
    <col min="1543" max="1543" width="9.375" style="1238" bestFit="1" customWidth="1"/>
    <col min="1544" max="1545" width="9" style="1238"/>
    <col min="1546" max="1546" width="9.375" style="1238" bestFit="1" customWidth="1"/>
    <col min="1547" max="1547" width="4" style="1238" customWidth="1"/>
    <col min="1548" max="1548" width="5.125" style="1238" customWidth="1"/>
    <col min="1549" max="1549" width="13.75" style="1238" customWidth="1"/>
    <col min="1550" max="1792" width="9" style="1238"/>
    <col min="1793" max="1793" width="4.875" style="1238" customWidth="1"/>
    <col min="1794" max="1794" width="13.25" style="1238" customWidth="1"/>
    <col min="1795" max="1795" width="15.625" style="1238" customWidth="1"/>
    <col min="1796" max="1796" width="9.375" style="1238" bestFit="1" customWidth="1"/>
    <col min="1797" max="1797" width="13.5" style="1238" customWidth="1"/>
    <col min="1798" max="1798" width="9" style="1238"/>
    <col min="1799" max="1799" width="9.375" style="1238" bestFit="1" customWidth="1"/>
    <col min="1800" max="1801" width="9" style="1238"/>
    <col min="1802" max="1802" width="9.375" style="1238" bestFit="1" customWidth="1"/>
    <col min="1803" max="1803" width="4" style="1238" customWidth="1"/>
    <col min="1804" max="1804" width="5.125" style="1238" customWidth="1"/>
    <col min="1805" max="1805" width="13.75" style="1238" customWidth="1"/>
    <col min="1806" max="2048" width="9" style="1238"/>
    <col min="2049" max="2049" width="4.875" style="1238" customWidth="1"/>
    <col min="2050" max="2050" width="13.25" style="1238" customWidth="1"/>
    <col min="2051" max="2051" width="15.625" style="1238" customWidth="1"/>
    <col min="2052" max="2052" width="9.375" style="1238" bestFit="1" customWidth="1"/>
    <col min="2053" max="2053" width="13.5" style="1238" customWidth="1"/>
    <col min="2054" max="2054" width="9" style="1238"/>
    <col min="2055" max="2055" width="9.375" style="1238" bestFit="1" customWidth="1"/>
    <col min="2056" max="2057" width="9" style="1238"/>
    <col min="2058" max="2058" width="9.375" style="1238" bestFit="1" customWidth="1"/>
    <col min="2059" max="2059" width="4" style="1238" customWidth="1"/>
    <col min="2060" max="2060" width="5.125" style="1238" customWidth="1"/>
    <col min="2061" max="2061" width="13.75" style="1238" customWidth="1"/>
    <col min="2062" max="2304" width="9" style="1238"/>
    <col min="2305" max="2305" width="4.875" style="1238" customWidth="1"/>
    <col min="2306" max="2306" width="13.25" style="1238" customWidth="1"/>
    <col min="2307" max="2307" width="15.625" style="1238" customWidth="1"/>
    <col min="2308" max="2308" width="9.375" style="1238" bestFit="1" customWidth="1"/>
    <col min="2309" max="2309" width="13.5" style="1238" customWidth="1"/>
    <col min="2310" max="2310" width="9" style="1238"/>
    <col min="2311" max="2311" width="9.375" style="1238" bestFit="1" customWidth="1"/>
    <col min="2312" max="2313" width="9" style="1238"/>
    <col min="2314" max="2314" width="9.375" style="1238" bestFit="1" customWidth="1"/>
    <col min="2315" max="2315" width="4" style="1238" customWidth="1"/>
    <col min="2316" max="2316" width="5.125" style="1238" customWidth="1"/>
    <col min="2317" max="2317" width="13.75" style="1238" customWidth="1"/>
    <col min="2318" max="2560" width="9" style="1238"/>
    <col min="2561" max="2561" width="4.875" style="1238" customWidth="1"/>
    <col min="2562" max="2562" width="13.25" style="1238" customWidth="1"/>
    <col min="2563" max="2563" width="15.625" style="1238" customWidth="1"/>
    <col min="2564" max="2564" width="9.375" style="1238" bestFit="1" customWidth="1"/>
    <col min="2565" max="2565" width="13.5" style="1238" customWidth="1"/>
    <col min="2566" max="2566" width="9" style="1238"/>
    <col min="2567" max="2567" width="9.375" style="1238" bestFit="1" customWidth="1"/>
    <col min="2568" max="2569" width="9" style="1238"/>
    <col min="2570" max="2570" width="9.375" style="1238" bestFit="1" customWidth="1"/>
    <col min="2571" max="2571" width="4" style="1238" customWidth="1"/>
    <col min="2572" max="2572" width="5.125" style="1238" customWidth="1"/>
    <col min="2573" max="2573" width="13.75" style="1238" customWidth="1"/>
    <col min="2574" max="2816" width="9" style="1238"/>
    <col min="2817" max="2817" width="4.875" style="1238" customWidth="1"/>
    <col min="2818" max="2818" width="13.25" style="1238" customWidth="1"/>
    <col min="2819" max="2819" width="15.625" style="1238" customWidth="1"/>
    <col min="2820" max="2820" width="9.375" style="1238" bestFit="1" customWidth="1"/>
    <col min="2821" max="2821" width="13.5" style="1238" customWidth="1"/>
    <col min="2822" max="2822" width="9" style="1238"/>
    <col min="2823" max="2823" width="9.375" style="1238" bestFit="1" customWidth="1"/>
    <col min="2824" max="2825" width="9" style="1238"/>
    <col min="2826" max="2826" width="9.375" style="1238" bestFit="1" customWidth="1"/>
    <col min="2827" max="2827" width="4" style="1238" customWidth="1"/>
    <col min="2828" max="2828" width="5.125" style="1238" customWidth="1"/>
    <col min="2829" max="2829" width="13.75" style="1238" customWidth="1"/>
    <col min="2830" max="3072" width="9" style="1238"/>
    <col min="3073" max="3073" width="4.875" style="1238" customWidth="1"/>
    <col min="3074" max="3074" width="13.25" style="1238" customWidth="1"/>
    <col min="3075" max="3075" width="15.625" style="1238" customWidth="1"/>
    <col min="3076" max="3076" width="9.375" style="1238" bestFit="1" customWidth="1"/>
    <col min="3077" max="3077" width="13.5" style="1238" customWidth="1"/>
    <col min="3078" max="3078" width="9" style="1238"/>
    <col min="3079" max="3079" width="9.375" style="1238" bestFit="1" customWidth="1"/>
    <col min="3080" max="3081" width="9" style="1238"/>
    <col min="3082" max="3082" width="9.375" style="1238" bestFit="1" customWidth="1"/>
    <col min="3083" max="3083" width="4" style="1238" customWidth="1"/>
    <col min="3084" max="3084" width="5.125" style="1238" customWidth="1"/>
    <col min="3085" max="3085" width="13.75" style="1238" customWidth="1"/>
    <col min="3086" max="3328" width="9" style="1238"/>
    <col min="3329" max="3329" width="4.875" style="1238" customWidth="1"/>
    <col min="3330" max="3330" width="13.25" style="1238" customWidth="1"/>
    <col min="3331" max="3331" width="15.625" style="1238" customWidth="1"/>
    <col min="3332" max="3332" width="9.375" style="1238" bestFit="1" customWidth="1"/>
    <col min="3333" max="3333" width="13.5" style="1238" customWidth="1"/>
    <col min="3334" max="3334" width="9" style="1238"/>
    <col min="3335" max="3335" width="9.375" style="1238" bestFit="1" customWidth="1"/>
    <col min="3336" max="3337" width="9" style="1238"/>
    <col min="3338" max="3338" width="9.375" style="1238" bestFit="1" customWidth="1"/>
    <col min="3339" max="3339" width="4" style="1238" customWidth="1"/>
    <col min="3340" max="3340" width="5.125" style="1238" customWidth="1"/>
    <col min="3341" max="3341" width="13.75" style="1238" customWidth="1"/>
    <col min="3342" max="3584" width="9" style="1238"/>
    <col min="3585" max="3585" width="4.875" style="1238" customWidth="1"/>
    <col min="3586" max="3586" width="13.25" style="1238" customWidth="1"/>
    <col min="3587" max="3587" width="15.625" style="1238" customWidth="1"/>
    <col min="3588" max="3588" width="9.375" style="1238" bestFit="1" customWidth="1"/>
    <col min="3589" max="3589" width="13.5" style="1238" customWidth="1"/>
    <col min="3590" max="3590" width="9" style="1238"/>
    <col min="3591" max="3591" width="9.375" style="1238" bestFit="1" customWidth="1"/>
    <col min="3592" max="3593" width="9" style="1238"/>
    <col min="3594" max="3594" width="9.375" style="1238" bestFit="1" customWidth="1"/>
    <col min="3595" max="3595" width="4" style="1238" customWidth="1"/>
    <col min="3596" max="3596" width="5.125" style="1238" customWidth="1"/>
    <col min="3597" max="3597" width="13.75" style="1238" customWidth="1"/>
    <col min="3598" max="3840" width="9" style="1238"/>
    <col min="3841" max="3841" width="4.875" style="1238" customWidth="1"/>
    <col min="3842" max="3842" width="13.25" style="1238" customWidth="1"/>
    <col min="3843" max="3843" width="15.625" style="1238" customWidth="1"/>
    <col min="3844" max="3844" width="9.375" style="1238" bestFit="1" customWidth="1"/>
    <col min="3845" max="3845" width="13.5" style="1238" customWidth="1"/>
    <col min="3846" max="3846" width="9" style="1238"/>
    <col min="3847" max="3847" width="9.375" style="1238" bestFit="1" customWidth="1"/>
    <col min="3848" max="3849" width="9" style="1238"/>
    <col min="3850" max="3850" width="9.375" style="1238" bestFit="1" customWidth="1"/>
    <col min="3851" max="3851" width="4" style="1238" customWidth="1"/>
    <col min="3852" max="3852" width="5.125" style="1238" customWidth="1"/>
    <col min="3853" max="3853" width="13.75" style="1238" customWidth="1"/>
    <col min="3854" max="4096" width="9" style="1238"/>
    <col min="4097" max="4097" width="4.875" style="1238" customWidth="1"/>
    <col min="4098" max="4098" width="13.25" style="1238" customWidth="1"/>
    <col min="4099" max="4099" width="15.625" style="1238" customWidth="1"/>
    <col min="4100" max="4100" width="9.375" style="1238" bestFit="1" customWidth="1"/>
    <col min="4101" max="4101" width="13.5" style="1238" customWidth="1"/>
    <col min="4102" max="4102" width="9" style="1238"/>
    <col min="4103" max="4103" width="9.375" style="1238" bestFit="1" customWidth="1"/>
    <col min="4104" max="4105" width="9" style="1238"/>
    <col min="4106" max="4106" width="9.375" style="1238" bestFit="1" customWidth="1"/>
    <col min="4107" max="4107" width="4" style="1238" customWidth="1"/>
    <col min="4108" max="4108" width="5.125" style="1238" customWidth="1"/>
    <col min="4109" max="4109" width="13.75" style="1238" customWidth="1"/>
    <col min="4110" max="4352" width="9" style="1238"/>
    <col min="4353" max="4353" width="4.875" style="1238" customWidth="1"/>
    <col min="4354" max="4354" width="13.25" style="1238" customWidth="1"/>
    <col min="4355" max="4355" width="15.625" style="1238" customWidth="1"/>
    <col min="4356" max="4356" width="9.375" style="1238" bestFit="1" customWidth="1"/>
    <col min="4357" max="4357" width="13.5" style="1238" customWidth="1"/>
    <col min="4358" max="4358" width="9" style="1238"/>
    <col min="4359" max="4359" width="9.375" style="1238" bestFit="1" customWidth="1"/>
    <col min="4360" max="4361" width="9" style="1238"/>
    <col min="4362" max="4362" width="9.375" style="1238" bestFit="1" customWidth="1"/>
    <col min="4363" max="4363" width="4" style="1238" customWidth="1"/>
    <col min="4364" max="4364" width="5.125" style="1238" customWidth="1"/>
    <col min="4365" max="4365" width="13.75" style="1238" customWidth="1"/>
    <col min="4366" max="4608" width="9" style="1238"/>
    <col min="4609" max="4609" width="4.875" style="1238" customWidth="1"/>
    <col min="4610" max="4610" width="13.25" style="1238" customWidth="1"/>
    <col min="4611" max="4611" width="15.625" style="1238" customWidth="1"/>
    <col min="4612" max="4612" width="9.375" style="1238" bestFit="1" customWidth="1"/>
    <col min="4613" max="4613" width="13.5" style="1238" customWidth="1"/>
    <col min="4614" max="4614" width="9" style="1238"/>
    <col min="4615" max="4615" width="9.375" style="1238" bestFit="1" customWidth="1"/>
    <col min="4616" max="4617" width="9" style="1238"/>
    <col min="4618" max="4618" width="9.375" style="1238" bestFit="1" customWidth="1"/>
    <col min="4619" max="4619" width="4" style="1238" customWidth="1"/>
    <col min="4620" max="4620" width="5.125" style="1238" customWidth="1"/>
    <col min="4621" max="4621" width="13.75" style="1238" customWidth="1"/>
    <col min="4622" max="4864" width="9" style="1238"/>
    <col min="4865" max="4865" width="4.875" style="1238" customWidth="1"/>
    <col min="4866" max="4866" width="13.25" style="1238" customWidth="1"/>
    <col min="4867" max="4867" width="15.625" style="1238" customWidth="1"/>
    <col min="4868" max="4868" width="9.375" style="1238" bestFit="1" customWidth="1"/>
    <col min="4869" max="4869" width="13.5" style="1238" customWidth="1"/>
    <col min="4870" max="4870" width="9" style="1238"/>
    <col min="4871" max="4871" width="9.375" style="1238" bestFit="1" customWidth="1"/>
    <col min="4872" max="4873" width="9" style="1238"/>
    <col min="4874" max="4874" width="9.375" style="1238" bestFit="1" customWidth="1"/>
    <col min="4875" max="4875" width="4" style="1238" customWidth="1"/>
    <col min="4876" max="4876" width="5.125" style="1238" customWidth="1"/>
    <col min="4877" max="4877" width="13.75" style="1238" customWidth="1"/>
    <col min="4878" max="5120" width="9" style="1238"/>
    <col min="5121" max="5121" width="4.875" style="1238" customWidth="1"/>
    <col min="5122" max="5122" width="13.25" style="1238" customWidth="1"/>
    <col min="5123" max="5123" width="15.625" style="1238" customWidth="1"/>
    <col min="5124" max="5124" width="9.375" style="1238" bestFit="1" customWidth="1"/>
    <col min="5125" max="5125" width="13.5" style="1238" customWidth="1"/>
    <col min="5126" max="5126" width="9" style="1238"/>
    <col min="5127" max="5127" width="9.375" style="1238" bestFit="1" customWidth="1"/>
    <col min="5128" max="5129" width="9" style="1238"/>
    <col min="5130" max="5130" width="9.375" style="1238" bestFit="1" customWidth="1"/>
    <col min="5131" max="5131" width="4" style="1238" customWidth="1"/>
    <col min="5132" max="5132" width="5.125" style="1238" customWidth="1"/>
    <col min="5133" max="5133" width="13.75" style="1238" customWidth="1"/>
    <col min="5134" max="5376" width="9" style="1238"/>
    <col min="5377" max="5377" width="4.875" style="1238" customWidth="1"/>
    <col min="5378" max="5378" width="13.25" style="1238" customWidth="1"/>
    <col min="5379" max="5379" width="15.625" style="1238" customWidth="1"/>
    <col min="5380" max="5380" width="9.375" style="1238" bestFit="1" customWidth="1"/>
    <col min="5381" max="5381" width="13.5" style="1238" customWidth="1"/>
    <col min="5382" max="5382" width="9" style="1238"/>
    <col min="5383" max="5383" width="9.375" style="1238" bestFit="1" customWidth="1"/>
    <col min="5384" max="5385" width="9" style="1238"/>
    <col min="5386" max="5386" width="9.375" style="1238" bestFit="1" customWidth="1"/>
    <col min="5387" max="5387" width="4" style="1238" customWidth="1"/>
    <col min="5388" max="5388" width="5.125" style="1238" customWidth="1"/>
    <col min="5389" max="5389" width="13.75" style="1238" customWidth="1"/>
    <col min="5390" max="5632" width="9" style="1238"/>
    <col min="5633" max="5633" width="4.875" style="1238" customWidth="1"/>
    <col min="5634" max="5634" width="13.25" style="1238" customWidth="1"/>
    <col min="5635" max="5635" width="15.625" style="1238" customWidth="1"/>
    <col min="5636" max="5636" width="9.375" style="1238" bestFit="1" customWidth="1"/>
    <col min="5637" max="5637" width="13.5" style="1238" customWidth="1"/>
    <col min="5638" max="5638" width="9" style="1238"/>
    <col min="5639" max="5639" width="9.375" style="1238" bestFit="1" customWidth="1"/>
    <col min="5640" max="5641" width="9" style="1238"/>
    <col min="5642" max="5642" width="9.375" style="1238" bestFit="1" customWidth="1"/>
    <col min="5643" max="5643" width="4" style="1238" customWidth="1"/>
    <col min="5644" max="5644" width="5.125" style="1238" customWidth="1"/>
    <col min="5645" max="5645" width="13.75" style="1238" customWidth="1"/>
    <col min="5646" max="5888" width="9" style="1238"/>
    <col min="5889" max="5889" width="4.875" style="1238" customWidth="1"/>
    <col min="5890" max="5890" width="13.25" style="1238" customWidth="1"/>
    <col min="5891" max="5891" width="15.625" style="1238" customWidth="1"/>
    <col min="5892" max="5892" width="9.375" style="1238" bestFit="1" customWidth="1"/>
    <col min="5893" max="5893" width="13.5" style="1238" customWidth="1"/>
    <col min="5894" max="5894" width="9" style="1238"/>
    <col min="5895" max="5895" width="9.375" style="1238" bestFit="1" customWidth="1"/>
    <col min="5896" max="5897" width="9" style="1238"/>
    <col min="5898" max="5898" width="9.375" style="1238" bestFit="1" customWidth="1"/>
    <col min="5899" max="5899" width="4" style="1238" customWidth="1"/>
    <col min="5900" max="5900" width="5.125" style="1238" customWidth="1"/>
    <col min="5901" max="5901" width="13.75" style="1238" customWidth="1"/>
    <col min="5902" max="6144" width="9" style="1238"/>
    <col min="6145" max="6145" width="4.875" style="1238" customWidth="1"/>
    <col min="6146" max="6146" width="13.25" style="1238" customWidth="1"/>
    <col min="6147" max="6147" width="15.625" style="1238" customWidth="1"/>
    <col min="6148" max="6148" width="9.375" style="1238" bestFit="1" customWidth="1"/>
    <col min="6149" max="6149" width="13.5" style="1238" customWidth="1"/>
    <col min="6150" max="6150" width="9" style="1238"/>
    <col min="6151" max="6151" width="9.375" style="1238" bestFit="1" customWidth="1"/>
    <col min="6152" max="6153" width="9" style="1238"/>
    <col min="6154" max="6154" width="9.375" style="1238" bestFit="1" customWidth="1"/>
    <col min="6155" max="6155" width="4" style="1238" customWidth="1"/>
    <col min="6156" max="6156" width="5.125" style="1238" customWidth="1"/>
    <col min="6157" max="6157" width="13.75" style="1238" customWidth="1"/>
    <col min="6158" max="6400" width="9" style="1238"/>
    <col min="6401" max="6401" width="4.875" style="1238" customWidth="1"/>
    <col min="6402" max="6402" width="13.25" style="1238" customWidth="1"/>
    <col min="6403" max="6403" width="15.625" style="1238" customWidth="1"/>
    <col min="6404" max="6404" width="9.375" style="1238" bestFit="1" customWidth="1"/>
    <col min="6405" max="6405" width="13.5" style="1238" customWidth="1"/>
    <col min="6406" max="6406" width="9" style="1238"/>
    <col min="6407" max="6407" width="9.375" style="1238" bestFit="1" customWidth="1"/>
    <col min="6408" max="6409" width="9" style="1238"/>
    <col min="6410" max="6410" width="9.375" style="1238" bestFit="1" customWidth="1"/>
    <col min="6411" max="6411" width="4" style="1238" customWidth="1"/>
    <col min="6412" max="6412" width="5.125" style="1238" customWidth="1"/>
    <col min="6413" max="6413" width="13.75" style="1238" customWidth="1"/>
    <col min="6414" max="6656" width="9" style="1238"/>
    <col min="6657" max="6657" width="4.875" style="1238" customWidth="1"/>
    <col min="6658" max="6658" width="13.25" style="1238" customWidth="1"/>
    <col min="6659" max="6659" width="15.625" style="1238" customWidth="1"/>
    <col min="6660" max="6660" width="9.375" style="1238" bestFit="1" customWidth="1"/>
    <col min="6661" max="6661" width="13.5" style="1238" customWidth="1"/>
    <col min="6662" max="6662" width="9" style="1238"/>
    <col min="6663" max="6663" width="9.375" style="1238" bestFit="1" customWidth="1"/>
    <col min="6664" max="6665" width="9" style="1238"/>
    <col min="6666" max="6666" width="9.375" style="1238" bestFit="1" customWidth="1"/>
    <col min="6667" max="6667" width="4" style="1238" customWidth="1"/>
    <col min="6668" max="6668" width="5.125" style="1238" customWidth="1"/>
    <col min="6669" max="6669" width="13.75" style="1238" customWidth="1"/>
    <col min="6670" max="6912" width="9" style="1238"/>
    <col min="6913" max="6913" width="4.875" style="1238" customWidth="1"/>
    <col min="6914" max="6914" width="13.25" style="1238" customWidth="1"/>
    <col min="6915" max="6915" width="15.625" style="1238" customWidth="1"/>
    <col min="6916" max="6916" width="9.375" style="1238" bestFit="1" customWidth="1"/>
    <col min="6917" max="6917" width="13.5" style="1238" customWidth="1"/>
    <col min="6918" max="6918" width="9" style="1238"/>
    <col min="6919" max="6919" width="9.375" style="1238" bestFit="1" customWidth="1"/>
    <col min="6920" max="6921" width="9" style="1238"/>
    <col min="6922" max="6922" width="9.375" style="1238" bestFit="1" customWidth="1"/>
    <col min="6923" max="6923" width="4" style="1238" customWidth="1"/>
    <col min="6924" max="6924" width="5.125" style="1238" customWidth="1"/>
    <col min="6925" max="6925" width="13.75" style="1238" customWidth="1"/>
    <col min="6926" max="7168" width="9" style="1238"/>
    <col min="7169" max="7169" width="4.875" style="1238" customWidth="1"/>
    <col min="7170" max="7170" width="13.25" style="1238" customWidth="1"/>
    <col min="7171" max="7171" width="15.625" style="1238" customWidth="1"/>
    <col min="7172" max="7172" width="9.375" style="1238" bestFit="1" customWidth="1"/>
    <col min="7173" max="7173" width="13.5" style="1238" customWidth="1"/>
    <col min="7174" max="7174" width="9" style="1238"/>
    <col min="7175" max="7175" width="9.375" style="1238" bestFit="1" customWidth="1"/>
    <col min="7176" max="7177" width="9" style="1238"/>
    <col min="7178" max="7178" width="9.375" style="1238" bestFit="1" customWidth="1"/>
    <col min="7179" max="7179" width="4" style="1238" customWidth="1"/>
    <col min="7180" max="7180" width="5.125" style="1238" customWidth="1"/>
    <col min="7181" max="7181" width="13.75" style="1238" customWidth="1"/>
    <col min="7182" max="7424" width="9" style="1238"/>
    <col min="7425" max="7425" width="4.875" style="1238" customWidth="1"/>
    <col min="7426" max="7426" width="13.25" style="1238" customWidth="1"/>
    <col min="7427" max="7427" width="15.625" style="1238" customWidth="1"/>
    <col min="7428" max="7428" width="9.375" style="1238" bestFit="1" customWidth="1"/>
    <col min="7429" max="7429" width="13.5" style="1238" customWidth="1"/>
    <col min="7430" max="7430" width="9" style="1238"/>
    <col min="7431" max="7431" width="9.375" style="1238" bestFit="1" customWidth="1"/>
    <col min="7432" max="7433" width="9" style="1238"/>
    <col min="7434" max="7434" width="9.375" style="1238" bestFit="1" customWidth="1"/>
    <col min="7435" max="7435" width="4" style="1238" customWidth="1"/>
    <col min="7436" max="7436" width="5.125" style="1238" customWidth="1"/>
    <col min="7437" max="7437" width="13.75" style="1238" customWidth="1"/>
    <col min="7438" max="7680" width="9" style="1238"/>
    <col min="7681" max="7681" width="4.875" style="1238" customWidth="1"/>
    <col min="7682" max="7682" width="13.25" style="1238" customWidth="1"/>
    <col min="7683" max="7683" width="15.625" style="1238" customWidth="1"/>
    <col min="7684" max="7684" width="9.375" style="1238" bestFit="1" customWidth="1"/>
    <col min="7685" max="7685" width="13.5" style="1238" customWidth="1"/>
    <col min="7686" max="7686" width="9" style="1238"/>
    <col min="7687" max="7687" width="9.375" style="1238" bestFit="1" customWidth="1"/>
    <col min="7688" max="7689" width="9" style="1238"/>
    <col min="7690" max="7690" width="9.375" style="1238" bestFit="1" customWidth="1"/>
    <col min="7691" max="7691" width="4" style="1238" customWidth="1"/>
    <col min="7692" max="7692" width="5.125" style="1238" customWidth="1"/>
    <col min="7693" max="7693" width="13.75" style="1238" customWidth="1"/>
    <col min="7694" max="7936" width="9" style="1238"/>
    <col min="7937" max="7937" width="4.875" style="1238" customWidth="1"/>
    <col min="7938" max="7938" width="13.25" style="1238" customWidth="1"/>
    <col min="7939" max="7939" width="15.625" style="1238" customWidth="1"/>
    <col min="7940" max="7940" width="9.375" style="1238" bestFit="1" customWidth="1"/>
    <col min="7941" max="7941" width="13.5" style="1238" customWidth="1"/>
    <col min="7942" max="7942" width="9" style="1238"/>
    <col min="7943" max="7943" width="9.375" style="1238" bestFit="1" customWidth="1"/>
    <col min="7944" max="7945" width="9" style="1238"/>
    <col min="7946" max="7946" width="9.375" style="1238" bestFit="1" customWidth="1"/>
    <col min="7947" max="7947" width="4" style="1238" customWidth="1"/>
    <col min="7948" max="7948" width="5.125" style="1238" customWidth="1"/>
    <col min="7949" max="7949" width="13.75" style="1238" customWidth="1"/>
    <col min="7950" max="8192" width="9" style="1238"/>
    <col min="8193" max="8193" width="4.875" style="1238" customWidth="1"/>
    <col min="8194" max="8194" width="13.25" style="1238" customWidth="1"/>
    <col min="8195" max="8195" width="15.625" style="1238" customWidth="1"/>
    <col min="8196" max="8196" width="9.375" style="1238" bestFit="1" customWidth="1"/>
    <col min="8197" max="8197" width="13.5" style="1238" customWidth="1"/>
    <col min="8198" max="8198" width="9" style="1238"/>
    <col min="8199" max="8199" width="9.375" style="1238" bestFit="1" customWidth="1"/>
    <col min="8200" max="8201" width="9" style="1238"/>
    <col min="8202" max="8202" width="9.375" style="1238" bestFit="1" customWidth="1"/>
    <col min="8203" max="8203" width="4" style="1238" customWidth="1"/>
    <col min="8204" max="8204" width="5.125" style="1238" customWidth="1"/>
    <col min="8205" max="8205" width="13.75" style="1238" customWidth="1"/>
    <col min="8206" max="8448" width="9" style="1238"/>
    <col min="8449" max="8449" width="4.875" style="1238" customWidth="1"/>
    <col min="8450" max="8450" width="13.25" style="1238" customWidth="1"/>
    <col min="8451" max="8451" width="15.625" style="1238" customWidth="1"/>
    <col min="8452" max="8452" width="9.375" style="1238" bestFit="1" customWidth="1"/>
    <col min="8453" max="8453" width="13.5" style="1238" customWidth="1"/>
    <col min="8454" max="8454" width="9" style="1238"/>
    <col min="8455" max="8455" width="9.375" style="1238" bestFit="1" customWidth="1"/>
    <col min="8456" max="8457" width="9" style="1238"/>
    <col min="8458" max="8458" width="9.375" style="1238" bestFit="1" customWidth="1"/>
    <col min="8459" max="8459" width="4" style="1238" customWidth="1"/>
    <col min="8460" max="8460" width="5.125" style="1238" customWidth="1"/>
    <col min="8461" max="8461" width="13.75" style="1238" customWidth="1"/>
    <col min="8462" max="8704" width="9" style="1238"/>
    <col min="8705" max="8705" width="4.875" style="1238" customWidth="1"/>
    <col min="8706" max="8706" width="13.25" style="1238" customWidth="1"/>
    <col min="8707" max="8707" width="15.625" style="1238" customWidth="1"/>
    <col min="8708" max="8708" width="9.375" style="1238" bestFit="1" customWidth="1"/>
    <col min="8709" max="8709" width="13.5" style="1238" customWidth="1"/>
    <col min="8710" max="8710" width="9" style="1238"/>
    <col min="8711" max="8711" width="9.375" style="1238" bestFit="1" customWidth="1"/>
    <col min="8712" max="8713" width="9" style="1238"/>
    <col min="8714" max="8714" width="9.375" style="1238" bestFit="1" customWidth="1"/>
    <col min="8715" max="8715" width="4" style="1238" customWidth="1"/>
    <col min="8716" max="8716" width="5.125" style="1238" customWidth="1"/>
    <col min="8717" max="8717" width="13.75" style="1238" customWidth="1"/>
    <col min="8718" max="8960" width="9" style="1238"/>
    <col min="8961" max="8961" width="4.875" style="1238" customWidth="1"/>
    <col min="8962" max="8962" width="13.25" style="1238" customWidth="1"/>
    <col min="8963" max="8963" width="15.625" style="1238" customWidth="1"/>
    <col min="8964" max="8964" width="9.375" style="1238" bestFit="1" customWidth="1"/>
    <col min="8965" max="8965" width="13.5" style="1238" customWidth="1"/>
    <col min="8966" max="8966" width="9" style="1238"/>
    <col min="8967" max="8967" width="9.375" style="1238" bestFit="1" customWidth="1"/>
    <col min="8968" max="8969" width="9" style="1238"/>
    <col min="8970" max="8970" width="9.375" style="1238" bestFit="1" customWidth="1"/>
    <col min="8971" max="8971" width="4" style="1238" customWidth="1"/>
    <col min="8972" max="8972" width="5.125" style="1238" customWidth="1"/>
    <col min="8973" max="8973" width="13.75" style="1238" customWidth="1"/>
    <col min="8974" max="9216" width="9" style="1238"/>
    <col min="9217" max="9217" width="4.875" style="1238" customWidth="1"/>
    <col min="9218" max="9218" width="13.25" style="1238" customWidth="1"/>
    <col min="9219" max="9219" width="15.625" style="1238" customWidth="1"/>
    <col min="9220" max="9220" width="9.375" style="1238" bestFit="1" customWidth="1"/>
    <col min="9221" max="9221" width="13.5" style="1238" customWidth="1"/>
    <col min="9222" max="9222" width="9" style="1238"/>
    <col min="9223" max="9223" width="9.375" style="1238" bestFit="1" customWidth="1"/>
    <col min="9224" max="9225" width="9" style="1238"/>
    <col min="9226" max="9226" width="9.375" style="1238" bestFit="1" customWidth="1"/>
    <col min="9227" max="9227" width="4" style="1238" customWidth="1"/>
    <col min="9228" max="9228" width="5.125" style="1238" customWidth="1"/>
    <col min="9229" max="9229" width="13.75" style="1238" customWidth="1"/>
    <col min="9230" max="9472" width="9" style="1238"/>
    <col min="9473" max="9473" width="4.875" style="1238" customWidth="1"/>
    <col min="9474" max="9474" width="13.25" style="1238" customWidth="1"/>
    <col min="9475" max="9475" width="15.625" style="1238" customWidth="1"/>
    <col min="9476" max="9476" width="9.375" style="1238" bestFit="1" customWidth="1"/>
    <col min="9477" max="9477" width="13.5" style="1238" customWidth="1"/>
    <col min="9478" max="9478" width="9" style="1238"/>
    <col min="9479" max="9479" width="9.375" style="1238" bestFit="1" customWidth="1"/>
    <col min="9480" max="9481" width="9" style="1238"/>
    <col min="9482" max="9482" width="9.375" style="1238" bestFit="1" customWidth="1"/>
    <col min="9483" max="9483" width="4" style="1238" customWidth="1"/>
    <col min="9484" max="9484" width="5.125" style="1238" customWidth="1"/>
    <col min="9485" max="9485" width="13.75" style="1238" customWidth="1"/>
    <col min="9486" max="9728" width="9" style="1238"/>
    <col min="9729" max="9729" width="4.875" style="1238" customWidth="1"/>
    <col min="9730" max="9730" width="13.25" style="1238" customWidth="1"/>
    <col min="9731" max="9731" width="15.625" style="1238" customWidth="1"/>
    <col min="9732" max="9732" width="9.375" style="1238" bestFit="1" customWidth="1"/>
    <col min="9733" max="9733" width="13.5" style="1238" customWidth="1"/>
    <col min="9734" max="9734" width="9" style="1238"/>
    <col min="9735" max="9735" width="9.375" style="1238" bestFit="1" customWidth="1"/>
    <col min="9736" max="9737" width="9" style="1238"/>
    <col min="9738" max="9738" width="9.375" style="1238" bestFit="1" customWidth="1"/>
    <col min="9739" max="9739" width="4" style="1238" customWidth="1"/>
    <col min="9740" max="9740" width="5.125" style="1238" customWidth="1"/>
    <col min="9741" max="9741" width="13.75" style="1238" customWidth="1"/>
    <col min="9742" max="9984" width="9" style="1238"/>
    <col min="9985" max="9985" width="4.875" style="1238" customWidth="1"/>
    <col min="9986" max="9986" width="13.25" style="1238" customWidth="1"/>
    <col min="9987" max="9987" width="15.625" style="1238" customWidth="1"/>
    <col min="9988" max="9988" width="9.375" style="1238" bestFit="1" customWidth="1"/>
    <col min="9989" max="9989" width="13.5" style="1238" customWidth="1"/>
    <col min="9990" max="9990" width="9" style="1238"/>
    <col min="9991" max="9991" width="9.375" style="1238" bestFit="1" customWidth="1"/>
    <col min="9992" max="9993" width="9" style="1238"/>
    <col min="9994" max="9994" width="9.375" style="1238" bestFit="1" customWidth="1"/>
    <col min="9995" max="9995" width="4" style="1238" customWidth="1"/>
    <col min="9996" max="9996" width="5.125" style="1238" customWidth="1"/>
    <col min="9997" max="9997" width="13.75" style="1238" customWidth="1"/>
    <col min="9998" max="10240" width="9" style="1238"/>
    <col min="10241" max="10241" width="4.875" style="1238" customWidth="1"/>
    <col min="10242" max="10242" width="13.25" style="1238" customWidth="1"/>
    <col min="10243" max="10243" width="15.625" style="1238" customWidth="1"/>
    <col min="10244" max="10244" width="9.375" style="1238" bestFit="1" customWidth="1"/>
    <col min="10245" max="10245" width="13.5" style="1238" customWidth="1"/>
    <col min="10246" max="10246" width="9" style="1238"/>
    <col min="10247" max="10247" width="9.375" style="1238" bestFit="1" customWidth="1"/>
    <col min="10248" max="10249" width="9" style="1238"/>
    <col min="10250" max="10250" width="9.375" style="1238" bestFit="1" customWidth="1"/>
    <col min="10251" max="10251" width="4" style="1238" customWidth="1"/>
    <col min="10252" max="10252" width="5.125" style="1238" customWidth="1"/>
    <col min="10253" max="10253" width="13.75" style="1238" customWidth="1"/>
    <col min="10254" max="10496" width="9" style="1238"/>
    <col min="10497" max="10497" width="4.875" style="1238" customWidth="1"/>
    <col min="10498" max="10498" width="13.25" style="1238" customWidth="1"/>
    <col min="10499" max="10499" width="15.625" style="1238" customWidth="1"/>
    <col min="10500" max="10500" width="9.375" style="1238" bestFit="1" customWidth="1"/>
    <col min="10501" max="10501" width="13.5" style="1238" customWidth="1"/>
    <col min="10502" max="10502" width="9" style="1238"/>
    <col min="10503" max="10503" width="9.375" style="1238" bestFit="1" customWidth="1"/>
    <col min="10504" max="10505" width="9" style="1238"/>
    <col min="10506" max="10506" width="9.375" style="1238" bestFit="1" customWidth="1"/>
    <col min="10507" max="10507" width="4" style="1238" customWidth="1"/>
    <col min="10508" max="10508" width="5.125" style="1238" customWidth="1"/>
    <col min="10509" max="10509" width="13.75" style="1238" customWidth="1"/>
    <col min="10510" max="10752" width="9" style="1238"/>
    <col min="10753" max="10753" width="4.875" style="1238" customWidth="1"/>
    <col min="10754" max="10754" width="13.25" style="1238" customWidth="1"/>
    <col min="10755" max="10755" width="15.625" style="1238" customWidth="1"/>
    <col min="10756" max="10756" width="9.375" style="1238" bestFit="1" customWidth="1"/>
    <col min="10757" max="10757" width="13.5" style="1238" customWidth="1"/>
    <col min="10758" max="10758" width="9" style="1238"/>
    <col min="10759" max="10759" width="9.375" style="1238" bestFit="1" customWidth="1"/>
    <col min="10760" max="10761" width="9" style="1238"/>
    <col min="10762" max="10762" width="9.375" style="1238" bestFit="1" customWidth="1"/>
    <col min="10763" max="10763" width="4" style="1238" customWidth="1"/>
    <col min="10764" max="10764" width="5.125" style="1238" customWidth="1"/>
    <col min="10765" max="10765" width="13.75" style="1238" customWidth="1"/>
    <col min="10766" max="11008" width="9" style="1238"/>
    <col min="11009" max="11009" width="4.875" style="1238" customWidth="1"/>
    <col min="11010" max="11010" width="13.25" style="1238" customWidth="1"/>
    <col min="11011" max="11011" width="15.625" style="1238" customWidth="1"/>
    <col min="11012" max="11012" width="9.375" style="1238" bestFit="1" customWidth="1"/>
    <col min="11013" max="11013" width="13.5" style="1238" customWidth="1"/>
    <col min="11014" max="11014" width="9" style="1238"/>
    <col min="11015" max="11015" width="9.375" style="1238" bestFit="1" customWidth="1"/>
    <col min="11016" max="11017" width="9" style="1238"/>
    <col min="11018" max="11018" width="9.375" style="1238" bestFit="1" customWidth="1"/>
    <col min="11019" max="11019" width="4" style="1238" customWidth="1"/>
    <col min="11020" max="11020" width="5.125" style="1238" customWidth="1"/>
    <col min="11021" max="11021" width="13.75" style="1238" customWidth="1"/>
    <col min="11022" max="11264" width="9" style="1238"/>
    <col min="11265" max="11265" width="4.875" style="1238" customWidth="1"/>
    <col min="11266" max="11266" width="13.25" style="1238" customWidth="1"/>
    <col min="11267" max="11267" width="15.625" style="1238" customWidth="1"/>
    <col min="11268" max="11268" width="9.375" style="1238" bestFit="1" customWidth="1"/>
    <col min="11269" max="11269" width="13.5" style="1238" customWidth="1"/>
    <col min="11270" max="11270" width="9" style="1238"/>
    <col min="11271" max="11271" width="9.375" style="1238" bestFit="1" customWidth="1"/>
    <col min="11272" max="11273" width="9" style="1238"/>
    <col min="11274" max="11274" width="9.375" style="1238" bestFit="1" customWidth="1"/>
    <col min="11275" max="11275" width="4" style="1238" customWidth="1"/>
    <col min="11276" max="11276" width="5.125" style="1238" customWidth="1"/>
    <col min="11277" max="11277" width="13.75" style="1238" customWidth="1"/>
    <col min="11278" max="11520" width="9" style="1238"/>
    <col min="11521" max="11521" width="4.875" style="1238" customWidth="1"/>
    <col min="11522" max="11522" width="13.25" style="1238" customWidth="1"/>
    <col min="11523" max="11523" width="15.625" style="1238" customWidth="1"/>
    <col min="11524" max="11524" width="9.375" style="1238" bestFit="1" customWidth="1"/>
    <col min="11525" max="11525" width="13.5" style="1238" customWidth="1"/>
    <col min="11526" max="11526" width="9" style="1238"/>
    <col min="11527" max="11527" width="9.375" style="1238" bestFit="1" customWidth="1"/>
    <col min="11528" max="11529" width="9" style="1238"/>
    <col min="11530" max="11530" width="9.375" style="1238" bestFit="1" customWidth="1"/>
    <col min="11531" max="11531" width="4" style="1238" customWidth="1"/>
    <col min="11532" max="11532" width="5.125" style="1238" customWidth="1"/>
    <col min="11533" max="11533" width="13.75" style="1238" customWidth="1"/>
    <col min="11534" max="11776" width="9" style="1238"/>
    <col min="11777" max="11777" width="4.875" style="1238" customWidth="1"/>
    <col min="11778" max="11778" width="13.25" style="1238" customWidth="1"/>
    <col min="11779" max="11779" width="15.625" style="1238" customWidth="1"/>
    <col min="11780" max="11780" width="9.375" style="1238" bestFit="1" customWidth="1"/>
    <col min="11781" max="11781" width="13.5" style="1238" customWidth="1"/>
    <col min="11782" max="11782" width="9" style="1238"/>
    <col min="11783" max="11783" width="9.375" style="1238" bestFit="1" customWidth="1"/>
    <col min="11784" max="11785" width="9" style="1238"/>
    <col min="11786" max="11786" width="9.375" style="1238" bestFit="1" customWidth="1"/>
    <col min="11787" max="11787" width="4" style="1238" customWidth="1"/>
    <col min="11788" max="11788" width="5.125" style="1238" customWidth="1"/>
    <col min="11789" max="11789" width="13.75" style="1238" customWidth="1"/>
    <col min="11790" max="12032" width="9" style="1238"/>
    <col min="12033" max="12033" width="4.875" style="1238" customWidth="1"/>
    <col min="12034" max="12034" width="13.25" style="1238" customWidth="1"/>
    <col min="12035" max="12035" width="15.625" style="1238" customWidth="1"/>
    <col min="12036" max="12036" width="9.375" style="1238" bestFit="1" customWidth="1"/>
    <col min="12037" max="12037" width="13.5" style="1238" customWidth="1"/>
    <col min="12038" max="12038" width="9" style="1238"/>
    <col min="12039" max="12039" width="9.375" style="1238" bestFit="1" customWidth="1"/>
    <col min="12040" max="12041" width="9" style="1238"/>
    <col min="12042" max="12042" width="9.375" style="1238" bestFit="1" customWidth="1"/>
    <col min="12043" max="12043" width="4" style="1238" customWidth="1"/>
    <col min="12044" max="12044" width="5.125" style="1238" customWidth="1"/>
    <col min="12045" max="12045" width="13.75" style="1238" customWidth="1"/>
    <col min="12046" max="12288" width="9" style="1238"/>
    <col min="12289" max="12289" width="4.875" style="1238" customWidth="1"/>
    <col min="12290" max="12290" width="13.25" style="1238" customWidth="1"/>
    <col min="12291" max="12291" width="15.625" style="1238" customWidth="1"/>
    <col min="12292" max="12292" width="9.375" style="1238" bestFit="1" customWidth="1"/>
    <col min="12293" max="12293" width="13.5" style="1238" customWidth="1"/>
    <col min="12294" max="12294" width="9" style="1238"/>
    <col min="12295" max="12295" width="9.375" style="1238" bestFit="1" customWidth="1"/>
    <col min="12296" max="12297" width="9" style="1238"/>
    <col min="12298" max="12298" width="9.375" style="1238" bestFit="1" customWidth="1"/>
    <col min="12299" max="12299" width="4" style="1238" customWidth="1"/>
    <col min="12300" max="12300" width="5.125" style="1238" customWidth="1"/>
    <col min="12301" max="12301" width="13.75" style="1238" customWidth="1"/>
    <col min="12302" max="12544" width="9" style="1238"/>
    <col min="12545" max="12545" width="4.875" style="1238" customWidth="1"/>
    <col min="12546" max="12546" width="13.25" style="1238" customWidth="1"/>
    <col min="12547" max="12547" width="15.625" style="1238" customWidth="1"/>
    <col min="12548" max="12548" width="9.375" style="1238" bestFit="1" customWidth="1"/>
    <col min="12549" max="12549" width="13.5" style="1238" customWidth="1"/>
    <col min="12550" max="12550" width="9" style="1238"/>
    <col min="12551" max="12551" width="9.375" style="1238" bestFit="1" customWidth="1"/>
    <col min="12552" max="12553" width="9" style="1238"/>
    <col min="12554" max="12554" width="9.375" style="1238" bestFit="1" customWidth="1"/>
    <col min="12555" max="12555" width="4" style="1238" customWidth="1"/>
    <col min="12556" max="12556" width="5.125" style="1238" customWidth="1"/>
    <col min="12557" max="12557" width="13.75" style="1238" customWidth="1"/>
    <col min="12558" max="12800" width="9" style="1238"/>
    <col min="12801" max="12801" width="4.875" style="1238" customWidth="1"/>
    <col min="12802" max="12802" width="13.25" style="1238" customWidth="1"/>
    <col min="12803" max="12803" width="15.625" style="1238" customWidth="1"/>
    <col min="12804" max="12804" width="9.375" style="1238" bestFit="1" customWidth="1"/>
    <col min="12805" max="12805" width="13.5" style="1238" customWidth="1"/>
    <col min="12806" max="12806" width="9" style="1238"/>
    <col min="12807" max="12807" width="9.375" style="1238" bestFit="1" customWidth="1"/>
    <col min="12808" max="12809" width="9" style="1238"/>
    <col min="12810" max="12810" width="9.375" style="1238" bestFit="1" customWidth="1"/>
    <col min="12811" max="12811" width="4" style="1238" customWidth="1"/>
    <col min="12812" max="12812" width="5.125" style="1238" customWidth="1"/>
    <col min="12813" max="12813" width="13.75" style="1238" customWidth="1"/>
    <col min="12814" max="13056" width="9" style="1238"/>
    <col min="13057" max="13057" width="4.875" style="1238" customWidth="1"/>
    <col min="13058" max="13058" width="13.25" style="1238" customWidth="1"/>
    <col min="13059" max="13059" width="15.625" style="1238" customWidth="1"/>
    <col min="13060" max="13060" width="9.375" style="1238" bestFit="1" customWidth="1"/>
    <col min="13061" max="13061" width="13.5" style="1238" customWidth="1"/>
    <col min="13062" max="13062" width="9" style="1238"/>
    <col min="13063" max="13063" width="9.375" style="1238" bestFit="1" customWidth="1"/>
    <col min="13064" max="13065" width="9" style="1238"/>
    <col min="13066" max="13066" width="9.375" style="1238" bestFit="1" customWidth="1"/>
    <col min="13067" max="13067" width="4" style="1238" customWidth="1"/>
    <col min="13068" max="13068" width="5.125" style="1238" customWidth="1"/>
    <col min="13069" max="13069" width="13.75" style="1238" customWidth="1"/>
    <col min="13070" max="13312" width="9" style="1238"/>
    <col min="13313" max="13313" width="4.875" style="1238" customWidth="1"/>
    <col min="13314" max="13314" width="13.25" style="1238" customWidth="1"/>
    <col min="13315" max="13315" width="15.625" style="1238" customWidth="1"/>
    <col min="13316" max="13316" width="9.375" style="1238" bestFit="1" customWidth="1"/>
    <col min="13317" max="13317" width="13.5" style="1238" customWidth="1"/>
    <col min="13318" max="13318" width="9" style="1238"/>
    <col min="13319" max="13319" width="9.375" style="1238" bestFit="1" customWidth="1"/>
    <col min="13320" max="13321" width="9" style="1238"/>
    <col min="13322" max="13322" width="9.375" style="1238" bestFit="1" customWidth="1"/>
    <col min="13323" max="13323" width="4" style="1238" customWidth="1"/>
    <col min="13324" max="13324" width="5.125" style="1238" customWidth="1"/>
    <col min="13325" max="13325" width="13.75" style="1238" customWidth="1"/>
    <col min="13326" max="13568" width="9" style="1238"/>
    <col min="13569" max="13569" width="4.875" style="1238" customWidth="1"/>
    <col min="13570" max="13570" width="13.25" style="1238" customWidth="1"/>
    <col min="13571" max="13571" width="15.625" style="1238" customWidth="1"/>
    <col min="13572" max="13572" width="9.375" style="1238" bestFit="1" customWidth="1"/>
    <col min="13573" max="13573" width="13.5" style="1238" customWidth="1"/>
    <col min="13574" max="13574" width="9" style="1238"/>
    <col min="13575" max="13575" width="9.375" style="1238" bestFit="1" customWidth="1"/>
    <col min="13576" max="13577" width="9" style="1238"/>
    <col min="13578" max="13578" width="9.375" style="1238" bestFit="1" customWidth="1"/>
    <col min="13579" max="13579" width="4" style="1238" customWidth="1"/>
    <col min="13580" max="13580" width="5.125" style="1238" customWidth="1"/>
    <col min="13581" max="13581" width="13.75" style="1238" customWidth="1"/>
    <col min="13582" max="13824" width="9" style="1238"/>
    <col min="13825" max="13825" width="4.875" style="1238" customWidth="1"/>
    <col min="13826" max="13826" width="13.25" style="1238" customWidth="1"/>
    <col min="13827" max="13827" width="15.625" style="1238" customWidth="1"/>
    <col min="13828" max="13828" width="9.375" style="1238" bestFit="1" customWidth="1"/>
    <col min="13829" max="13829" width="13.5" style="1238" customWidth="1"/>
    <col min="13830" max="13830" width="9" style="1238"/>
    <col min="13831" max="13831" width="9.375" style="1238" bestFit="1" customWidth="1"/>
    <col min="13832" max="13833" width="9" style="1238"/>
    <col min="13834" max="13834" width="9.375" style="1238" bestFit="1" customWidth="1"/>
    <col min="13835" max="13835" width="4" style="1238" customWidth="1"/>
    <col min="13836" max="13836" width="5.125" style="1238" customWidth="1"/>
    <col min="13837" max="13837" width="13.75" style="1238" customWidth="1"/>
    <col min="13838" max="14080" width="9" style="1238"/>
    <col min="14081" max="14081" width="4.875" style="1238" customWidth="1"/>
    <col min="14082" max="14082" width="13.25" style="1238" customWidth="1"/>
    <col min="14083" max="14083" width="15.625" style="1238" customWidth="1"/>
    <col min="14084" max="14084" width="9.375" style="1238" bestFit="1" customWidth="1"/>
    <col min="14085" max="14085" width="13.5" style="1238" customWidth="1"/>
    <col min="14086" max="14086" width="9" style="1238"/>
    <col min="14087" max="14087" width="9.375" style="1238" bestFit="1" customWidth="1"/>
    <col min="14088" max="14089" width="9" style="1238"/>
    <col min="14090" max="14090" width="9.375" style="1238" bestFit="1" customWidth="1"/>
    <col min="14091" max="14091" width="4" style="1238" customWidth="1"/>
    <col min="14092" max="14092" width="5.125" style="1238" customWidth="1"/>
    <col min="14093" max="14093" width="13.75" style="1238" customWidth="1"/>
    <col min="14094" max="14336" width="9" style="1238"/>
    <col min="14337" max="14337" width="4.875" style="1238" customWidth="1"/>
    <col min="14338" max="14338" width="13.25" style="1238" customWidth="1"/>
    <col min="14339" max="14339" width="15.625" style="1238" customWidth="1"/>
    <col min="14340" max="14340" width="9.375" style="1238" bestFit="1" customWidth="1"/>
    <col min="14341" max="14341" width="13.5" style="1238" customWidth="1"/>
    <col min="14342" max="14342" width="9" style="1238"/>
    <col min="14343" max="14343" width="9.375" style="1238" bestFit="1" customWidth="1"/>
    <col min="14344" max="14345" width="9" style="1238"/>
    <col min="14346" max="14346" width="9.375" style="1238" bestFit="1" customWidth="1"/>
    <col min="14347" max="14347" width="4" style="1238" customWidth="1"/>
    <col min="14348" max="14348" width="5.125" style="1238" customWidth="1"/>
    <col min="14349" max="14349" width="13.75" style="1238" customWidth="1"/>
    <col min="14350" max="14592" width="9" style="1238"/>
    <col min="14593" max="14593" width="4.875" style="1238" customWidth="1"/>
    <col min="14594" max="14594" width="13.25" style="1238" customWidth="1"/>
    <col min="14595" max="14595" width="15.625" style="1238" customWidth="1"/>
    <col min="14596" max="14596" width="9.375" style="1238" bestFit="1" customWidth="1"/>
    <col min="14597" max="14597" width="13.5" style="1238" customWidth="1"/>
    <col min="14598" max="14598" width="9" style="1238"/>
    <col min="14599" max="14599" width="9.375" style="1238" bestFit="1" customWidth="1"/>
    <col min="14600" max="14601" width="9" style="1238"/>
    <col min="14602" max="14602" width="9.375" style="1238" bestFit="1" customWidth="1"/>
    <col min="14603" max="14603" width="4" style="1238" customWidth="1"/>
    <col min="14604" max="14604" width="5.125" style="1238" customWidth="1"/>
    <col min="14605" max="14605" width="13.75" style="1238" customWidth="1"/>
    <col min="14606" max="14848" width="9" style="1238"/>
    <col min="14849" max="14849" width="4.875" style="1238" customWidth="1"/>
    <col min="14850" max="14850" width="13.25" style="1238" customWidth="1"/>
    <col min="14851" max="14851" width="15.625" style="1238" customWidth="1"/>
    <col min="14852" max="14852" width="9.375" style="1238" bestFit="1" customWidth="1"/>
    <col min="14853" max="14853" width="13.5" style="1238" customWidth="1"/>
    <col min="14854" max="14854" width="9" style="1238"/>
    <col min="14855" max="14855" width="9.375" style="1238" bestFit="1" customWidth="1"/>
    <col min="14856" max="14857" width="9" style="1238"/>
    <col min="14858" max="14858" width="9.375" style="1238" bestFit="1" customWidth="1"/>
    <col min="14859" max="14859" width="4" style="1238" customWidth="1"/>
    <col min="14860" max="14860" width="5.125" style="1238" customWidth="1"/>
    <col min="14861" max="14861" width="13.75" style="1238" customWidth="1"/>
    <col min="14862" max="15104" width="9" style="1238"/>
    <col min="15105" max="15105" width="4.875" style="1238" customWidth="1"/>
    <col min="15106" max="15106" width="13.25" style="1238" customWidth="1"/>
    <col min="15107" max="15107" width="15.625" style="1238" customWidth="1"/>
    <col min="15108" max="15108" width="9.375" style="1238" bestFit="1" customWidth="1"/>
    <col min="15109" max="15109" width="13.5" style="1238" customWidth="1"/>
    <col min="15110" max="15110" width="9" style="1238"/>
    <col min="15111" max="15111" width="9.375" style="1238" bestFit="1" customWidth="1"/>
    <col min="15112" max="15113" width="9" style="1238"/>
    <col min="15114" max="15114" width="9.375" style="1238" bestFit="1" customWidth="1"/>
    <col min="15115" max="15115" width="4" style="1238" customWidth="1"/>
    <col min="15116" max="15116" width="5.125" style="1238" customWidth="1"/>
    <col min="15117" max="15117" width="13.75" style="1238" customWidth="1"/>
    <col min="15118" max="15360" width="9" style="1238"/>
    <col min="15361" max="15361" width="4.875" style="1238" customWidth="1"/>
    <col min="15362" max="15362" width="13.25" style="1238" customWidth="1"/>
    <col min="15363" max="15363" width="15.625" style="1238" customWidth="1"/>
    <col min="15364" max="15364" width="9.375" style="1238" bestFit="1" customWidth="1"/>
    <col min="15365" max="15365" width="13.5" style="1238" customWidth="1"/>
    <col min="15366" max="15366" width="9" style="1238"/>
    <col min="15367" max="15367" width="9.375" style="1238" bestFit="1" customWidth="1"/>
    <col min="15368" max="15369" width="9" style="1238"/>
    <col min="15370" max="15370" width="9.375" style="1238" bestFit="1" customWidth="1"/>
    <col min="15371" max="15371" width="4" style="1238" customWidth="1"/>
    <col min="15372" max="15372" width="5.125" style="1238" customWidth="1"/>
    <col min="15373" max="15373" width="13.75" style="1238" customWidth="1"/>
    <col min="15374" max="15616" width="9" style="1238"/>
    <col min="15617" max="15617" width="4.875" style="1238" customWidth="1"/>
    <col min="15618" max="15618" width="13.25" style="1238" customWidth="1"/>
    <col min="15619" max="15619" width="15.625" style="1238" customWidth="1"/>
    <col min="15620" max="15620" width="9.375" style="1238" bestFit="1" customWidth="1"/>
    <col min="15621" max="15621" width="13.5" style="1238" customWidth="1"/>
    <col min="15622" max="15622" width="9" style="1238"/>
    <col min="15623" max="15623" width="9.375" style="1238" bestFit="1" customWidth="1"/>
    <col min="15624" max="15625" width="9" style="1238"/>
    <col min="15626" max="15626" width="9.375" style="1238" bestFit="1" customWidth="1"/>
    <col min="15627" max="15627" width="4" style="1238" customWidth="1"/>
    <col min="15628" max="15628" width="5.125" style="1238" customWidth="1"/>
    <col min="15629" max="15629" width="13.75" style="1238" customWidth="1"/>
    <col min="15630" max="15872" width="9" style="1238"/>
    <col min="15873" max="15873" width="4.875" style="1238" customWidth="1"/>
    <col min="15874" max="15874" width="13.25" style="1238" customWidth="1"/>
    <col min="15875" max="15875" width="15.625" style="1238" customWidth="1"/>
    <col min="15876" max="15876" width="9.375" style="1238" bestFit="1" customWidth="1"/>
    <col min="15877" max="15877" width="13.5" style="1238" customWidth="1"/>
    <col min="15878" max="15878" width="9" style="1238"/>
    <col min="15879" max="15879" width="9.375" style="1238" bestFit="1" customWidth="1"/>
    <col min="15880" max="15881" width="9" style="1238"/>
    <col min="15882" max="15882" width="9.375" style="1238" bestFit="1" customWidth="1"/>
    <col min="15883" max="15883" width="4" style="1238" customWidth="1"/>
    <col min="15884" max="15884" width="5.125" style="1238" customWidth="1"/>
    <col min="15885" max="15885" width="13.75" style="1238" customWidth="1"/>
    <col min="15886" max="16128" width="9" style="1238"/>
    <col min="16129" max="16129" width="4.875" style="1238" customWidth="1"/>
    <col min="16130" max="16130" width="13.25" style="1238" customWidth="1"/>
    <col min="16131" max="16131" width="15.625" style="1238" customWidth="1"/>
    <col min="16132" max="16132" width="9.375" style="1238" bestFit="1" customWidth="1"/>
    <col min="16133" max="16133" width="13.5" style="1238" customWidth="1"/>
    <col min="16134" max="16134" width="9" style="1238"/>
    <col min="16135" max="16135" width="9.375" style="1238" bestFit="1" customWidth="1"/>
    <col min="16136" max="16137" width="9" style="1238"/>
    <col min="16138" max="16138" width="9.375" style="1238" bestFit="1" customWidth="1"/>
    <col min="16139" max="16139" width="4" style="1238" customWidth="1"/>
    <col min="16140" max="16140" width="5.125" style="1238" customWidth="1"/>
    <col min="16141" max="16141" width="13.75" style="1238" customWidth="1"/>
    <col min="16142" max="16384" width="9" style="1238"/>
  </cols>
  <sheetData>
    <row r="1" spans="1:257" s="1300" customFormat="1" ht="14.25" thickBot="1">
      <c r="A1" s="1294"/>
      <c r="B1" s="1301" t="s">
        <v>602</v>
      </c>
      <c r="C1" s="1295">
        <f>项目基本情况!D3</f>
        <v>45400</v>
      </c>
      <c r="D1" s="1301" t="s">
        <v>603</v>
      </c>
      <c r="E1" s="1296">
        <f>'数据-取费表'!B22</f>
        <v>2</v>
      </c>
      <c r="F1" s="1301" t="s">
        <v>604</v>
      </c>
      <c r="G1" s="1297">
        <f ca="1">INDIRECT("d"&amp;$K$1)/100</f>
        <v>3.4500000000000003E-2</v>
      </c>
      <c r="H1" s="1301" t="s">
        <v>634</v>
      </c>
      <c r="I1" s="1297">
        <f ca="1">F4/100</f>
        <v>1.4999999999999999E-2</v>
      </c>
      <c r="J1" s="1302">
        <f>IF(C1&gt;C13,0,MATCH(C1,C$13:C$111,-1))+IF(SUMIF(C13:C111,C1,D13:D111)=0,13,12)</f>
        <v>13</v>
      </c>
      <c r="K1" s="1302">
        <f>MATCH(E1,C3:C7,1)+IF(SUMIF(C3:C7,E1,D3:D7)=0,2,1)</f>
        <v>5</v>
      </c>
      <c r="L1" s="1302">
        <f>IF(C1&gt;M13,0,MATCH(C1,M$13:M$100,-1))+IF(SUMIF(M13:M100,C1,N13:N100)=0,13,12)</f>
        <v>13</v>
      </c>
      <c r="M1" s="1294"/>
      <c r="N1" s="1294"/>
      <c r="O1" s="1294"/>
      <c r="P1" s="1294"/>
      <c r="Q1" s="1294"/>
      <c r="R1" s="1294"/>
      <c r="S1" s="1294"/>
      <c r="T1" s="1294"/>
      <c r="U1" s="1294"/>
      <c r="V1" s="1294"/>
      <c r="W1" s="1294"/>
      <c r="X1" s="1294"/>
      <c r="Y1" s="1294"/>
      <c r="Z1" s="1294"/>
      <c r="AA1" s="1298"/>
      <c r="AB1" s="1298"/>
      <c r="AC1" s="1298"/>
      <c r="AD1" s="1298"/>
      <c r="AE1" s="1298"/>
      <c r="AF1" s="1298"/>
      <c r="AG1" s="1298"/>
      <c r="AH1" s="1298"/>
      <c r="AI1" s="1298"/>
      <c r="AJ1" s="1298"/>
      <c r="AK1" s="1298"/>
      <c r="AL1" s="1298"/>
      <c r="AM1" s="1298"/>
      <c r="AN1" s="1298"/>
      <c r="AO1" s="1298"/>
      <c r="AP1" s="1298"/>
      <c r="AQ1" s="1298"/>
      <c r="AR1" s="1298"/>
      <c r="AS1" s="1298"/>
      <c r="AT1" s="1298"/>
      <c r="AU1" s="1298"/>
      <c r="AV1" s="1298"/>
      <c r="AW1" s="1298"/>
      <c r="AX1" s="1298"/>
      <c r="AY1" s="1298"/>
      <c r="AZ1" s="1298"/>
      <c r="BA1" s="1298"/>
      <c r="BB1" s="1298"/>
      <c r="BC1" s="1298"/>
      <c r="BD1" s="1298"/>
      <c r="BE1" s="1298"/>
      <c r="BF1" s="1298"/>
      <c r="BG1" s="1298"/>
      <c r="BH1" s="1298"/>
      <c r="BI1" s="1298"/>
      <c r="BJ1" s="1298"/>
      <c r="BK1" s="1298"/>
      <c r="BL1" s="1298"/>
      <c r="BM1" s="1298"/>
      <c r="BN1" s="1298"/>
      <c r="BO1" s="1298"/>
      <c r="BP1" s="1298"/>
      <c r="BQ1" s="1298"/>
      <c r="BR1" s="1298"/>
      <c r="BS1" s="1298"/>
      <c r="BT1" s="1298"/>
      <c r="BU1" s="1298"/>
      <c r="BV1" s="1298"/>
      <c r="BW1" s="1298"/>
      <c r="BX1" s="1298"/>
      <c r="BY1" s="1298"/>
      <c r="BZ1" s="1298"/>
      <c r="CA1" s="1298"/>
      <c r="CB1" s="1298"/>
      <c r="CC1" s="1298"/>
      <c r="CD1" s="1298"/>
      <c r="CE1" s="1298"/>
      <c r="CF1" s="1298"/>
      <c r="CG1" s="1298"/>
      <c r="CH1" s="1298"/>
      <c r="CI1" s="1298"/>
      <c r="CJ1" s="1298"/>
      <c r="CK1" s="1298"/>
      <c r="CL1" s="1298"/>
      <c r="CM1" s="1298"/>
      <c r="CN1" s="1298"/>
      <c r="CO1" s="1298"/>
      <c r="CP1" s="1298"/>
      <c r="CQ1" s="1298"/>
      <c r="CR1" s="1298"/>
      <c r="CS1" s="1298"/>
      <c r="CT1" s="1298"/>
      <c r="CU1" s="1298"/>
      <c r="CV1" s="1298"/>
      <c r="CW1" s="1298"/>
      <c r="CX1" s="1298"/>
      <c r="CY1" s="1298"/>
      <c r="CZ1" s="1298"/>
      <c r="DA1" s="1298"/>
      <c r="DB1" s="1298"/>
      <c r="DC1" s="1298"/>
      <c r="DD1" s="1298"/>
      <c r="DE1" s="1298"/>
      <c r="DF1" s="1298"/>
      <c r="DG1" s="1298"/>
      <c r="DH1" s="1298"/>
      <c r="DI1" s="1298"/>
      <c r="DJ1" s="1298"/>
      <c r="DK1" s="1298"/>
      <c r="DL1" s="1298"/>
      <c r="DM1" s="1298"/>
      <c r="DN1" s="1298"/>
      <c r="DO1" s="1298"/>
      <c r="DP1" s="1298"/>
      <c r="DQ1" s="1298"/>
      <c r="DR1" s="1298"/>
      <c r="DS1" s="1298"/>
      <c r="DT1" s="1298"/>
      <c r="DU1" s="1298"/>
      <c r="DV1" s="1298"/>
      <c r="DW1" s="1298"/>
      <c r="DX1" s="1298"/>
      <c r="DY1" s="1298"/>
      <c r="DZ1" s="1298"/>
      <c r="EA1" s="1298"/>
      <c r="EB1" s="1298"/>
      <c r="EC1" s="1298"/>
      <c r="ED1" s="1298"/>
      <c r="EE1" s="1298"/>
      <c r="EF1" s="1298"/>
      <c r="EG1" s="1298"/>
      <c r="EH1" s="1298"/>
      <c r="EI1" s="1298"/>
      <c r="EJ1" s="1298"/>
      <c r="EK1" s="1298"/>
      <c r="EL1" s="1298"/>
      <c r="EM1" s="1298"/>
      <c r="EN1" s="1298"/>
      <c r="EO1" s="1298"/>
      <c r="EP1" s="1298"/>
      <c r="EQ1" s="1298"/>
      <c r="ER1" s="1298"/>
      <c r="ES1" s="1298"/>
      <c r="ET1" s="1298"/>
      <c r="EU1" s="1298"/>
      <c r="EV1" s="1298"/>
      <c r="EW1" s="1298"/>
      <c r="EX1" s="1298"/>
      <c r="EY1" s="1298"/>
      <c r="EZ1" s="1298"/>
      <c r="FA1" s="1298"/>
      <c r="FB1" s="1298"/>
      <c r="FC1" s="1298"/>
      <c r="FD1" s="1298"/>
      <c r="FE1" s="1298"/>
      <c r="FF1" s="1298"/>
      <c r="FG1" s="1298"/>
      <c r="FH1" s="1298"/>
      <c r="FI1" s="1298"/>
      <c r="FJ1" s="1298"/>
      <c r="FK1" s="1298"/>
      <c r="FL1" s="1298"/>
      <c r="FM1" s="1298"/>
      <c r="FN1" s="1298"/>
      <c r="FO1" s="1298"/>
      <c r="FP1" s="1298"/>
      <c r="FQ1" s="1298"/>
      <c r="FR1" s="1298"/>
      <c r="FS1" s="1298"/>
      <c r="FT1" s="1298"/>
      <c r="FU1" s="1298"/>
      <c r="FV1" s="1298"/>
      <c r="FW1" s="1298"/>
      <c r="FX1" s="1298"/>
      <c r="FY1" s="1298"/>
      <c r="FZ1" s="1298"/>
      <c r="GA1" s="1298"/>
      <c r="GB1" s="1298"/>
      <c r="GC1" s="1298"/>
      <c r="GD1" s="1298"/>
      <c r="GE1" s="1298"/>
      <c r="GF1" s="1298"/>
      <c r="GG1" s="1298"/>
      <c r="GH1" s="1298"/>
      <c r="GI1" s="1298"/>
      <c r="GJ1" s="1298"/>
      <c r="GK1" s="1298"/>
      <c r="GL1" s="1298"/>
      <c r="GM1" s="1298"/>
      <c r="GN1" s="1298"/>
      <c r="GO1" s="1298"/>
      <c r="GP1" s="1298"/>
      <c r="GQ1" s="1298"/>
      <c r="GR1" s="1298"/>
      <c r="GS1" s="1298"/>
      <c r="GT1" s="1298"/>
      <c r="GU1" s="1298"/>
      <c r="GV1" s="1298"/>
      <c r="GW1" s="1298"/>
      <c r="GX1" s="1298"/>
      <c r="GY1" s="1298"/>
      <c r="GZ1" s="1298"/>
      <c r="HA1" s="1298"/>
      <c r="HB1" s="1298"/>
      <c r="HC1" s="1298"/>
      <c r="HD1" s="1298"/>
      <c r="HE1" s="1298"/>
      <c r="HF1" s="1298"/>
      <c r="HG1" s="1298"/>
      <c r="HH1" s="1298"/>
      <c r="HI1" s="1298"/>
      <c r="HJ1" s="1298"/>
      <c r="HK1" s="1298"/>
      <c r="HL1" s="1298"/>
      <c r="HM1" s="1298"/>
      <c r="HN1" s="1298"/>
      <c r="HO1" s="1298"/>
      <c r="HP1" s="1298"/>
      <c r="HQ1" s="1298"/>
      <c r="HR1" s="1298"/>
      <c r="HS1" s="1298"/>
      <c r="HT1" s="1298"/>
      <c r="HU1" s="1298"/>
      <c r="HV1" s="1298"/>
      <c r="HW1" s="1298"/>
      <c r="HX1" s="1298"/>
      <c r="HY1" s="1298"/>
      <c r="HZ1" s="1298"/>
      <c r="IA1" s="1298"/>
      <c r="IB1" s="1298"/>
      <c r="IC1" s="1298"/>
      <c r="ID1" s="1298"/>
      <c r="IE1" s="1298"/>
      <c r="IF1" s="1298"/>
      <c r="IG1" s="1298"/>
      <c r="IH1" s="1298"/>
      <c r="II1" s="1298"/>
      <c r="IJ1" s="1298"/>
      <c r="IK1" s="1298"/>
      <c r="IL1" s="1298"/>
      <c r="IM1" s="1298"/>
      <c r="IN1" s="1298"/>
      <c r="IO1" s="1298"/>
      <c r="IP1" s="1298"/>
      <c r="IQ1" s="1298"/>
      <c r="IR1" s="1298"/>
      <c r="IS1" s="1298"/>
      <c r="IT1" s="1298"/>
      <c r="IU1" s="1298"/>
      <c r="IV1" s="1298"/>
      <c r="IW1" s="1299"/>
    </row>
    <row r="2" spans="1:257" ht="15" thickTop="1" thickBot="1">
      <c r="A2" s="1239"/>
      <c r="B2" s="1239"/>
      <c r="C2" s="1239"/>
      <c r="D2" s="1239" t="s">
        <v>605</v>
      </c>
      <c r="E2" s="1239"/>
      <c r="F2" s="1239" t="s">
        <v>606</v>
      </c>
      <c r="G2" s="1240"/>
      <c r="H2" s="1239"/>
      <c r="I2" s="1239"/>
      <c r="J2" s="1239"/>
      <c r="K2" s="1239"/>
      <c r="L2" s="1239"/>
      <c r="M2" s="1239"/>
      <c r="N2" s="1239"/>
      <c r="O2" s="1239"/>
      <c r="P2" s="1239"/>
      <c r="Q2" s="1239"/>
      <c r="R2" s="1239"/>
      <c r="S2" s="1239"/>
      <c r="T2" s="1239"/>
      <c r="U2" s="1239"/>
      <c r="V2" s="1239"/>
      <c r="W2" s="1239"/>
      <c r="X2" s="1239"/>
      <c r="Y2" s="1239"/>
      <c r="Z2" s="1239"/>
      <c r="AA2" s="1239"/>
      <c r="AB2" s="1239"/>
      <c r="AC2" s="1239"/>
      <c r="AD2" s="1239"/>
      <c r="AE2" s="1239"/>
      <c r="AF2" s="1239"/>
      <c r="AG2" s="1239"/>
      <c r="AH2" s="1239"/>
      <c r="AI2" s="1239"/>
      <c r="AJ2" s="1239"/>
      <c r="AK2" s="1239"/>
      <c r="AL2" s="1239"/>
      <c r="AM2" s="1239"/>
      <c r="AN2" s="1239"/>
      <c r="AO2" s="1239"/>
      <c r="AP2" s="1239"/>
      <c r="AQ2" s="1239"/>
      <c r="AR2" s="1239"/>
      <c r="AS2" s="1239"/>
      <c r="AT2" s="1239"/>
      <c r="AU2" s="1239"/>
      <c r="AV2" s="1239"/>
      <c r="AW2" s="1239"/>
      <c r="AX2" s="1239"/>
      <c r="AY2" s="1239"/>
      <c r="AZ2" s="1239"/>
      <c r="BA2" s="1239"/>
      <c r="BB2" s="1239"/>
      <c r="BC2" s="1239"/>
      <c r="BD2" s="1239"/>
      <c r="BE2" s="1239"/>
      <c r="BF2" s="1239"/>
      <c r="BG2" s="1239"/>
      <c r="BH2" s="1239"/>
      <c r="BI2" s="1239"/>
      <c r="BJ2" s="1239"/>
      <c r="BK2" s="1239"/>
      <c r="BL2" s="1239"/>
      <c r="BM2" s="1239"/>
      <c r="BN2" s="1239"/>
      <c r="BO2" s="1239"/>
      <c r="BP2" s="1239"/>
      <c r="BQ2" s="1239"/>
      <c r="BR2" s="1239"/>
      <c r="BS2" s="1239"/>
      <c r="BT2" s="1239"/>
      <c r="BU2" s="1239"/>
      <c r="BV2" s="1239"/>
      <c r="BW2" s="1239"/>
      <c r="BX2" s="1239"/>
      <c r="BY2" s="1239"/>
      <c r="BZ2" s="1239"/>
      <c r="CA2" s="1239"/>
      <c r="CB2" s="1239"/>
      <c r="CC2" s="1239"/>
      <c r="CD2" s="1239"/>
      <c r="CE2" s="1239"/>
      <c r="CF2" s="1239"/>
      <c r="CG2" s="1239"/>
      <c r="CH2" s="1239"/>
      <c r="CI2" s="1239"/>
      <c r="CJ2" s="1239"/>
      <c r="CK2" s="1239"/>
      <c r="CL2" s="1239"/>
      <c r="CM2" s="1239"/>
      <c r="CN2" s="1239"/>
      <c r="CO2" s="1239"/>
      <c r="CP2" s="1239"/>
      <c r="CQ2" s="1239"/>
      <c r="CR2" s="1239"/>
      <c r="CS2" s="1239"/>
      <c r="CT2" s="1239"/>
      <c r="CU2" s="1239"/>
      <c r="CV2" s="1239"/>
      <c r="CW2" s="1239"/>
      <c r="CX2" s="1239"/>
      <c r="CY2" s="1239"/>
      <c r="CZ2" s="1239"/>
      <c r="DA2" s="1239"/>
      <c r="DB2" s="1239"/>
      <c r="DC2" s="1239"/>
      <c r="DD2" s="1239"/>
      <c r="DE2" s="1239"/>
      <c r="DF2" s="1239"/>
      <c r="DG2" s="1239"/>
      <c r="DH2" s="1239"/>
      <c r="DI2" s="1239"/>
      <c r="DJ2" s="1239"/>
      <c r="DK2" s="1239"/>
      <c r="DL2" s="1239"/>
      <c r="DM2" s="1239"/>
      <c r="DN2" s="1239"/>
      <c r="DO2" s="1239"/>
      <c r="DP2" s="1239"/>
      <c r="DQ2" s="1239"/>
      <c r="DR2" s="1239"/>
      <c r="DS2" s="1239"/>
      <c r="DT2" s="1239"/>
      <c r="DU2" s="1239"/>
      <c r="DV2" s="1239"/>
      <c r="DW2" s="1239"/>
      <c r="DX2" s="1239"/>
      <c r="DY2" s="1239"/>
      <c r="DZ2" s="1239"/>
      <c r="EA2" s="1239"/>
      <c r="EB2" s="1239"/>
      <c r="EC2" s="1239"/>
      <c r="ED2" s="1239"/>
      <c r="EE2" s="1239"/>
      <c r="EF2" s="1239"/>
      <c r="EG2" s="1239"/>
      <c r="EH2" s="1239"/>
      <c r="EI2" s="1239"/>
      <c r="EJ2" s="1239"/>
      <c r="EK2" s="1239"/>
      <c r="EL2" s="1239"/>
      <c r="EM2" s="1239"/>
      <c r="EN2" s="1239"/>
      <c r="EO2" s="1239"/>
      <c r="EP2" s="1239"/>
      <c r="EQ2" s="1239"/>
      <c r="ER2" s="1239"/>
      <c r="ES2" s="1239"/>
      <c r="ET2" s="1239"/>
      <c r="EU2" s="1239"/>
      <c r="EV2" s="1239"/>
      <c r="EW2" s="1239"/>
      <c r="EX2" s="1239"/>
      <c r="EY2" s="1239"/>
      <c r="EZ2" s="1239"/>
      <c r="FA2" s="1239"/>
      <c r="FB2" s="1239"/>
      <c r="FC2" s="1239"/>
      <c r="FD2" s="1239"/>
      <c r="FE2" s="1239"/>
      <c r="FF2" s="1239"/>
      <c r="FG2" s="1239"/>
      <c r="FH2" s="1239"/>
      <c r="FI2" s="1239"/>
      <c r="FJ2" s="1239"/>
      <c r="FK2" s="1239"/>
      <c r="FL2" s="1239"/>
      <c r="FM2" s="1239"/>
      <c r="FN2" s="1239"/>
      <c r="FO2" s="1239"/>
      <c r="FP2" s="1239"/>
      <c r="FQ2" s="1239"/>
      <c r="FR2" s="1239"/>
      <c r="FS2" s="1239"/>
      <c r="FT2" s="1239"/>
      <c r="FU2" s="1239"/>
      <c r="FV2" s="1239"/>
      <c r="FW2" s="1239"/>
      <c r="FX2" s="1239"/>
      <c r="FY2" s="1239"/>
      <c r="FZ2" s="1239"/>
      <c r="GA2" s="1239"/>
      <c r="GB2" s="1239"/>
      <c r="GC2" s="1239"/>
      <c r="GD2" s="1239"/>
      <c r="GE2" s="1239"/>
      <c r="GF2" s="1239"/>
      <c r="GG2" s="1239"/>
      <c r="GH2" s="1239"/>
      <c r="GI2" s="1239"/>
      <c r="GJ2" s="1239"/>
      <c r="GK2" s="1239"/>
      <c r="GL2" s="1239"/>
      <c r="GM2" s="1239"/>
      <c r="GN2" s="1239"/>
      <c r="GO2" s="1239"/>
      <c r="GP2" s="1239"/>
      <c r="GQ2" s="1239"/>
      <c r="GR2" s="1239"/>
      <c r="GS2" s="1239"/>
      <c r="GT2" s="1239"/>
      <c r="GU2" s="1239"/>
      <c r="GV2" s="1239"/>
      <c r="GW2" s="1239"/>
      <c r="GX2" s="1239"/>
      <c r="GY2" s="1239"/>
      <c r="GZ2" s="1239"/>
      <c r="HA2" s="1239"/>
      <c r="HB2" s="1239"/>
      <c r="HC2" s="1239"/>
      <c r="HD2" s="1239"/>
      <c r="HE2" s="1239"/>
      <c r="HF2" s="1239"/>
      <c r="HG2" s="1239"/>
      <c r="HH2" s="1239"/>
      <c r="HI2" s="1239"/>
      <c r="HJ2" s="1239"/>
      <c r="HK2" s="1239"/>
      <c r="HL2" s="1239"/>
      <c r="HM2" s="1239"/>
      <c r="HN2" s="1239"/>
      <c r="HO2" s="1239"/>
      <c r="HP2" s="1239"/>
      <c r="HQ2" s="1239"/>
      <c r="HR2" s="1239"/>
      <c r="HS2" s="1239"/>
      <c r="HT2" s="1239"/>
      <c r="HU2" s="1239"/>
      <c r="HV2" s="1239"/>
      <c r="HW2" s="1239"/>
      <c r="HX2" s="1239"/>
      <c r="HY2" s="1239"/>
      <c r="HZ2" s="1239"/>
      <c r="IA2" s="1239"/>
      <c r="IB2" s="1239"/>
      <c r="IC2" s="1239"/>
      <c r="ID2" s="1239"/>
      <c r="IE2" s="1239"/>
      <c r="IF2" s="1239"/>
      <c r="IG2" s="1239"/>
      <c r="IH2" s="1239"/>
      <c r="II2" s="1239"/>
      <c r="IJ2" s="1239"/>
      <c r="IK2" s="1239"/>
      <c r="IL2" s="1239"/>
      <c r="IM2" s="1239"/>
      <c r="IN2" s="1239"/>
      <c r="IO2" s="1239"/>
      <c r="IP2" s="1239"/>
      <c r="IQ2" s="1239"/>
      <c r="IR2" s="1239"/>
      <c r="IS2" s="1239"/>
      <c r="IT2" s="1239"/>
      <c r="IU2" s="1239"/>
      <c r="IV2" s="1239"/>
      <c r="IW2" s="1239"/>
    </row>
    <row r="3" spans="1:257">
      <c r="B3" s="1242" t="s">
        <v>607</v>
      </c>
      <c r="C3" s="1243">
        <v>0</v>
      </c>
      <c r="D3" s="1244">
        <f ca="1">INDIRECT("d"&amp;$J$1)</f>
        <v>3.45</v>
      </c>
      <c r="E3" s="1245">
        <v>0.5</v>
      </c>
      <c r="F3" s="1246">
        <f ca="1">INDIRECT("p"&amp;$L$1)</f>
        <v>1.3</v>
      </c>
      <c r="G3" s="1241"/>
      <c r="H3" s="1241"/>
      <c r="I3" s="1241"/>
      <c r="J3" s="1241"/>
      <c r="L3" s="1241"/>
      <c r="M3" s="1241"/>
      <c r="N3" s="1241"/>
      <c r="O3" s="1241"/>
      <c r="P3" s="1241"/>
      <c r="Q3" s="1241"/>
      <c r="R3" s="1241"/>
      <c r="S3" s="1241"/>
      <c r="T3" s="1241"/>
      <c r="U3" s="1241"/>
      <c r="V3" s="1241"/>
      <c r="W3" s="1241"/>
      <c r="X3" s="1241"/>
      <c r="Y3" s="1241"/>
      <c r="Z3" s="1241"/>
    </row>
    <row r="4" spans="1:257">
      <c r="B4" s="1248" t="s">
        <v>608</v>
      </c>
      <c r="C4" s="1249">
        <v>0.5</v>
      </c>
      <c r="D4" s="1250">
        <f ca="1">INDIRECT("e"&amp;$J$1)</f>
        <v>3.45</v>
      </c>
      <c r="E4" s="1251">
        <v>1</v>
      </c>
      <c r="F4" s="1252">
        <f ca="1">INDIRECT("q"&amp;$L$1)</f>
        <v>1.5</v>
      </c>
      <c r="G4" s="1241"/>
      <c r="H4" s="1241"/>
      <c r="I4" s="1241"/>
      <c r="J4" s="1241"/>
      <c r="L4" s="1241"/>
      <c r="M4" s="1241"/>
      <c r="N4" s="1241"/>
      <c r="O4" s="1241"/>
      <c r="P4" s="1241"/>
      <c r="Q4" s="1241"/>
      <c r="R4" s="1241"/>
      <c r="S4" s="1241"/>
      <c r="T4" s="1241"/>
      <c r="U4" s="1241"/>
      <c r="V4" s="1241"/>
      <c r="W4" s="1241"/>
      <c r="X4" s="1241"/>
      <c r="Y4" s="1241"/>
      <c r="Z4" s="1241"/>
    </row>
    <row r="5" spans="1:257">
      <c r="B5" s="1248" t="s">
        <v>609</v>
      </c>
      <c r="C5" s="1249">
        <v>1</v>
      </c>
      <c r="D5" s="1250">
        <f ca="1">INDIRECT("f"&amp;$J$1)</f>
        <v>3.45</v>
      </c>
      <c r="E5" s="1251">
        <v>2</v>
      </c>
      <c r="F5" s="1252">
        <f ca="1">INDIRECT("r"&amp;$L$1)</f>
        <v>2.1</v>
      </c>
      <c r="G5" s="1241"/>
      <c r="H5" s="1241"/>
      <c r="I5" s="1241"/>
      <c r="J5" s="1241"/>
      <c r="L5" s="1241"/>
      <c r="M5" s="1241"/>
      <c r="N5" s="1241"/>
      <c r="O5" s="1241"/>
      <c r="P5" s="1241"/>
      <c r="Q5" s="1241"/>
      <c r="R5" s="1241"/>
      <c r="S5" s="1241"/>
      <c r="T5" s="1241"/>
      <c r="U5" s="1241"/>
      <c r="V5" s="1241"/>
      <c r="W5" s="1241"/>
      <c r="X5" s="1241"/>
      <c r="Y5" s="1241"/>
      <c r="Z5" s="1241"/>
    </row>
    <row r="6" spans="1:257">
      <c r="B6" s="1248" t="s">
        <v>610</v>
      </c>
      <c r="C6" s="1249">
        <v>3</v>
      </c>
      <c r="D6" s="1250">
        <f ca="1">INDIRECT("g"&amp;$J$1)</f>
        <v>3.45</v>
      </c>
      <c r="E6" s="1251">
        <v>3</v>
      </c>
      <c r="F6" s="1252">
        <f ca="1">INDIRECT("s"&amp;$L$1)</f>
        <v>2.75</v>
      </c>
      <c r="G6" s="1241"/>
      <c r="H6" s="1241"/>
      <c r="I6" s="1241"/>
      <c r="J6" s="1241"/>
      <c r="L6" s="1241"/>
      <c r="M6" s="1241"/>
      <c r="N6" s="1241"/>
      <c r="O6" s="1241"/>
      <c r="P6" s="1241"/>
      <c r="Q6" s="1241"/>
      <c r="R6" s="1241"/>
      <c r="S6" s="1241"/>
      <c r="T6" s="1241"/>
      <c r="U6" s="1241"/>
      <c r="V6" s="1241"/>
      <c r="W6" s="1241"/>
      <c r="X6" s="1241"/>
      <c r="Y6" s="1241"/>
      <c r="Z6" s="1241"/>
    </row>
    <row r="7" spans="1:257" ht="14.25" thickBot="1">
      <c r="B7" s="1253" t="s">
        <v>611</v>
      </c>
      <c r="C7" s="1254">
        <v>5</v>
      </c>
      <c r="D7" s="1255">
        <f ca="1">INDIRECT("h"&amp;$J$1)</f>
        <v>4.2</v>
      </c>
      <c r="E7" s="1256">
        <v>5</v>
      </c>
      <c r="F7" s="1257">
        <f ca="1">INDIRECT("t"&amp;$L$1)</f>
        <v>0</v>
      </c>
      <c r="G7" s="1241"/>
      <c r="H7" s="1241"/>
      <c r="I7" s="1241"/>
      <c r="J7" s="1241"/>
      <c r="L7" s="1241"/>
      <c r="M7" s="1241"/>
      <c r="N7" s="1241"/>
      <c r="O7" s="1241"/>
      <c r="P7" s="1241"/>
      <c r="Q7" s="1241"/>
      <c r="R7" s="1241"/>
      <c r="S7" s="1241"/>
      <c r="T7" s="1241"/>
      <c r="U7" s="1241"/>
      <c r="V7" s="1241"/>
      <c r="W7" s="1241"/>
      <c r="X7" s="1241"/>
      <c r="Y7" s="1241"/>
      <c r="Z7" s="1241"/>
    </row>
    <row r="8" spans="1:257">
      <c r="A8" s="1258"/>
      <c r="B8" s="1259"/>
      <c r="C8" s="1260"/>
      <c r="D8" s="1241"/>
      <c r="E8" s="1241"/>
      <c r="F8" s="1241"/>
      <c r="G8" s="1241"/>
      <c r="H8" s="1241"/>
      <c r="I8" s="1241"/>
      <c r="J8" s="1241"/>
      <c r="L8" s="1241"/>
      <c r="M8" s="1241"/>
      <c r="N8" s="1241"/>
      <c r="O8" s="1241"/>
      <c r="P8" s="1241"/>
      <c r="Q8" s="1241"/>
      <c r="R8" s="1241"/>
      <c r="S8" s="1241"/>
      <c r="T8" s="1241"/>
      <c r="U8" s="1241"/>
      <c r="V8" s="1241"/>
      <c r="W8" s="1241"/>
      <c r="X8" s="1241"/>
      <c r="Y8" s="1241"/>
      <c r="Z8" s="1241"/>
    </row>
    <row r="9" spans="1:257" ht="20.25">
      <c r="A9" s="1261"/>
      <c r="B9" s="1262" t="s">
        <v>612</v>
      </c>
      <c r="C9" s="1263"/>
      <c r="D9" s="1264"/>
      <c r="E9" s="1264"/>
      <c r="F9" s="1264"/>
      <c r="G9" s="1264"/>
      <c r="H9" s="1264"/>
      <c r="I9" s="1264"/>
      <c r="J9" s="1264"/>
      <c r="K9" s="1264"/>
      <c r="L9" s="1264"/>
      <c r="M9" s="1264"/>
      <c r="N9" s="1264"/>
      <c r="O9" s="1264"/>
      <c r="P9" s="1264"/>
      <c r="Q9" s="1264"/>
      <c r="R9" s="1264"/>
      <c r="S9" s="1264"/>
      <c r="T9" s="1264"/>
      <c r="U9" s="1264"/>
      <c r="V9" s="1264"/>
      <c r="W9" s="1264"/>
      <c r="X9" s="1264"/>
      <c r="Y9" s="1264"/>
      <c r="Z9" s="1264"/>
      <c r="AA9" s="1265"/>
      <c r="AB9" s="1265"/>
      <c r="AC9" s="1265"/>
      <c r="AD9" s="1265"/>
      <c r="AE9" s="1265"/>
      <c r="AF9" s="1265"/>
      <c r="AG9" s="1265"/>
      <c r="AH9" s="1265"/>
      <c r="AI9" s="1265"/>
      <c r="AJ9" s="1265"/>
      <c r="AK9" s="1265"/>
      <c r="AL9" s="1265"/>
      <c r="AM9" s="1265"/>
      <c r="AN9" s="1265"/>
      <c r="AO9" s="1265"/>
      <c r="AP9" s="1265"/>
      <c r="AQ9" s="1265"/>
      <c r="AR9" s="1265"/>
      <c r="AS9" s="1265"/>
      <c r="AT9" s="1265"/>
      <c r="AU9" s="1265"/>
      <c r="AV9" s="1265"/>
      <c r="AW9" s="1265"/>
      <c r="AX9" s="1265"/>
      <c r="AY9" s="1265"/>
      <c r="AZ9" s="1265"/>
      <c r="BA9" s="1265"/>
      <c r="BB9" s="1265"/>
      <c r="BC9" s="1265"/>
      <c r="BD9" s="1265"/>
      <c r="BE9" s="1265"/>
      <c r="BF9" s="1265"/>
      <c r="BG9" s="1265"/>
      <c r="BH9" s="1265"/>
      <c r="BI9" s="1265"/>
      <c r="BJ9" s="1265"/>
      <c r="BK9" s="1265"/>
      <c r="BL9" s="1265"/>
      <c r="BM9" s="1265"/>
      <c r="BN9" s="1265"/>
      <c r="BO9" s="1265"/>
      <c r="BP9" s="1265"/>
      <c r="BQ9" s="1265"/>
      <c r="BR9" s="1265"/>
      <c r="BS9" s="1265"/>
      <c r="BT9" s="1265"/>
      <c r="BU9" s="1265"/>
      <c r="BV9" s="1265"/>
      <c r="BW9" s="1265"/>
      <c r="BX9" s="1265"/>
      <c r="BY9" s="1265"/>
      <c r="BZ9" s="1265"/>
      <c r="CA9" s="1265"/>
      <c r="CB9" s="1265"/>
      <c r="CC9" s="1265"/>
      <c r="CD9" s="1265"/>
      <c r="CE9" s="1265"/>
      <c r="CF9" s="1265"/>
      <c r="CG9" s="1265"/>
      <c r="CH9" s="1265"/>
      <c r="CI9" s="1265"/>
      <c r="CJ9" s="1265"/>
      <c r="CK9" s="1265"/>
      <c r="CL9" s="1265"/>
      <c r="CM9" s="1265"/>
      <c r="CN9" s="1265"/>
      <c r="CO9" s="1265"/>
      <c r="CP9" s="1265"/>
      <c r="CQ9" s="1265"/>
      <c r="CR9" s="1265"/>
      <c r="CS9" s="1265"/>
      <c r="CT9" s="1265"/>
      <c r="CU9" s="1265"/>
      <c r="CV9" s="1265"/>
      <c r="CW9" s="1265"/>
      <c r="CX9" s="1265"/>
      <c r="CY9" s="1265"/>
      <c r="CZ9" s="1265"/>
      <c r="DA9" s="1265"/>
      <c r="DB9" s="1265"/>
      <c r="DC9" s="1265"/>
      <c r="DD9" s="1265"/>
      <c r="DE9" s="1265"/>
      <c r="DF9" s="1265"/>
      <c r="DG9" s="1265"/>
      <c r="DH9" s="1265"/>
      <c r="DI9" s="1265"/>
      <c r="DJ9" s="1265"/>
      <c r="DK9" s="1265"/>
      <c r="DL9" s="1265"/>
      <c r="DM9" s="1265"/>
      <c r="DN9" s="1265"/>
      <c r="DO9" s="1265"/>
      <c r="DP9" s="1265"/>
      <c r="DQ9" s="1265"/>
      <c r="DR9" s="1265"/>
      <c r="DS9" s="1265"/>
      <c r="DT9" s="1265"/>
      <c r="DU9" s="1265"/>
      <c r="DV9" s="1265"/>
      <c r="DW9" s="1265"/>
      <c r="DX9" s="1265"/>
      <c r="DY9" s="1265"/>
      <c r="DZ9" s="1265"/>
      <c r="EA9" s="1265"/>
      <c r="EB9" s="1265"/>
      <c r="EC9" s="1265"/>
      <c r="ED9" s="1265"/>
      <c r="EE9" s="1265"/>
      <c r="EF9" s="1265"/>
      <c r="EG9" s="1265"/>
      <c r="EH9" s="1265"/>
      <c r="EI9" s="1265"/>
      <c r="EJ9" s="1265"/>
      <c r="EK9" s="1265"/>
      <c r="EL9" s="1265"/>
      <c r="EM9" s="1265"/>
      <c r="EN9" s="1265"/>
      <c r="EO9" s="1265"/>
      <c r="EP9" s="1265"/>
      <c r="EQ9" s="1265"/>
      <c r="ER9" s="1265"/>
      <c r="ES9" s="1265"/>
      <c r="ET9" s="1265"/>
      <c r="EU9" s="1265"/>
      <c r="EV9" s="1265"/>
      <c r="EW9" s="1265"/>
      <c r="EX9" s="1265"/>
      <c r="EY9" s="1265"/>
      <c r="EZ9" s="1265"/>
      <c r="FA9" s="1265"/>
      <c r="FB9" s="1265"/>
      <c r="FC9" s="1265"/>
      <c r="FD9" s="1265"/>
      <c r="FE9" s="1265"/>
      <c r="FF9" s="1265"/>
      <c r="FG9" s="1265"/>
      <c r="FH9" s="1265"/>
      <c r="FI9" s="1265"/>
      <c r="FJ9" s="1265"/>
      <c r="FK9" s="1265"/>
      <c r="FL9" s="1265"/>
      <c r="FM9" s="1265"/>
      <c r="FN9" s="1265"/>
      <c r="FO9" s="1265"/>
      <c r="FP9" s="1265"/>
      <c r="FQ9" s="1265"/>
      <c r="FR9" s="1265"/>
      <c r="FS9" s="1265"/>
      <c r="FT9" s="1265"/>
      <c r="FU9" s="1265"/>
      <c r="FV9" s="1265"/>
      <c r="FW9" s="1265"/>
      <c r="FX9" s="1265"/>
      <c r="FY9" s="1265"/>
      <c r="FZ9" s="1265"/>
      <c r="GA9" s="1265"/>
      <c r="GB9" s="1265"/>
      <c r="GC9" s="1265"/>
      <c r="GD9" s="1265"/>
      <c r="GE9" s="1265"/>
      <c r="GF9" s="1265"/>
      <c r="GG9" s="1265"/>
      <c r="GH9" s="1265"/>
      <c r="GI9" s="1265"/>
      <c r="GJ9" s="1265"/>
      <c r="GK9" s="1265"/>
      <c r="GL9" s="1265"/>
      <c r="GM9" s="1265"/>
      <c r="GN9" s="1265"/>
      <c r="GO9" s="1265"/>
      <c r="GP9" s="1265"/>
      <c r="GQ9" s="1265"/>
      <c r="GR9" s="1265"/>
      <c r="GS9" s="1265"/>
      <c r="GT9" s="1265"/>
      <c r="GU9" s="1265"/>
      <c r="GV9" s="1265"/>
      <c r="GW9" s="1265"/>
      <c r="GX9" s="1265"/>
      <c r="GY9" s="1265"/>
      <c r="GZ9" s="1265"/>
      <c r="HA9" s="1265"/>
      <c r="HB9" s="1265"/>
      <c r="HC9" s="1265"/>
      <c r="HD9" s="1265"/>
      <c r="HE9" s="1265"/>
      <c r="HF9" s="1265"/>
      <c r="HG9" s="1265"/>
      <c r="HH9" s="1265"/>
      <c r="HI9" s="1265"/>
      <c r="HJ9" s="1265"/>
      <c r="HK9" s="1265"/>
      <c r="HL9" s="1265"/>
      <c r="HM9" s="1265"/>
      <c r="HN9" s="1265"/>
      <c r="HO9" s="1265"/>
      <c r="HP9" s="1265"/>
      <c r="HQ9" s="1265"/>
      <c r="HR9" s="1265"/>
      <c r="HS9" s="1265"/>
      <c r="HT9" s="1265"/>
      <c r="HU9" s="1265"/>
      <c r="HV9" s="1265"/>
      <c r="HW9" s="1265"/>
      <c r="HX9" s="1265"/>
      <c r="HY9" s="1265"/>
      <c r="HZ9" s="1265"/>
      <c r="IA9" s="1265"/>
      <c r="IB9" s="1265"/>
      <c r="IC9" s="1265"/>
      <c r="ID9" s="1265"/>
      <c r="IE9" s="1265"/>
      <c r="IF9" s="1265"/>
      <c r="IG9" s="1265"/>
      <c r="IH9" s="1265"/>
      <c r="II9" s="1265"/>
      <c r="IJ9" s="1265"/>
      <c r="IK9" s="1265"/>
      <c r="IL9" s="1265"/>
      <c r="IM9" s="1265"/>
      <c r="IN9" s="1265"/>
      <c r="IO9" s="1265"/>
      <c r="IP9" s="1265"/>
      <c r="IQ9" s="1265"/>
      <c r="IR9" s="1265"/>
      <c r="IS9" s="1265"/>
      <c r="IT9" s="1265"/>
      <c r="IU9" s="1265"/>
      <c r="IV9" s="1265"/>
      <c r="IW9" s="1266"/>
    </row>
    <row r="10" spans="1:257" ht="22.5">
      <c r="A10" s="1267"/>
      <c r="B10" s="1268" t="s">
        <v>613</v>
      </c>
      <c r="C10" s="1267"/>
      <c r="D10" s="1267"/>
      <c r="E10" s="1267"/>
      <c r="F10" s="1267"/>
      <c r="G10" s="1267"/>
      <c r="H10" s="1267"/>
      <c r="I10" s="1241"/>
      <c r="J10" s="1241"/>
      <c r="K10" s="1267"/>
      <c r="L10" s="1268" t="s">
        <v>614</v>
      </c>
      <c r="M10" s="1267"/>
      <c r="N10" s="1267"/>
      <c r="O10" s="1267"/>
      <c r="P10" s="1267"/>
      <c r="Q10" s="1267"/>
      <c r="R10" s="1267"/>
      <c r="S10" s="1267"/>
      <c r="T10" s="1267"/>
      <c r="U10" s="1267"/>
      <c r="V10" s="1267"/>
      <c r="W10" s="1267"/>
      <c r="X10" s="1267"/>
      <c r="Y10" s="1267"/>
      <c r="Z10" s="1267"/>
      <c r="AA10" s="1269"/>
      <c r="AB10" s="1269"/>
      <c r="AC10" s="1269"/>
      <c r="AD10" s="1269"/>
      <c r="AE10" s="1269"/>
      <c r="AF10" s="1269"/>
      <c r="AG10" s="1269"/>
      <c r="AH10" s="1269"/>
      <c r="AI10" s="1269"/>
      <c r="AJ10" s="1269"/>
      <c r="AK10" s="1269"/>
      <c r="AL10" s="1269"/>
      <c r="AM10" s="1269"/>
      <c r="AN10" s="1269"/>
      <c r="AO10" s="1269"/>
      <c r="AP10" s="1269"/>
      <c r="AQ10" s="1269"/>
      <c r="AR10" s="1269"/>
      <c r="AS10" s="1269"/>
      <c r="AT10" s="1269"/>
      <c r="AU10" s="1269"/>
      <c r="AV10" s="1269"/>
      <c r="AW10" s="1269"/>
      <c r="AX10" s="1269"/>
      <c r="AY10" s="1269"/>
      <c r="AZ10" s="1269"/>
      <c r="BA10" s="1269"/>
      <c r="BB10" s="1269"/>
      <c r="BC10" s="1269"/>
      <c r="BD10" s="1269"/>
      <c r="BE10" s="1269"/>
      <c r="BF10" s="1269"/>
      <c r="BG10" s="1269"/>
      <c r="BH10" s="1269"/>
      <c r="BI10" s="1269"/>
      <c r="BJ10" s="1269"/>
      <c r="BK10" s="1269"/>
      <c r="BL10" s="1269"/>
      <c r="BM10" s="1269"/>
      <c r="BN10" s="1269"/>
      <c r="BO10" s="1269"/>
      <c r="BP10" s="1269"/>
      <c r="BQ10" s="1269"/>
      <c r="BR10" s="1269"/>
      <c r="BS10" s="1269"/>
      <c r="BT10" s="1269"/>
      <c r="BU10" s="1269"/>
      <c r="BV10" s="1269"/>
      <c r="BW10" s="1269"/>
      <c r="BX10" s="1269"/>
      <c r="BY10" s="1269"/>
      <c r="BZ10" s="1269"/>
      <c r="CA10" s="1269"/>
      <c r="CB10" s="1269"/>
      <c r="CC10" s="1269"/>
      <c r="CD10" s="1269"/>
      <c r="CE10" s="1269"/>
      <c r="CF10" s="1269"/>
      <c r="CG10" s="1269"/>
      <c r="CH10" s="1269"/>
      <c r="CI10" s="1269"/>
      <c r="CJ10" s="1269"/>
      <c r="CK10" s="1269"/>
      <c r="CL10" s="1269"/>
      <c r="CM10" s="1269"/>
      <c r="CN10" s="1269"/>
      <c r="CO10" s="1269"/>
      <c r="CP10" s="1269"/>
      <c r="CQ10" s="1269"/>
      <c r="CR10" s="1269"/>
      <c r="CS10" s="1269"/>
      <c r="CT10" s="1269"/>
      <c r="CU10" s="1269"/>
      <c r="CV10" s="1269"/>
      <c r="CW10" s="1269"/>
      <c r="CX10" s="1269"/>
      <c r="CY10" s="1269"/>
      <c r="CZ10" s="1269"/>
      <c r="DA10" s="1269"/>
      <c r="DB10" s="1269"/>
      <c r="DC10" s="1269"/>
      <c r="DD10" s="1269"/>
      <c r="DE10" s="1269"/>
      <c r="DF10" s="1269"/>
      <c r="DG10" s="1269"/>
      <c r="DH10" s="1269"/>
      <c r="DI10" s="1269"/>
      <c r="DJ10" s="1269"/>
      <c r="DK10" s="1269"/>
      <c r="DL10" s="1269"/>
      <c r="DM10" s="1269"/>
      <c r="DN10" s="1269"/>
      <c r="DO10" s="1269"/>
      <c r="DP10" s="1269"/>
      <c r="DQ10" s="1269"/>
      <c r="DR10" s="1269"/>
      <c r="DS10" s="1269"/>
      <c r="DT10" s="1269"/>
      <c r="DU10" s="1269"/>
      <c r="DV10" s="1269"/>
      <c r="DW10" s="1269"/>
      <c r="DX10" s="1269"/>
      <c r="DY10" s="1269"/>
      <c r="DZ10" s="1269"/>
      <c r="EA10" s="1269"/>
      <c r="EB10" s="1269"/>
      <c r="EC10" s="1269"/>
      <c r="ED10" s="1269"/>
      <c r="EE10" s="1269"/>
      <c r="EF10" s="1269"/>
      <c r="EG10" s="1269"/>
      <c r="EH10" s="1269"/>
      <c r="EI10" s="1269"/>
      <c r="EJ10" s="1269"/>
      <c r="EK10" s="1269"/>
      <c r="EL10" s="1269"/>
      <c r="EM10" s="1269"/>
      <c r="EN10" s="1269"/>
      <c r="EO10" s="1269"/>
      <c r="EP10" s="1269"/>
      <c r="EQ10" s="1269"/>
      <c r="ER10" s="1269"/>
      <c r="ES10" s="1269"/>
      <c r="ET10" s="1269"/>
      <c r="EU10" s="1269"/>
      <c r="EV10" s="1269"/>
      <c r="EW10" s="1269"/>
      <c r="EX10" s="1269"/>
      <c r="EY10" s="1269"/>
      <c r="EZ10" s="1269"/>
      <c r="FA10" s="1269"/>
      <c r="FB10" s="1269"/>
      <c r="FC10" s="1269"/>
      <c r="FD10" s="1269"/>
      <c r="FE10" s="1269"/>
      <c r="FF10" s="1269"/>
      <c r="FG10" s="1269"/>
      <c r="FH10" s="1269"/>
      <c r="FI10" s="1269"/>
      <c r="FJ10" s="1269"/>
      <c r="FK10" s="1269"/>
      <c r="FL10" s="1269"/>
      <c r="FM10" s="1269"/>
      <c r="FN10" s="1269"/>
      <c r="FO10" s="1269"/>
      <c r="FP10" s="1269"/>
      <c r="FQ10" s="1269"/>
      <c r="FR10" s="1269"/>
      <c r="FS10" s="1269"/>
      <c r="FT10" s="1269"/>
      <c r="FU10" s="1269"/>
      <c r="FV10" s="1269"/>
      <c r="FW10" s="1269"/>
      <c r="FX10" s="1269"/>
      <c r="FY10" s="1269"/>
      <c r="FZ10" s="1269"/>
      <c r="GA10" s="1269"/>
      <c r="GB10" s="1269"/>
      <c r="GC10" s="1269"/>
      <c r="GD10" s="1269"/>
      <c r="GE10" s="1269"/>
      <c r="GF10" s="1269"/>
      <c r="GG10" s="1269"/>
      <c r="GH10" s="1269"/>
      <c r="GI10" s="1269"/>
      <c r="GJ10" s="1269"/>
      <c r="GK10" s="1269"/>
      <c r="GL10" s="1269"/>
      <c r="GM10" s="1269"/>
      <c r="GN10" s="1269"/>
      <c r="GO10" s="1269"/>
      <c r="GP10" s="1269"/>
      <c r="GQ10" s="1269"/>
      <c r="GR10" s="1269"/>
      <c r="GS10" s="1269"/>
      <c r="GT10" s="1269"/>
      <c r="GU10" s="1269"/>
      <c r="GV10" s="1269"/>
      <c r="GW10" s="1269"/>
      <c r="GX10" s="1269"/>
      <c r="GY10" s="1269"/>
      <c r="GZ10" s="1269"/>
      <c r="HA10" s="1269"/>
      <c r="HB10" s="1269"/>
      <c r="HC10" s="1269"/>
      <c r="HD10" s="1269"/>
      <c r="HE10" s="1269"/>
      <c r="HF10" s="1269"/>
      <c r="HG10" s="1269"/>
      <c r="HH10" s="1269"/>
      <c r="HI10" s="1269"/>
      <c r="HJ10" s="1269"/>
      <c r="HK10" s="1269"/>
      <c r="HL10" s="1269"/>
      <c r="HM10" s="1269"/>
      <c r="HN10" s="1269"/>
      <c r="HO10" s="1269"/>
      <c r="HP10" s="1269"/>
      <c r="HQ10" s="1269"/>
      <c r="HR10" s="1269"/>
      <c r="HS10" s="1269"/>
      <c r="HT10" s="1269"/>
      <c r="HU10" s="1269"/>
      <c r="HV10" s="1269"/>
      <c r="HW10" s="1269"/>
      <c r="HX10" s="1269"/>
      <c r="HY10" s="1269"/>
      <c r="HZ10" s="1269"/>
      <c r="IA10" s="1269"/>
      <c r="IB10" s="1269"/>
      <c r="IC10" s="1269"/>
      <c r="ID10" s="1269"/>
      <c r="IE10" s="1269"/>
      <c r="IF10" s="1269"/>
      <c r="IG10" s="1269"/>
      <c r="IH10" s="1269"/>
      <c r="II10" s="1269"/>
      <c r="IJ10" s="1269"/>
      <c r="IK10" s="1269"/>
      <c r="IL10" s="1269"/>
      <c r="IM10" s="1269"/>
      <c r="IN10" s="1269"/>
      <c r="IO10" s="1269"/>
      <c r="IP10" s="1269"/>
      <c r="IQ10" s="1269"/>
      <c r="IR10" s="1269"/>
      <c r="IS10" s="1269"/>
      <c r="IT10" s="1269"/>
      <c r="IU10" s="1269"/>
      <c r="IV10" s="1269"/>
    </row>
    <row r="11" spans="1:257">
      <c r="A11" s="1270"/>
      <c r="B11" s="1271" t="s">
        <v>615</v>
      </c>
      <c r="C11" s="1272" t="s">
        <v>616</v>
      </c>
      <c r="D11" s="1273" t="s">
        <v>617</v>
      </c>
      <c r="E11" s="1274"/>
      <c r="F11" s="1273" t="s">
        <v>618</v>
      </c>
      <c r="G11" s="1275"/>
      <c r="H11" s="1274"/>
      <c r="I11" s="1273" t="s">
        <v>619</v>
      </c>
      <c r="J11" s="1274"/>
      <c r="K11" s="1270"/>
      <c r="L11" s="1271" t="s">
        <v>615</v>
      </c>
      <c r="M11" s="1272" t="s">
        <v>616</v>
      </c>
      <c r="N11" s="1271" t="s">
        <v>620</v>
      </c>
      <c r="O11" s="1273" t="s">
        <v>621</v>
      </c>
      <c r="P11" s="1275"/>
      <c r="Q11" s="1275"/>
      <c r="R11" s="1275"/>
      <c r="S11" s="1275"/>
      <c r="T11" s="1274"/>
      <c r="U11" s="1273" t="s">
        <v>622</v>
      </c>
      <c r="V11" s="1275"/>
      <c r="W11" s="1274"/>
      <c r="X11" s="1271" t="s">
        <v>623</v>
      </c>
      <c r="Y11" s="1271" t="s">
        <v>624</v>
      </c>
      <c r="Z11" s="1271" t="s">
        <v>625</v>
      </c>
      <c r="AA11" s="1276"/>
      <c r="AB11" s="1276"/>
      <c r="AC11" s="1276"/>
      <c r="AD11" s="1276"/>
      <c r="AE11" s="1276"/>
      <c r="AF11" s="1276"/>
      <c r="AG11" s="1276"/>
      <c r="AH11" s="1276"/>
      <c r="AI11" s="1276"/>
      <c r="AJ11" s="1276"/>
      <c r="AK11" s="1276"/>
      <c r="AL11" s="1276"/>
      <c r="AM11" s="1276"/>
      <c r="AN11" s="1276"/>
      <c r="AO11" s="1276"/>
      <c r="AP11" s="1276"/>
      <c r="AQ11" s="1276"/>
      <c r="AR11" s="1276"/>
      <c r="AS11" s="1276"/>
      <c r="AT11" s="1276"/>
      <c r="AU11" s="1276"/>
      <c r="AV11" s="1276"/>
      <c r="AW11" s="1276"/>
      <c r="AX11" s="1276"/>
      <c r="AY11" s="1276"/>
      <c r="AZ11" s="1276"/>
      <c r="BA11" s="1276"/>
      <c r="BB11" s="1276"/>
      <c r="BC11" s="1276"/>
      <c r="BD11" s="1276"/>
      <c r="BE11" s="1276"/>
      <c r="BF11" s="1276"/>
      <c r="BG11" s="1276"/>
      <c r="BH11" s="1276"/>
      <c r="BI11" s="1276"/>
      <c r="BJ11" s="1276"/>
      <c r="BK11" s="1276"/>
      <c r="BL11" s="1276"/>
      <c r="BM11" s="1276"/>
      <c r="BN11" s="1276"/>
      <c r="BO11" s="1276"/>
      <c r="BP11" s="1276"/>
      <c r="BQ11" s="1276"/>
      <c r="BR11" s="1276"/>
      <c r="BS11" s="1276"/>
      <c r="BT11" s="1276"/>
      <c r="BU11" s="1276"/>
      <c r="BV11" s="1276"/>
      <c r="BW11" s="1276"/>
      <c r="BX11" s="1276"/>
      <c r="BY11" s="1276"/>
      <c r="BZ11" s="1276"/>
      <c r="CA11" s="1276"/>
      <c r="CB11" s="1276"/>
      <c r="CC11" s="1276"/>
      <c r="CD11" s="1276"/>
      <c r="CE11" s="1276"/>
      <c r="CF11" s="1276"/>
      <c r="CG11" s="1276"/>
      <c r="CH11" s="1276"/>
      <c r="CI11" s="1276"/>
      <c r="CJ11" s="1276"/>
      <c r="CK11" s="1276"/>
      <c r="CL11" s="1276"/>
      <c r="CM11" s="1276"/>
      <c r="CN11" s="1276"/>
      <c r="CO11" s="1276"/>
      <c r="CP11" s="1276"/>
      <c r="CQ11" s="1276"/>
      <c r="CR11" s="1276"/>
      <c r="CS11" s="1276"/>
      <c r="CT11" s="1276"/>
      <c r="CU11" s="1276"/>
      <c r="CV11" s="1276"/>
      <c r="CW11" s="1276"/>
      <c r="CX11" s="1276"/>
      <c r="CY11" s="1276"/>
      <c r="CZ11" s="1276"/>
      <c r="DA11" s="1276"/>
      <c r="DB11" s="1276"/>
      <c r="DC11" s="1276"/>
      <c r="DD11" s="1276"/>
      <c r="DE11" s="1276"/>
      <c r="DF11" s="1276"/>
      <c r="DG11" s="1276"/>
      <c r="DH11" s="1276"/>
      <c r="DI11" s="1276"/>
      <c r="DJ11" s="1276"/>
      <c r="DK11" s="1276"/>
      <c r="DL11" s="1276"/>
      <c r="DM11" s="1276"/>
      <c r="DN11" s="1276"/>
      <c r="DO11" s="1276"/>
      <c r="DP11" s="1276"/>
      <c r="DQ11" s="1276"/>
      <c r="DR11" s="1276"/>
      <c r="DS11" s="1276"/>
      <c r="DT11" s="1276"/>
      <c r="DU11" s="1276"/>
      <c r="DV11" s="1276"/>
      <c r="DW11" s="1276"/>
      <c r="DX11" s="1276"/>
      <c r="DY11" s="1276"/>
      <c r="DZ11" s="1276"/>
      <c r="EA11" s="1276"/>
      <c r="EB11" s="1276"/>
      <c r="EC11" s="1276"/>
      <c r="ED11" s="1276"/>
      <c r="EE11" s="1276"/>
      <c r="EF11" s="1276"/>
      <c r="EG11" s="1276"/>
      <c r="EH11" s="1276"/>
      <c r="EI11" s="1276"/>
      <c r="EJ11" s="1276"/>
      <c r="EK11" s="1276"/>
      <c r="EL11" s="1276"/>
      <c r="EM11" s="1276"/>
      <c r="EN11" s="1276"/>
      <c r="EO11" s="1276"/>
      <c r="EP11" s="1276"/>
      <c r="EQ11" s="1276"/>
      <c r="ER11" s="1276"/>
      <c r="ES11" s="1276"/>
      <c r="ET11" s="1276"/>
      <c r="EU11" s="1276"/>
      <c r="EV11" s="1276"/>
      <c r="EW11" s="1276"/>
      <c r="EX11" s="1276"/>
      <c r="EY11" s="1276"/>
      <c r="EZ11" s="1276"/>
      <c r="FA11" s="1276"/>
      <c r="FB11" s="1276"/>
      <c r="FC11" s="1276"/>
      <c r="FD11" s="1276"/>
      <c r="FE11" s="1276"/>
      <c r="FF11" s="1276"/>
      <c r="FG11" s="1276"/>
      <c r="FH11" s="1276"/>
      <c r="FI11" s="1276"/>
      <c r="FJ11" s="1276"/>
      <c r="FK11" s="1276"/>
      <c r="FL11" s="1276"/>
      <c r="FM11" s="1276"/>
      <c r="FN11" s="1276"/>
      <c r="FO11" s="1276"/>
      <c r="FP11" s="1276"/>
      <c r="FQ11" s="1276"/>
      <c r="FR11" s="1276"/>
      <c r="FS11" s="1276"/>
      <c r="FT11" s="1276"/>
      <c r="FU11" s="1276"/>
      <c r="FV11" s="1276"/>
      <c r="FW11" s="1276"/>
      <c r="FX11" s="1276"/>
      <c r="FY11" s="1276"/>
      <c r="FZ11" s="1276"/>
      <c r="GA11" s="1276"/>
      <c r="GB11" s="1276"/>
      <c r="GC11" s="1276"/>
      <c r="GD11" s="1276"/>
      <c r="GE11" s="1276"/>
      <c r="GF11" s="1276"/>
      <c r="GG11" s="1276"/>
      <c r="GH11" s="1276"/>
      <c r="GI11" s="1276"/>
      <c r="GJ11" s="1276"/>
      <c r="GK11" s="1276"/>
      <c r="GL11" s="1276"/>
      <c r="GM11" s="1276"/>
      <c r="GN11" s="1276"/>
      <c r="GO11" s="1276"/>
      <c r="GP11" s="1276"/>
      <c r="GQ11" s="1276"/>
      <c r="GR11" s="1276"/>
      <c r="GS11" s="1276"/>
      <c r="GT11" s="1276"/>
      <c r="GU11" s="1276"/>
      <c r="GV11" s="1276"/>
      <c r="GW11" s="1276"/>
      <c r="GX11" s="1276"/>
      <c r="GY11" s="1276"/>
      <c r="GZ11" s="1276"/>
      <c r="HA11" s="1276"/>
      <c r="HB11" s="1276"/>
      <c r="HC11" s="1276"/>
      <c r="HD11" s="1276"/>
      <c r="HE11" s="1276"/>
      <c r="HF11" s="1276"/>
      <c r="HG11" s="1276"/>
      <c r="HH11" s="1276"/>
      <c r="HI11" s="1276"/>
      <c r="HJ11" s="1276"/>
      <c r="HK11" s="1276"/>
      <c r="HL11" s="1276"/>
      <c r="HM11" s="1276"/>
      <c r="HN11" s="1276"/>
      <c r="HO11" s="1276"/>
      <c r="HP11" s="1276"/>
      <c r="HQ11" s="1276"/>
      <c r="HR11" s="1276"/>
      <c r="HS11" s="1276"/>
      <c r="HT11" s="1276"/>
      <c r="HU11" s="1276"/>
      <c r="HV11" s="1276"/>
      <c r="HW11" s="1276"/>
      <c r="HX11" s="1276"/>
      <c r="HY11" s="1276"/>
      <c r="HZ11" s="1276"/>
      <c r="IA11" s="1276"/>
      <c r="IB11" s="1276"/>
      <c r="IC11" s="1276"/>
      <c r="ID11" s="1276"/>
      <c r="IE11" s="1276"/>
      <c r="IF11" s="1276"/>
      <c r="IG11" s="1276"/>
      <c r="IH11" s="1276"/>
      <c r="II11" s="1276"/>
      <c r="IJ11" s="1276"/>
      <c r="IK11" s="1276"/>
      <c r="IL11" s="1276"/>
      <c r="IM11" s="1276"/>
      <c r="IN11" s="1276"/>
      <c r="IO11" s="1276"/>
      <c r="IP11" s="1276"/>
      <c r="IQ11" s="1276"/>
      <c r="IR11" s="1276"/>
      <c r="IS11" s="1276"/>
      <c r="IT11" s="1276"/>
      <c r="IU11" s="1276"/>
      <c r="IV11" s="1276"/>
    </row>
    <row r="12" spans="1:257">
      <c r="A12" s="1277"/>
      <c r="B12" s="1278"/>
      <c r="C12" s="1279"/>
      <c r="D12" s="1280" t="s">
        <v>626</v>
      </c>
      <c r="E12" s="1280" t="s">
        <v>627</v>
      </c>
      <c r="F12" s="1280" t="s">
        <v>628</v>
      </c>
      <c r="G12" s="1280" t="s">
        <v>629</v>
      </c>
      <c r="H12" s="1280" t="s">
        <v>611</v>
      </c>
      <c r="I12" s="1281" t="s">
        <v>630</v>
      </c>
      <c r="J12" s="1281" t="s">
        <v>630</v>
      </c>
      <c r="K12" s="1277"/>
      <c r="L12" s="1278"/>
      <c r="M12" s="1279"/>
      <c r="N12" s="1278"/>
      <c r="O12" s="1281" t="s">
        <v>631</v>
      </c>
      <c r="P12" s="1281">
        <v>0.5</v>
      </c>
      <c r="Q12" s="1281">
        <v>1</v>
      </c>
      <c r="R12" s="1281">
        <v>2</v>
      </c>
      <c r="S12" s="1281">
        <v>3</v>
      </c>
      <c r="T12" s="1281">
        <v>5</v>
      </c>
      <c r="U12" s="1281">
        <v>1</v>
      </c>
      <c r="V12" s="1281">
        <v>3</v>
      </c>
      <c r="W12" s="1281">
        <v>5</v>
      </c>
      <c r="X12" s="1278"/>
      <c r="Y12" s="1278"/>
      <c r="Z12" s="1278"/>
      <c r="AA12" s="1282"/>
      <c r="AB12" s="1282"/>
      <c r="AC12" s="1282"/>
      <c r="AD12" s="1282"/>
      <c r="AE12" s="1282"/>
      <c r="AF12" s="1282"/>
      <c r="AG12" s="1282"/>
      <c r="AH12" s="1282"/>
      <c r="AI12" s="1282"/>
      <c r="AJ12" s="1282"/>
      <c r="AK12" s="1282"/>
      <c r="AL12" s="1282"/>
      <c r="AM12" s="1282"/>
      <c r="AN12" s="1282"/>
      <c r="AO12" s="1282"/>
      <c r="AP12" s="1282"/>
      <c r="AQ12" s="1282"/>
      <c r="AR12" s="1282"/>
      <c r="AS12" s="1282"/>
      <c r="AT12" s="1282"/>
      <c r="AU12" s="1282"/>
      <c r="AV12" s="1282"/>
      <c r="AW12" s="1282"/>
      <c r="AX12" s="1282"/>
      <c r="AY12" s="1282"/>
      <c r="AZ12" s="1282"/>
      <c r="BA12" s="1282"/>
      <c r="BB12" s="1282"/>
      <c r="BC12" s="1282"/>
      <c r="BD12" s="1282"/>
      <c r="BE12" s="1282"/>
      <c r="BF12" s="1282"/>
      <c r="BG12" s="1282"/>
      <c r="BH12" s="1282"/>
      <c r="BI12" s="1282"/>
      <c r="BJ12" s="1282"/>
      <c r="BK12" s="1282"/>
      <c r="BL12" s="1282"/>
      <c r="BM12" s="1282"/>
      <c r="BN12" s="1282"/>
      <c r="BO12" s="1282"/>
      <c r="BP12" s="1282"/>
      <c r="BQ12" s="1282"/>
      <c r="BR12" s="1282"/>
      <c r="BS12" s="1282"/>
      <c r="BT12" s="1282"/>
      <c r="BU12" s="1282"/>
      <c r="BV12" s="1282"/>
      <c r="BW12" s="1282"/>
      <c r="BX12" s="1282"/>
      <c r="BY12" s="1282"/>
      <c r="BZ12" s="1282"/>
      <c r="CA12" s="1282"/>
      <c r="CB12" s="1282"/>
      <c r="CC12" s="1282"/>
      <c r="CD12" s="1282"/>
      <c r="CE12" s="1282"/>
      <c r="CF12" s="1282"/>
      <c r="CG12" s="1282"/>
      <c r="CH12" s="1282"/>
      <c r="CI12" s="1282"/>
      <c r="CJ12" s="1282"/>
      <c r="CK12" s="1282"/>
      <c r="CL12" s="1282"/>
      <c r="CM12" s="1282"/>
      <c r="CN12" s="1282"/>
      <c r="CO12" s="1282"/>
      <c r="CP12" s="1282"/>
      <c r="CQ12" s="1282"/>
      <c r="CR12" s="1282"/>
      <c r="CS12" s="1282"/>
      <c r="CT12" s="1282"/>
      <c r="CU12" s="1282"/>
      <c r="CV12" s="1282"/>
      <c r="CW12" s="1282"/>
      <c r="CX12" s="1282"/>
      <c r="CY12" s="1282"/>
      <c r="CZ12" s="1282"/>
      <c r="DA12" s="1282"/>
      <c r="DB12" s="1282"/>
      <c r="DC12" s="1282"/>
      <c r="DD12" s="1282"/>
      <c r="DE12" s="1282"/>
      <c r="DF12" s="1282"/>
      <c r="DG12" s="1282"/>
      <c r="DH12" s="1282"/>
      <c r="DI12" s="1282"/>
      <c r="DJ12" s="1282"/>
      <c r="DK12" s="1282"/>
      <c r="DL12" s="1282"/>
      <c r="DM12" s="1282"/>
      <c r="DN12" s="1282"/>
      <c r="DO12" s="1282"/>
      <c r="DP12" s="1282"/>
      <c r="DQ12" s="1282"/>
      <c r="DR12" s="1282"/>
      <c r="DS12" s="1282"/>
      <c r="DT12" s="1282"/>
      <c r="DU12" s="1282"/>
      <c r="DV12" s="1282"/>
      <c r="DW12" s="1282"/>
      <c r="DX12" s="1282"/>
      <c r="DY12" s="1282"/>
      <c r="DZ12" s="1282"/>
      <c r="EA12" s="1282"/>
      <c r="EB12" s="1282"/>
      <c r="EC12" s="1282"/>
      <c r="ED12" s="1282"/>
      <c r="EE12" s="1282"/>
      <c r="EF12" s="1282"/>
      <c r="EG12" s="1282"/>
      <c r="EH12" s="1282"/>
      <c r="EI12" s="1282"/>
      <c r="EJ12" s="1282"/>
      <c r="EK12" s="1282"/>
      <c r="EL12" s="1282"/>
      <c r="EM12" s="1282"/>
      <c r="EN12" s="1282"/>
      <c r="EO12" s="1282"/>
      <c r="EP12" s="1282"/>
      <c r="EQ12" s="1282"/>
      <c r="ER12" s="1282"/>
      <c r="ES12" s="1282"/>
      <c r="ET12" s="1282"/>
      <c r="EU12" s="1282"/>
      <c r="EV12" s="1282"/>
      <c r="EW12" s="1282"/>
      <c r="EX12" s="1282"/>
      <c r="EY12" s="1282"/>
      <c r="EZ12" s="1282"/>
      <c r="FA12" s="1282"/>
      <c r="FB12" s="1282"/>
      <c r="FC12" s="1282"/>
      <c r="FD12" s="1282"/>
      <c r="FE12" s="1282"/>
      <c r="FF12" s="1282"/>
      <c r="FG12" s="1282"/>
      <c r="FH12" s="1282"/>
      <c r="FI12" s="1282"/>
      <c r="FJ12" s="1282"/>
      <c r="FK12" s="1282"/>
      <c r="FL12" s="1282"/>
      <c r="FM12" s="1282"/>
      <c r="FN12" s="1282"/>
      <c r="FO12" s="1282"/>
      <c r="FP12" s="1282"/>
      <c r="FQ12" s="1282"/>
      <c r="FR12" s="1282"/>
      <c r="FS12" s="1282"/>
      <c r="FT12" s="1282"/>
      <c r="FU12" s="1282"/>
      <c r="FV12" s="1282"/>
      <c r="FW12" s="1282"/>
      <c r="FX12" s="1282"/>
      <c r="FY12" s="1282"/>
      <c r="FZ12" s="1282"/>
      <c r="GA12" s="1282"/>
      <c r="GB12" s="1282"/>
      <c r="GC12" s="1282"/>
      <c r="GD12" s="1282"/>
      <c r="GE12" s="1282"/>
      <c r="GF12" s="1282"/>
      <c r="GG12" s="1282"/>
      <c r="GH12" s="1282"/>
      <c r="GI12" s="1282"/>
      <c r="GJ12" s="1282"/>
      <c r="GK12" s="1282"/>
      <c r="GL12" s="1282"/>
      <c r="GM12" s="1282"/>
      <c r="GN12" s="1282"/>
      <c r="GO12" s="1282"/>
      <c r="GP12" s="1282"/>
      <c r="GQ12" s="1282"/>
      <c r="GR12" s="1282"/>
      <c r="GS12" s="1282"/>
      <c r="GT12" s="1282"/>
      <c r="GU12" s="1282"/>
      <c r="GV12" s="1282"/>
      <c r="GW12" s="1282"/>
      <c r="GX12" s="1282"/>
      <c r="GY12" s="1282"/>
      <c r="GZ12" s="1282"/>
      <c r="HA12" s="1282"/>
      <c r="HB12" s="1282"/>
      <c r="HC12" s="1282"/>
      <c r="HD12" s="1282"/>
      <c r="HE12" s="1282"/>
      <c r="HF12" s="1282"/>
      <c r="HG12" s="1282"/>
      <c r="HH12" s="1282"/>
      <c r="HI12" s="1282"/>
      <c r="HJ12" s="1282"/>
      <c r="HK12" s="1282"/>
      <c r="HL12" s="1282"/>
      <c r="HM12" s="1282"/>
      <c r="HN12" s="1282"/>
      <c r="HO12" s="1282"/>
      <c r="HP12" s="1282"/>
      <c r="HQ12" s="1282"/>
      <c r="HR12" s="1282"/>
      <c r="HS12" s="1282"/>
      <c r="HT12" s="1282"/>
      <c r="HU12" s="1282"/>
      <c r="HV12" s="1282"/>
      <c r="HW12" s="1282"/>
      <c r="HX12" s="1282"/>
      <c r="HY12" s="1282"/>
      <c r="HZ12" s="1282"/>
      <c r="IA12" s="1282"/>
      <c r="IB12" s="1282"/>
      <c r="IC12" s="1282"/>
      <c r="ID12" s="1282"/>
      <c r="IE12" s="1282"/>
      <c r="IF12" s="1282"/>
      <c r="IG12" s="1282"/>
      <c r="IH12" s="1282"/>
      <c r="II12" s="1282"/>
      <c r="IJ12" s="1282"/>
      <c r="IK12" s="1282"/>
      <c r="IL12" s="1282"/>
      <c r="IM12" s="1282"/>
      <c r="IN12" s="1282"/>
      <c r="IO12" s="1282"/>
      <c r="IP12" s="1282"/>
      <c r="IQ12" s="1282"/>
      <c r="IR12" s="1282"/>
      <c r="IS12" s="1282"/>
      <c r="IT12" s="1282"/>
      <c r="IU12" s="1282"/>
      <c r="IV12" s="1282"/>
    </row>
    <row r="13" spans="1:257" ht="14.25">
      <c r="A13" s="1283"/>
      <c r="B13" s="1284" t="s">
        <v>632</v>
      </c>
      <c r="C13" s="2795">
        <v>45159</v>
      </c>
      <c r="D13" s="2796">
        <v>3.45</v>
      </c>
      <c r="E13" s="2796">
        <f>D13</f>
        <v>3.45</v>
      </c>
      <c r="F13" s="2796">
        <f>D13</f>
        <v>3.45</v>
      </c>
      <c r="G13" s="2796">
        <f>D13</f>
        <v>3.45</v>
      </c>
      <c r="H13" s="2796">
        <v>4.2</v>
      </c>
      <c r="I13" s="1285"/>
      <c r="J13" s="1285"/>
      <c r="K13" s="1283"/>
      <c r="L13" s="1284" t="s">
        <v>632</v>
      </c>
      <c r="M13" s="1286">
        <v>42301</v>
      </c>
      <c r="N13" s="1285">
        <v>0.35</v>
      </c>
      <c r="O13" s="1285">
        <v>1.1000000000000001</v>
      </c>
      <c r="P13" s="1285">
        <v>1.3</v>
      </c>
      <c r="Q13" s="1285">
        <v>1.5</v>
      </c>
      <c r="R13" s="1285">
        <v>2.1</v>
      </c>
      <c r="S13" s="1285">
        <v>2.75</v>
      </c>
      <c r="T13" s="1285"/>
      <c r="U13" s="1285"/>
      <c r="V13" s="1285"/>
      <c r="W13" s="1285"/>
      <c r="X13" s="1285"/>
      <c r="Y13" s="1285"/>
      <c r="Z13" s="1285"/>
      <c r="AA13" s="1287"/>
      <c r="AB13" s="1287"/>
      <c r="AC13" s="1287"/>
      <c r="AD13" s="1287"/>
      <c r="AE13" s="1287"/>
      <c r="AF13" s="1287"/>
      <c r="AG13" s="1287"/>
      <c r="AH13" s="1287"/>
      <c r="AI13" s="1287"/>
      <c r="AJ13" s="1287"/>
      <c r="AK13" s="1287"/>
      <c r="AL13" s="1287"/>
      <c r="AM13" s="1287"/>
      <c r="AN13" s="1287"/>
      <c r="AO13" s="1287"/>
      <c r="AP13" s="1287"/>
      <c r="AQ13" s="1287"/>
      <c r="AR13" s="1287"/>
      <c r="AS13" s="1287"/>
      <c r="AT13" s="1287"/>
      <c r="AU13" s="1287"/>
      <c r="AV13" s="1287"/>
      <c r="AW13" s="1287"/>
      <c r="AX13" s="1287"/>
      <c r="AY13" s="1287"/>
      <c r="AZ13" s="1287"/>
      <c r="BA13" s="1287"/>
      <c r="BB13" s="1287"/>
      <c r="BC13" s="1287"/>
      <c r="BD13" s="1287"/>
      <c r="BE13" s="1287"/>
      <c r="BF13" s="1287"/>
      <c r="BG13" s="1287"/>
      <c r="BH13" s="1287"/>
      <c r="BI13" s="1287"/>
      <c r="BJ13" s="1287"/>
      <c r="BK13" s="1287"/>
      <c r="BL13" s="1287"/>
      <c r="BM13" s="1287"/>
      <c r="BN13" s="1287"/>
      <c r="BO13" s="1287"/>
      <c r="BP13" s="1287"/>
      <c r="BQ13" s="1287"/>
      <c r="BR13" s="1287"/>
      <c r="BS13" s="1287"/>
      <c r="BT13" s="1287"/>
      <c r="BU13" s="1287"/>
      <c r="BV13" s="1287"/>
      <c r="BW13" s="1287"/>
      <c r="BX13" s="1287"/>
      <c r="BY13" s="1287"/>
      <c r="BZ13" s="1287"/>
      <c r="CA13" s="1287"/>
      <c r="CB13" s="1287"/>
      <c r="CC13" s="1287"/>
      <c r="CD13" s="1287"/>
      <c r="CE13" s="1287"/>
      <c r="CF13" s="1287"/>
      <c r="CG13" s="1287"/>
      <c r="CH13" s="1287"/>
      <c r="CI13" s="1287"/>
      <c r="CJ13" s="1287"/>
      <c r="CK13" s="1287"/>
      <c r="CL13" s="1287"/>
      <c r="CM13" s="1287"/>
      <c r="CN13" s="1287"/>
      <c r="CO13" s="1287"/>
      <c r="CP13" s="1287"/>
      <c r="CQ13" s="1287"/>
      <c r="CR13" s="1287"/>
      <c r="CS13" s="1287"/>
      <c r="CT13" s="1287"/>
      <c r="CU13" s="1287"/>
      <c r="CV13" s="1287"/>
      <c r="CW13" s="1287"/>
      <c r="CX13" s="1287"/>
      <c r="CY13" s="1287"/>
      <c r="CZ13" s="1287"/>
      <c r="DA13" s="1287"/>
      <c r="DB13" s="1287"/>
      <c r="DC13" s="1287"/>
      <c r="DD13" s="1287"/>
      <c r="DE13" s="1287"/>
      <c r="DF13" s="1287"/>
      <c r="DG13" s="1287"/>
      <c r="DH13" s="1287"/>
      <c r="DI13" s="1287"/>
      <c r="DJ13" s="1287"/>
      <c r="DK13" s="1287"/>
      <c r="DL13" s="1287"/>
      <c r="DM13" s="1287"/>
      <c r="DN13" s="1287"/>
      <c r="DO13" s="1287"/>
      <c r="DP13" s="1287"/>
      <c r="DQ13" s="1287"/>
      <c r="DR13" s="1287"/>
      <c r="DS13" s="1287"/>
      <c r="DT13" s="1287"/>
      <c r="DU13" s="1287"/>
      <c r="DV13" s="1287"/>
      <c r="DW13" s="1287"/>
      <c r="DX13" s="1287"/>
      <c r="DY13" s="1287"/>
      <c r="DZ13" s="1287"/>
      <c r="EA13" s="1287"/>
      <c r="EB13" s="1287"/>
      <c r="EC13" s="1287"/>
      <c r="ED13" s="1287"/>
      <c r="EE13" s="1287"/>
      <c r="EF13" s="1287"/>
      <c r="EG13" s="1287"/>
      <c r="EH13" s="1287"/>
      <c r="EI13" s="1287"/>
      <c r="EJ13" s="1287"/>
      <c r="EK13" s="1287"/>
      <c r="EL13" s="1287"/>
      <c r="EM13" s="1287"/>
      <c r="EN13" s="1287"/>
      <c r="EO13" s="1287"/>
      <c r="EP13" s="1287"/>
      <c r="EQ13" s="1287"/>
      <c r="ER13" s="1287"/>
      <c r="ES13" s="1287"/>
      <c r="ET13" s="1287"/>
      <c r="EU13" s="1287"/>
      <c r="EV13" s="1287"/>
      <c r="EW13" s="1287"/>
      <c r="EX13" s="1287"/>
      <c r="EY13" s="1287"/>
      <c r="EZ13" s="1287"/>
      <c r="FA13" s="1287"/>
      <c r="FB13" s="1287"/>
      <c r="FC13" s="1287"/>
      <c r="FD13" s="1287"/>
      <c r="FE13" s="1287"/>
      <c r="FF13" s="1287"/>
      <c r="FG13" s="1287"/>
      <c r="FH13" s="1287"/>
      <c r="FI13" s="1287"/>
      <c r="FJ13" s="1287"/>
      <c r="FK13" s="1287"/>
      <c r="FL13" s="1287"/>
      <c r="FM13" s="1287"/>
      <c r="FN13" s="1287"/>
      <c r="FO13" s="1287"/>
      <c r="FP13" s="1287"/>
      <c r="FQ13" s="1287"/>
      <c r="FR13" s="1287"/>
      <c r="FS13" s="1287"/>
      <c r="FT13" s="1287"/>
      <c r="FU13" s="1287"/>
      <c r="FV13" s="1287"/>
      <c r="FW13" s="1287"/>
      <c r="FX13" s="1287"/>
      <c r="FY13" s="1287"/>
      <c r="FZ13" s="1287"/>
      <c r="GA13" s="1287"/>
      <c r="GB13" s="1287"/>
      <c r="GC13" s="1287"/>
      <c r="GD13" s="1287"/>
      <c r="GE13" s="1287"/>
      <c r="GF13" s="1287"/>
      <c r="GG13" s="1287"/>
      <c r="GH13" s="1287"/>
      <c r="GI13" s="1287"/>
      <c r="GJ13" s="1287"/>
      <c r="GK13" s="1287"/>
      <c r="GL13" s="1287"/>
      <c r="GM13" s="1287"/>
      <c r="GN13" s="1287"/>
      <c r="GO13" s="1287"/>
      <c r="GP13" s="1287"/>
      <c r="GQ13" s="1287"/>
      <c r="GR13" s="1287"/>
      <c r="GS13" s="1287"/>
      <c r="GT13" s="1287"/>
      <c r="GU13" s="1287"/>
      <c r="GV13" s="1287"/>
      <c r="GW13" s="1287"/>
      <c r="GX13" s="1287"/>
      <c r="GY13" s="1287"/>
      <c r="GZ13" s="1287"/>
      <c r="HA13" s="1287"/>
      <c r="HB13" s="1287"/>
      <c r="HC13" s="1287"/>
      <c r="HD13" s="1287"/>
      <c r="HE13" s="1287"/>
      <c r="HF13" s="1287"/>
      <c r="HG13" s="1287"/>
      <c r="HH13" s="1287"/>
      <c r="HI13" s="1287"/>
      <c r="HJ13" s="1287"/>
      <c r="HK13" s="1287"/>
      <c r="HL13" s="1287"/>
      <c r="HM13" s="1287"/>
      <c r="HN13" s="1287"/>
      <c r="HO13" s="1287"/>
      <c r="HP13" s="1287"/>
      <c r="HQ13" s="1287"/>
      <c r="HR13" s="1287"/>
      <c r="HS13" s="1287"/>
      <c r="HT13" s="1287"/>
      <c r="HU13" s="1287"/>
      <c r="HV13" s="1287"/>
      <c r="HW13" s="1287"/>
      <c r="HX13" s="1287"/>
      <c r="HY13" s="1287"/>
      <c r="HZ13" s="1287"/>
      <c r="IA13" s="1287"/>
      <c r="IB13" s="1287"/>
      <c r="IC13" s="1287"/>
      <c r="ID13" s="1287"/>
      <c r="IE13" s="1287"/>
      <c r="IF13" s="1287"/>
      <c r="IG13" s="1287"/>
      <c r="IH13" s="1287"/>
      <c r="II13" s="1287"/>
      <c r="IJ13" s="1287"/>
      <c r="IK13" s="1287"/>
      <c r="IL13" s="1287"/>
      <c r="IM13" s="1287"/>
      <c r="IN13" s="1287"/>
      <c r="IO13" s="1287"/>
      <c r="IP13" s="1287"/>
      <c r="IQ13" s="1287"/>
      <c r="IR13" s="1287"/>
      <c r="IS13" s="1287"/>
      <c r="IT13" s="1287"/>
      <c r="IU13" s="1287"/>
      <c r="IV13" s="1287"/>
      <c r="IW13" s="1288"/>
    </row>
    <row r="14" spans="1:257" ht="14.25">
      <c r="A14" s="1283"/>
      <c r="B14" s="2790"/>
      <c r="C14" s="2792">
        <v>45097</v>
      </c>
      <c r="D14" s="2791">
        <v>3.55</v>
      </c>
      <c r="E14" s="2791">
        <f>D14</f>
        <v>3.55</v>
      </c>
      <c r="F14" s="2791">
        <f>D14</f>
        <v>3.55</v>
      </c>
      <c r="G14" s="2791">
        <f>D14</f>
        <v>3.55</v>
      </c>
      <c r="H14" s="2791">
        <v>4.2</v>
      </c>
      <c r="I14" s="2796"/>
      <c r="J14" s="2796"/>
      <c r="K14" s="1283"/>
      <c r="L14" s="1289"/>
      <c r="M14" s="1290">
        <v>42242</v>
      </c>
      <c r="N14" s="1289">
        <v>0.35</v>
      </c>
      <c r="O14" s="1289">
        <v>1.35</v>
      </c>
      <c r="P14" s="1289">
        <v>1.55</v>
      </c>
      <c r="Q14" s="1289">
        <v>1.75</v>
      </c>
      <c r="R14" s="1289">
        <v>2.35</v>
      </c>
      <c r="S14" s="1289">
        <v>3</v>
      </c>
      <c r="T14" s="1289"/>
      <c r="U14" s="1289"/>
      <c r="V14" s="1289"/>
      <c r="W14" s="1289"/>
      <c r="X14" s="1289"/>
      <c r="Y14" s="1289"/>
      <c r="Z14" s="1289"/>
    </row>
    <row r="15" spans="1:257" ht="14.25">
      <c r="A15" s="1283"/>
      <c r="B15" s="2790"/>
      <c r="C15" s="2792">
        <v>44795</v>
      </c>
      <c r="D15" s="2791">
        <v>3.65</v>
      </c>
      <c r="E15" s="2791">
        <v>3.65</v>
      </c>
      <c r="F15" s="2791">
        <v>3.65</v>
      </c>
      <c r="G15" s="2791">
        <v>3.65</v>
      </c>
      <c r="H15" s="2791">
        <v>4.3</v>
      </c>
      <c r="I15" s="2796"/>
      <c r="J15" s="2796"/>
      <c r="K15" s="1283"/>
      <c r="L15" s="1289"/>
      <c r="M15" s="1290">
        <v>42183</v>
      </c>
      <c r="N15" s="1289">
        <v>0.35</v>
      </c>
      <c r="O15" s="1289">
        <v>1.6</v>
      </c>
      <c r="P15" s="1289">
        <v>1.8</v>
      </c>
      <c r="Q15" s="1289">
        <v>2</v>
      </c>
      <c r="R15" s="1289">
        <v>2.6</v>
      </c>
      <c r="S15" s="1289">
        <v>3.25</v>
      </c>
      <c r="T15" s="1289"/>
      <c r="U15" s="1289"/>
      <c r="V15" s="1289"/>
      <c r="W15" s="1289"/>
      <c r="X15" s="1289"/>
      <c r="Y15" s="1289"/>
      <c r="Z15" s="1289"/>
    </row>
    <row r="16" spans="1:257" ht="14.25">
      <c r="A16" s="1283"/>
      <c r="B16" s="2790"/>
      <c r="C16" s="2792">
        <v>44701</v>
      </c>
      <c r="D16" s="2791">
        <v>3.7</v>
      </c>
      <c r="E16" s="2791">
        <f>D16</f>
        <v>3.7</v>
      </c>
      <c r="F16" s="2791">
        <f>D16</f>
        <v>3.7</v>
      </c>
      <c r="G16" s="2791">
        <f>D16</f>
        <v>3.7</v>
      </c>
      <c r="H16" s="2791">
        <v>4.45</v>
      </c>
      <c r="I16" s="2796"/>
      <c r="J16" s="2796"/>
      <c r="K16" s="1283"/>
      <c r="L16" s="1289"/>
      <c r="M16" s="1290">
        <v>42135</v>
      </c>
      <c r="N16" s="1289">
        <v>0.35</v>
      </c>
      <c r="O16" s="1289">
        <v>1.85</v>
      </c>
      <c r="P16" s="1289">
        <v>2.0499999999999998</v>
      </c>
      <c r="Q16" s="1289">
        <v>2.25</v>
      </c>
      <c r="R16" s="1289">
        <v>2.85</v>
      </c>
      <c r="S16" s="1289">
        <v>3.5</v>
      </c>
      <c r="T16" s="1289"/>
      <c r="U16" s="1289"/>
      <c r="V16" s="1289"/>
      <c r="W16" s="1289"/>
      <c r="X16" s="1289"/>
      <c r="Y16" s="1289"/>
      <c r="Z16" s="1289"/>
    </row>
    <row r="17" spans="1:256" ht="14.25">
      <c r="A17" s="1283"/>
      <c r="B17" s="2790"/>
      <c r="C17" s="2792">
        <v>44581</v>
      </c>
      <c r="D17" s="2791">
        <v>3.7</v>
      </c>
      <c r="E17" s="2791">
        <f>D17</f>
        <v>3.7</v>
      </c>
      <c r="F17" s="2791">
        <f>D17</f>
        <v>3.7</v>
      </c>
      <c r="G17" s="2791">
        <f>D17</f>
        <v>3.7</v>
      </c>
      <c r="H17" s="2791">
        <v>4.5999999999999996</v>
      </c>
      <c r="I17" s="2796"/>
      <c r="J17" s="2796"/>
      <c r="L17" s="1289"/>
      <c r="M17" s="1290">
        <v>42064</v>
      </c>
      <c r="N17" s="1289">
        <v>0.35</v>
      </c>
      <c r="O17" s="1289">
        <v>2.1</v>
      </c>
      <c r="P17" s="1289">
        <v>2.2999999999999998</v>
      </c>
      <c r="Q17" s="1289">
        <v>2.5</v>
      </c>
      <c r="R17" s="1289">
        <v>3.1</v>
      </c>
      <c r="S17" s="1289">
        <v>3.75</v>
      </c>
      <c r="T17" s="1289">
        <v>4.5</v>
      </c>
      <c r="U17" s="1289">
        <v>2.35</v>
      </c>
      <c r="V17" s="1289">
        <v>2.5499999999999998</v>
      </c>
      <c r="W17" s="1289">
        <v>2.75</v>
      </c>
      <c r="X17" s="1289"/>
      <c r="Y17" s="1289">
        <v>0.8</v>
      </c>
      <c r="Z17" s="1289">
        <v>1.35</v>
      </c>
    </row>
    <row r="18" spans="1:256" ht="15">
      <c r="A18" s="1283"/>
      <c r="B18" s="2791"/>
      <c r="C18" s="2792">
        <v>44550</v>
      </c>
      <c r="D18" s="2791">
        <v>3.8</v>
      </c>
      <c r="E18" s="2791">
        <f>D18</f>
        <v>3.8</v>
      </c>
      <c r="F18" s="2791">
        <f>D18</f>
        <v>3.8</v>
      </c>
      <c r="G18" s="2791">
        <f>D18</f>
        <v>3.8</v>
      </c>
      <c r="H18" s="2791">
        <v>4.6500000000000004</v>
      </c>
      <c r="I18" s="2791"/>
      <c r="J18" s="2796"/>
      <c r="L18" s="2800"/>
      <c r="M18" s="2799">
        <v>41965</v>
      </c>
      <c r="N18" s="2800">
        <v>0.35</v>
      </c>
      <c r="O18" s="2800">
        <v>2.35</v>
      </c>
      <c r="P18" s="2800">
        <v>2.5499999999999998</v>
      </c>
      <c r="Q18" s="2800">
        <v>2.75</v>
      </c>
      <c r="R18" s="2800">
        <v>3.35</v>
      </c>
      <c r="S18" s="2800">
        <v>4</v>
      </c>
      <c r="T18" s="2800">
        <v>4.75</v>
      </c>
      <c r="U18" s="2801">
        <v>2.35</v>
      </c>
      <c r="V18" s="2801">
        <v>2.5499999999999998</v>
      </c>
      <c r="W18" s="2801">
        <v>2.75</v>
      </c>
      <c r="X18" s="2800"/>
      <c r="Y18" s="2801">
        <v>0.8</v>
      </c>
      <c r="Z18" s="2801">
        <v>1.35</v>
      </c>
    </row>
    <row r="19" spans="1:256" s="2802" customFormat="1" ht="14.25">
      <c r="A19" s="1283"/>
      <c r="B19" s="2791"/>
      <c r="C19" s="2792">
        <v>43941</v>
      </c>
      <c r="D19" s="2791">
        <v>3.85</v>
      </c>
      <c r="E19" s="2791">
        <v>3.85</v>
      </c>
      <c r="F19" s="2791">
        <v>3.85</v>
      </c>
      <c r="G19" s="2791">
        <v>3.85</v>
      </c>
      <c r="H19" s="2791">
        <v>4.6500000000000004</v>
      </c>
      <c r="I19" s="2791"/>
      <c r="J19" s="2791"/>
      <c r="K19" s="1241"/>
      <c r="L19" s="1289"/>
      <c r="M19" s="1290">
        <v>41096</v>
      </c>
      <c r="N19" s="1289">
        <v>0.35</v>
      </c>
      <c r="O19" s="1289">
        <v>2.6</v>
      </c>
      <c r="P19" s="1289">
        <v>2.8</v>
      </c>
      <c r="Q19" s="1289">
        <v>3</v>
      </c>
      <c r="R19" s="1289">
        <v>3.75</v>
      </c>
      <c r="S19" s="1289">
        <v>4.25</v>
      </c>
      <c r="T19" s="1289">
        <v>4.75</v>
      </c>
      <c r="U19" s="1289">
        <v>2.85</v>
      </c>
      <c r="V19" s="1289">
        <v>2.9</v>
      </c>
      <c r="W19" s="1289">
        <v>3</v>
      </c>
      <c r="X19" s="1289">
        <v>1.1499999999999999</v>
      </c>
      <c r="Y19" s="1289">
        <v>0.8</v>
      </c>
      <c r="Z19" s="1289">
        <v>1.35</v>
      </c>
      <c r="AA19" s="1282"/>
      <c r="AB19" s="1282"/>
      <c r="AC19" s="1282"/>
      <c r="AD19" s="1282"/>
      <c r="AE19" s="1282"/>
      <c r="AF19" s="1282"/>
      <c r="AG19" s="1282"/>
      <c r="AH19" s="1282"/>
      <c r="AI19" s="1282"/>
      <c r="AJ19" s="1282"/>
      <c r="AK19" s="1282"/>
      <c r="AL19" s="1282"/>
      <c r="AM19" s="1282"/>
      <c r="AN19" s="1282"/>
      <c r="AO19" s="1282"/>
      <c r="AP19" s="1282"/>
      <c r="AQ19" s="1282"/>
      <c r="AR19" s="1282"/>
      <c r="AS19" s="1282"/>
      <c r="AT19" s="1282"/>
      <c r="AU19" s="1282"/>
      <c r="AV19" s="1282"/>
      <c r="AW19" s="1282"/>
      <c r="AX19" s="1282"/>
      <c r="AY19" s="1282"/>
      <c r="AZ19" s="1282"/>
      <c r="BA19" s="1282"/>
      <c r="BB19" s="1282"/>
      <c r="BC19" s="1282"/>
      <c r="BD19" s="1282"/>
      <c r="BE19" s="1282"/>
      <c r="BF19" s="1282"/>
      <c r="BG19" s="1282"/>
      <c r="BH19" s="1282"/>
      <c r="BI19" s="1282"/>
      <c r="BJ19" s="1282"/>
      <c r="BK19" s="1282"/>
      <c r="BL19" s="1282"/>
      <c r="BM19" s="1282"/>
      <c r="BN19" s="1282"/>
      <c r="BO19" s="1282"/>
      <c r="BP19" s="1282"/>
      <c r="BQ19" s="1282"/>
      <c r="BR19" s="1282"/>
      <c r="BS19" s="1282"/>
      <c r="BT19" s="1282"/>
      <c r="BU19" s="1282"/>
      <c r="BV19" s="1282"/>
      <c r="BW19" s="1282"/>
      <c r="BX19" s="1282"/>
      <c r="BY19" s="1282"/>
      <c r="BZ19" s="1282"/>
      <c r="CA19" s="1282"/>
      <c r="CB19" s="1282"/>
      <c r="CC19" s="1282"/>
      <c r="CD19" s="1282"/>
      <c r="CE19" s="1282"/>
      <c r="CF19" s="1282"/>
      <c r="CG19" s="1282"/>
      <c r="CH19" s="1282"/>
      <c r="CI19" s="1282"/>
      <c r="CJ19" s="1282"/>
      <c r="CK19" s="1282"/>
      <c r="CL19" s="1282"/>
      <c r="CM19" s="1282"/>
      <c r="CN19" s="1282"/>
      <c r="CO19" s="1282"/>
      <c r="CP19" s="1282"/>
      <c r="CQ19" s="1282"/>
      <c r="CR19" s="1282"/>
      <c r="CS19" s="1282"/>
      <c r="CT19" s="1282"/>
      <c r="CU19" s="1282"/>
      <c r="CV19" s="1282"/>
      <c r="CW19" s="1282"/>
      <c r="CX19" s="1282"/>
      <c r="CY19" s="1282"/>
      <c r="CZ19" s="1282"/>
      <c r="DA19" s="1282"/>
      <c r="DB19" s="1282"/>
      <c r="DC19" s="1282"/>
      <c r="DD19" s="1282"/>
      <c r="DE19" s="1282"/>
      <c r="DF19" s="1282"/>
      <c r="DG19" s="1282"/>
      <c r="DH19" s="1282"/>
      <c r="DI19" s="1282"/>
      <c r="DJ19" s="1282"/>
      <c r="DK19" s="1282"/>
      <c r="DL19" s="1282"/>
      <c r="DM19" s="1282"/>
      <c r="DN19" s="1282"/>
      <c r="DO19" s="1282"/>
      <c r="DP19" s="1282"/>
      <c r="DQ19" s="1282"/>
      <c r="DR19" s="1282"/>
      <c r="DS19" s="1282"/>
      <c r="DT19" s="1282"/>
      <c r="DU19" s="1282"/>
      <c r="DV19" s="1282"/>
      <c r="DW19" s="1282"/>
      <c r="DX19" s="1282"/>
      <c r="DY19" s="1282"/>
      <c r="DZ19" s="1282"/>
      <c r="EA19" s="1282"/>
      <c r="EB19" s="1282"/>
      <c r="EC19" s="1282"/>
      <c r="ED19" s="1282"/>
      <c r="EE19" s="1282"/>
      <c r="EF19" s="1282"/>
      <c r="EG19" s="1282"/>
      <c r="EH19" s="1282"/>
      <c r="EI19" s="1282"/>
      <c r="EJ19" s="1282"/>
      <c r="EK19" s="1282"/>
      <c r="EL19" s="1282"/>
      <c r="EM19" s="1282"/>
      <c r="EN19" s="1282"/>
      <c r="EO19" s="1282"/>
      <c r="EP19" s="1282"/>
      <c r="EQ19" s="1282"/>
      <c r="ER19" s="1282"/>
      <c r="ES19" s="1282"/>
      <c r="ET19" s="1282"/>
      <c r="EU19" s="1282"/>
      <c r="EV19" s="1282"/>
      <c r="EW19" s="1282"/>
      <c r="EX19" s="1282"/>
      <c r="EY19" s="1282"/>
      <c r="EZ19" s="1282"/>
      <c r="FA19" s="1282"/>
      <c r="FB19" s="1282"/>
      <c r="FC19" s="1282"/>
      <c r="FD19" s="1282"/>
      <c r="FE19" s="1282"/>
      <c r="FF19" s="1282"/>
      <c r="FG19" s="1282"/>
      <c r="FH19" s="1282"/>
      <c r="FI19" s="1282"/>
      <c r="FJ19" s="1282"/>
      <c r="FK19" s="1282"/>
      <c r="FL19" s="1282"/>
      <c r="FM19" s="1282"/>
      <c r="FN19" s="1282"/>
      <c r="FO19" s="1282"/>
      <c r="FP19" s="1282"/>
      <c r="FQ19" s="1282"/>
      <c r="FR19" s="1282"/>
      <c r="FS19" s="1282"/>
      <c r="FT19" s="1282"/>
      <c r="FU19" s="1282"/>
      <c r="FV19" s="1282"/>
      <c r="FW19" s="1282"/>
      <c r="FX19" s="1282"/>
      <c r="FY19" s="1282"/>
      <c r="FZ19" s="1282"/>
      <c r="GA19" s="1282"/>
      <c r="GB19" s="1282"/>
      <c r="GC19" s="1282"/>
      <c r="GD19" s="1282"/>
      <c r="GE19" s="1282"/>
      <c r="GF19" s="1282"/>
      <c r="GG19" s="1282"/>
      <c r="GH19" s="1282"/>
      <c r="GI19" s="1282"/>
      <c r="GJ19" s="1282"/>
      <c r="GK19" s="1282"/>
      <c r="GL19" s="1282"/>
      <c r="GM19" s="1282"/>
      <c r="GN19" s="1282"/>
      <c r="GO19" s="1282"/>
      <c r="GP19" s="1282"/>
      <c r="GQ19" s="1282"/>
      <c r="GR19" s="1282"/>
      <c r="GS19" s="1282"/>
      <c r="GT19" s="1282"/>
      <c r="GU19" s="1282"/>
      <c r="GV19" s="1282"/>
      <c r="GW19" s="1282"/>
      <c r="GX19" s="1282"/>
      <c r="GY19" s="1282"/>
      <c r="GZ19" s="1282"/>
      <c r="HA19" s="1282"/>
      <c r="HB19" s="1282"/>
      <c r="HC19" s="1282"/>
      <c r="HD19" s="1282"/>
      <c r="HE19" s="1282"/>
      <c r="HF19" s="1282"/>
      <c r="HG19" s="1282"/>
      <c r="HH19" s="1282"/>
      <c r="HI19" s="1282"/>
      <c r="HJ19" s="1282"/>
      <c r="HK19" s="1282"/>
      <c r="HL19" s="1282"/>
      <c r="HM19" s="1282"/>
      <c r="HN19" s="1282"/>
      <c r="HO19" s="1282"/>
      <c r="HP19" s="1282"/>
      <c r="HQ19" s="1282"/>
      <c r="HR19" s="1282"/>
      <c r="HS19" s="1282"/>
      <c r="HT19" s="1282"/>
      <c r="HU19" s="1282"/>
      <c r="HV19" s="1282"/>
      <c r="HW19" s="1282"/>
      <c r="HX19" s="1282"/>
      <c r="HY19" s="1282"/>
      <c r="HZ19" s="1282"/>
      <c r="IA19" s="1282"/>
      <c r="IB19" s="1282"/>
      <c r="IC19" s="1282"/>
      <c r="ID19" s="1282"/>
      <c r="IE19" s="1282"/>
      <c r="IF19" s="1282"/>
      <c r="IG19" s="1282"/>
      <c r="IH19" s="1282"/>
      <c r="II19" s="1282"/>
      <c r="IJ19" s="1282"/>
      <c r="IK19" s="1282"/>
      <c r="IL19" s="1282"/>
      <c r="IM19" s="1282"/>
      <c r="IN19" s="1282"/>
      <c r="IO19" s="1282"/>
      <c r="IP19" s="1282"/>
      <c r="IQ19" s="1282"/>
      <c r="IR19" s="1282"/>
      <c r="IS19" s="1282"/>
      <c r="IT19" s="1282"/>
      <c r="IU19" s="1282"/>
      <c r="IV19" s="1282"/>
    </row>
    <row r="20" spans="1:256" ht="14.25">
      <c r="A20" s="1283"/>
      <c r="B20" s="2791"/>
      <c r="C20" s="2792">
        <v>43881</v>
      </c>
      <c r="D20" s="2791">
        <v>4.05</v>
      </c>
      <c r="E20" s="2791">
        <v>4.05</v>
      </c>
      <c r="F20" s="2791">
        <v>4.05</v>
      </c>
      <c r="G20" s="2791">
        <v>4.05</v>
      </c>
      <c r="H20" s="2791">
        <v>4.75</v>
      </c>
      <c r="I20" s="2791"/>
      <c r="J20" s="2791"/>
      <c r="L20" s="1289"/>
      <c r="M20" s="1290">
        <v>41068</v>
      </c>
      <c r="N20" s="1289">
        <v>0.4</v>
      </c>
      <c r="O20" s="1289">
        <v>2.85</v>
      </c>
      <c r="P20" s="1289">
        <v>3.05</v>
      </c>
      <c r="Q20" s="1289">
        <v>3.25</v>
      </c>
      <c r="R20" s="1289">
        <v>4.0999999999999996</v>
      </c>
      <c r="S20" s="1289">
        <v>4.6500000000000004</v>
      </c>
      <c r="T20" s="1289">
        <v>5.0999999999999996</v>
      </c>
      <c r="U20" s="1289">
        <v>3.1</v>
      </c>
      <c r="V20" s="1289">
        <v>3.15</v>
      </c>
      <c r="W20" s="1289">
        <v>3.25</v>
      </c>
      <c r="X20" s="1289">
        <v>1.31</v>
      </c>
      <c r="Y20" s="1289">
        <v>0.94</v>
      </c>
      <c r="Z20" s="1289">
        <v>1.49</v>
      </c>
    </row>
    <row r="21" spans="1:256" ht="14.25">
      <c r="A21" s="1283"/>
      <c r="B21" s="2791"/>
      <c r="C21" s="2792">
        <v>43789</v>
      </c>
      <c r="D21" s="2791">
        <v>4.1500000000000004</v>
      </c>
      <c r="E21" s="2791">
        <v>4.1500000000000004</v>
      </c>
      <c r="F21" s="2791">
        <v>4.1500000000000004</v>
      </c>
      <c r="G21" s="2791">
        <v>4.1500000000000004</v>
      </c>
      <c r="H21" s="2791">
        <v>4.8</v>
      </c>
      <c r="I21" s="2791"/>
      <c r="J21" s="2791"/>
      <c r="L21" s="1289"/>
      <c r="M21" s="1290">
        <v>40731</v>
      </c>
      <c r="N21" s="1289">
        <v>0.5</v>
      </c>
      <c r="O21" s="1289">
        <v>3.1</v>
      </c>
      <c r="P21" s="1289">
        <v>3.3</v>
      </c>
      <c r="Q21" s="1289">
        <v>3.5</v>
      </c>
      <c r="R21" s="1289">
        <v>4.4000000000000004</v>
      </c>
      <c r="S21" s="1289">
        <v>5</v>
      </c>
      <c r="T21" s="1289">
        <v>5.5</v>
      </c>
      <c r="U21" s="1289">
        <v>3.1</v>
      </c>
      <c r="V21" s="1289">
        <v>3.3</v>
      </c>
      <c r="W21" s="1289">
        <v>3.5</v>
      </c>
      <c r="X21" s="1289">
        <v>1.31</v>
      </c>
      <c r="Y21" s="1289">
        <v>0.95</v>
      </c>
      <c r="Z21" s="1289">
        <v>1.49</v>
      </c>
    </row>
    <row r="22" spans="1:256" ht="14.25">
      <c r="A22" s="1283"/>
      <c r="B22" s="2791"/>
      <c r="C22" s="2792">
        <v>43728</v>
      </c>
      <c r="D22" s="2791">
        <v>4.2</v>
      </c>
      <c r="E22" s="2791">
        <v>4.2</v>
      </c>
      <c r="F22" s="2791">
        <v>4.2</v>
      </c>
      <c r="G22" s="2791">
        <v>4.2</v>
      </c>
      <c r="H22" s="2791">
        <v>4.8499999999999996</v>
      </c>
      <c r="I22" s="2791"/>
      <c r="J22" s="2791"/>
      <c r="K22" s="1277"/>
      <c r="L22" s="1289"/>
      <c r="M22" s="1290">
        <v>40639</v>
      </c>
      <c r="N22" s="1289">
        <v>0.5</v>
      </c>
      <c r="O22" s="1289">
        <v>2.85</v>
      </c>
      <c r="P22" s="1289">
        <v>3.05</v>
      </c>
      <c r="Q22" s="1289">
        <v>3.25</v>
      </c>
      <c r="R22" s="1289">
        <v>4.1500000000000004</v>
      </c>
      <c r="S22" s="1289">
        <v>4.75</v>
      </c>
      <c r="T22" s="1289">
        <v>5.25</v>
      </c>
      <c r="U22" s="1289">
        <v>2.85</v>
      </c>
      <c r="V22" s="1289">
        <v>3.05</v>
      </c>
      <c r="W22" s="1289">
        <v>3.25</v>
      </c>
      <c r="X22" s="1289">
        <v>1.31</v>
      </c>
      <c r="Y22" s="1289">
        <v>0.95</v>
      </c>
      <c r="Z22" s="1289">
        <v>1.49</v>
      </c>
    </row>
    <row r="23" spans="1:256" ht="14.25">
      <c r="A23" s="2797"/>
      <c r="B23" s="2790" t="s">
        <v>2285</v>
      </c>
      <c r="C23" s="2793">
        <v>43697</v>
      </c>
      <c r="D23" s="2794">
        <v>4.25</v>
      </c>
      <c r="E23" s="2794">
        <v>4.25</v>
      </c>
      <c r="F23" s="2794">
        <v>4.25</v>
      </c>
      <c r="G23" s="2794">
        <v>4.25</v>
      </c>
      <c r="H23" s="2794">
        <v>4.8499999999999996</v>
      </c>
      <c r="I23" s="2794"/>
      <c r="J23" s="2794"/>
      <c r="L23" s="1289"/>
      <c r="M23" s="1290">
        <v>40583</v>
      </c>
      <c r="N23" s="1289">
        <v>0.4</v>
      </c>
      <c r="O23" s="1289">
        <v>2.6</v>
      </c>
      <c r="P23" s="1289">
        <v>2.8</v>
      </c>
      <c r="Q23" s="1289">
        <v>3</v>
      </c>
      <c r="R23" s="1289">
        <v>3.9</v>
      </c>
      <c r="S23" s="1289">
        <v>4.5</v>
      </c>
      <c r="T23" s="1289">
        <v>5</v>
      </c>
      <c r="U23" s="1289">
        <v>2.6</v>
      </c>
      <c r="V23" s="1289">
        <v>2.8</v>
      </c>
      <c r="W23" s="1289">
        <v>3</v>
      </c>
      <c r="X23" s="1289">
        <v>1.21</v>
      </c>
      <c r="Y23" s="1289">
        <v>0.85</v>
      </c>
      <c r="Z23" s="1289">
        <v>1.39</v>
      </c>
    </row>
    <row r="24" spans="1:256" ht="14.25">
      <c r="B24" s="2798"/>
      <c r="C24" s="2799">
        <v>42301</v>
      </c>
      <c r="D24" s="2800">
        <v>4.3499999999999996</v>
      </c>
      <c r="E24" s="2800">
        <v>4.3499999999999996</v>
      </c>
      <c r="F24" s="2800">
        <v>4.75</v>
      </c>
      <c r="G24" s="2800">
        <v>4.75</v>
      </c>
      <c r="H24" s="2800">
        <v>4.9000000000000004</v>
      </c>
      <c r="I24" s="2800"/>
      <c r="J24" s="2800"/>
      <c r="L24" s="1289"/>
      <c r="M24" s="1290">
        <v>40538</v>
      </c>
      <c r="N24" s="1289">
        <v>0.36</v>
      </c>
      <c r="O24" s="1289">
        <v>2.25</v>
      </c>
      <c r="P24" s="1289">
        <v>2.5</v>
      </c>
      <c r="Q24" s="1289">
        <v>2.75</v>
      </c>
      <c r="R24" s="1289">
        <v>3.55</v>
      </c>
      <c r="S24" s="1289">
        <v>4.1500000000000004</v>
      </c>
      <c r="T24" s="1289">
        <v>4.55</v>
      </c>
      <c r="U24" s="1289">
        <v>2.16</v>
      </c>
      <c r="V24" s="1289">
        <v>2.5</v>
      </c>
      <c r="W24" s="1289">
        <v>2.85</v>
      </c>
      <c r="X24" s="1289">
        <v>1.17</v>
      </c>
      <c r="Y24" s="1289">
        <v>0.81</v>
      </c>
      <c r="Z24" s="1289">
        <v>1.35</v>
      </c>
    </row>
    <row r="25" spans="1:256">
      <c r="B25" s="1289"/>
      <c r="C25" s="1290">
        <v>42242</v>
      </c>
      <c r="D25" s="1289">
        <v>4.5999999999999996</v>
      </c>
      <c r="E25" s="1289">
        <v>4.5999999999999996</v>
      </c>
      <c r="F25" s="1289">
        <v>5</v>
      </c>
      <c r="G25" s="1289">
        <v>5</v>
      </c>
      <c r="H25" s="1289">
        <v>5.15</v>
      </c>
      <c r="I25" s="1289">
        <v>2.75</v>
      </c>
      <c r="J25" s="1289">
        <v>3.25</v>
      </c>
      <c r="L25" s="1289"/>
      <c r="M25" s="1290">
        <v>40471</v>
      </c>
      <c r="N25" s="1289">
        <v>0.36</v>
      </c>
      <c r="O25" s="1289">
        <v>1.91</v>
      </c>
      <c r="P25" s="1289">
        <v>2.2000000000000002</v>
      </c>
      <c r="Q25" s="1289">
        <v>2.5</v>
      </c>
      <c r="R25" s="1289">
        <v>3.25</v>
      </c>
      <c r="S25" s="1289">
        <v>3.85</v>
      </c>
      <c r="T25" s="1289">
        <v>4.2</v>
      </c>
      <c r="U25" s="1289">
        <v>1.91</v>
      </c>
      <c r="V25" s="1289">
        <v>2.2000000000000002</v>
      </c>
      <c r="W25" s="1289">
        <v>2.5</v>
      </c>
      <c r="X25" s="1289">
        <v>1.17</v>
      </c>
      <c r="Y25" s="1289">
        <v>0.81</v>
      </c>
      <c r="Z25" s="1289">
        <v>1.35</v>
      </c>
    </row>
    <row r="26" spans="1:256">
      <c r="B26" s="1289"/>
      <c r="C26" s="1290">
        <v>42183</v>
      </c>
      <c r="D26" s="1289">
        <v>4.8499999999999996</v>
      </c>
      <c r="E26" s="1289">
        <v>4.8499999999999996</v>
      </c>
      <c r="F26" s="1289">
        <v>5.25</v>
      </c>
      <c r="G26" s="1289">
        <v>5.25</v>
      </c>
      <c r="H26" s="1289">
        <v>5.4</v>
      </c>
      <c r="I26" s="1289">
        <v>3</v>
      </c>
      <c r="J26" s="1289">
        <v>3.5</v>
      </c>
      <c r="L26" s="1289"/>
      <c r="M26" s="1290">
        <v>39805</v>
      </c>
      <c r="N26" s="1289">
        <v>0.36</v>
      </c>
      <c r="O26" s="1289">
        <v>1.71</v>
      </c>
      <c r="P26" s="1289">
        <v>1.98</v>
      </c>
      <c r="Q26" s="1289">
        <v>2.25</v>
      </c>
      <c r="R26" s="1289">
        <v>2.79</v>
      </c>
      <c r="S26" s="1289">
        <v>3.33</v>
      </c>
      <c r="T26" s="1289">
        <v>3.6</v>
      </c>
      <c r="U26" s="1289">
        <v>1.71</v>
      </c>
      <c r="V26" s="1289">
        <v>1.98</v>
      </c>
      <c r="W26" s="1289">
        <v>2.25</v>
      </c>
      <c r="X26" s="1289">
        <v>1.17</v>
      </c>
      <c r="Y26" s="1289">
        <v>0.81</v>
      </c>
      <c r="Z26" s="1289">
        <v>1.35</v>
      </c>
    </row>
    <row r="27" spans="1:256">
      <c r="B27" s="1289"/>
      <c r="C27" s="1290">
        <v>42135</v>
      </c>
      <c r="D27" s="1289">
        <v>5.0999999999999996</v>
      </c>
      <c r="E27" s="1289">
        <v>5.0999999999999996</v>
      </c>
      <c r="F27" s="1289">
        <v>5.5</v>
      </c>
      <c r="G27" s="1289">
        <v>5.5</v>
      </c>
      <c r="H27" s="1289">
        <v>5.65</v>
      </c>
      <c r="I27" s="1289">
        <v>3.25</v>
      </c>
      <c r="J27" s="1289">
        <v>3.75</v>
      </c>
      <c r="L27" s="1289"/>
      <c r="M27" s="1290">
        <v>39779</v>
      </c>
      <c r="N27" s="1289">
        <v>0.36</v>
      </c>
      <c r="O27" s="1289">
        <v>1.98</v>
      </c>
      <c r="P27" s="1289">
        <v>2.25</v>
      </c>
      <c r="Q27" s="1289">
        <v>2.52</v>
      </c>
      <c r="R27" s="1289">
        <v>3.06</v>
      </c>
      <c r="S27" s="1289">
        <v>3.6</v>
      </c>
      <c r="T27" s="1289">
        <v>3.87</v>
      </c>
      <c r="U27" s="1289">
        <v>1.98</v>
      </c>
      <c r="V27" s="1289">
        <v>2.25</v>
      </c>
      <c r="W27" s="1289">
        <v>2.52</v>
      </c>
      <c r="X27" s="1289">
        <v>1.17</v>
      </c>
      <c r="Y27" s="1289">
        <v>0.81</v>
      </c>
      <c r="Z27" s="1289">
        <v>1.35</v>
      </c>
    </row>
    <row r="28" spans="1:256">
      <c r="B28" s="1289"/>
      <c r="C28" s="1290">
        <v>42064</v>
      </c>
      <c r="D28" s="1289">
        <v>5.35</v>
      </c>
      <c r="E28" s="1289">
        <v>5.35</v>
      </c>
      <c r="F28" s="1289">
        <v>5.75</v>
      </c>
      <c r="G28" s="1289">
        <v>5.75</v>
      </c>
      <c r="H28" s="1289">
        <v>5.9</v>
      </c>
      <c r="I28" s="1289"/>
      <c r="J28" s="1289"/>
      <c r="L28" s="1289"/>
      <c r="M28" s="1290">
        <v>39751</v>
      </c>
      <c r="N28" s="1289">
        <v>0.72</v>
      </c>
      <c r="O28" s="1289">
        <v>2.88</v>
      </c>
      <c r="P28" s="1289">
        <v>3.24</v>
      </c>
      <c r="Q28" s="1289">
        <v>3.6</v>
      </c>
      <c r="R28" s="1289">
        <v>4.1399999999999997</v>
      </c>
      <c r="S28" s="1289">
        <v>4.7699999999999996</v>
      </c>
      <c r="T28" s="1289">
        <v>5.13</v>
      </c>
      <c r="U28" s="1289">
        <v>2.88</v>
      </c>
      <c r="V28" s="1289">
        <v>3.24</v>
      </c>
      <c r="W28" s="1289">
        <v>3.6</v>
      </c>
      <c r="X28" s="1289">
        <v>1.53</v>
      </c>
      <c r="Y28" s="1289">
        <v>1.17</v>
      </c>
      <c r="Z28" s="1289">
        <v>1.71</v>
      </c>
    </row>
    <row r="29" spans="1:256">
      <c r="B29" s="1289"/>
      <c r="C29" s="1290">
        <v>41965</v>
      </c>
      <c r="D29" s="1289">
        <v>5.6</v>
      </c>
      <c r="E29" s="1289">
        <v>5.6</v>
      </c>
      <c r="F29" s="1289">
        <v>6</v>
      </c>
      <c r="G29" s="1289">
        <v>6</v>
      </c>
      <c r="H29" s="1289">
        <v>6.15</v>
      </c>
      <c r="I29" s="1289"/>
      <c r="J29" s="1289"/>
      <c r="L29" s="1289"/>
      <c r="M29" s="1291">
        <v>39736</v>
      </c>
      <c r="N29" s="1289">
        <v>0.72</v>
      </c>
      <c r="O29" s="1289">
        <v>3.15</v>
      </c>
      <c r="P29" s="1289">
        <v>3.51</v>
      </c>
      <c r="Q29" s="1289">
        <v>3.87</v>
      </c>
      <c r="R29" s="1289">
        <v>4.41</v>
      </c>
      <c r="S29" s="1289">
        <v>5.13</v>
      </c>
      <c r="T29" s="1289">
        <v>5.58</v>
      </c>
      <c r="U29" s="1289">
        <v>3.15</v>
      </c>
      <c r="V29" s="1289">
        <v>3.51</v>
      </c>
      <c r="W29" s="1289">
        <v>3.87</v>
      </c>
      <c r="X29" s="1289">
        <v>1.53</v>
      </c>
      <c r="Y29" s="1289">
        <v>1.17</v>
      </c>
      <c r="Z29" s="1289">
        <v>1.71</v>
      </c>
    </row>
    <row r="30" spans="1:256">
      <c r="B30" s="1289"/>
      <c r="C30" s="1290">
        <v>41096</v>
      </c>
      <c r="D30" s="1289">
        <v>5.6</v>
      </c>
      <c r="E30" s="1289">
        <v>6</v>
      </c>
      <c r="F30" s="1289">
        <v>6.15</v>
      </c>
      <c r="G30" s="1289">
        <v>6.4</v>
      </c>
      <c r="H30" s="1289">
        <v>6.55</v>
      </c>
      <c r="I30" s="1289">
        <v>4</v>
      </c>
      <c r="J30" s="1289">
        <v>4.5</v>
      </c>
      <c r="L30" s="1289"/>
      <c r="M30" s="1290">
        <v>39730</v>
      </c>
      <c r="N30" s="1289">
        <v>0.72</v>
      </c>
      <c r="O30" s="1289">
        <v>3.15</v>
      </c>
      <c r="P30" s="1289">
        <v>3.51</v>
      </c>
      <c r="Q30" s="1289">
        <v>3.87</v>
      </c>
      <c r="R30" s="1289">
        <v>4.41</v>
      </c>
      <c r="S30" s="1289">
        <v>5.13</v>
      </c>
      <c r="T30" s="1289">
        <v>5.58</v>
      </c>
      <c r="U30" s="1289">
        <v>3.15</v>
      </c>
      <c r="V30" s="1289">
        <v>3.51</v>
      </c>
      <c r="W30" s="1289">
        <v>3.87</v>
      </c>
      <c r="X30" s="1289">
        <v>1.53</v>
      </c>
      <c r="Y30" s="1289">
        <v>1.17</v>
      </c>
      <c r="Z30" s="1289">
        <v>1.71</v>
      </c>
    </row>
    <row r="31" spans="1:256">
      <c r="B31" s="1289"/>
      <c r="C31" s="1290">
        <v>41068</v>
      </c>
      <c r="D31" s="1289">
        <v>5.85</v>
      </c>
      <c r="E31" s="1289">
        <v>6.31</v>
      </c>
      <c r="F31" s="1289">
        <v>6.4</v>
      </c>
      <c r="G31" s="1289">
        <v>6.65</v>
      </c>
      <c r="H31" s="1289">
        <v>6.8</v>
      </c>
      <c r="I31" s="1289">
        <v>4.2</v>
      </c>
      <c r="J31" s="1289">
        <v>4.7</v>
      </c>
      <c r="L31" s="1289"/>
      <c r="M31" s="1290">
        <v>39437</v>
      </c>
      <c r="N31" s="1289">
        <v>0.72</v>
      </c>
      <c r="O31" s="1289">
        <v>3.33</v>
      </c>
      <c r="P31" s="1289">
        <v>3.78</v>
      </c>
      <c r="Q31" s="1289">
        <v>4.1399999999999997</v>
      </c>
      <c r="R31" s="1289">
        <v>4.68</v>
      </c>
      <c r="S31" s="1289">
        <v>5.4</v>
      </c>
      <c r="T31" s="1289">
        <v>5.85</v>
      </c>
      <c r="U31" s="1289">
        <v>3.33</v>
      </c>
      <c r="V31" s="1289">
        <v>3.78</v>
      </c>
      <c r="W31" s="1289">
        <v>4.1399999999999997</v>
      </c>
      <c r="X31" s="1289">
        <v>1.53</v>
      </c>
      <c r="Y31" s="1289">
        <v>1.17</v>
      </c>
      <c r="Z31" s="1289">
        <v>1.71</v>
      </c>
    </row>
    <row r="32" spans="1:256">
      <c r="B32" s="1289"/>
      <c r="C32" s="1290">
        <v>40731</v>
      </c>
      <c r="D32" s="1289">
        <v>6.1</v>
      </c>
      <c r="E32" s="1289">
        <v>6.56</v>
      </c>
      <c r="F32" s="1289">
        <v>6.65</v>
      </c>
      <c r="G32" s="1289">
        <v>6.9</v>
      </c>
      <c r="H32" s="1289">
        <v>7.05</v>
      </c>
      <c r="I32" s="1289">
        <v>4.45</v>
      </c>
      <c r="J32" s="1289">
        <v>4.9000000000000004</v>
      </c>
      <c r="L32" s="1289"/>
      <c r="M32" s="1290">
        <v>39340</v>
      </c>
      <c r="N32" s="1289">
        <v>0.81</v>
      </c>
      <c r="O32" s="1289">
        <v>2.88</v>
      </c>
      <c r="P32" s="1289">
        <v>3.42</v>
      </c>
      <c r="Q32" s="1289">
        <v>3.87</v>
      </c>
      <c r="R32" s="1289">
        <v>4.5</v>
      </c>
      <c r="S32" s="1289">
        <v>5.22</v>
      </c>
      <c r="T32" s="1289">
        <v>5.76</v>
      </c>
      <c r="U32" s="1289">
        <v>2.88</v>
      </c>
      <c r="V32" s="1289">
        <v>3.42</v>
      </c>
      <c r="W32" s="1289">
        <v>3.87</v>
      </c>
      <c r="X32" s="1289">
        <v>1.53</v>
      </c>
      <c r="Y32" s="1289">
        <v>1.17</v>
      </c>
      <c r="Z32" s="1289">
        <v>1.71</v>
      </c>
    </row>
    <row r="33" spans="2:26">
      <c r="B33" s="1289"/>
      <c r="C33" s="1290">
        <v>40639</v>
      </c>
      <c r="D33" s="1289">
        <v>5.85</v>
      </c>
      <c r="E33" s="1289">
        <v>6.31</v>
      </c>
      <c r="F33" s="1289">
        <v>6.4</v>
      </c>
      <c r="G33" s="1289">
        <v>6.65</v>
      </c>
      <c r="H33" s="1289">
        <v>6.8</v>
      </c>
      <c r="I33" s="1289">
        <v>4.2</v>
      </c>
      <c r="J33" s="1289">
        <v>4.7</v>
      </c>
      <c r="L33" s="1289"/>
      <c r="M33" s="1290">
        <v>39316</v>
      </c>
      <c r="N33" s="1289">
        <v>0.81</v>
      </c>
      <c r="O33" s="1289">
        <v>2.61</v>
      </c>
      <c r="P33" s="1289">
        <v>3.15</v>
      </c>
      <c r="Q33" s="1289">
        <v>3.6</v>
      </c>
      <c r="R33" s="1289">
        <v>4.2300000000000004</v>
      </c>
      <c r="S33" s="1289">
        <v>4.95</v>
      </c>
      <c r="T33" s="1289">
        <v>5.49</v>
      </c>
      <c r="U33" s="1289">
        <v>2.61</v>
      </c>
      <c r="V33" s="1289">
        <v>3.15</v>
      </c>
      <c r="W33" s="1289">
        <v>3.6</v>
      </c>
      <c r="X33" s="1289">
        <v>1.53</v>
      </c>
      <c r="Y33" s="1289">
        <v>1.17</v>
      </c>
      <c r="Z33" s="1289">
        <v>1.71</v>
      </c>
    </row>
    <row r="34" spans="2:26">
      <c r="B34" s="1289"/>
      <c r="C34" s="1290">
        <v>40583</v>
      </c>
      <c r="D34" s="1289">
        <v>5.6</v>
      </c>
      <c r="E34" s="1289">
        <v>6.06</v>
      </c>
      <c r="F34" s="1289">
        <v>6.1</v>
      </c>
      <c r="G34" s="1289">
        <v>6.45</v>
      </c>
      <c r="H34" s="1289">
        <v>6.6</v>
      </c>
      <c r="I34" s="1289">
        <v>4</v>
      </c>
      <c r="J34" s="1289">
        <v>4.5</v>
      </c>
      <c r="L34" s="1289"/>
      <c r="M34" s="1290">
        <v>39284</v>
      </c>
      <c r="N34" s="1289">
        <v>0.81</v>
      </c>
      <c r="O34" s="1289">
        <v>2.34</v>
      </c>
      <c r="P34" s="1289">
        <v>2.88</v>
      </c>
      <c r="Q34" s="1289">
        <v>3.33</v>
      </c>
      <c r="R34" s="1289">
        <v>3.96</v>
      </c>
      <c r="S34" s="1289">
        <v>4.68</v>
      </c>
      <c r="T34" s="1289">
        <v>5.22</v>
      </c>
      <c r="U34" s="1289">
        <v>2.34</v>
      </c>
      <c r="V34" s="1289">
        <v>2.88</v>
      </c>
      <c r="W34" s="1289">
        <v>3.33</v>
      </c>
      <c r="X34" s="1289">
        <v>1.53</v>
      </c>
      <c r="Y34" s="1289">
        <v>1.17</v>
      </c>
      <c r="Z34" s="1289">
        <v>1.71</v>
      </c>
    </row>
    <row r="35" spans="2:26">
      <c r="B35" s="1289"/>
      <c r="C35" s="1290">
        <v>40538</v>
      </c>
      <c r="D35" s="1289">
        <v>5.35</v>
      </c>
      <c r="E35" s="1289">
        <v>5.81</v>
      </c>
      <c r="F35" s="1289">
        <v>5.85</v>
      </c>
      <c r="G35" s="1289">
        <v>6.22</v>
      </c>
      <c r="H35" s="1289">
        <v>6.4</v>
      </c>
      <c r="I35" s="1289">
        <v>3.75</v>
      </c>
      <c r="J35" s="1289">
        <v>4.3</v>
      </c>
      <c r="L35" s="1289"/>
      <c r="M35" s="1290">
        <v>39221</v>
      </c>
      <c r="N35" s="1289">
        <v>0.72</v>
      </c>
      <c r="O35" s="1289">
        <v>2.0699999999999998</v>
      </c>
      <c r="P35" s="1289">
        <v>2.61</v>
      </c>
      <c r="Q35" s="1289">
        <v>3.06</v>
      </c>
      <c r="R35" s="1289">
        <v>3.69</v>
      </c>
      <c r="S35" s="1289">
        <v>4.41</v>
      </c>
      <c r="T35" s="1289">
        <v>4.95</v>
      </c>
      <c r="U35" s="1289">
        <v>2.0699999999999998</v>
      </c>
      <c r="V35" s="1289">
        <v>2.61</v>
      </c>
      <c r="W35" s="1289">
        <v>3.06</v>
      </c>
      <c r="X35" s="1289">
        <v>1.44</v>
      </c>
      <c r="Y35" s="1289">
        <v>1.08</v>
      </c>
      <c r="Z35" s="1289">
        <v>1.62</v>
      </c>
    </row>
    <row r="36" spans="2:26">
      <c r="B36" s="1289"/>
      <c r="C36" s="1290">
        <v>40471</v>
      </c>
      <c r="D36" s="1289">
        <v>5.0999999999999996</v>
      </c>
      <c r="E36" s="1289">
        <v>5.56</v>
      </c>
      <c r="F36" s="1289">
        <v>5.6</v>
      </c>
      <c r="G36" s="1289">
        <v>5.96</v>
      </c>
      <c r="H36" s="1289">
        <v>6.14</v>
      </c>
      <c r="I36" s="1289">
        <v>3.5</v>
      </c>
      <c r="J36" s="1289">
        <v>4.05</v>
      </c>
      <c r="L36" s="1289"/>
      <c r="M36" s="1290">
        <v>39159</v>
      </c>
      <c r="N36" s="1289">
        <v>0.72</v>
      </c>
      <c r="O36" s="1289">
        <v>1.98</v>
      </c>
      <c r="P36" s="1289">
        <v>2.4300000000000002</v>
      </c>
      <c r="Q36" s="1289">
        <v>2.79</v>
      </c>
      <c r="R36" s="1289">
        <v>3.33</v>
      </c>
      <c r="S36" s="1289">
        <v>3.96</v>
      </c>
      <c r="T36" s="1289">
        <v>4.41</v>
      </c>
      <c r="U36" s="1289">
        <v>1.98</v>
      </c>
      <c r="V36" s="1289">
        <v>2.4300000000000002</v>
      </c>
      <c r="W36" s="1289">
        <v>2.79</v>
      </c>
      <c r="X36" s="1289">
        <v>1.44</v>
      </c>
      <c r="Y36" s="1289">
        <v>1.08</v>
      </c>
      <c r="Z36" s="1289">
        <v>1.62</v>
      </c>
    </row>
    <row r="37" spans="2:26">
      <c r="B37" s="1289"/>
      <c r="C37" s="1290">
        <v>39805</v>
      </c>
      <c r="D37" s="1289">
        <v>4.8600000000000003</v>
      </c>
      <c r="E37" s="1289">
        <v>5.31</v>
      </c>
      <c r="F37" s="1289">
        <v>5.4</v>
      </c>
      <c r="G37" s="1289">
        <v>5.76</v>
      </c>
      <c r="H37" s="1289">
        <v>5.94</v>
      </c>
      <c r="I37" s="1289">
        <v>3.33</v>
      </c>
      <c r="J37" s="1289">
        <v>3.87</v>
      </c>
      <c r="L37" s="1289"/>
      <c r="M37" s="1290">
        <v>38948</v>
      </c>
      <c r="N37" s="1289">
        <v>0.72</v>
      </c>
      <c r="O37" s="1289">
        <v>1.8</v>
      </c>
      <c r="P37" s="1289">
        <v>2.25</v>
      </c>
      <c r="Q37" s="1289">
        <v>2.52</v>
      </c>
      <c r="R37" s="1289">
        <v>3.06</v>
      </c>
      <c r="S37" s="1289">
        <v>3.69</v>
      </c>
      <c r="T37" s="1289">
        <v>4.1399999999999997</v>
      </c>
      <c r="U37" s="1289">
        <v>1.8</v>
      </c>
      <c r="V37" s="1289">
        <v>2.25</v>
      </c>
      <c r="W37" s="1289">
        <v>2.52</v>
      </c>
      <c r="X37" s="1289">
        <v>1.44</v>
      </c>
      <c r="Y37" s="1289">
        <v>1.08</v>
      </c>
      <c r="Z37" s="1289">
        <v>1.62</v>
      </c>
    </row>
    <row r="38" spans="2:26">
      <c r="B38" s="1289"/>
      <c r="C38" s="1290">
        <v>39779</v>
      </c>
      <c r="D38" s="1289">
        <v>5.04</v>
      </c>
      <c r="E38" s="1289">
        <v>5.58</v>
      </c>
      <c r="F38" s="1289">
        <v>5.67</v>
      </c>
      <c r="G38" s="1289">
        <v>5.94</v>
      </c>
      <c r="H38" s="1289">
        <v>6.12</v>
      </c>
      <c r="I38" s="1289">
        <v>3.51</v>
      </c>
      <c r="J38" s="1289">
        <v>4.05</v>
      </c>
      <c r="L38" s="1289"/>
      <c r="M38" s="1290">
        <v>38289</v>
      </c>
      <c r="N38" s="1289">
        <v>0.72</v>
      </c>
      <c r="O38" s="1289">
        <v>1.71</v>
      </c>
      <c r="P38" s="1289">
        <v>2.0699999999999998</v>
      </c>
      <c r="Q38" s="1289">
        <v>2.25</v>
      </c>
      <c r="R38" s="1289">
        <v>2.7</v>
      </c>
      <c r="S38" s="1289">
        <v>3.24</v>
      </c>
      <c r="T38" s="1289">
        <v>3.6</v>
      </c>
      <c r="U38" s="1289">
        <v>1.71</v>
      </c>
      <c r="V38" s="1289">
        <v>2.0699999999999998</v>
      </c>
      <c r="W38" s="1289">
        <v>2.25</v>
      </c>
      <c r="X38" s="1289">
        <v>1.44</v>
      </c>
      <c r="Y38" s="1289">
        <v>1.08</v>
      </c>
      <c r="Z38" s="1289">
        <v>1.62</v>
      </c>
    </row>
    <row r="39" spans="2:26">
      <c r="B39" s="1289"/>
      <c r="C39" s="1290">
        <v>39751</v>
      </c>
      <c r="D39" s="1289">
        <v>6.03</v>
      </c>
      <c r="E39" s="1289">
        <v>6.66</v>
      </c>
      <c r="F39" s="1289">
        <v>6.75</v>
      </c>
      <c r="G39" s="1289">
        <v>7.02</v>
      </c>
      <c r="H39" s="1289">
        <v>7.2</v>
      </c>
      <c r="I39" s="1289">
        <v>4.05</v>
      </c>
      <c r="J39" s="1289">
        <v>4.59</v>
      </c>
      <c r="L39" s="1289"/>
      <c r="M39" s="1290">
        <v>37308</v>
      </c>
      <c r="N39" s="1289">
        <v>0.72</v>
      </c>
      <c r="O39" s="1289">
        <v>1.71</v>
      </c>
      <c r="P39" s="1289">
        <v>1.89</v>
      </c>
      <c r="Q39" s="1289">
        <v>1.98</v>
      </c>
      <c r="R39" s="1289">
        <v>2.25</v>
      </c>
      <c r="S39" s="1289">
        <v>2.52</v>
      </c>
      <c r="T39" s="1289">
        <v>2.79</v>
      </c>
      <c r="U39" s="1289">
        <v>1.71</v>
      </c>
      <c r="V39" s="1289">
        <v>1.89</v>
      </c>
      <c r="W39" s="1289">
        <v>1.98</v>
      </c>
      <c r="X39" s="1289">
        <v>1.44</v>
      </c>
      <c r="Y39" s="1289">
        <v>1.08</v>
      </c>
      <c r="Z39" s="1289">
        <v>1.62</v>
      </c>
    </row>
    <row r="40" spans="2:26">
      <c r="B40" s="1289"/>
      <c r="C40" s="1291">
        <v>39748</v>
      </c>
      <c r="D40" s="1289">
        <v>6.12</v>
      </c>
      <c r="E40" s="1289">
        <v>6.93</v>
      </c>
      <c r="F40" s="1289">
        <v>7.02</v>
      </c>
      <c r="G40" s="1289">
        <v>7.29</v>
      </c>
      <c r="H40" s="1289">
        <v>7.47</v>
      </c>
      <c r="I40" s="1289">
        <v>4.05</v>
      </c>
      <c r="J40" s="1289">
        <v>4.59</v>
      </c>
      <c r="L40" s="1289"/>
      <c r="M40" s="1290">
        <v>36321</v>
      </c>
      <c r="N40" s="1289">
        <v>0.99</v>
      </c>
      <c r="O40" s="1289">
        <v>1.98</v>
      </c>
      <c r="P40" s="1289">
        <v>2.16</v>
      </c>
      <c r="Q40" s="1289">
        <v>2.25</v>
      </c>
      <c r="R40" s="1289">
        <v>2.4300000000000002</v>
      </c>
      <c r="S40" s="1289">
        <v>2.7</v>
      </c>
      <c r="T40" s="1289">
        <v>2.88</v>
      </c>
      <c r="U40" s="1289">
        <v>1.98</v>
      </c>
      <c r="V40" s="1289">
        <v>2.16</v>
      </c>
      <c r="W40" s="1289">
        <v>2.25</v>
      </c>
      <c r="X40" s="1289">
        <v>1.71</v>
      </c>
      <c r="Y40" s="1289">
        <v>1.35</v>
      </c>
      <c r="Z40" s="1289">
        <v>1.89</v>
      </c>
    </row>
    <row r="41" spans="2:26">
      <c r="B41" s="1289"/>
      <c r="C41" s="1290">
        <v>39730</v>
      </c>
      <c r="D41" s="1289">
        <v>6.12</v>
      </c>
      <c r="E41" s="1289">
        <v>6.93</v>
      </c>
      <c r="F41" s="1289">
        <v>7.02</v>
      </c>
      <c r="G41" s="1289">
        <v>7.29</v>
      </c>
      <c r="H41" s="1289">
        <v>7.47</v>
      </c>
      <c r="I41" s="1289">
        <v>4.32</v>
      </c>
      <c r="J41" s="1289">
        <v>4.8600000000000003</v>
      </c>
      <c r="L41" s="1289"/>
      <c r="M41" s="1290">
        <v>36136</v>
      </c>
      <c r="N41" s="1289">
        <v>1.44</v>
      </c>
      <c r="O41" s="1289">
        <v>2.79</v>
      </c>
      <c r="P41" s="1289">
        <v>3.33</v>
      </c>
      <c r="Q41" s="1289">
        <v>3.78</v>
      </c>
      <c r="R41" s="1289">
        <v>3.96</v>
      </c>
      <c r="S41" s="1289">
        <v>4.1399999999999997</v>
      </c>
      <c r="T41" s="1289">
        <v>4.5</v>
      </c>
      <c r="U41" s="1289">
        <v>3.33</v>
      </c>
      <c r="V41" s="1289">
        <v>3.78</v>
      </c>
      <c r="W41" s="1289">
        <v>4.1399999999999997</v>
      </c>
      <c r="X41" s="1289">
        <v>2.16</v>
      </c>
      <c r="Y41" s="1289">
        <v>1.8</v>
      </c>
      <c r="Z41" s="1289">
        <v>2.34</v>
      </c>
    </row>
    <row r="42" spans="2:26">
      <c r="B42" s="1289"/>
      <c r="C42" s="1290">
        <v>39707</v>
      </c>
      <c r="D42" s="1289">
        <v>6.21</v>
      </c>
      <c r="E42" s="1289">
        <v>7.2</v>
      </c>
      <c r="F42" s="1289">
        <v>7.29</v>
      </c>
      <c r="G42" s="1289">
        <v>7.56</v>
      </c>
      <c r="H42" s="1289">
        <v>7.74</v>
      </c>
      <c r="I42" s="1289">
        <v>4.59</v>
      </c>
      <c r="J42" s="1289">
        <v>5.13</v>
      </c>
      <c r="L42" s="1289"/>
      <c r="M42" s="1290">
        <v>35977</v>
      </c>
      <c r="N42" s="1289">
        <v>1.44</v>
      </c>
      <c r="O42" s="1289">
        <v>2.79</v>
      </c>
      <c r="P42" s="1289">
        <v>3.96</v>
      </c>
      <c r="Q42" s="1289">
        <v>4.7699999999999996</v>
      </c>
      <c r="R42" s="1289">
        <v>4.8600000000000003</v>
      </c>
      <c r="S42" s="1289">
        <v>4.95</v>
      </c>
      <c r="T42" s="1289">
        <v>5.22</v>
      </c>
      <c r="U42" s="1289">
        <v>3.96</v>
      </c>
      <c r="V42" s="1289">
        <v>4.7699999999999996</v>
      </c>
      <c r="W42" s="1289">
        <v>4.95</v>
      </c>
      <c r="X42" s="1289" t="s">
        <v>633</v>
      </c>
      <c r="Y42" s="1289" t="s">
        <v>633</v>
      </c>
      <c r="Z42" s="1289" t="s">
        <v>633</v>
      </c>
    </row>
    <row r="43" spans="2:26">
      <c r="B43" s="1289"/>
      <c r="C43" s="1290">
        <v>39437</v>
      </c>
      <c r="D43" s="1289">
        <v>6.57</v>
      </c>
      <c r="E43" s="1289">
        <v>7.47</v>
      </c>
      <c r="F43" s="1289">
        <v>7.56</v>
      </c>
      <c r="G43" s="1289">
        <v>7.74</v>
      </c>
      <c r="H43" s="1289">
        <v>7.83</v>
      </c>
      <c r="I43" s="1289">
        <v>4.7699999999999996</v>
      </c>
      <c r="J43" s="1289">
        <v>5.22</v>
      </c>
      <c r="L43" s="1289"/>
      <c r="M43" s="1290">
        <v>35879</v>
      </c>
      <c r="N43" s="1289">
        <v>1.71</v>
      </c>
      <c r="O43" s="1289">
        <v>2.88</v>
      </c>
      <c r="P43" s="1289">
        <v>4.1399999999999997</v>
      </c>
      <c r="Q43" s="1289">
        <v>5.22</v>
      </c>
      <c r="R43" s="1289">
        <v>5.58</v>
      </c>
      <c r="S43" s="1289">
        <v>6.21</v>
      </c>
      <c r="T43" s="1289">
        <v>6.66</v>
      </c>
      <c r="U43" s="1289">
        <v>4.1399999999999997</v>
      </c>
      <c r="V43" s="1289">
        <v>5.22</v>
      </c>
      <c r="W43" s="1289">
        <v>6.21</v>
      </c>
      <c r="X43" s="1289" t="s">
        <v>633</v>
      </c>
      <c r="Y43" s="1289" t="s">
        <v>633</v>
      </c>
      <c r="Z43" s="1289" t="s">
        <v>633</v>
      </c>
    </row>
    <row r="44" spans="2:26">
      <c r="B44" s="1289"/>
      <c r="C44" s="1290">
        <v>39340</v>
      </c>
      <c r="D44" s="1289">
        <v>6.48</v>
      </c>
      <c r="E44" s="1289">
        <v>7.29</v>
      </c>
      <c r="F44" s="1289">
        <v>7.47</v>
      </c>
      <c r="G44" s="1289">
        <v>7.65</v>
      </c>
      <c r="H44" s="1289">
        <v>7.83</v>
      </c>
      <c r="I44" s="1289">
        <v>4.7699999999999996</v>
      </c>
      <c r="J44" s="1289">
        <v>5.22</v>
      </c>
      <c r="L44" s="1289"/>
      <c r="M44" s="1290">
        <v>35726</v>
      </c>
      <c r="N44" s="1289">
        <v>1.71</v>
      </c>
      <c r="O44" s="1289">
        <v>2.88</v>
      </c>
      <c r="P44" s="1289">
        <v>4.1399999999999997</v>
      </c>
      <c r="Q44" s="1289">
        <v>5.67</v>
      </c>
      <c r="R44" s="1289">
        <v>5.94</v>
      </c>
      <c r="S44" s="1289">
        <v>6.21</v>
      </c>
      <c r="T44" s="1289">
        <v>6.66</v>
      </c>
      <c r="U44" s="1289">
        <v>4.1399999999999997</v>
      </c>
      <c r="V44" s="1289">
        <v>5.67</v>
      </c>
      <c r="W44" s="1289">
        <v>6.21</v>
      </c>
      <c r="X44" s="1289" t="s">
        <v>633</v>
      </c>
      <c r="Y44" s="1289" t="s">
        <v>633</v>
      </c>
      <c r="Z44" s="1289" t="s">
        <v>633</v>
      </c>
    </row>
    <row r="45" spans="2:26">
      <c r="B45" s="1289"/>
      <c r="C45" s="1290">
        <v>39316</v>
      </c>
      <c r="D45" s="1289">
        <v>6.21</v>
      </c>
      <c r="E45" s="1289">
        <v>7.02</v>
      </c>
      <c r="F45" s="1289">
        <v>7.2</v>
      </c>
      <c r="G45" s="1289">
        <v>7.38</v>
      </c>
      <c r="H45" s="1289">
        <v>7.56</v>
      </c>
      <c r="I45" s="1289">
        <v>4.59</v>
      </c>
      <c r="J45" s="1289">
        <v>5.04</v>
      </c>
      <c r="L45" s="1289"/>
      <c r="M45" s="1290">
        <v>35300</v>
      </c>
      <c r="N45" s="1289">
        <v>1.98</v>
      </c>
      <c r="O45" s="1289">
        <v>3.33</v>
      </c>
      <c r="P45" s="1289">
        <v>5.4</v>
      </c>
      <c r="Q45" s="1289">
        <v>7.47</v>
      </c>
      <c r="R45" s="1289">
        <v>7.92</v>
      </c>
      <c r="S45" s="1289">
        <v>8.2799999999999994</v>
      </c>
      <c r="T45" s="1289">
        <v>9</v>
      </c>
      <c r="U45" s="1289">
        <v>5.4</v>
      </c>
      <c r="V45" s="1289">
        <v>7.47</v>
      </c>
      <c r="W45" s="1289">
        <v>8.2799999999999994</v>
      </c>
      <c r="X45" s="1289" t="s">
        <v>633</v>
      </c>
      <c r="Y45" s="1289" t="s">
        <v>633</v>
      </c>
      <c r="Z45" s="1289" t="s">
        <v>633</v>
      </c>
    </row>
    <row r="46" spans="2:26">
      <c r="B46" s="1289"/>
      <c r="C46" s="1290">
        <v>39284</v>
      </c>
      <c r="D46" s="1289">
        <v>6.03</v>
      </c>
      <c r="E46" s="1289">
        <v>6.84</v>
      </c>
      <c r="F46" s="1289">
        <v>7.02</v>
      </c>
      <c r="G46" s="1289">
        <v>7.2</v>
      </c>
      <c r="H46" s="1289">
        <v>7.38</v>
      </c>
      <c r="I46" s="1289">
        <v>4.5</v>
      </c>
      <c r="J46" s="1289">
        <v>4.95</v>
      </c>
      <c r="L46" s="1289"/>
      <c r="M46" s="1290">
        <v>35186</v>
      </c>
      <c r="N46" s="1289">
        <v>2.97</v>
      </c>
      <c r="O46" s="1289">
        <v>4.8600000000000003</v>
      </c>
      <c r="P46" s="1289">
        <v>7.2</v>
      </c>
      <c r="Q46" s="1289">
        <v>9.18</v>
      </c>
      <c r="R46" s="1289">
        <v>9.9</v>
      </c>
      <c r="S46" s="1289">
        <v>10.8</v>
      </c>
      <c r="T46" s="1289">
        <v>12.06</v>
      </c>
      <c r="U46" s="1289">
        <v>7.2</v>
      </c>
      <c r="V46" s="1289">
        <v>9.18</v>
      </c>
      <c r="W46" s="1289">
        <v>10.8</v>
      </c>
      <c r="X46" s="1289" t="s">
        <v>633</v>
      </c>
      <c r="Y46" s="1289" t="s">
        <v>633</v>
      </c>
      <c r="Z46" s="1289" t="s">
        <v>633</v>
      </c>
    </row>
    <row r="47" spans="2:26">
      <c r="B47" s="1289"/>
      <c r="C47" s="1290">
        <v>39221</v>
      </c>
      <c r="D47" s="1289">
        <v>5.85</v>
      </c>
      <c r="E47" s="1289">
        <v>6.57</v>
      </c>
      <c r="F47" s="1289">
        <v>6.75</v>
      </c>
      <c r="G47" s="1289">
        <v>6.93</v>
      </c>
      <c r="H47" s="1289">
        <v>7.2</v>
      </c>
      <c r="I47" s="1289">
        <v>4.41</v>
      </c>
      <c r="J47" s="1289">
        <v>4.8600000000000003</v>
      </c>
      <c r="L47" s="1289"/>
      <c r="M47" s="1290">
        <v>34161</v>
      </c>
      <c r="N47" s="1289">
        <v>3.15</v>
      </c>
      <c r="O47" s="1289">
        <v>6.66</v>
      </c>
      <c r="P47" s="1289">
        <v>9</v>
      </c>
      <c r="Q47" s="1289">
        <v>10.98</v>
      </c>
      <c r="R47" s="1289">
        <v>11.7</v>
      </c>
      <c r="S47" s="1289">
        <v>12.24</v>
      </c>
      <c r="T47" s="1289">
        <v>13.86</v>
      </c>
      <c r="U47" s="1289">
        <v>9</v>
      </c>
      <c r="V47" s="1289">
        <v>10.98</v>
      </c>
      <c r="W47" s="1289">
        <v>12.24</v>
      </c>
      <c r="X47" s="1289" t="s">
        <v>633</v>
      </c>
      <c r="Y47" s="1289" t="s">
        <v>633</v>
      </c>
      <c r="Z47" s="1289" t="s">
        <v>633</v>
      </c>
    </row>
    <row r="48" spans="2:26">
      <c r="B48" s="1289"/>
      <c r="C48" s="1290">
        <v>39159</v>
      </c>
      <c r="D48" s="1289">
        <v>5.67</v>
      </c>
      <c r="E48" s="1289">
        <v>6.39</v>
      </c>
      <c r="F48" s="1289">
        <v>6.57</v>
      </c>
      <c r="G48" s="1289">
        <v>6.75</v>
      </c>
      <c r="H48" s="1289">
        <v>7.11</v>
      </c>
      <c r="I48" s="1289">
        <v>4.32</v>
      </c>
      <c r="J48" s="1289">
        <v>4.7699999999999996</v>
      </c>
      <c r="L48" s="1289"/>
      <c r="M48" s="1290">
        <v>34104</v>
      </c>
      <c r="N48" s="1289">
        <v>2.16</v>
      </c>
      <c r="O48" s="1289">
        <v>4.8600000000000003</v>
      </c>
      <c r="P48" s="1289">
        <v>7.2</v>
      </c>
      <c r="Q48" s="1289">
        <v>9.18</v>
      </c>
      <c r="R48" s="1289">
        <v>9.9</v>
      </c>
      <c r="S48" s="1289">
        <v>10.8</v>
      </c>
      <c r="T48" s="1289">
        <v>12.06</v>
      </c>
      <c r="U48" s="1289">
        <v>7.2</v>
      </c>
      <c r="V48" s="1289">
        <v>9.18</v>
      </c>
      <c r="W48" s="1289">
        <v>10.8</v>
      </c>
      <c r="X48" s="1289" t="s">
        <v>633</v>
      </c>
      <c r="Y48" s="1289" t="s">
        <v>633</v>
      </c>
      <c r="Z48" s="1289" t="s">
        <v>633</v>
      </c>
    </row>
    <row r="49" spans="2:26">
      <c r="B49" s="1289"/>
      <c r="C49" s="1290">
        <v>38948</v>
      </c>
      <c r="D49" s="1289">
        <v>5.58</v>
      </c>
      <c r="E49" s="1289">
        <v>6.12</v>
      </c>
      <c r="F49" s="1289">
        <v>6.3</v>
      </c>
      <c r="G49" s="1289">
        <v>6.48</v>
      </c>
      <c r="H49" s="1289">
        <v>6.84</v>
      </c>
      <c r="I49" s="1289">
        <v>4.1399999999999997</v>
      </c>
      <c r="J49" s="1289">
        <v>4.59</v>
      </c>
      <c r="L49" s="1289"/>
      <c r="M49" s="1290">
        <v>33349</v>
      </c>
      <c r="N49" s="1289">
        <v>1.8</v>
      </c>
      <c r="O49" s="1289">
        <v>3.24</v>
      </c>
      <c r="P49" s="1289">
        <v>5.4</v>
      </c>
      <c r="Q49" s="1289">
        <v>7.56</v>
      </c>
      <c r="R49" s="1289">
        <v>7.92</v>
      </c>
      <c r="S49" s="1289">
        <v>8.2799999999999994</v>
      </c>
      <c r="T49" s="1289">
        <v>9</v>
      </c>
      <c r="U49" s="1289">
        <v>6.12</v>
      </c>
      <c r="V49" s="1289">
        <v>6.84</v>
      </c>
      <c r="W49" s="1289">
        <v>7.56</v>
      </c>
      <c r="X49" s="1289" t="s">
        <v>633</v>
      </c>
      <c r="Y49" s="1289" t="s">
        <v>633</v>
      </c>
      <c r="Z49" s="1289" t="s">
        <v>633</v>
      </c>
    </row>
    <row r="50" spans="2:26">
      <c r="B50" s="1289"/>
      <c r="C50" s="1290">
        <v>38835</v>
      </c>
      <c r="D50" s="1289">
        <v>5.4</v>
      </c>
      <c r="E50" s="1289">
        <v>5.85</v>
      </c>
      <c r="F50" s="1289">
        <v>6.03</v>
      </c>
      <c r="G50" s="1289">
        <v>6.12</v>
      </c>
      <c r="H50" s="1289">
        <v>6.39</v>
      </c>
      <c r="I50" s="1289">
        <v>4.1399999999999997</v>
      </c>
      <c r="J50" s="1289">
        <v>4.59</v>
      </c>
      <c r="L50" s="1289"/>
      <c r="M50" s="1290">
        <v>33106</v>
      </c>
      <c r="N50" s="1289">
        <v>2.16</v>
      </c>
      <c r="O50" s="1289">
        <v>4.32</v>
      </c>
      <c r="P50" s="1289">
        <v>6.48</v>
      </c>
      <c r="Q50" s="1289">
        <v>8.64</v>
      </c>
      <c r="R50" s="1289">
        <v>9.36</v>
      </c>
      <c r="S50" s="1289">
        <v>10.08</v>
      </c>
      <c r="T50" s="1289">
        <v>11.52</v>
      </c>
      <c r="U50" s="1289">
        <v>7.2</v>
      </c>
      <c r="V50" s="1289">
        <v>8.64</v>
      </c>
      <c r="W50" s="1289">
        <v>10.08</v>
      </c>
      <c r="X50" s="1289" t="s">
        <v>633</v>
      </c>
      <c r="Y50" s="1289" t="s">
        <v>633</v>
      </c>
      <c r="Z50" s="1289" t="s">
        <v>633</v>
      </c>
    </row>
    <row r="51" spans="2:26">
      <c r="B51" s="1289"/>
      <c r="C51" s="1290">
        <v>38428</v>
      </c>
      <c r="D51" s="1289">
        <v>5.22</v>
      </c>
      <c r="E51" s="1289">
        <v>5.58</v>
      </c>
      <c r="F51" s="1289">
        <v>5.76</v>
      </c>
      <c r="G51" s="1289">
        <v>5.85</v>
      </c>
      <c r="H51" s="1289">
        <v>6.12</v>
      </c>
      <c r="I51" s="1289">
        <v>3.96</v>
      </c>
      <c r="J51" s="1289">
        <v>4.41</v>
      </c>
      <c r="L51" s="1289"/>
      <c r="M51" s="1290">
        <v>32978</v>
      </c>
      <c r="N51" s="1289">
        <v>2.88</v>
      </c>
      <c r="O51" s="1289">
        <v>6.3</v>
      </c>
      <c r="P51" s="1289">
        <v>7.74</v>
      </c>
      <c r="Q51" s="1289">
        <v>10.08</v>
      </c>
      <c r="R51" s="1289">
        <v>10.98</v>
      </c>
      <c r="S51" s="1289">
        <v>11.88</v>
      </c>
      <c r="T51" s="1289">
        <v>13.68</v>
      </c>
      <c r="U51" s="1289" t="s">
        <v>633</v>
      </c>
      <c r="V51" s="1289" t="s">
        <v>633</v>
      </c>
      <c r="W51" s="1289" t="s">
        <v>633</v>
      </c>
      <c r="X51" s="1289" t="s">
        <v>633</v>
      </c>
      <c r="Y51" s="1289" t="s">
        <v>633</v>
      </c>
      <c r="Z51" s="1289" t="s">
        <v>633</v>
      </c>
    </row>
    <row r="52" spans="2:26">
      <c r="B52" s="1289"/>
      <c r="C52" s="1290">
        <v>38289</v>
      </c>
      <c r="D52" s="1289">
        <v>5.22</v>
      </c>
      <c r="E52" s="1289">
        <v>5.58</v>
      </c>
      <c r="F52" s="1289">
        <v>5.76</v>
      </c>
      <c r="G52" s="1289">
        <v>5.85</v>
      </c>
      <c r="H52" s="1289">
        <v>6.12</v>
      </c>
      <c r="I52" s="1289">
        <v>3.78</v>
      </c>
      <c r="J52" s="1289">
        <v>4.2300000000000004</v>
      </c>
      <c r="L52" s="1289"/>
      <c r="M52" s="1290"/>
      <c r="N52" s="1289"/>
      <c r="O52" s="1289"/>
      <c r="P52" s="1289"/>
      <c r="Q52" s="1289"/>
      <c r="R52" s="1289"/>
      <c r="S52" s="1289"/>
      <c r="T52" s="1289"/>
      <c r="U52" s="1289"/>
      <c r="V52" s="1289"/>
      <c r="W52" s="1289"/>
      <c r="X52" s="1289"/>
      <c r="Y52" s="1289"/>
      <c r="Z52" s="1289"/>
    </row>
    <row r="53" spans="2:26">
      <c r="B53" s="1289"/>
      <c r="C53" s="1290">
        <v>37308</v>
      </c>
      <c r="D53" s="1289">
        <v>5.04</v>
      </c>
      <c r="E53" s="1289">
        <v>5.31</v>
      </c>
      <c r="F53" s="1289">
        <v>5.49</v>
      </c>
      <c r="G53" s="1289">
        <v>5.58</v>
      </c>
      <c r="H53" s="1289">
        <v>5.76</v>
      </c>
      <c r="I53" s="1289">
        <v>3.6</v>
      </c>
      <c r="J53" s="1289">
        <v>4.05</v>
      </c>
      <c r="L53" s="1289"/>
      <c r="M53" s="1290"/>
      <c r="N53" s="1289"/>
      <c r="O53" s="1289"/>
      <c r="P53" s="1289"/>
      <c r="Q53" s="1289"/>
      <c r="R53" s="1289"/>
      <c r="S53" s="1289"/>
      <c r="T53" s="1289"/>
      <c r="U53" s="1289"/>
      <c r="V53" s="1289"/>
      <c r="W53" s="1289"/>
      <c r="X53" s="1289"/>
      <c r="Y53" s="1289"/>
      <c r="Z53" s="1289"/>
    </row>
    <row r="54" spans="2:26">
      <c r="B54" s="1289"/>
      <c r="C54" s="1290">
        <v>36321</v>
      </c>
      <c r="D54" s="1289">
        <v>5.58</v>
      </c>
      <c r="E54" s="1289">
        <v>5.85</v>
      </c>
      <c r="F54" s="1289">
        <v>5.94</v>
      </c>
      <c r="G54" s="1289">
        <v>6.03</v>
      </c>
      <c r="H54" s="1289">
        <v>6.21</v>
      </c>
      <c r="I54" s="1289">
        <v>4.1399999999999997</v>
      </c>
      <c r="J54" s="1289">
        <v>4.59</v>
      </c>
      <c r="L54" s="1289"/>
      <c r="M54" s="1290"/>
      <c r="N54" s="1289"/>
      <c r="O54" s="1289"/>
      <c r="P54" s="1289"/>
      <c r="Q54" s="1289"/>
      <c r="R54" s="1289"/>
      <c r="S54" s="1289"/>
      <c r="T54" s="1289"/>
      <c r="U54" s="1289"/>
      <c r="V54" s="1289"/>
      <c r="W54" s="1289"/>
      <c r="X54" s="1289"/>
      <c r="Y54" s="1289"/>
      <c r="Z54" s="1289"/>
    </row>
    <row r="55" spans="2:26">
      <c r="B55" s="1289"/>
      <c r="C55" s="1290">
        <v>36136</v>
      </c>
      <c r="D55" s="1289">
        <v>6.12</v>
      </c>
      <c r="E55" s="1289">
        <v>6.39</v>
      </c>
      <c r="F55" s="1289">
        <v>6.66</v>
      </c>
      <c r="G55" s="1289">
        <v>7.2</v>
      </c>
      <c r="H55" s="1289">
        <v>7.56</v>
      </c>
      <c r="I55" s="1289">
        <v>0</v>
      </c>
      <c r="J55" s="1289">
        <v>0</v>
      </c>
      <c r="L55" s="1289"/>
      <c r="M55" s="1290"/>
      <c r="N55" s="1289"/>
      <c r="O55" s="1289"/>
      <c r="P55" s="1289"/>
      <c r="Q55" s="1289"/>
      <c r="R55" s="1289"/>
      <c r="S55" s="1289"/>
      <c r="T55" s="1289"/>
      <c r="U55" s="1289"/>
      <c r="V55" s="1289"/>
      <c r="W55" s="1289"/>
      <c r="X55" s="1289"/>
      <c r="Y55" s="1289"/>
      <c r="Z55" s="1289"/>
    </row>
    <row r="56" spans="2:26">
      <c r="B56" s="1289"/>
      <c r="C56" s="1290">
        <v>35977</v>
      </c>
      <c r="D56" s="1289">
        <v>6.57</v>
      </c>
      <c r="E56" s="1289">
        <v>6.93</v>
      </c>
      <c r="F56" s="1289">
        <v>7.11</v>
      </c>
      <c r="G56" s="1289">
        <v>7.65</v>
      </c>
      <c r="H56" s="1289">
        <v>8.01</v>
      </c>
      <c r="I56" s="1289">
        <v>0</v>
      </c>
      <c r="J56" s="1289">
        <v>0</v>
      </c>
      <c r="L56" s="1289"/>
      <c r="M56" s="1290"/>
      <c r="N56" s="1289"/>
      <c r="O56" s="1289"/>
      <c r="P56" s="1289"/>
      <c r="Q56" s="1289"/>
      <c r="R56" s="1289"/>
      <c r="S56" s="1289"/>
      <c r="T56" s="1289"/>
      <c r="U56" s="1289"/>
      <c r="V56" s="1289"/>
      <c r="W56" s="1289"/>
      <c r="X56" s="1289"/>
      <c r="Y56" s="1289"/>
      <c r="Z56" s="1289"/>
    </row>
    <row r="57" spans="2:26">
      <c r="B57" s="1289"/>
      <c r="C57" s="1290">
        <v>35879</v>
      </c>
      <c r="D57" s="1289">
        <v>7.02</v>
      </c>
      <c r="E57" s="1289">
        <v>7.92</v>
      </c>
      <c r="F57" s="1289">
        <v>9</v>
      </c>
      <c r="G57" s="1289">
        <v>9.7200000000000006</v>
      </c>
      <c r="H57" s="1289">
        <v>10.35</v>
      </c>
      <c r="I57" s="1289">
        <v>0</v>
      </c>
      <c r="J57" s="1289">
        <v>0</v>
      </c>
      <c r="L57" s="1289"/>
      <c r="M57" s="1290"/>
      <c r="N57" s="1289"/>
      <c r="O57" s="1289"/>
      <c r="P57" s="1289"/>
      <c r="Q57" s="1289"/>
      <c r="R57" s="1289"/>
      <c r="S57" s="1289"/>
      <c r="T57" s="1289"/>
      <c r="U57" s="1289"/>
      <c r="V57" s="1289"/>
      <c r="W57" s="1289"/>
      <c r="X57" s="1289"/>
      <c r="Y57" s="1289"/>
      <c r="Z57" s="1289"/>
    </row>
    <row r="58" spans="2:26">
      <c r="B58" s="1289"/>
      <c r="C58" s="1290">
        <v>35726</v>
      </c>
      <c r="D58" s="1289">
        <v>7.65</v>
      </c>
      <c r="E58" s="1289">
        <v>8.64</v>
      </c>
      <c r="F58" s="1289">
        <v>9.36</v>
      </c>
      <c r="G58" s="1289">
        <v>9.9</v>
      </c>
      <c r="H58" s="1289">
        <v>10.53</v>
      </c>
      <c r="I58" s="1289">
        <v>0</v>
      </c>
      <c r="J58" s="1289">
        <v>0</v>
      </c>
    </row>
    <row r="59" spans="2:26">
      <c r="B59" s="1289"/>
      <c r="C59" s="1290">
        <v>35300</v>
      </c>
      <c r="D59" s="1289">
        <v>9.18</v>
      </c>
      <c r="E59" s="1289">
        <v>10.08</v>
      </c>
      <c r="F59" s="1289">
        <v>10.98</v>
      </c>
      <c r="G59" s="1289">
        <v>11.7</v>
      </c>
      <c r="H59" s="1289">
        <v>12.42</v>
      </c>
      <c r="I59" s="1289">
        <v>0</v>
      </c>
      <c r="J59" s="1289">
        <v>0</v>
      </c>
    </row>
    <row r="60" spans="2:26">
      <c r="B60" s="1289"/>
      <c r="C60" s="1290">
        <v>35186</v>
      </c>
      <c r="D60" s="1289">
        <v>9.7200000000000006</v>
      </c>
      <c r="E60" s="1289">
        <v>10.98</v>
      </c>
      <c r="F60" s="1289">
        <v>13.14</v>
      </c>
      <c r="G60" s="1289">
        <v>14.94</v>
      </c>
      <c r="H60" s="1289">
        <v>15.12</v>
      </c>
      <c r="I60" s="1289">
        <v>0</v>
      </c>
      <c r="J60" s="1289">
        <v>0</v>
      </c>
    </row>
    <row r="61" spans="2:26">
      <c r="B61" s="1289"/>
      <c r="C61" s="1290">
        <v>34881</v>
      </c>
      <c r="D61" s="1289">
        <v>10.08</v>
      </c>
      <c r="E61" s="1289">
        <v>12.06</v>
      </c>
      <c r="F61" s="1289">
        <v>13.5</v>
      </c>
      <c r="G61" s="1289">
        <v>15.12</v>
      </c>
      <c r="H61" s="1289">
        <v>15.3</v>
      </c>
      <c r="I61" s="1289">
        <v>0</v>
      </c>
      <c r="J61" s="1289">
        <v>0</v>
      </c>
    </row>
    <row r="62" spans="2:26">
      <c r="B62" s="1289"/>
      <c r="C62" s="1290">
        <v>34700</v>
      </c>
      <c r="D62" s="1289">
        <v>9</v>
      </c>
      <c r="E62" s="1289">
        <v>10.98</v>
      </c>
      <c r="F62" s="1289">
        <v>12.96</v>
      </c>
      <c r="G62" s="1289">
        <v>14.58</v>
      </c>
      <c r="H62" s="1289">
        <v>14.76</v>
      </c>
      <c r="I62" s="1289">
        <v>0</v>
      </c>
      <c r="J62" s="1289">
        <v>0</v>
      </c>
    </row>
    <row r="63" spans="2:26">
      <c r="B63" s="1289"/>
      <c r="C63" s="1290">
        <v>34161</v>
      </c>
      <c r="D63" s="1289">
        <v>9</v>
      </c>
      <c r="E63" s="1289">
        <v>10.98</v>
      </c>
      <c r="F63" s="1289">
        <v>12.24</v>
      </c>
      <c r="G63" s="1289">
        <v>13.86</v>
      </c>
      <c r="H63" s="1289">
        <v>14.04</v>
      </c>
      <c r="I63" s="1289">
        <v>0</v>
      </c>
      <c r="J63" s="1289">
        <v>0</v>
      </c>
    </row>
    <row r="64" spans="2:26">
      <c r="B64" s="1289"/>
      <c r="C64" s="1290">
        <v>34104</v>
      </c>
      <c r="D64" s="1289">
        <v>8.82</v>
      </c>
      <c r="E64" s="1289">
        <v>9.36</v>
      </c>
      <c r="F64" s="1289">
        <v>10.8</v>
      </c>
      <c r="G64" s="1289">
        <v>12.06</v>
      </c>
      <c r="H64" s="1289">
        <v>12.24</v>
      </c>
      <c r="I64" s="1289">
        <v>0</v>
      </c>
      <c r="J64" s="1289">
        <v>0</v>
      </c>
    </row>
    <row r="65" spans="2:10">
      <c r="B65" s="1289"/>
      <c r="C65" s="1290">
        <v>33349</v>
      </c>
      <c r="D65" s="1289">
        <v>8.1</v>
      </c>
      <c r="E65" s="1289">
        <v>8.64</v>
      </c>
      <c r="F65" s="1289">
        <v>9</v>
      </c>
      <c r="G65" s="1289">
        <v>9.5399999999999991</v>
      </c>
      <c r="H65" s="1289">
        <v>9.7200000000000006</v>
      </c>
      <c r="I65" s="1289">
        <v>0</v>
      </c>
      <c r="J65" s="1289">
        <v>0</v>
      </c>
    </row>
    <row r="66" spans="2:10">
      <c r="B66" s="1289"/>
      <c r="C66" s="1290">
        <v>33318</v>
      </c>
      <c r="D66" s="1289">
        <v>9</v>
      </c>
      <c r="E66" s="1289">
        <v>10.08</v>
      </c>
      <c r="F66" s="1289">
        <v>10.8</v>
      </c>
      <c r="G66" s="1289">
        <v>11.52</v>
      </c>
      <c r="H66" s="1289">
        <v>11.88</v>
      </c>
      <c r="I66" s="1289" t="s">
        <v>633</v>
      </c>
      <c r="J66" s="1289" t="s">
        <v>633</v>
      </c>
    </row>
    <row r="67" spans="2:10">
      <c r="B67" s="1289"/>
      <c r="C67" s="1290">
        <v>33106</v>
      </c>
      <c r="D67" s="1289">
        <v>8.64</v>
      </c>
      <c r="E67" s="1289">
        <v>9.36</v>
      </c>
      <c r="F67" s="1289">
        <v>10.08</v>
      </c>
      <c r="G67" s="1289">
        <v>10.8</v>
      </c>
      <c r="H67" s="1289">
        <v>11.16</v>
      </c>
      <c r="I67" s="1289">
        <v>0</v>
      </c>
      <c r="J67" s="1289">
        <v>0</v>
      </c>
    </row>
    <row r="68" spans="2:10">
      <c r="B68" s="1289"/>
      <c r="C68" s="1290">
        <v>32540</v>
      </c>
      <c r="D68" s="1289">
        <v>11.34</v>
      </c>
      <c r="E68" s="1289">
        <v>11.34</v>
      </c>
      <c r="F68" s="1289">
        <v>12.78</v>
      </c>
      <c r="G68" s="1289">
        <v>14.4</v>
      </c>
      <c r="H68" s="1289">
        <v>19.260000000000002</v>
      </c>
      <c r="I68" s="1289">
        <v>0</v>
      </c>
      <c r="J68" s="1289">
        <v>0</v>
      </c>
    </row>
    <row r="69" spans="2:10">
      <c r="B69" s="1289"/>
      <c r="C69" s="1290"/>
      <c r="D69" s="1289"/>
      <c r="E69" s="1289"/>
      <c r="F69" s="1289"/>
      <c r="G69" s="1289"/>
      <c r="H69" s="1289"/>
      <c r="I69" s="1289"/>
      <c r="J69" s="1289"/>
    </row>
    <row r="70" spans="2:10">
      <c r="B70" s="1292"/>
      <c r="C70" s="1293"/>
      <c r="D70" s="1292"/>
      <c r="E70" s="1292"/>
      <c r="F70" s="1292"/>
      <c r="G70" s="1292"/>
      <c r="H70" s="1292"/>
      <c r="I70" s="1292"/>
      <c r="J70" s="1292"/>
    </row>
    <row r="71" spans="2:10">
      <c r="B71" s="1292"/>
      <c r="C71" s="1293"/>
      <c r="D71" s="1292"/>
      <c r="E71" s="1292"/>
      <c r="F71" s="1292"/>
      <c r="G71" s="1292"/>
      <c r="H71" s="1292"/>
      <c r="I71" s="1292"/>
      <c r="J71" s="1292"/>
    </row>
    <row r="72" spans="2:10">
      <c r="B72" s="1292"/>
      <c r="C72" s="1293"/>
      <c r="D72" s="1292"/>
      <c r="E72" s="1292"/>
      <c r="F72" s="1292"/>
      <c r="G72" s="1292"/>
      <c r="H72" s="1292"/>
      <c r="I72" s="1292"/>
      <c r="J72" s="1292"/>
    </row>
    <row r="73" spans="2:10">
      <c r="B73" s="1241"/>
      <c r="C73" s="1241"/>
      <c r="D73" s="1241"/>
      <c r="E73" s="1241"/>
      <c r="F73" s="1241"/>
      <c r="G73" s="1241"/>
      <c r="H73" s="1241"/>
      <c r="I73" s="1241"/>
      <c r="J73" s="1241"/>
    </row>
    <row r="74" spans="2:10">
      <c r="B74" s="1241"/>
      <c r="C74" s="1241"/>
      <c r="D74" s="1241"/>
      <c r="E74" s="1241"/>
      <c r="F74" s="1241"/>
      <c r="G74" s="1241"/>
      <c r="H74" s="1241"/>
      <c r="I74" s="1241"/>
      <c r="J74" s="1241"/>
    </row>
  </sheetData>
  <sheetProtection password="CEE9" sheet="1" objects="1" scenarios="1"/>
  <phoneticPr fontId="133" type="noConversion"/>
  <pageMargins left="0.7" right="0.7" top="0.75" bottom="0.75" header="0.3" footer="0.3"/>
  <pageSetup paperSize="9" orientation="portrait" r:id="rId1"/>
</worksheet>
</file>

<file path=xl/worksheets/sheet4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workbookViewId="0">
      <selection activeCell="O17" sqref="O17"/>
    </sheetView>
  </sheetViews>
  <sheetFormatPr defaultRowHeight="13.5"/>
  <sheetData/>
  <phoneticPr fontId="133" type="noConversion"/>
  <pageMargins left="0.7" right="0.7" top="0.75" bottom="0.75" header="0.3" footer="0.3"/>
  <drawing r:id="rId1"/>
</worksheet>
</file>

<file path=xl/worksheets/sheet4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mc:Ignorable="x14ac">
  <dimension ref="A1"/>
  <sheetViews>
    <sheetView topLeftCell="A28" workbookViewId="0">
      <selection activeCell="S77" sqref="S77"/>
    </sheetView>
  </sheetViews>
  <sheetFormatPr defaultRowHeight="13.5"/>
  <sheetData/>
  <phoneticPr fontId="133" type="noConversion"/>
  <pageMargins left="0.7" right="0.7" top="0.75" bottom="0.75" header="0.3" footer="0.3"/>
  <pageSetup paperSize="9"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工作表</vt:lpstr>
      </vt:variant>
      <vt:variant>
        <vt:i4>49</vt:i4>
      </vt:variant>
      <vt:variant>
        <vt:lpstr>命名范围</vt:lpstr>
      </vt:variant>
      <vt:variant>
        <vt:i4>152</vt:i4>
      </vt:variant>
    </vt:vector>
  </HeadingPairs>
  <TitlesOfParts>
    <vt:vector size="201" baseType="lpstr">
      <vt:lpstr>致函链接</vt:lpstr>
      <vt:lpstr>预评函-封皮</vt:lpstr>
      <vt:lpstr>预评函-1</vt:lpstr>
      <vt:lpstr>预评函-2</vt:lpstr>
      <vt:lpstr>预评函-3</vt:lpstr>
      <vt:lpstr>预评函-4</vt:lpstr>
      <vt:lpstr>预评函-5</vt:lpstr>
      <vt:lpstr>使用说明</vt:lpstr>
      <vt:lpstr>估价师及机构信息</vt:lpstr>
      <vt:lpstr>定义</vt:lpstr>
      <vt:lpstr>常用公式</vt:lpstr>
      <vt:lpstr>项目基本情况</vt:lpstr>
      <vt:lpstr>数据-基础表</vt:lpstr>
      <vt:lpstr>指标</vt:lpstr>
      <vt:lpstr>数据-汇总表</vt:lpstr>
      <vt:lpstr>数据-取费表</vt:lpstr>
      <vt:lpstr>估价对象房地状况</vt:lpstr>
      <vt:lpstr>系统读取表</vt:lpstr>
      <vt:lpstr>结果表</vt:lpstr>
      <vt:lpstr>成本法</vt:lpstr>
      <vt:lpstr>成本法 (元)</vt:lpstr>
      <vt:lpstr>假设开发法</vt:lpstr>
      <vt:lpstr>收益法 (元)</vt:lpstr>
      <vt:lpstr>收益法-酒店模型</vt:lpstr>
      <vt:lpstr>收益法（汇总）</vt:lpstr>
      <vt:lpstr>比较法-住宅</vt:lpstr>
      <vt:lpstr>比较法-商业</vt:lpstr>
      <vt:lpstr>比较法-办公</vt:lpstr>
      <vt:lpstr>比较法-工业</vt:lpstr>
      <vt:lpstr>比较法-车位</vt:lpstr>
      <vt:lpstr>比较法-仓储</vt:lpstr>
      <vt:lpstr>土地比较法-住宅、综合</vt:lpstr>
      <vt:lpstr>土地比较法-工业</vt:lpstr>
      <vt:lpstr>基准地价修正</vt:lpstr>
      <vt:lpstr>土地案例</vt:lpstr>
      <vt:lpstr>典型户型修正</vt:lpstr>
      <vt:lpstr>基准地价（汇总）</vt:lpstr>
      <vt:lpstr>收益法</vt:lpstr>
      <vt:lpstr>修正</vt:lpstr>
      <vt:lpstr>容积率修正</vt:lpstr>
      <vt:lpstr>成本法（废）</vt:lpstr>
      <vt:lpstr>区片价</vt:lpstr>
      <vt:lpstr>因素修正幅度</vt:lpstr>
      <vt:lpstr>区片价（范围）</vt:lpstr>
      <vt:lpstr>地价-分区</vt:lpstr>
      <vt:lpstr>地价</vt:lpstr>
      <vt:lpstr>存贷款利率</vt:lpstr>
      <vt:lpstr>案例</vt:lpstr>
      <vt:lpstr>租赁情况</vt:lpstr>
      <vt:lpstr>'比较法-办公'!Print_Area</vt:lpstr>
      <vt:lpstr>'比较法-仓储'!Print_Area</vt:lpstr>
      <vt:lpstr>'比较法-车位'!Print_Area</vt:lpstr>
      <vt:lpstr>'比较法-工业'!Print_Area</vt:lpstr>
      <vt:lpstr>'比较法-商业'!Print_Area</vt:lpstr>
      <vt:lpstr>'比较法-住宅'!Print_Area</vt:lpstr>
      <vt:lpstr>成本法!Print_Area</vt:lpstr>
      <vt:lpstr>'成本法 (元)'!Print_Area</vt:lpstr>
      <vt:lpstr>估价对象房地状况!Print_Area</vt:lpstr>
      <vt:lpstr>估价师及机构信息!Print_Area</vt:lpstr>
      <vt:lpstr>'基准地价（汇总）'!Print_Area</vt:lpstr>
      <vt:lpstr>基准地价修正!Print_Area</vt:lpstr>
      <vt:lpstr>假设开发法!Print_Area</vt:lpstr>
      <vt:lpstr>结果表!Print_Area</vt:lpstr>
      <vt:lpstr>收益法!Print_Area</vt:lpstr>
      <vt:lpstr>'收益法 (元)'!Print_Area</vt:lpstr>
      <vt:lpstr>'收益法（汇总）'!Print_Area</vt:lpstr>
      <vt:lpstr>'数据-汇总表'!Print_Area</vt:lpstr>
      <vt:lpstr>'土地比较法-工业'!Print_Area</vt:lpstr>
      <vt:lpstr>'土地比较法-住宅、综合'!Print_Area</vt:lpstr>
      <vt:lpstr>系统读取表!Print_Area</vt:lpstr>
      <vt:lpstr>项目基本情况!Print_Area</vt:lpstr>
      <vt:lpstr>八级</vt:lpstr>
      <vt:lpstr>办公层高</vt:lpstr>
      <vt:lpstr>办公朝向</vt:lpstr>
      <vt:lpstr>办公道路级别</vt:lpstr>
      <vt:lpstr>办公公共部分装修</vt:lpstr>
      <vt:lpstr>办公基础设施水平</vt:lpstr>
      <vt:lpstr>办公集聚程度</vt:lpstr>
      <vt:lpstr>办公建筑结构</vt:lpstr>
      <vt:lpstr>办公建筑类型</vt:lpstr>
      <vt:lpstr>办公交易情况</vt:lpstr>
      <vt:lpstr>办公楼层</vt:lpstr>
      <vt:lpstr>办公内部装修</vt:lpstr>
      <vt:lpstr>办公物业管理</vt:lpstr>
      <vt:lpstr>办公用途</vt:lpstr>
      <vt:lpstr>仓储公共部分装修</vt:lpstr>
      <vt:lpstr>仓储交易情况</vt:lpstr>
      <vt:lpstr>仓储楼层</vt:lpstr>
      <vt:lpstr>仓储物业等级</vt:lpstr>
      <vt:lpstr>仓储用途</vt:lpstr>
      <vt:lpstr>产业集聚程度</vt:lpstr>
      <vt:lpstr>车位公共部分装修</vt:lpstr>
      <vt:lpstr>车位交易情况</vt:lpstr>
      <vt:lpstr>车位类型</vt:lpstr>
      <vt:lpstr>车位楼层</vt:lpstr>
      <vt:lpstr>车位配套类型</vt:lpstr>
      <vt:lpstr>车位物业等级</vt:lpstr>
      <vt:lpstr>车位用途</vt:lpstr>
      <vt:lpstr>城镇土地纳税等级分级范围</vt:lpstr>
      <vt:lpstr>单价内涵</vt:lpstr>
      <vt:lpstr>地类判定</vt:lpstr>
      <vt:lpstr>二级</vt:lpstr>
      <vt:lpstr>二级分类</vt:lpstr>
      <vt:lpstr>法定最高年限</vt:lpstr>
      <vt:lpstr>工业公共部分装修</vt:lpstr>
      <vt:lpstr>工业基础设施水平</vt:lpstr>
      <vt:lpstr>工业建筑结构</vt:lpstr>
      <vt:lpstr>工业建筑类型</vt:lpstr>
      <vt:lpstr>工业交易情况</vt:lpstr>
      <vt:lpstr>工业内部装修</vt:lpstr>
      <vt:lpstr>工业物业管理</vt:lpstr>
      <vt:lpstr>工业用途</vt:lpstr>
      <vt:lpstr>公共配套设施</vt:lpstr>
      <vt:lpstr>估价范围判定</vt:lpstr>
      <vt:lpstr>估价方法</vt:lpstr>
      <vt:lpstr>环境</vt:lpstr>
      <vt:lpstr>基础设施水平</vt:lpstr>
      <vt:lpstr>季度</vt:lpstr>
      <vt:lpstr>价值类型2</vt:lpstr>
      <vt:lpstr>交通便捷度</vt:lpstr>
      <vt:lpstr>九级</vt:lpstr>
      <vt:lpstr>居住社区成熟度</vt:lpstr>
      <vt:lpstr>类别</vt:lpstr>
      <vt:lpstr>临街状况</vt:lpstr>
      <vt:lpstr>六级</vt:lpstr>
      <vt:lpstr>内部装修维护情况</vt:lpstr>
      <vt:lpstr>七级</vt:lpstr>
      <vt:lpstr>七通一平</vt:lpstr>
      <vt:lpstr>区域土地利用方向</vt:lpstr>
      <vt:lpstr>三级</vt:lpstr>
      <vt:lpstr>商业层高</vt:lpstr>
      <vt:lpstr>商业成新度</vt:lpstr>
      <vt:lpstr>商业繁华度</vt:lpstr>
      <vt:lpstr>商业公共部分装修</vt:lpstr>
      <vt:lpstr>商业基础设施水平</vt:lpstr>
      <vt:lpstr>商业建筑结构</vt:lpstr>
      <vt:lpstr>商业交易情况</vt:lpstr>
      <vt:lpstr>商业街名称</vt:lpstr>
      <vt:lpstr>商业进深比</vt:lpstr>
      <vt:lpstr>商业类型</vt:lpstr>
      <vt:lpstr>商业临街状况</vt:lpstr>
      <vt:lpstr>商业楼层</vt:lpstr>
      <vt:lpstr>商业内部装修</vt:lpstr>
      <vt:lpstr>商业人流量</vt:lpstr>
      <vt:lpstr>商业业态</vt:lpstr>
      <vt:lpstr>商业用途</vt:lpstr>
      <vt:lpstr>十二级</vt:lpstr>
      <vt:lpstr>十级</vt:lpstr>
      <vt:lpstr>十一级</vt:lpstr>
      <vt:lpstr>是否封闭</vt:lpstr>
      <vt:lpstr>是否直接入户</vt:lpstr>
      <vt:lpstr>四级</vt:lpstr>
      <vt:lpstr>套工道路等级</vt:lpstr>
      <vt:lpstr>套工地质条件</vt:lpstr>
      <vt:lpstr>套工交易情况</vt:lpstr>
      <vt:lpstr>套工土地级别</vt:lpstr>
      <vt:lpstr>套工用途</vt:lpstr>
      <vt:lpstr>套工宗地开发程度</vt:lpstr>
      <vt:lpstr>套工宗地形状</vt:lpstr>
      <vt:lpstr>套综道路等级</vt:lpstr>
      <vt:lpstr>套综工程地质条件</vt:lpstr>
      <vt:lpstr>套综交易情况</vt:lpstr>
      <vt:lpstr>套综临街宽度及深度</vt:lpstr>
      <vt:lpstr>套综土地级别</vt:lpstr>
      <vt:lpstr>套综用途</vt:lpstr>
      <vt:lpstr>套综宗地内开发程度</vt:lpstr>
      <vt:lpstr>套综宗地形状</vt:lpstr>
      <vt:lpstr>土地估价师</vt:lpstr>
      <vt:lpstr>土地级别</vt:lpstr>
      <vt:lpstr>土地利用方向</vt:lpstr>
      <vt:lpstr>土地年限区间</vt:lpstr>
      <vt:lpstr>位置</vt:lpstr>
      <vt:lpstr>五等判定</vt:lpstr>
      <vt:lpstr>五级</vt:lpstr>
      <vt:lpstr>项目类型</vt:lpstr>
      <vt:lpstr>写字楼等级</vt:lpstr>
      <vt:lpstr>一级</vt:lpstr>
      <vt:lpstr>一修多修正项2</vt:lpstr>
      <vt:lpstr>一修多修正项3</vt:lpstr>
      <vt:lpstr>一修多修正项4</vt:lpstr>
      <vt:lpstr>一修多修正项5</vt:lpstr>
      <vt:lpstr>一修多修正项6</vt:lpstr>
      <vt:lpstr>一修多修正项7</vt:lpstr>
      <vt:lpstr>一修多修正项8</vt:lpstr>
      <vt:lpstr>用途明细</vt:lpstr>
      <vt:lpstr>有无电梯</vt:lpstr>
      <vt:lpstr>主用途</vt:lpstr>
      <vt:lpstr>住宅朝向</vt:lpstr>
      <vt:lpstr>住宅房型</vt:lpstr>
      <vt:lpstr>住宅公共部分装修</vt:lpstr>
      <vt:lpstr>住宅基础设施水平</vt:lpstr>
      <vt:lpstr>住宅建筑结构</vt:lpstr>
      <vt:lpstr>住宅建筑类型</vt:lpstr>
      <vt:lpstr>住宅建筑品质</vt:lpstr>
      <vt:lpstr>住宅交易情况</vt:lpstr>
      <vt:lpstr>住宅楼层</vt:lpstr>
      <vt:lpstr>住宅内部装修</vt:lpstr>
      <vt:lpstr>住宅物业管理</vt:lpstr>
      <vt:lpstr>住宅用途</vt:lpstr>
      <vt:lpstr>住宅主力户型面积</vt:lpstr>
      <vt:lpstr>注册房地产估价师</vt:lpstr>
    </vt:vector>
  </TitlesOfParts>
  <Company>Sky123.Org</Company>
  <LinksUpToDate>false</LinksUpToDate>
  <SharedDoc>false</SharedDoc>
  <HyperlinksChanged>false</HyperlinksChanged>
  <AppVersion>14.0300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Sky123.Org</dc:creator>
  <cp:lastModifiedBy>a</cp:lastModifiedBy>
  <cp:lastPrinted>2017-03-01T09:15:43Z</cp:lastPrinted>
  <dcterms:created xsi:type="dcterms:W3CDTF">2015-07-13T07:17:23Z</dcterms:created>
  <dcterms:modified xsi:type="dcterms:W3CDTF">2024-04-19T02:08:44Z</dcterms:modified>
</cp:coreProperties>
</file>